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chema Description" state="visible" r:id="rId4"/>
    <sheet sheetId="2" name="Data Entry" state="visible" r:id="rId5"/>
    <sheet sheetId="3" name="Schema conformant data" state="visible" r:id="rId6"/>
  </sheets>
  <calcPr calcId="171027"/>
</workbook>
</file>

<file path=xl/sharedStrings.xml><?xml version="1.0" encoding="utf-8"?>
<sst xmlns="http://schemas.openxmlformats.org/spreadsheetml/2006/main" count="204" uniqueCount="48">
  <si>
    <t>CB: Classification</t>
  </si>
  <si>
    <t>CB: Attribute Name</t>
  </si>
  <si>
    <t>CB: Attribute Type</t>
  </si>
  <si>
    <t>CB: Flagged Attribute</t>
  </si>
  <si>
    <t>CRDC:RDF40</t>
  </si>
  <si>
    <t>animal_id</t>
  </si>
  <si>
    <t>Text</t>
  </si>
  <si>
    <t/>
  </si>
  <si>
    <t>body_fat</t>
  </si>
  <si>
    <t>Numeric</t>
  </si>
  <si>
    <t>bone_wt</t>
  </si>
  <si>
    <t>date</t>
  </si>
  <si>
    <t>decl_bull</t>
  </si>
  <si>
    <t>decl_cow</t>
  </si>
  <si>
    <t>decl_heifer</t>
  </si>
  <si>
    <t>decl_steer</t>
  </si>
  <si>
    <t>discrepancies</t>
  </si>
  <si>
    <t>fat_color</t>
  </si>
  <si>
    <t>fatclass_BGA</t>
  </si>
  <si>
    <t>fatclass_UG</t>
  </si>
  <si>
    <t>grade_fat</t>
  </si>
  <si>
    <t>hotcarcass_wt</t>
  </si>
  <si>
    <t>image_id</t>
  </si>
  <si>
    <t>inter_fat</t>
  </si>
  <si>
    <t>lean_color</t>
  </si>
  <si>
    <t>lean_wt</t>
  </si>
  <si>
    <t>leanyield_BGA</t>
  </si>
  <si>
    <t>leanyield_UG</t>
  </si>
  <si>
    <t>live_wt</t>
  </si>
  <si>
    <t>liver_wt</t>
  </si>
  <si>
    <t>marbling</t>
  </si>
  <si>
    <t>muscleclass_BGA</t>
  </si>
  <si>
    <t>muscleclass_UG</t>
  </si>
  <si>
    <t>qualitygrade_BGA</t>
  </si>
  <si>
    <t>qualitygrade_UG</t>
  </si>
  <si>
    <t>rib_fat1</t>
  </si>
  <si>
    <t>rib_fat2</t>
  </si>
  <si>
    <t>rib_fat3</t>
  </si>
  <si>
    <t>rib_wt</t>
  </si>
  <si>
    <t>ribeyearea_sqin</t>
  </si>
  <si>
    <t>ribeyearea_sqmm</t>
  </si>
  <si>
    <t>ribeyelength_BGA</t>
  </si>
  <si>
    <t>ribeyelength_UG</t>
  </si>
  <si>
    <t>ribeyewidth_BGA</t>
  </si>
  <si>
    <t>ribeyewidth_UG</t>
  </si>
  <si>
    <t>sub_fat</t>
  </si>
  <si>
    <t>yieldgrade_BGA</t>
  </si>
  <si>
    <t>yieldgrade_UG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</si>
</sst>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0"/>
    </font>
    <font>
      <sz val="10"/>
    </font>
  </fonts>
  <fills count="3">
    <fill>
      <patternFill patternType="none"/>
    </fill>
    <fill>
      <patternFill patternType="gray125"/>
    </fill>
    <fill>
      <patternFill patternType="solid">
        <fgColor rgb="E7E6E6"/>
      </patternFill>
    </fill>
  </fills>
  <borders count="4">
    <border>
      <left/>
      <right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FormatPr defaultRowHeight="15" outlineLevelRow="0" outlineLevelCol="0" x14ac:dyDescent="55"/>
  <cols>
    <col min="1" max="1" width="13" customWidth="1"/>
    <col min="2" max="2" width="17" customWidth="1"/>
    <col min="3" max="3" width="12.5" customWidth="1"/>
    <col min="4" max="4" width="17" customWidth="1"/>
  </cols>
  <sheetData>
    <row r="1" ht="35" customHeight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3" t="s">
        <v>4</v>
      </c>
      <c r="B2" s="3" t="s">
        <v>5</v>
      </c>
      <c r="C2" s="3" t="s">
        <v>6</v>
      </c>
      <c r="D2" s="3" t="s">
        <v>7</v>
      </c>
    </row>
    <row r="3" spans="1:4" x14ac:dyDescent="0.25">
      <c r="A3" s="3" t="s">
        <v>4</v>
      </c>
      <c r="B3" s="3" t="s">
        <v>8</v>
      </c>
      <c r="C3" s="3" t="s">
        <v>9</v>
      </c>
      <c r="D3" s="3" t="s">
        <v>7</v>
      </c>
    </row>
    <row r="4" spans="1:4" x14ac:dyDescent="0.25">
      <c r="A4" s="3" t="s">
        <v>4</v>
      </c>
      <c r="B4" s="3" t="s">
        <v>10</v>
      </c>
      <c r="C4" s="3" t="s">
        <v>9</v>
      </c>
      <c r="D4" s="3" t="s">
        <v>7</v>
      </c>
    </row>
    <row r="5" spans="1:4" x14ac:dyDescent="0.25">
      <c r="A5" s="3" t="s">
        <v>4</v>
      </c>
      <c r="B5" s="3" t="s">
        <v>11</v>
      </c>
      <c r="C5" s="3" t="s">
        <v>9</v>
      </c>
      <c r="D5" s="3" t="s">
        <v>7</v>
      </c>
    </row>
    <row r="6" spans="1:4" x14ac:dyDescent="0.25">
      <c r="A6" s="3" t="s">
        <v>4</v>
      </c>
      <c r="B6" s="3" t="s">
        <v>12</v>
      </c>
      <c r="C6" s="3" t="s">
        <v>6</v>
      </c>
      <c r="D6" s="3" t="s">
        <v>7</v>
      </c>
    </row>
    <row r="7" spans="1:4" x14ac:dyDescent="0.25">
      <c r="A7" s="3" t="s">
        <v>4</v>
      </c>
      <c r="B7" s="3" t="s">
        <v>13</v>
      </c>
      <c r="C7" s="3" t="s">
        <v>6</v>
      </c>
      <c r="D7" s="3" t="s">
        <v>7</v>
      </c>
    </row>
    <row r="8" spans="1:4" x14ac:dyDescent="0.25">
      <c r="A8" s="3" t="s">
        <v>4</v>
      </c>
      <c r="B8" s="3" t="s">
        <v>14</v>
      </c>
      <c r="C8" s="3" t="s">
        <v>6</v>
      </c>
      <c r="D8" s="3" t="s">
        <v>7</v>
      </c>
    </row>
    <row r="9" spans="1:4" x14ac:dyDescent="0.25">
      <c r="A9" s="3" t="s">
        <v>4</v>
      </c>
      <c r="B9" s="3" t="s">
        <v>15</v>
      </c>
      <c r="C9" s="3" t="s">
        <v>6</v>
      </c>
      <c r="D9" s="3" t="s">
        <v>7</v>
      </c>
    </row>
    <row r="10" spans="1:4" x14ac:dyDescent="0.25">
      <c r="A10" s="3" t="s">
        <v>4</v>
      </c>
      <c r="B10" s="3" t="s">
        <v>16</v>
      </c>
      <c r="C10" s="3" t="s">
        <v>6</v>
      </c>
      <c r="D10" s="3" t="s">
        <v>7</v>
      </c>
    </row>
    <row r="11" spans="1:4" x14ac:dyDescent="0.25">
      <c r="A11" s="3" t="s">
        <v>4</v>
      </c>
      <c r="B11" s="3" t="s">
        <v>17</v>
      </c>
      <c r="C11" s="3" t="s">
        <v>6</v>
      </c>
      <c r="D11" s="3" t="s">
        <v>7</v>
      </c>
    </row>
    <row r="12" spans="1:4" x14ac:dyDescent="0.25">
      <c r="A12" s="3" t="s">
        <v>4</v>
      </c>
      <c r="B12" s="3" t="s">
        <v>18</v>
      </c>
      <c r="C12" s="3" t="s">
        <v>9</v>
      </c>
      <c r="D12" s="3" t="s">
        <v>7</v>
      </c>
    </row>
    <row r="13" spans="1:4" x14ac:dyDescent="0.25">
      <c r="A13" s="3" t="s">
        <v>4</v>
      </c>
      <c r="B13" s="3" t="s">
        <v>19</v>
      </c>
      <c r="C13" s="3" t="s">
        <v>9</v>
      </c>
      <c r="D13" s="3" t="s">
        <v>7</v>
      </c>
    </row>
    <row r="14" spans="1:4" x14ac:dyDescent="0.25">
      <c r="A14" s="3" t="s">
        <v>4</v>
      </c>
      <c r="B14" s="3" t="s">
        <v>20</v>
      </c>
      <c r="C14" s="3" t="s">
        <v>9</v>
      </c>
      <c r="D14" s="3" t="s">
        <v>7</v>
      </c>
    </row>
    <row r="15" spans="1:4" x14ac:dyDescent="0.25">
      <c r="A15" s="3" t="s">
        <v>4</v>
      </c>
      <c r="B15" s="3" t="s">
        <v>21</v>
      </c>
      <c r="C15" s="3" t="s">
        <v>9</v>
      </c>
      <c r="D15" s="3" t="s">
        <v>7</v>
      </c>
    </row>
    <row r="16" spans="1:4" x14ac:dyDescent="0.25">
      <c r="A16" s="3" t="s">
        <v>4</v>
      </c>
      <c r="B16" s="3" t="s">
        <v>22</v>
      </c>
      <c r="C16" s="3" t="s">
        <v>6</v>
      </c>
      <c r="D16" s="3" t="s">
        <v>7</v>
      </c>
    </row>
    <row r="17" spans="1:4" x14ac:dyDescent="0.25">
      <c r="A17" s="3" t="s">
        <v>4</v>
      </c>
      <c r="B17" s="3" t="s">
        <v>23</v>
      </c>
      <c r="C17" s="3" t="s">
        <v>9</v>
      </c>
      <c r="D17" s="3" t="s">
        <v>7</v>
      </c>
    </row>
    <row r="18" spans="1:4" x14ac:dyDescent="0.25">
      <c r="A18" s="3" t="s">
        <v>4</v>
      </c>
      <c r="B18" s="3" t="s">
        <v>24</v>
      </c>
      <c r="C18" s="3" t="s">
        <v>6</v>
      </c>
      <c r="D18" s="3" t="s">
        <v>7</v>
      </c>
    </row>
    <row r="19" spans="1:4" x14ac:dyDescent="0.25">
      <c r="A19" s="3" t="s">
        <v>4</v>
      </c>
      <c r="B19" s="3" t="s">
        <v>25</v>
      </c>
      <c r="C19" s="3" t="s">
        <v>9</v>
      </c>
      <c r="D19" s="3" t="s">
        <v>7</v>
      </c>
    </row>
    <row r="20" spans="1:4" x14ac:dyDescent="0.25">
      <c r="A20" s="3" t="s">
        <v>4</v>
      </c>
      <c r="B20" s="3" t="s">
        <v>26</v>
      </c>
      <c r="C20" s="3" t="s">
        <v>9</v>
      </c>
      <c r="D20" s="3" t="s">
        <v>7</v>
      </c>
    </row>
    <row r="21" spans="1:4" x14ac:dyDescent="0.25">
      <c r="A21" s="3" t="s">
        <v>4</v>
      </c>
      <c r="B21" s="3" t="s">
        <v>27</v>
      </c>
      <c r="C21" s="3" t="s">
        <v>9</v>
      </c>
      <c r="D21" s="3" t="s">
        <v>7</v>
      </c>
    </row>
    <row r="22" spans="1:4" x14ac:dyDescent="0.25">
      <c r="A22" s="3" t="s">
        <v>4</v>
      </c>
      <c r="B22" s="3" t="s">
        <v>28</v>
      </c>
      <c r="C22" s="3" t="s">
        <v>9</v>
      </c>
      <c r="D22" s="3" t="s">
        <v>7</v>
      </c>
    </row>
    <row r="23" spans="1:4" x14ac:dyDescent="0.25">
      <c r="A23" s="3" t="s">
        <v>4</v>
      </c>
      <c r="B23" s="3" t="s">
        <v>29</v>
      </c>
      <c r="C23" s="3" t="s">
        <v>6</v>
      </c>
      <c r="D23" s="3" t="s">
        <v>7</v>
      </c>
    </row>
    <row r="24" spans="1:4" x14ac:dyDescent="0.25">
      <c r="A24" s="3" t="s">
        <v>4</v>
      </c>
      <c r="B24" s="3" t="s">
        <v>30</v>
      </c>
      <c r="C24" s="3" t="s">
        <v>6</v>
      </c>
      <c r="D24" s="3" t="s">
        <v>7</v>
      </c>
    </row>
    <row r="25" spans="1:4" x14ac:dyDescent="0.25">
      <c r="A25" s="3" t="s">
        <v>4</v>
      </c>
      <c r="B25" s="3" t="s">
        <v>31</v>
      </c>
      <c r="C25" s="3" t="s">
        <v>9</v>
      </c>
      <c r="D25" s="3" t="s">
        <v>7</v>
      </c>
    </row>
    <row r="26" spans="1:4" x14ac:dyDescent="0.25">
      <c r="A26" s="3" t="s">
        <v>4</v>
      </c>
      <c r="B26" s="3" t="s">
        <v>32</v>
      </c>
      <c r="C26" s="3" t="s">
        <v>9</v>
      </c>
      <c r="D26" s="3" t="s">
        <v>7</v>
      </c>
    </row>
    <row r="27" spans="1:4" x14ac:dyDescent="0.25">
      <c r="A27" s="3" t="s">
        <v>4</v>
      </c>
      <c r="B27" s="3" t="s">
        <v>33</v>
      </c>
      <c r="C27" s="3" t="s">
        <v>6</v>
      </c>
      <c r="D27" s="3" t="s">
        <v>7</v>
      </c>
    </row>
    <row r="28" spans="1:4" x14ac:dyDescent="0.25">
      <c r="A28" s="3" t="s">
        <v>4</v>
      </c>
      <c r="B28" s="3" t="s">
        <v>34</v>
      </c>
      <c r="C28" s="3" t="s">
        <v>6</v>
      </c>
      <c r="D28" s="3" t="s">
        <v>7</v>
      </c>
    </row>
    <row r="29" spans="1:4" x14ac:dyDescent="0.25">
      <c r="A29" s="3" t="s">
        <v>4</v>
      </c>
      <c r="B29" s="3" t="s">
        <v>35</v>
      </c>
      <c r="C29" s="3" t="s">
        <v>9</v>
      </c>
      <c r="D29" s="3" t="s">
        <v>7</v>
      </c>
    </row>
    <row r="30" spans="1:4" x14ac:dyDescent="0.25">
      <c r="A30" s="3" t="s">
        <v>4</v>
      </c>
      <c r="B30" s="3" t="s">
        <v>36</v>
      </c>
      <c r="C30" s="3" t="s">
        <v>9</v>
      </c>
      <c r="D30" s="3" t="s">
        <v>7</v>
      </c>
    </row>
    <row r="31" spans="1:4" x14ac:dyDescent="0.25">
      <c r="A31" s="3" t="s">
        <v>4</v>
      </c>
      <c r="B31" s="3" t="s">
        <v>37</v>
      </c>
      <c r="C31" s="3" t="s">
        <v>9</v>
      </c>
      <c r="D31" s="3" t="s">
        <v>7</v>
      </c>
    </row>
    <row r="32" spans="1:4" x14ac:dyDescent="0.25">
      <c r="A32" s="3" t="s">
        <v>4</v>
      </c>
      <c r="B32" s="3" t="s">
        <v>38</v>
      </c>
      <c r="C32" s="3" t="s">
        <v>9</v>
      </c>
      <c r="D32" s="3" t="s">
        <v>7</v>
      </c>
    </row>
    <row r="33" spans="1:4" x14ac:dyDescent="0.25">
      <c r="A33" s="3" t="s">
        <v>4</v>
      </c>
      <c r="B33" s="3" t="s">
        <v>39</v>
      </c>
      <c r="C33" s="3" t="s">
        <v>9</v>
      </c>
      <c r="D33" s="3" t="s">
        <v>7</v>
      </c>
    </row>
    <row r="34" spans="1:4" x14ac:dyDescent="0.25">
      <c r="A34" s="3" t="s">
        <v>4</v>
      </c>
      <c r="B34" s="3" t="s">
        <v>40</v>
      </c>
      <c r="C34" s="3" t="s">
        <v>9</v>
      </c>
      <c r="D34" s="3" t="s">
        <v>7</v>
      </c>
    </row>
    <row r="35" spans="1:4" x14ac:dyDescent="0.25">
      <c r="A35" s="3" t="s">
        <v>4</v>
      </c>
      <c r="B35" s="3" t="s">
        <v>41</v>
      </c>
      <c r="C35" s="3" t="s">
        <v>9</v>
      </c>
      <c r="D35" s="3" t="s">
        <v>7</v>
      </c>
    </row>
    <row r="36" spans="1:4" x14ac:dyDescent="0.25">
      <c r="A36" s="3" t="s">
        <v>4</v>
      </c>
      <c r="B36" s="3" t="s">
        <v>42</v>
      </c>
      <c r="C36" s="3" t="s">
        <v>9</v>
      </c>
      <c r="D36" s="3" t="s">
        <v>7</v>
      </c>
    </row>
    <row r="37" spans="1:4" x14ac:dyDescent="0.25">
      <c r="A37" s="3" t="s">
        <v>4</v>
      </c>
      <c r="B37" s="3" t="s">
        <v>43</v>
      </c>
      <c r="C37" s="3" t="s">
        <v>9</v>
      </c>
      <c r="D37" s="3" t="s">
        <v>7</v>
      </c>
    </row>
    <row r="38" spans="1:4" x14ac:dyDescent="0.25">
      <c r="A38" s="3" t="s">
        <v>4</v>
      </c>
      <c r="B38" s="3" t="s">
        <v>44</v>
      </c>
      <c r="C38" s="3" t="s">
        <v>9</v>
      </c>
      <c r="D38" s="3" t="s">
        <v>7</v>
      </c>
    </row>
    <row r="39" spans="1:4" x14ac:dyDescent="0.25">
      <c r="A39" s="3" t="s">
        <v>4</v>
      </c>
      <c r="B39" s="3" t="s">
        <v>45</v>
      </c>
      <c r="C39" s="3" t="s">
        <v>9</v>
      </c>
      <c r="D39" s="3" t="s">
        <v>7</v>
      </c>
    </row>
    <row r="40" spans="1:4" x14ac:dyDescent="0.25">
      <c r="A40" s="3" t="s">
        <v>4</v>
      </c>
      <c r="B40" s="3" t="s">
        <v>46</v>
      </c>
      <c r="C40" s="3" t="s">
        <v>6</v>
      </c>
      <c r="D40" s="3" t="s">
        <v>7</v>
      </c>
    </row>
    <row r="41" spans="1:4" x14ac:dyDescent="0.25">
      <c r="A41" s="3" t="s">
        <v>4</v>
      </c>
      <c r="B41" s="3" t="s">
        <v>47</v>
      </c>
      <c r="C41" s="3" t="s">
        <v>6</v>
      </c>
      <c r="D41" s="3" t="s">
        <v>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FormatPr defaultRowHeight="15" outlineLevelRow="0" outlineLevelCol="0" x14ac:dyDescent="55"/>
  <sheetData/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1"/>
  <sheetFormatPr defaultRowHeight="15" outlineLevelRow="0" outlineLevelCol="0" x14ac:dyDescent="55"/>
  <sheetData>
    <row r="1" spans="1:40" x14ac:dyDescent="0.25">
      <c r="A1" s="4" t="s">
        <v>5</v>
      </c>
      <c r="B1" s="4" t="s">
        <v>8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  <c r="AL1" s="4" t="s">
        <v>45</v>
      </c>
      <c r="AM1" s="4" t="s">
        <v>46</v>
      </c>
      <c r="AN1" s="4" t="s">
        <v>47</v>
      </c>
    </row>
    <row r="2" spans="1:40" x14ac:dyDescent="0.25">
      <c r="A2">
        <f>IF(ISBLANK('Data Entry'!A2), "", 'Data Entry'!A2)</f>
      </c>
      <c r="B2">
        <f>IF(ISBLANK('Data Entry'!B2), "", 'Data Entry'!B2)</f>
      </c>
      <c r="C2">
        <f>IF(ISBLANK('Data Entry'!C2), "", 'Data Entry'!C2)</f>
      </c>
      <c r="D2">
        <f>IF(ISBLANK('Data Entry'!D2), "", 'Data Entry'!D2)</f>
      </c>
      <c r="E2">
        <f>IF(ISBLANK('Data Entry'!E2), "", 'Data Entry'!E2)</f>
      </c>
      <c r="F2">
        <f>IF(ISBLANK('Data Entry'!F2), "", 'Data Entry'!F2)</f>
      </c>
      <c r="G2">
        <f>IF(ISBLANK('Data Entry'!G2), "", 'Data Entry'!G2)</f>
      </c>
      <c r="H2">
        <f>IF(ISBLANK('Data Entry'!H2), "", 'Data Entry'!H2)</f>
      </c>
      <c r="I2">
        <f>IF(ISBLANK('Data Entry'!I2), "", 'Data Entry'!I2)</f>
      </c>
      <c r="J2">
        <f>IF(ISBLANK('Data Entry'!J2), "", 'Data Entry'!J2)</f>
      </c>
      <c r="K2">
        <f>IF(ISBLANK('Data Entry'!K2), "", 'Data Entry'!K2)</f>
      </c>
      <c r="L2">
        <f>IF(ISBLANK('Data Entry'!L2), "", 'Data Entry'!L2)</f>
      </c>
      <c r="M2">
        <f>IF(ISBLANK('Data Entry'!M2), "", 'Data Entry'!M2)</f>
      </c>
      <c r="N2">
        <f>IF(ISBLANK('Data Entry'!N2), "", 'Data Entry'!N2)</f>
      </c>
      <c r="O2">
        <f>IF(ISBLANK('Data Entry'!O2), "", 'Data Entry'!O2)</f>
      </c>
      <c r="P2">
        <f>IF(ISBLANK('Data Entry'!P2), "", 'Data Entry'!P2)</f>
      </c>
      <c r="Q2">
        <f>IF(ISBLANK('Data Entry'!Q2), "", 'Data Entry'!Q2)</f>
      </c>
      <c r="R2">
        <f>IF(ISBLANK('Data Entry'!R2), "", 'Data Entry'!R2)</f>
      </c>
      <c r="S2">
        <f>IF(ISBLANK('Data Entry'!S2), "", 'Data Entry'!S2)</f>
      </c>
      <c r="T2">
        <f>IF(ISBLANK('Data Entry'!T2), "", 'Data Entry'!T2)</f>
      </c>
      <c r="U2">
        <f>IF(ISBLANK('Data Entry'!U2), "", 'Data Entry'!U2)</f>
      </c>
      <c r="V2">
        <f>IF(ISBLANK('Data Entry'!V2), "", 'Data Entry'!V2)</f>
      </c>
      <c r="W2">
        <f>IF(ISBLANK('Data Entry'!W2), "", 'Data Entry'!W2)</f>
      </c>
      <c r="X2">
        <f>IF(ISBLANK('Data Entry'!X2), "", 'Data Entry'!X2)</f>
      </c>
      <c r="Y2">
        <f>IF(ISBLANK('Data Entry'!Y2), "", 'Data Entry'!Y2)</f>
      </c>
      <c r="Z2">
        <f>IF(ISBLANK('Data Entry'!Z2), "", 'Data Entry'!Z2)</f>
      </c>
      <c r="AA2">
        <f>IF(ISBLANK('Data Entry'![2), "", 'Data Entry'![2)</f>
      </c>
      <c r="AB2">
        <f>IF(ISBLANK('Data Entry'!\2), "", 'Data Entry'!\2)</f>
      </c>
      <c r="AC2">
        <f>IF(ISBLANK('Data Entry'!]2), "", 'Data Entry'!]2)</f>
      </c>
      <c r="AD2">
        <f>IF(ISBLANK('Data Entry'!^2), "", 'Data Entry'!^2)</f>
      </c>
      <c r="AE2">
        <f>IF(ISBLANK('Data Entry'!_2), "", 'Data Entry'!_2)</f>
      </c>
      <c r="AF2">
        <f>IF(ISBLANK('Data Entry'!`2), "", 'Data Entry'!`2)</f>
      </c>
      <c r="AG2">
        <f>IF(ISBLANK('Data Entry'!a2), "", 'Data Entry'!a2)</f>
      </c>
      <c r="AH2">
        <f>IF(ISBLANK('Data Entry'!b2), "", 'Data Entry'!b2)</f>
      </c>
      <c r="AI2">
        <f>IF(ISBLANK('Data Entry'!c2), "", 'Data Entry'!c2)</f>
      </c>
      <c r="AJ2">
        <f>IF(ISBLANK('Data Entry'!d2), "", 'Data Entry'!d2)</f>
      </c>
      <c r="AK2">
        <f>IF(ISBLANK('Data Entry'!e2), "", 'Data Entry'!e2)</f>
      </c>
      <c r="AL2">
        <f>IF(ISBLANK('Data Entry'!f2), "", 'Data Entry'!f2)</f>
      </c>
      <c r="AM2">
        <f>IF(ISBLANK('Data Entry'!g2), "", 'Data Entry'!g2)</f>
      </c>
      <c r="AN2">
        <f>IF(ISBLANK('Data Entry'!h2), "", 'Data Entry'!h2)</f>
      </c>
    </row>
    <row r="3" spans="1:40" x14ac:dyDescent="0.25">
      <c r="A3">
        <f>IF(ISBLANK('Data Entry'!A3), "", 'Data Entry'!A3)</f>
      </c>
      <c r="B3">
        <f>IF(ISBLANK('Data Entry'!B3), "", 'Data Entry'!B3)</f>
      </c>
      <c r="C3">
        <f>IF(ISBLANK('Data Entry'!C3), "", 'Data Entry'!C3)</f>
      </c>
      <c r="D3">
        <f>IF(ISBLANK('Data Entry'!D3), "", 'Data Entry'!D3)</f>
      </c>
      <c r="E3">
        <f>IF(ISBLANK('Data Entry'!E3), "", 'Data Entry'!E3)</f>
      </c>
      <c r="F3">
        <f>IF(ISBLANK('Data Entry'!F3), "", 'Data Entry'!F3)</f>
      </c>
      <c r="G3">
        <f>IF(ISBLANK('Data Entry'!G3), "", 'Data Entry'!G3)</f>
      </c>
      <c r="H3">
        <f>IF(ISBLANK('Data Entry'!H3), "", 'Data Entry'!H3)</f>
      </c>
      <c r="I3">
        <f>IF(ISBLANK('Data Entry'!I3), "", 'Data Entry'!I3)</f>
      </c>
      <c r="J3">
        <f>IF(ISBLANK('Data Entry'!J3), "", 'Data Entry'!J3)</f>
      </c>
      <c r="K3">
        <f>IF(ISBLANK('Data Entry'!K3), "", 'Data Entry'!K3)</f>
      </c>
      <c r="L3">
        <f>IF(ISBLANK('Data Entry'!L3), "", 'Data Entry'!L3)</f>
      </c>
      <c r="M3">
        <f>IF(ISBLANK('Data Entry'!M3), "", 'Data Entry'!M3)</f>
      </c>
      <c r="N3">
        <f>IF(ISBLANK('Data Entry'!N3), "", 'Data Entry'!N3)</f>
      </c>
      <c r="O3">
        <f>IF(ISBLANK('Data Entry'!O3), "", 'Data Entry'!O3)</f>
      </c>
      <c r="P3">
        <f>IF(ISBLANK('Data Entry'!P3), "", 'Data Entry'!P3)</f>
      </c>
      <c r="Q3">
        <f>IF(ISBLANK('Data Entry'!Q3), "", 'Data Entry'!Q3)</f>
      </c>
      <c r="R3">
        <f>IF(ISBLANK('Data Entry'!R3), "", 'Data Entry'!R3)</f>
      </c>
      <c r="S3">
        <f>IF(ISBLANK('Data Entry'!S3), "", 'Data Entry'!S3)</f>
      </c>
      <c r="T3">
        <f>IF(ISBLANK('Data Entry'!T3), "", 'Data Entry'!T3)</f>
      </c>
      <c r="U3">
        <f>IF(ISBLANK('Data Entry'!U3), "", 'Data Entry'!U3)</f>
      </c>
      <c r="V3">
        <f>IF(ISBLANK('Data Entry'!V3), "", 'Data Entry'!V3)</f>
      </c>
      <c r="W3">
        <f>IF(ISBLANK('Data Entry'!W3), "", 'Data Entry'!W3)</f>
      </c>
      <c r="X3">
        <f>IF(ISBLANK('Data Entry'!X3), "", 'Data Entry'!X3)</f>
      </c>
      <c r="Y3">
        <f>IF(ISBLANK('Data Entry'!Y3), "", 'Data Entry'!Y3)</f>
      </c>
      <c r="Z3">
        <f>IF(ISBLANK('Data Entry'!Z3), "", 'Data Entry'!Z3)</f>
      </c>
      <c r="AA3">
        <f>IF(ISBLANK('Data Entry'![3), "", 'Data Entry'![3)</f>
      </c>
      <c r="AB3">
        <f>IF(ISBLANK('Data Entry'!\3), "", 'Data Entry'!\3)</f>
      </c>
      <c r="AC3">
        <f>IF(ISBLANK('Data Entry'!]3), "", 'Data Entry'!]3)</f>
      </c>
      <c r="AD3">
        <f>IF(ISBLANK('Data Entry'!^3), "", 'Data Entry'!^3)</f>
      </c>
      <c r="AE3">
        <f>IF(ISBLANK('Data Entry'!_3), "", 'Data Entry'!_3)</f>
      </c>
      <c r="AF3">
        <f>IF(ISBLANK('Data Entry'!`3), "", 'Data Entry'!`3)</f>
      </c>
      <c r="AG3">
        <f>IF(ISBLANK('Data Entry'!a3), "", 'Data Entry'!a3)</f>
      </c>
      <c r="AH3">
        <f>IF(ISBLANK('Data Entry'!b3), "", 'Data Entry'!b3)</f>
      </c>
      <c r="AI3">
        <f>IF(ISBLANK('Data Entry'!c3), "", 'Data Entry'!c3)</f>
      </c>
      <c r="AJ3">
        <f>IF(ISBLANK('Data Entry'!d3), "", 'Data Entry'!d3)</f>
      </c>
      <c r="AK3">
        <f>IF(ISBLANK('Data Entry'!e3), "", 'Data Entry'!e3)</f>
      </c>
      <c r="AL3">
        <f>IF(ISBLANK('Data Entry'!f3), "", 'Data Entry'!f3)</f>
      </c>
      <c r="AM3">
        <f>IF(ISBLANK('Data Entry'!g3), "", 'Data Entry'!g3)</f>
      </c>
      <c r="AN3">
        <f>IF(ISBLANK('Data Entry'!h3), "", 'Data Entry'!h3)</f>
      </c>
    </row>
    <row r="4" spans="1:40" x14ac:dyDescent="0.25">
      <c r="A4">
        <f>IF(ISBLANK('Data Entry'!A4), "", 'Data Entry'!A4)</f>
      </c>
      <c r="B4">
        <f>IF(ISBLANK('Data Entry'!B4), "", 'Data Entry'!B4)</f>
      </c>
      <c r="C4">
        <f>IF(ISBLANK('Data Entry'!C4), "", 'Data Entry'!C4)</f>
      </c>
      <c r="D4">
        <f>IF(ISBLANK('Data Entry'!D4), "", 'Data Entry'!D4)</f>
      </c>
      <c r="E4">
        <f>IF(ISBLANK('Data Entry'!E4), "", 'Data Entry'!E4)</f>
      </c>
      <c r="F4">
        <f>IF(ISBLANK('Data Entry'!F4), "", 'Data Entry'!F4)</f>
      </c>
      <c r="G4">
        <f>IF(ISBLANK('Data Entry'!G4), "", 'Data Entry'!G4)</f>
      </c>
      <c r="H4">
        <f>IF(ISBLANK('Data Entry'!H4), "", 'Data Entry'!H4)</f>
      </c>
      <c r="I4">
        <f>IF(ISBLANK('Data Entry'!I4), "", 'Data Entry'!I4)</f>
      </c>
      <c r="J4">
        <f>IF(ISBLANK('Data Entry'!J4), "", 'Data Entry'!J4)</f>
      </c>
      <c r="K4">
        <f>IF(ISBLANK('Data Entry'!K4), "", 'Data Entry'!K4)</f>
      </c>
      <c r="L4">
        <f>IF(ISBLANK('Data Entry'!L4), "", 'Data Entry'!L4)</f>
      </c>
      <c r="M4">
        <f>IF(ISBLANK('Data Entry'!M4), "", 'Data Entry'!M4)</f>
      </c>
      <c r="N4">
        <f>IF(ISBLANK('Data Entry'!N4), "", 'Data Entry'!N4)</f>
      </c>
      <c r="O4">
        <f>IF(ISBLANK('Data Entry'!O4), "", 'Data Entry'!O4)</f>
      </c>
      <c r="P4">
        <f>IF(ISBLANK('Data Entry'!P4), "", 'Data Entry'!P4)</f>
      </c>
      <c r="Q4">
        <f>IF(ISBLANK('Data Entry'!Q4), "", 'Data Entry'!Q4)</f>
      </c>
      <c r="R4">
        <f>IF(ISBLANK('Data Entry'!R4), "", 'Data Entry'!R4)</f>
      </c>
      <c r="S4">
        <f>IF(ISBLANK('Data Entry'!S4), "", 'Data Entry'!S4)</f>
      </c>
      <c r="T4">
        <f>IF(ISBLANK('Data Entry'!T4), "", 'Data Entry'!T4)</f>
      </c>
      <c r="U4">
        <f>IF(ISBLANK('Data Entry'!U4), "", 'Data Entry'!U4)</f>
      </c>
      <c r="V4">
        <f>IF(ISBLANK('Data Entry'!V4), "", 'Data Entry'!V4)</f>
      </c>
      <c r="W4">
        <f>IF(ISBLANK('Data Entry'!W4), "", 'Data Entry'!W4)</f>
      </c>
      <c r="X4">
        <f>IF(ISBLANK('Data Entry'!X4), "", 'Data Entry'!X4)</f>
      </c>
      <c r="Y4">
        <f>IF(ISBLANK('Data Entry'!Y4), "", 'Data Entry'!Y4)</f>
      </c>
      <c r="Z4">
        <f>IF(ISBLANK('Data Entry'!Z4), "", 'Data Entry'!Z4)</f>
      </c>
      <c r="AA4">
        <f>IF(ISBLANK('Data Entry'![4), "", 'Data Entry'![4)</f>
      </c>
      <c r="AB4">
        <f>IF(ISBLANK('Data Entry'!\4), "", 'Data Entry'!\4)</f>
      </c>
      <c r="AC4">
        <f>IF(ISBLANK('Data Entry'!]4), "", 'Data Entry'!]4)</f>
      </c>
      <c r="AD4">
        <f>IF(ISBLANK('Data Entry'!^4), "", 'Data Entry'!^4)</f>
      </c>
      <c r="AE4">
        <f>IF(ISBLANK('Data Entry'!_4), "", 'Data Entry'!_4)</f>
      </c>
      <c r="AF4">
        <f>IF(ISBLANK('Data Entry'!`4), "", 'Data Entry'!`4)</f>
      </c>
      <c r="AG4">
        <f>IF(ISBLANK('Data Entry'!a4), "", 'Data Entry'!a4)</f>
      </c>
      <c r="AH4">
        <f>IF(ISBLANK('Data Entry'!b4), "", 'Data Entry'!b4)</f>
      </c>
      <c r="AI4">
        <f>IF(ISBLANK('Data Entry'!c4), "", 'Data Entry'!c4)</f>
      </c>
      <c r="AJ4">
        <f>IF(ISBLANK('Data Entry'!d4), "", 'Data Entry'!d4)</f>
      </c>
      <c r="AK4">
        <f>IF(ISBLANK('Data Entry'!e4), "", 'Data Entry'!e4)</f>
      </c>
      <c r="AL4">
        <f>IF(ISBLANK('Data Entry'!f4), "", 'Data Entry'!f4)</f>
      </c>
      <c r="AM4">
        <f>IF(ISBLANK('Data Entry'!g4), "", 'Data Entry'!g4)</f>
      </c>
      <c r="AN4">
        <f>IF(ISBLANK('Data Entry'!h4), "", 'Data Entry'!h4)</f>
      </c>
    </row>
    <row r="5" spans="1:40" x14ac:dyDescent="0.25">
      <c r="A5">
        <f>IF(ISBLANK('Data Entry'!A5), "", 'Data Entry'!A5)</f>
      </c>
      <c r="B5">
        <f>IF(ISBLANK('Data Entry'!B5), "", 'Data Entry'!B5)</f>
      </c>
      <c r="C5">
        <f>IF(ISBLANK('Data Entry'!C5), "", 'Data Entry'!C5)</f>
      </c>
      <c r="D5">
        <f>IF(ISBLANK('Data Entry'!D5), "", 'Data Entry'!D5)</f>
      </c>
      <c r="E5">
        <f>IF(ISBLANK('Data Entry'!E5), "", 'Data Entry'!E5)</f>
      </c>
      <c r="F5">
        <f>IF(ISBLANK('Data Entry'!F5), "", 'Data Entry'!F5)</f>
      </c>
      <c r="G5">
        <f>IF(ISBLANK('Data Entry'!G5), "", 'Data Entry'!G5)</f>
      </c>
      <c r="H5">
        <f>IF(ISBLANK('Data Entry'!H5), "", 'Data Entry'!H5)</f>
      </c>
      <c r="I5">
        <f>IF(ISBLANK('Data Entry'!I5), "", 'Data Entry'!I5)</f>
      </c>
      <c r="J5">
        <f>IF(ISBLANK('Data Entry'!J5), "", 'Data Entry'!J5)</f>
      </c>
      <c r="K5">
        <f>IF(ISBLANK('Data Entry'!K5), "", 'Data Entry'!K5)</f>
      </c>
      <c r="L5">
        <f>IF(ISBLANK('Data Entry'!L5), "", 'Data Entry'!L5)</f>
      </c>
      <c r="M5">
        <f>IF(ISBLANK('Data Entry'!M5), "", 'Data Entry'!M5)</f>
      </c>
      <c r="N5">
        <f>IF(ISBLANK('Data Entry'!N5), "", 'Data Entry'!N5)</f>
      </c>
      <c r="O5">
        <f>IF(ISBLANK('Data Entry'!O5), "", 'Data Entry'!O5)</f>
      </c>
      <c r="P5">
        <f>IF(ISBLANK('Data Entry'!P5), "", 'Data Entry'!P5)</f>
      </c>
      <c r="Q5">
        <f>IF(ISBLANK('Data Entry'!Q5), "", 'Data Entry'!Q5)</f>
      </c>
      <c r="R5">
        <f>IF(ISBLANK('Data Entry'!R5), "", 'Data Entry'!R5)</f>
      </c>
      <c r="S5">
        <f>IF(ISBLANK('Data Entry'!S5), "", 'Data Entry'!S5)</f>
      </c>
      <c r="T5">
        <f>IF(ISBLANK('Data Entry'!T5), "", 'Data Entry'!T5)</f>
      </c>
      <c r="U5">
        <f>IF(ISBLANK('Data Entry'!U5), "", 'Data Entry'!U5)</f>
      </c>
      <c r="V5">
        <f>IF(ISBLANK('Data Entry'!V5), "", 'Data Entry'!V5)</f>
      </c>
      <c r="W5">
        <f>IF(ISBLANK('Data Entry'!W5), "", 'Data Entry'!W5)</f>
      </c>
      <c r="X5">
        <f>IF(ISBLANK('Data Entry'!X5), "", 'Data Entry'!X5)</f>
      </c>
      <c r="Y5">
        <f>IF(ISBLANK('Data Entry'!Y5), "", 'Data Entry'!Y5)</f>
      </c>
      <c r="Z5">
        <f>IF(ISBLANK('Data Entry'!Z5), "", 'Data Entry'!Z5)</f>
      </c>
      <c r="AA5">
        <f>IF(ISBLANK('Data Entry'![5), "", 'Data Entry'![5)</f>
      </c>
      <c r="AB5">
        <f>IF(ISBLANK('Data Entry'!\5), "", 'Data Entry'!\5)</f>
      </c>
      <c r="AC5">
        <f>IF(ISBLANK('Data Entry'!]5), "", 'Data Entry'!]5)</f>
      </c>
      <c r="AD5">
        <f>IF(ISBLANK('Data Entry'!^5), "", 'Data Entry'!^5)</f>
      </c>
      <c r="AE5">
        <f>IF(ISBLANK('Data Entry'!_5), "", 'Data Entry'!_5)</f>
      </c>
      <c r="AF5">
        <f>IF(ISBLANK('Data Entry'!`5), "", 'Data Entry'!`5)</f>
      </c>
      <c r="AG5">
        <f>IF(ISBLANK('Data Entry'!a5), "", 'Data Entry'!a5)</f>
      </c>
      <c r="AH5">
        <f>IF(ISBLANK('Data Entry'!b5), "", 'Data Entry'!b5)</f>
      </c>
      <c r="AI5">
        <f>IF(ISBLANK('Data Entry'!c5), "", 'Data Entry'!c5)</f>
      </c>
      <c r="AJ5">
        <f>IF(ISBLANK('Data Entry'!d5), "", 'Data Entry'!d5)</f>
      </c>
      <c r="AK5">
        <f>IF(ISBLANK('Data Entry'!e5), "", 'Data Entry'!e5)</f>
      </c>
      <c r="AL5">
        <f>IF(ISBLANK('Data Entry'!f5), "", 'Data Entry'!f5)</f>
      </c>
      <c r="AM5">
        <f>IF(ISBLANK('Data Entry'!g5), "", 'Data Entry'!g5)</f>
      </c>
      <c r="AN5">
        <f>IF(ISBLANK('Data Entry'!h5), "", 'Data Entry'!h5)</f>
      </c>
    </row>
    <row r="6" spans="1:40" x14ac:dyDescent="0.25">
      <c r="A6">
        <f>IF(ISBLANK('Data Entry'!A6), "", 'Data Entry'!A6)</f>
      </c>
      <c r="B6">
        <f>IF(ISBLANK('Data Entry'!B6), "", 'Data Entry'!B6)</f>
      </c>
      <c r="C6">
        <f>IF(ISBLANK('Data Entry'!C6), "", 'Data Entry'!C6)</f>
      </c>
      <c r="D6">
        <f>IF(ISBLANK('Data Entry'!D6), "", 'Data Entry'!D6)</f>
      </c>
      <c r="E6">
        <f>IF(ISBLANK('Data Entry'!E6), "", 'Data Entry'!E6)</f>
      </c>
      <c r="F6">
        <f>IF(ISBLANK('Data Entry'!F6), "", 'Data Entry'!F6)</f>
      </c>
      <c r="G6">
        <f>IF(ISBLANK('Data Entry'!G6), "", 'Data Entry'!G6)</f>
      </c>
      <c r="H6">
        <f>IF(ISBLANK('Data Entry'!H6), "", 'Data Entry'!H6)</f>
      </c>
      <c r="I6">
        <f>IF(ISBLANK('Data Entry'!I6), "", 'Data Entry'!I6)</f>
      </c>
      <c r="J6">
        <f>IF(ISBLANK('Data Entry'!J6), "", 'Data Entry'!J6)</f>
      </c>
      <c r="K6">
        <f>IF(ISBLANK('Data Entry'!K6), "", 'Data Entry'!K6)</f>
      </c>
      <c r="L6">
        <f>IF(ISBLANK('Data Entry'!L6), "", 'Data Entry'!L6)</f>
      </c>
      <c r="M6">
        <f>IF(ISBLANK('Data Entry'!M6), "", 'Data Entry'!M6)</f>
      </c>
      <c r="N6">
        <f>IF(ISBLANK('Data Entry'!N6), "", 'Data Entry'!N6)</f>
      </c>
      <c r="O6">
        <f>IF(ISBLANK('Data Entry'!O6), "", 'Data Entry'!O6)</f>
      </c>
      <c r="P6">
        <f>IF(ISBLANK('Data Entry'!P6), "", 'Data Entry'!P6)</f>
      </c>
      <c r="Q6">
        <f>IF(ISBLANK('Data Entry'!Q6), "", 'Data Entry'!Q6)</f>
      </c>
      <c r="R6">
        <f>IF(ISBLANK('Data Entry'!R6), "", 'Data Entry'!R6)</f>
      </c>
      <c r="S6">
        <f>IF(ISBLANK('Data Entry'!S6), "", 'Data Entry'!S6)</f>
      </c>
      <c r="T6">
        <f>IF(ISBLANK('Data Entry'!T6), "", 'Data Entry'!T6)</f>
      </c>
      <c r="U6">
        <f>IF(ISBLANK('Data Entry'!U6), "", 'Data Entry'!U6)</f>
      </c>
      <c r="V6">
        <f>IF(ISBLANK('Data Entry'!V6), "", 'Data Entry'!V6)</f>
      </c>
      <c r="W6">
        <f>IF(ISBLANK('Data Entry'!W6), "", 'Data Entry'!W6)</f>
      </c>
      <c r="X6">
        <f>IF(ISBLANK('Data Entry'!X6), "", 'Data Entry'!X6)</f>
      </c>
      <c r="Y6">
        <f>IF(ISBLANK('Data Entry'!Y6), "", 'Data Entry'!Y6)</f>
      </c>
      <c r="Z6">
        <f>IF(ISBLANK('Data Entry'!Z6), "", 'Data Entry'!Z6)</f>
      </c>
      <c r="AA6">
        <f>IF(ISBLANK('Data Entry'![6), "", 'Data Entry'![6)</f>
      </c>
      <c r="AB6">
        <f>IF(ISBLANK('Data Entry'!\6), "", 'Data Entry'!\6)</f>
      </c>
      <c r="AC6">
        <f>IF(ISBLANK('Data Entry'!]6), "", 'Data Entry'!]6)</f>
      </c>
      <c r="AD6">
        <f>IF(ISBLANK('Data Entry'!^6), "", 'Data Entry'!^6)</f>
      </c>
      <c r="AE6">
        <f>IF(ISBLANK('Data Entry'!_6), "", 'Data Entry'!_6)</f>
      </c>
      <c r="AF6">
        <f>IF(ISBLANK('Data Entry'!`6), "", 'Data Entry'!`6)</f>
      </c>
      <c r="AG6">
        <f>IF(ISBLANK('Data Entry'!a6), "", 'Data Entry'!a6)</f>
      </c>
      <c r="AH6">
        <f>IF(ISBLANK('Data Entry'!b6), "", 'Data Entry'!b6)</f>
      </c>
      <c r="AI6">
        <f>IF(ISBLANK('Data Entry'!c6), "", 'Data Entry'!c6)</f>
      </c>
      <c r="AJ6">
        <f>IF(ISBLANK('Data Entry'!d6), "", 'Data Entry'!d6)</f>
      </c>
      <c r="AK6">
        <f>IF(ISBLANK('Data Entry'!e6), "", 'Data Entry'!e6)</f>
      </c>
      <c r="AL6">
        <f>IF(ISBLANK('Data Entry'!f6), "", 'Data Entry'!f6)</f>
      </c>
      <c r="AM6">
        <f>IF(ISBLANK('Data Entry'!g6), "", 'Data Entry'!g6)</f>
      </c>
      <c r="AN6">
        <f>IF(ISBLANK('Data Entry'!h6), "", 'Data Entry'!h6)</f>
      </c>
    </row>
    <row r="7" spans="1:40" x14ac:dyDescent="0.25">
      <c r="A7">
        <f>IF(ISBLANK('Data Entry'!A7), "", 'Data Entry'!A7)</f>
      </c>
      <c r="B7">
        <f>IF(ISBLANK('Data Entry'!B7), "", 'Data Entry'!B7)</f>
      </c>
      <c r="C7">
        <f>IF(ISBLANK('Data Entry'!C7), "", 'Data Entry'!C7)</f>
      </c>
      <c r="D7">
        <f>IF(ISBLANK('Data Entry'!D7), "", 'Data Entry'!D7)</f>
      </c>
      <c r="E7">
        <f>IF(ISBLANK('Data Entry'!E7), "", 'Data Entry'!E7)</f>
      </c>
      <c r="F7">
        <f>IF(ISBLANK('Data Entry'!F7), "", 'Data Entry'!F7)</f>
      </c>
      <c r="G7">
        <f>IF(ISBLANK('Data Entry'!G7), "", 'Data Entry'!G7)</f>
      </c>
      <c r="H7">
        <f>IF(ISBLANK('Data Entry'!H7), "", 'Data Entry'!H7)</f>
      </c>
      <c r="I7">
        <f>IF(ISBLANK('Data Entry'!I7), "", 'Data Entry'!I7)</f>
      </c>
      <c r="J7">
        <f>IF(ISBLANK('Data Entry'!J7), "", 'Data Entry'!J7)</f>
      </c>
      <c r="K7">
        <f>IF(ISBLANK('Data Entry'!K7), "", 'Data Entry'!K7)</f>
      </c>
      <c r="L7">
        <f>IF(ISBLANK('Data Entry'!L7), "", 'Data Entry'!L7)</f>
      </c>
      <c r="M7">
        <f>IF(ISBLANK('Data Entry'!M7), "", 'Data Entry'!M7)</f>
      </c>
      <c r="N7">
        <f>IF(ISBLANK('Data Entry'!N7), "", 'Data Entry'!N7)</f>
      </c>
      <c r="O7">
        <f>IF(ISBLANK('Data Entry'!O7), "", 'Data Entry'!O7)</f>
      </c>
      <c r="P7">
        <f>IF(ISBLANK('Data Entry'!P7), "", 'Data Entry'!P7)</f>
      </c>
      <c r="Q7">
        <f>IF(ISBLANK('Data Entry'!Q7), "", 'Data Entry'!Q7)</f>
      </c>
      <c r="R7">
        <f>IF(ISBLANK('Data Entry'!R7), "", 'Data Entry'!R7)</f>
      </c>
      <c r="S7">
        <f>IF(ISBLANK('Data Entry'!S7), "", 'Data Entry'!S7)</f>
      </c>
      <c r="T7">
        <f>IF(ISBLANK('Data Entry'!T7), "", 'Data Entry'!T7)</f>
      </c>
      <c r="U7">
        <f>IF(ISBLANK('Data Entry'!U7), "", 'Data Entry'!U7)</f>
      </c>
      <c r="V7">
        <f>IF(ISBLANK('Data Entry'!V7), "", 'Data Entry'!V7)</f>
      </c>
      <c r="W7">
        <f>IF(ISBLANK('Data Entry'!W7), "", 'Data Entry'!W7)</f>
      </c>
      <c r="X7">
        <f>IF(ISBLANK('Data Entry'!X7), "", 'Data Entry'!X7)</f>
      </c>
      <c r="Y7">
        <f>IF(ISBLANK('Data Entry'!Y7), "", 'Data Entry'!Y7)</f>
      </c>
      <c r="Z7">
        <f>IF(ISBLANK('Data Entry'!Z7), "", 'Data Entry'!Z7)</f>
      </c>
      <c r="AA7">
        <f>IF(ISBLANK('Data Entry'![7), "", 'Data Entry'![7)</f>
      </c>
      <c r="AB7">
        <f>IF(ISBLANK('Data Entry'!\7), "", 'Data Entry'!\7)</f>
      </c>
      <c r="AC7">
        <f>IF(ISBLANK('Data Entry'!]7), "", 'Data Entry'!]7)</f>
      </c>
      <c r="AD7">
        <f>IF(ISBLANK('Data Entry'!^7), "", 'Data Entry'!^7)</f>
      </c>
      <c r="AE7">
        <f>IF(ISBLANK('Data Entry'!_7), "", 'Data Entry'!_7)</f>
      </c>
      <c r="AF7">
        <f>IF(ISBLANK('Data Entry'!`7), "", 'Data Entry'!`7)</f>
      </c>
      <c r="AG7">
        <f>IF(ISBLANK('Data Entry'!a7), "", 'Data Entry'!a7)</f>
      </c>
      <c r="AH7">
        <f>IF(ISBLANK('Data Entry'!b7), "", 'Data Entry'!b7)</f>
      </c>
      <c r="AI7">
        <f>IF(ISBLANK('Data Entry'!c7), "", 'Data Entry'!c7)</f>
      </c>
      <c r="AJ7">
        <f>IF(ISBLANK('Data Entry'!d7), "", 'Data Entry'!d7)</f>
      </c>
      <c r="AK7">
        <f>IF(ISBLANK('Data Entry'!e7), "", 'Data Entry'!e7)</f>
      </c>
      <c r="AL7">
        <f>IF(ISBLANK('Data Entry'!f7), "", 'Data Entry'!f7)</f>
      </c>
      <c r="AM7">
        <f>IF(ISBLANK('Data Entry'!g7), "", 'Data Entry'!g7)</f>
      </c>
      <c r="AN7">
        <f>IF(ISBLANK('Data Entry'!h7), "", 'Data Entry'!h7)</f>
      </c>
    </row>
    <row r="8" spans="1:40" x14ac:dyDescent="0.25">
      <c r="A8">
        <f>IF(ISBLANK('Data Entry'!A8), "", 'Data Entry'!A8)</f>
      </c>
      <c r="B8">
        <f>IF(ISBLANK('Data Entry'!B8), "", 'Data Entry'!B8)</f>
      </c>
      <c r="C8">
        <f>IF(ISBLANK('Data Entry'!C8), "", 'Data Entry'!C8)</f>
      </c>
      <c r="D8">
        <f>IF(ISBLANK('Data Entry'!D8), "", 'Data Entry'!D8)</f>
      </c>
      <c r="E8">
        <f>IF(ISBLANK('Data Entry'!E8), "", 'Data Entry'!E8)</f>
      </c>
      <c r="F8">
        <f>IF(ISBLANK('Data Entry'!F8), "", 'Data Entry'!F8)</f>
      </c>
      <c r="G8">
        <f>IF(ISBLANK('Data Entry'!G8), "", 'Data Entry'!G8)</f>
      </c>
      <c r="H8">
        <f>IF(ISBLANK('Data Entry'!H8), "", 'Data Entry'!H8)</f>
      </c>
      <c r="I8">
        <f>IF(ISBLANK('Data Entry'!I8), "", 'Data Entry'!I8)</f>
      </c>
      <c r="J8">
        <f>IF(ISBLANK('Data Entry'!J8), "", 'Data Entry'!J8)</f>
      </c>
      <c r="K8">
        <f>IF(ISBLANK('Data Entry'!K8), "", 'Data Entry'!K8)</f>
      </c>
      <c r="L8">
        <f>IF(ISBLANK('Data Entry'!L8), "", 'Data Entry'!L8)</f>
      </c>
      <c r="M8">
        <f>IF(ISBLANK('Data Entry'!M8), "", 'Data Entry'!M8)</f>
      </c>
      <c r="N8">
        <f>IF(ISBLANK('Data Entry'!N8), "", 'Data Entry'!N8)</f>
      </c>
      <c r="O8">
        <f>IF(ISBLANK('Data Entry'!O8), "", 'Data Entry'!O8)</f>
      </c>
      <c r="P8">
        <f>IF(ISBLANK('Data Entry'!P8), "", 'Data Entry'!P8)</f>
      </c>
      <c r="Q8">
        <f>IF(ISBLANK('Data Entry'!Q8), "", 'Data Entry'!Q8)</f>
      </c>
      <c r="R8">
        <f>IF(ISBLANK('Data Entry'!R8), "", 'Data Entry'!R8)</f>
      </c>
      <c r="S8">
        <f>IF(ISBLANK('Data Entry'!S8), "", 'Data Entry'!S8)</f>
      </c>
      <c r="T8">
        <f>IF(ISBLANK('Data Entry'!T8), "", 'Data Entry'!T8)</f>
      </c>
      <c r="U8">
        <f>IF(ISBLANK('Data Entry'!U8), "", 'Data Entry'!U8)</f>
      </c>
      <c r="V8">
        <f>IF(ISBLANK('Data Entry'!V8), "", 'Data Entry'!V8)</f>
      </c>
      <c r="W8">
        <f>IF(ISBLANK('Data Entry'!W8), "", 'Data Entry'!W8)</f>
      </c>
      <c r="X8">
        <f>IF(ISBLANK('Data Entry'!X8), "", 'Data Entry'!X8)</f>
      </c>
      <c r="Y8">
        <f>IF(ISBLANK('Data Entry'!Y8), "", 'Data Entry'!Y8)</f>
      </c>
      <c r="Z8">
        <f>IF(ISBLANK('Data Entry'!Z8), "", 'Data Entry'!Z8)</f>
      </c>
      <c r="AA8">
        <f>IF(ISBLANK('Data Entry'![8), "", 'Data Entry'![8)</f>
      </c>
      <c r="AB8">
        <f>IF(ISBLANK('Data Entry'!\8), "", 'Data Entry'!\8)</f>
      </c>
      <c r="AC8">
        <f>IF(ISBLANK('Data Entry'!]8), "", 'Data Entry'!]8)</f>
      </c>
      <c r="AD8">
        <f>IF(ISBLANK('Data Entry'!^8), "", 'Data Entry'!^8)</f>
      </c>
      <c r="AE8">
        <f>IF(ISBLANK('Data Entry'!_8), "", 'Data Entry'!_8)</f>
      </c>
      <c r="AF8">
        <f>IF(ISBLANK('Data Entry'!`8), "", 'Data Entry'!`8)</f>
      </c>
      <c r="AG8">
        <f>IF(ISBLANK('Data Entry'!a8), "", 'Data Entry'!a8)</f>
      </c>
      <c r="AH8">
        <f>IF(ISBLANK('Data Entry'!b8), "", 'Data Entry'!b8)</f>
      </c>
      <c r="AI8">
        <f>IF(ISBLANK('Data Entry'!c8), "", 'Data Entry'!c8)</f>
      </c>
      <c r="AJ8">
        <f>IF(ISBLANK('Data Entry'!d8), "", 'Data Entry'!d8)</f>
      </c>
      <c r="AK8">
        <f>IF(ISBLANK('Data Entry'!e8), "", 'Data Entry'!e8)</f>
      </c>
      <c r="AL8">
        <f>IF(ISBLANK('Data Entry'!f8), "", 'Data Entry'!f8)</f>
      </c>
      <c r="AM8">
        <f>IF(ISBLANK('Data Entry'!g8), "", 'Data Entry'!g8)</f>
      </c>
      <c r="AN8">
        <f>IF(ISBLANK('Data Entry'!h8), "", 'Data Entry'!h8)</f>
      </c>
    </row>
    <row r="9" spans="1:40" x14ac:dyDescent="0.25">
      <c r="A9">
        <f>IF(ISBLANK('Data Entry'!A9), "", 'Data Entry'!A9)</f>
      </c>
      <c r="B9">
        <f>IF(ISBLANK('Data Entry'!B9), "", 'Data Entry'!B9)</f>
      </c>
      <c r="C9">
        <f>IF(ISBLANK('Data Entry'!C9), "", 'Data Entry'!C9)</f>
      </c>
      <c r="D9">
        <f>IF(ISBLANK('Data Entry'!D9), "", 'Data Entry'!D9)</f>
      </c>
      <c r="E9">
        <f>IF(ISBLANK('Data Entry'!E9), "", 'Data Entry'!E9)</f>
      </c>
      <c r="F9">
        <f>IF(ISBLANK('Data Entry'!F9), "", 'Data Entry'!F9)</f>
      </c>
      <c r="G9">
        <f>IF(ISBLANK('Data Entry'!G9), "", 'Data Entry'!G9)</f>
      </c>
      <c r="H9">
        <f>IF(ISBLANK('Data Entry'!H9), "", 'Data Entry'!H9)</f>
      </c>
      <c r="I9">
        <f>IF(ISBLANK('Data Entry'!I9), "", 'Data Entry'!I9)</f>
      </c>
      <c r="J9">
        <f>IF(ISBLANK('Data Entry'!J9), "", 'Data Entry'!J9)</f>
      </c>
      <c r="K9">
        <f>IF(ISBLANK('Data Entry'!K9), "", 'Data Entry'!K9)</f>
      </c>
      <c r="L9">
        <f>IF(ISBLANK('Data Entry'!L9), "", 'Data Entry'!L9)</f>
      </c>
      <c r="M9">
        <f>IF(ISBLANK('Data Entry'!M9), "", 'Data Entry'!M9)</f>
      </c>
      <c r="N9">
        <f>IF(ISBLANK('Data Entry'!N9), "", 'Data Entry'!N9)</f>
      </c>
      <c r="O9">
        <f>IF(ISBLANK('Data Entry'!O9), "", 'Data Entry'!O9)</f>
      </c>
      <c r="P9">
        <f>IF(ISBLANK('Data Entry'!P9), "", 'Data Entry'!P9)</f>
      </c>
      <c r="Q9">
        <f>IF(ISBLANK('Data Entry'!Q9), "", 'Data Entry'!Q9)</f>
      </c>
      <c r="R9">
        <f>IF(ISBLANK('Data Entry'!R9), "", 'Data Entry'!R9)</f>
      </c>
      <c r="S9">
        <f>IF(ISBLANK('Data Entry'!S9), "", 'Data Entry'!S9)</f>
      </c>
      <c r="T9">
        <f>IF(ISBLANK('Data Entry'!T9), "", 'Data Entry'!T9)</f>
      </c>
      <c r="U9">
        <f>IF(ISBLANK('Data Entry'!U9), "", 'Data Entry'!U9)</f>
      </c>
      <c r="V9">
        <f>IF(ISBLANK('Data Entry'!V9), "", 'Data Entry'!V9)</f>
      </c>
      <c r="W9">
        <f>IF(ISBLANK('Data Entry'!W9), "", 'Data Entry'!W9)</f>
      </c>
      <c r="X9">
        <f>IF(ISBLANK('Data Entry'!X9), "", 'Data Entry'!X9)</f>
      </c>
      <c r="Y9">
        <f>IF(ISBLANK('Data Entry'!Y9), "", 'Data Entry'!Y9)</f>
      </c>
      <c r="Z9">
        <f>IF(ISBLANK('Data Entry'!Z9), "", 'Data Entry'!Z9)</f>
      </c>
      <c r="AA9">
        <f>IF(ISBLANK('Data Entry'![9), "", 'Data Entry'![9)</f>
      </c>
      <c r="AB9">
        <f>IF(ISBLANK('Data Entry'!\9), "", 'Data Entry'!\9)</f>
      </c>
      <c r="AC9">
        <f>IF(ISBLANK('Data Entry'!]9), "", 'Data Entry'!]9)</f>
      </c>
      <c r="AD9">
        <f>IF(ISBLANK('Data Entry'!^9), "", 'Data Entry'!^9)</f>
      </c>
      <c r="AE9">
        <f>IF(ISBLANK('Data Entry'!_9), "", 'Data Entry'!_9)</f>
      </c>
      <c r="AF9">
        <f>IF(ISBLANK('Data Entry'!`9), "", 'Data Entry'!`9)</f>
      </c>
      <c r="AG9">
        <f>IF(ISBLANK('Data Entry'!a9), "", 'Data Entry'!a9)</f>
      </c>
      <c r="AH9">
        <f>IF(ISBLANK('Data Entry'!b9), "", 'Data Entry'!b9)</f>
      </c>
      <c r="AI9">
        <f>IF(ISBLANK('Data Entry'!c9), "", 'Data Entry'!c9)</f>
      </c>
      <c r="AJ9">
        <f>IF(ISBLANK('Data Entry'!d9), "", 'Data Entry'!d9)</f>
      </c>
      <c r="AK9">
        <f>IF(ISBLANK('Data Entry'!e9), "", 'Data Entry'!e9)</f>
      </c>
      <c r="AL9">
        <f>IF(ISBLANK('Data Entry'!f9), "", 'Data Entry'!f9)</f>
      </c>
      <c r="AM9">
        <f>IF(ISBLANK('Data Entry'!g9), "", 'Data Entry'!g9)</f>
      </c>
      <c r="AN9">
        <f>IF(ISBLANK('Data Entry'!h9), "", 'Data Entry'!h9)</f>
      </c>
    </row>
    <row r="10" spans="1:40" x14ac:dyDescent="0.25">
      <c r="A10">
        <f>IF(ISBLANK('Data Entry'!A10), "", 'Data Entry'!A10)</f>
      </c>
      <c r="B10">
        <f>IF(ISBLANK('Data Entry'!B10), "", 'Data Entry'!B10)</f>
      </c>
      <c r="C10">
        <f>IF(ISBLANK('Data Entry'!C10), "", 'Data Entry'!C10)</f>
      </c>
      <c r="D10">
        <f>IF(ISBLANK('Data Entry'!D10), "", 'Data Entry'!D10)</f>
      </c>
      <c r="E10">
        <f>IF(ISBLANK('Data Entry'!E10), "", 'Data Entry'!E10)</f>
      </c>
      <c r="F10">
        <f>IF(ISBLANK('Data Entry'!F10), "", 'Data Entry'!F10)</f>
      </c>
      <c r="G10">
        <f>IF(ISBLANK('Data Entry'!G10), "", 'Data Entry'!G10)</f>
      </c>
      <c r="H10">
        <f>IF(ISBLANK('Data Entry'!H10), "", 'Data Entry'!H10)</f>
      </c>
      <c r="I10">
        <f>IF(ISBLANK('Data Entry'!I10), "", 'Data Entry'!I10)</f>
      </c>
      <c r="J10">
        <f>IF(ISBLANK('Data Entry'!J10), "", 'Data Entry'!J10)</f>
      </c>
      <c r="K10">
        <f>IF(ISBLANK('Data Entry'!K10), "", 'Data Entry'!K10)</f>
      </c>
      <c r="L10">
        <f>IF(ISBLANK('Data Entry'!L10), "", 'Data Entry'!L10)</f>
      </c>
      <c r="M10">
        <f>IF(ISBLANK('Data Entry'!M10), "", 'Data Entry'!M10)</f>
      </c>
      <c r="N10">
        <f>IF(ISBLANK('Data Entry'!N10), "", 'Data Entry'!N10)</f>
      </c>
      <c r="O10">
        <f>IF(ISBLANK('Data Entry'!O10), "", 'Data Entry'!O10)</f>
      </c>
      <c r="P10">
        <f>IF(ISBLANK('Data Entry'!P10), "", 'Data Entry'!P10)</f>
      </c>
      <c r="Q10">
        <f>IF(ISBLANK('Data Entry'!Q10), "", 'Data Entry'!Q10)</f>
      </c>
      <c r="R10">
        <f>IF(ISBLANK('Data Entry'!R10), "", 'Data Entry'!R10)</f>
      </c>
      <c r="S10">
        <f>IF(ISBLANK('Data Entry'!S10), "", 'Data Entry'!S10)</f>
      </c>
      <c r="T10">
        <f>IF(ISBLANK('Data Entry'!T10), "", 'Data Entry'!T10)</f>
      </c>
      <c r="U10">
        <f>IF(ISBLANK('Data Entry'!U10), "", 'Data Entry'!U10)</f>
      </c>
      <c r="V10">
        <f>IF(ISBLANK('Data Entry'!V10), "", 'Data Entry'!V10)</f>
      </c>
      <c r="W10">
        <f>IF(ISBLANK('Data Entry'!W10), "", 'Data Entry'!W10)</f>
      </c>
      <c r="X10">
        <f>IF(ISBLANK('Data Entry'!X10), "", 'Data Entry'!X10)</f>
      </c>
      <c r="Y10">
        <f>IF(ISBLANK('Data Entry'!Y10), "", 'Data Entry'!Y10)</f>
      </c>
      <c r="Z10">
        <f>IF(ISBLANK('Data Entry'!Z10), "", 'Data Entry'!Z10)</f>
      </c>
      <c r="AA10">
        <f>IF(ISBLANK('Data Entry'![10), "", 'Data Entry'![10)</f>
      </c>
      <c r="AB10">
        <f>IF(ISBLANK('Data Entry'!\10), "", 'Data Entry'!\10)</f>
      </c>
      <c r="AC10">
        <f>IF(ISBLANK('Data Entry'!]10), "", 'Data Entry'!]10)</f>
      </c>
      <c r="AD10">
        <f>IF(ISBLANK('Data Entry'!^10), "", 'Data Entry'!^10)</f>
      </c>
      <c r="AE10">
        <f>IF(ISBLANK('Data Entry'!_10), "", 'Data Entry'!_10)</f>
      </c>
      <c r="AF10">
        <f>IF(ISBLANK('Data Entry'!`10), "", 'Data Entry'!`10)</f>
      </c>
      <c r="AG10">
        <f>IF(ISBLANK('Data Entry'!a10), "", 'Data Entry'!a10)</f>
      </c>
      <c r="AH10">
        <f>IF(ISBLANK('Data Entry'!b10), "", 'Data Entry'!b10)</f>
      </c>
      <c r="AI10">
        <f>IF(ISBLANK('Data Entry'!c10), "", 'Data Entry'!c10)</f>
      </c>
      <c r="AJ10">
        <f>IF(ISBLANK('Data Entry'!d10), "", 'Data Entry'!d10)</f>
      </c>
      <c r="AK10">
        <f>IF(ISBLANK('Data Entry'!e10), "", 'Data Entry'!e10)</f>
      </c>
      <c r="AL10">
        <f>IF(ISBLANK('Data Entry'!f10), "", 'Data Entry'!f10)</f>
      </c>
      <c r="AM10">
        <f>IF(ISBLANK('Data Entry'!g10), "", 'Data Entry'!g10)</f>
      </c>
      <c r="AN10">
        <f>IF(ISBLANK('Data Entry'!h10), "", 'Data Entry'!h10)</f>
      </c>
    </row>
    <row r="11" spans="1:40" x14ac:dyDescent="0.25">
      <c r="A11">
        <f>IF(ISBLANK('Data Entry'!A11), "", 'Data Entry'!A11)</f>
      </c>
      <c r="B11">
        <f>IF(ISBLANK('Data Entry'!B11), "", 'Data Entry'!B11)</f>
      </c>
      <c r="C11">
        <f>IF(ISBLANK('Data Entry'!C11), "", 'Data Entry'!C11)</f>
      </c>
      <c r="D11">
        <f>IF(ISBLANK('Data Entry'!D11), "", 'Data Entry'!D11)</f>
      </c>
      <c r="E11">
        <f>IF(ISBLANK('Data Entry'!E11), "", 'Data Entry'!E11)</f>
      </c>
      <c r="F11">
        <f>IF(ISBLANK('Data Entry'!F11), "", 'Data Entry'!F11)</f>
      </c>
      <c r="G11">
        <f>IF(ISBLANK('Data Entry'!G11), "", 'Data Entry'!G11)</f>
      </c>
      <c r="H11">
        <f>IF(ISBLANK('Data Entry'!H11), "", 'Data Entry'!H11)</f>
      </c>
      <c r="I11">
        <f>IF(ISBLANK('Data Entry'!I11), "", 'Data Entry'!I11)</f>
      </c>
      <c r="J11">
        <f>IF(ISBLANK('Data Entry'!J11), "", 'Data Entry'!J11)</f>
      </c>
      <c r="K11">
        <f>IF(ISBLANK('Data Entry'!K11), "", 'Data Entry'!K11)</f>
      </c>
      <c r="L11">
        <f>IF(ISBLANK('Data Entry'!L11), "", 'Data Entry'!L11)</f>
      </c>
      <c r="M11">
        <f>IF(ISBLANK('Data Entry'!M11), "", 'Data Entry'!M11)</f>
      </c>
      <c r="N11">
        <f>IF(ISBLANK('Data Entry'!N11), "", 'Data Entry'!N11)</f>
      </c>
      <c r="O11">
        <f>IF(ISBLANK('Data Entry'!O11), "", 'Data Entry'!O11)</f>
      </c>
      <c r="P11">
        <f>IF(ISBLANK('Data Entry'!P11), "", 'Data Entry'!P11)</f>
      </c>
      <c r="Q11">
        <f>IF(ISBLANK('Data Entry'!Q11), "", 'Data Entry'!Q11)</f>
      </c>
      <c r="R11">
        <f>IF(ISBLANK('Data Entry'!R11), "", 'Data Entry'!R11)</f>
      </c>
      <c r="S11">
        <f>IF(ISBLANK('Data Entry'!S11), "", 'Data Entry'!S11)</f>
      </c>
      <c r="T11">
        <f>IF(ISBLANK('Data Entry'!T11), "", 'Data Entry'!T11)</f>
      </c>
      <c r="U11">
        <f>IF(ISBLANK('Data Entry'!U11), "", 'Data Entry'!U11)</f>
      </c>
      <c r="V11">
        <f>IF(ISBLANK('Data Entry'!V11), "", 'Data Entry'!V11)</f>
      </c>
      <c r="W11">
        <f>IF(ISBLANK('Data Entry'!W11), "", 'Data Entry'!W11)</f>
      </c>
      <c r="X11">
        <f>IF(ISBLANK('Data Entry'!X11), "", 'Data Entry'!X11)</f>
      </c>
      <c r="Y11">
        <f>IF(ISBLANK('Data Entry'!Y11), "", 'Data Entry'!Y11)</f>
      </c>
      <c r="Z11">
        <f>IF(ISBLANK('Data Entry'!Z11), "", 'Data Entry'!Z11)</f>
      </c>
      <c r="AA11">
        <f>IF(ISBLANK('Data Entry'![11), "", 'Data Entry'![11)</f>
      </c>
      <c r="AB11">
        <f>IF(ISBLANK('Data Entry'!\11), "", 'Data Entry'!\11)</f>
      </c>
      <c r="AC11">
        <f>IF(ISBLANK('Data Entry'!]11), "", 'Data Entry'!]11)</f>
      </c>
      <c r="AD11">
        <f>IF(ISBLANK('Data Entry'!^11), "", 'Data Entry'!^11)</f>
      </c>
      <c r="AE11">
        <f>IF(ISBLANK('Data Entry'!_11), "", 'Data Entry'!_11)</f>
      </c>
      <c r="AF11">
        <f>IF(ISBLANK('Data Entry'!`11), "", 'Data Entry'!`11)</f>
      </c>
      <c r="AG11">
        <f>IF(ISBLANK('Data Entry'!a11), "", 'Data Entry'!a11)</f>
      </c>
      <c r="AH11">
        <f>IF(ISBLANK('Data Entry'!b11), "", 'Data Entry'!b11)</f>
      </c>
      <c r="AI11">
        <f>IF(ISBLANK('Data Entry'!c11), "", 'Data Entry'!c11)</f>
      </c>
      <c r="AJ11">
        <f>IF(ISBLANK('Data Entry'!d11), "", 'Data Entry'!d11)</f>
      </c>
      <c r="AK11">
        <f>IF(ISBLANK('Data Entry'!e11), "", 'Data Entry'!e11)</f>
      </c>
      <c r="AL11">
        <f>IF(ISBLANK('Data Entry'!f11), "", 'Data Entry'!f11)</f>
      </c>
      <c r="AM11">
        <f>IF(ISBLANK('Data Entry'!g11), "", 'Data Entry'!g11)</f>
      </c>
      <c r="AN11">
        <f>IF(ISBLANK('Data Entry'!h11), "", 'Data Entry'!h11)</f>
      </c>
    </row>
    <row r="12" spans="1:40" x14ac:dyDescent="0.25">
      <c r="A12">
        <f>IF(ISBLANK('Data Entry'!A12), "", 'Data Entry'!A12)</f>
      </c>
      <c r="B12">
        <f>IF(ISBLANK('Data Entry'!B12), "", 'Data Entry'!B12)</f>
      </c>
      <c r="C12">
        <f>IF(ISBLANK('Data Entry'!C12), "", 'Data Entry'!C12)</f>
      </c>
      <c r="D12">
        <f>IF(ISBLANK('Data Entry'!D12), "", 'Data Entry'!D12)</f>
      </c>
      <c r="E12">
        <f>IF(ISBLANK('Data Entry'!E12), "", 'Data Entry'!E12)</f>
      </c>
      <c r="F12">
        <f>IF(ISBLANK('Data Entry'!F12), "", 'Data Entry'!F12)</f>
      </c>
      <c r="G12">
        <f>IF(ISBLANK('Data Entry'!G12), "", 'Data Entry'!G12)</f>
      </c>
      <c r="H12">
        <f>IF(ISBLANK('Data Entry'!H12), "", 'Data Entry'!H12)</f>
      </c>
      <c r="I12">
        <f>IF(ISBLANK('Data Entry'!I12), "", 'Data Entry'!I12)</f>
      </c>
      <c r="J12">
        <f>IF(ISBLANK('Data Entry'!J12), "", 'Data Entry'!J12)</f>
      </c>
      <c r="K12">
        <f>IF(ISBLANK('Data Entry'!K12), "", 'Data Entry'!K12)</f>
      </c>
      <c r="L12">
        <f>IF(ISBLANK('Data Entry'!L12), "", 'Data Entry'!L12)</f>
      </c>
      <c r="M12">
        <f>IF(ISBLANK('Data Entry'!M12), "", 'Data Entry'!M12)</f>
      </c>
      <c r="N12">
        <f>IF(ISBLANK('Data Entry'!N12), "", 'Data Entry'!N12)</f>
      </c>
      <c r="O12">
        <f>IF(ISBLANK('Data Entry'!O12), "", 'Data Entry'!O12)</f>
      </c>
      <c r="P12">
        <f>IF(ISBLANK('Data Entry'!P12), "", 'Data Entry'!P12)</f>
      </c>
      <c r="Q12">
        <f>IF(ISBLANK('Data Entry'!Q12), "", 'Data Entry'!Q12)</f>
      </c>
      <c r="R12">
        <f>IF(ISBLANK('Data Entry'!R12), "", 'Data Entry'!R12)</f>
      </c>
      <c r="S12">
        <f>IF(ISBLANK('Data Entry'!S12), "", 'Data Entry'!S12)</f>
      </c>
      <c r="T12">
        <f>IF(ISBLANK('Data Entry'!T12), "", 'Data Entry'!T12)</f>
      </c>
      <c r="U12">
        <f>IF(ISBLANK('Data Entry'!U12), "", 'Data Entry'!U12)</f>
      </c>
      <c r="V12">
        <f>IF(ISBLANK('Data Entry'!V12), "", 'Data Entry'!V12)</f>
      </c>
      <c r="W12">
        <f>IF(ISBLANK('Data Entry'!W12), "", 'Data Entry'!W12)</f>
      </c>
      <c r="X12">
        <f>IF(ISBLANK('Data Entry'!X12), "", 'Data Entry'!X12)</f>
      </c>
      <c r="Y12">
        <f>IF(ISBLANK('Data Entry'!Y12), "", 'Data Entry'!Y12)</f>
      </c>
      <c r="Z12">
        <f>IF(ISBLANK('Data Entry'!Z12), "", 'Data Entry'!Z12)</f>
      </c>
      <c r="AA12">
        <f>IF(ISBLANK('Data Entry'![12), "", 'Data Entry'![12)</f>
      </c>
      <c r="AB12">
        <f>IF(ISBLANK('Data Entry'!\12), "", 'Data Entry'!\12)</f>
      </c>
      <c r="AC12">
        <f>IF(ISBLANK('Data Entry'!]12), "", 'Data Entry'!]12)</f>
      </c>
      <c r="AD12">
        <f>IF(ISBLANK('Data Entry'!^12), "", 'Data Entry'!^12)</f>
      </c>
      <c r="AE12">
        <f>IF(ISBLANK('Data Entry'!_12), "", 'Data Entry'!_12)</f>
      </c>
      <c r="AF12">
        <f>IF(ISBLANK('Data Entry'!`12), "", 'Data Entry'!`12)</f>
      </c>
      <c r="AG12">
        <f>IF(ISBLANK('Data Entry'!a12), "", 'Data Entry'!a12)</f>
      </c>
      <c r="AH12">
        <f>IF(ISBLANK('Data Entry'!b12), "", 'Data Entry'!b12)</f>
      </c>
      <c r="AI12">
        <f>IF(ISBLANK('Data Entry'!c12), "", 'Data Entry'!c12)</f>
      </c>
      <c r="AJ12">
        <f>IF(ISBLANK('Data Entry'!d12), "", 'Data Entry'!d12)</f>
      </c>
      <c r="AK12">
        <f>IF(ISBLANK('Data Entry'!e12), "", 'Data Entry'!e12)</f>
      </c>
      <c r="AL12">
        <f>IF(ISBLANK('Data Entry'!f12), "", 'Data Entry'!f12)</f>
      </c>
      <c r="AM12">
        <f>IF(ISBLANK('Data Entry'!g12), "", 'Data Entry'!g12)</f>
      </c>
      <c r="AN12">
        <f>IF(ISBLANK('Data Entry'!h12), "", 'Data Entry'!h12)</f>
      </c>
    </row>
    <row r="13" spans="1:40" x14ac:dyDescent="0.25">
      <c r="A13">
        <f>IF(ISBLANK('Data Entry'!A13), "", 'Data Entry'!A13)</f>
      </c>
      <c r="B13">
        <f>IF(ISBLANK('Data Entry'!B13), "", 'Data Entry'!B13)</f>
      </c>
      <c r="C13">
        <f>IF(ISBLANK('Data Entry'!C13), "", 'Data Entry'!C13)</f>
      </c>
      <c r="D13">
        <f>IF(ISBLANK('Data Entry'!D13), "", 'Data Entry'!D13)</f>
      </c>
      <c r="E13">
        <f>IF(ISBLANK('Data Entry'!E13), "", 'Data Entry'!E13)</f>
      </c>
      <c r="F13">
        <f>IF(ISBLANK('Data Entry'!F13), "", 'Data Entry'!F13)</f>
      </c>
      <c r="G13">
        <f>IF(ISBLANK('Data Entry'!G13), "", 'Data Entry'!G13)</f>
      </c>
      <c r="H13">
        <f>IF(ISBLANK('Data Entry'!H13), "", 'Data Entry'!H13)</f>
      </c>
      <c r="I13">
        <f>IF(ISBLANK('Data Entry'!I13), "", 'Data Entry'!I13)</f>
      </c>
      <c r="J13">
        <f>IF(ISBLANK('Data Entry'!J13), "", 'Data Entry'!J13)</f>
      </c>
      <c r="K13">
        <f>IF(ISBLANK('Data Entry'!K13), "", 'Data Entry'!K13)</f>
      </c>
      <c r="L13">
        <f>IF(ISBLANK('Data Entry'!L13), "", 'Data Entry'!L13)</f>
      </c>
      <c r="M13">
        <f>IF(ISBLANK('Data Entry'!M13), "", 'Data Entry'!M13)</f>
      </c>
      <c r="N13">
        <f>IF(ISBLANK('Data Entry'!N13), "", 'Data Entry'!N13)</f>
      </c>
      <c r="O13">
        <f>IF(ISBLANK('Data Entry'!O13), "", 'Data Entry'!O13)</f>
      </c>
      <c r="P13">
        <f>IF(ISBLANK('Data Entry'!P13), "", 'Data Entry'!P13)</f>
      </c>
      <c r="Q13">
        <f>IF(ISBLANK('Data Entry'!Q13), "", 'Data Entry'!Q13)</f>
      </c>
      <c r="R13">
        <f>IF(ISBLANK('Data Entry'!R13), "", 'Data Entry'!R13)</f>
      </c>
      <c r="S13">
        <f>IF(ISBLANK('Data Entry'!S13), "", 'Data Entry'!S13)</f>
      </c>
      <c r="T13">
        <f>IF(ISBLANK('Data Entry'!T13), "", 'Data Entry'!T13)</f>
      </c>
      <c r="U13">
        <f>IF(ISBLANK('Data Entry'!U13), "", 'Data Entry'!U13)</f>
      </c>
      <c r="V13">
        <f>IF(ISBLANK('Data Entry'!V13), "", 'Data Entry'!V13)</f>
      </c>
      <c r="W13">
        <f>IF(ISBLANK('Data Entry'!W13), "", 'Data Entry'!W13)</f>
      </c>
      <c r="X13">
        <f>IF(ISBLANK('Data Entry'!X13), "", 'Data Entry'!X13)</f>
      </c>
      <c r="Y13">
        <f>IF(ISBLANK('Data Entry'!Y13), "", 'Data Entry'!Y13)</f>
      </c>
      <c r="Z13">
        <f>IF(ISBLANK('Data Entry'!Z13), "", 'Data Entry'!Z13)</f>
      </c>
      <c r="AA13">
        <f>IF(ISBLANK('Data Entry'![13), "", 'Data Entry'![13)</f>
      </c>
      <c r="AB13">
        <f>IF(ISBLANK('Data Entry'!\13), "", 'Data Entry'!\13)</f>
      </c>
      <c r="AC13">
        <f>IF(ISBLANK('Data Entry'!]13), "", 'Data Entry'!]13)</f>
      </c>
      <c r="AD13">
        <f>IF(ISBLANK('Data Entry'!^13), "", 'Data Entry'!^13)</f>
      </c>
      <c r="AE13">
        <f>IF(ISBLANK('Data Entry'!_13), "", 'Data Entry'!_13)</f>
      </c>
      <c r="AF13">
        <f>IF(ISBLANK('Data Entry'!`13), "", 'Data Entry'!`13)</f>
      </c>
      <c r="AG13">
        <f>IF(ISBLANK('Data Entry'!a13), "", 'Data Entry'!a13)</f>
      </c>
      <c r="AH13">
        <f>IF(ISBLANK('Data Entry'!b13), "", 'Data Entry'!b13)</f>
      </c>
      <c r="AI13">
        <f>IF(ISBLANK('Data Entry'!c13), "", 'Data Entry'!c13)</f>
      </c>
      <c r="AJ13">
        <f>IF(ISBLANK('Data Entry'!d13), "", 'Data Entry'!d13)</f>
      </c>
      <c r="AK13">
        <f>IF(ISBLANK('Data Entry'!e13), "", 'Data Entry'!e13)</f>
      </c>
      <c r="AL13">
        <f>IF(ISBLANK('Data Entry'!f13), "", 'Data Entry'!f13)</f>
      </c>
      <c r="AM13">
        <f>IF(ISBLANK('Data Entry'!g13), "", 'Data Entry'!g13)</f>
      </c>
      <c r="AN13">
        <f>IF(ISBLANK('Data Entry'!h13), "", 'Data Entry'!h13)</f>
      </c>
    </row>
    <row r="14" spans="1:40" x14ac:dyDescent="0.25">
      <c r="A14">
        <f>IF(ISBLANK('Data Entry'!A14), "", 'Data Entry'!A14)</f>
      </c>
      <c r="B14">
        <f>IF(ISBLANK('Data Entry'!B14), "", 'Data Entry'!B14)</f>
      </c>
      <c r="C14">
        <f>IF(ISBLANK('Data Entry'!C14), "", 'Data Entry'!C14)</f>
      </c>
      <c r="D14">
        <f>IF(ISBLANK('Data Entry'!D14), "", 'Data Entry'!D14)</f>
      </c>
      <c r="E14">
        <f>IF(ISBLANK('Data Entry'!E14), "", 'Data Entry'!E14)</f>
      </c>
      <c r="F14">
        <f>IF(ISBLANK('Data Entry'!F14), "", 'Data Entry'!F14)</f>
      </c>
      <c r="G14">
        <f>IF(ISBLANK('Data Entry'!G14), "", 'Data Entry'!G14)</f>
      </c>
      <c r="H14">
        <f>IF(ISBLANK('Data Entry'!H14), "", 'Data Entry'!H14)</f>
      </c>
      <c r="I14">
        <f>IF(ISBLANK('Data Entry'!I14), "", 'Data Entry'!I14)</f>
      </c>
      <c r="J14">
        <f>IF(ISBLANK('Data Entry'!J14), "", 'Data Entry'!J14)</f>
      </c>
      <c r="K14">
        <f>IF(ISBLANK('Data Entry'!K14), "", 'Data Entry'!K14)</f>
      </c>
      <c r="L14">
        <f>IF(ISBLANK('Data Entry'!L14), "", 'Data Entry'!L14)</f>
      </c>
      <c r="M14">
        <f>IF(ISBLANK('Data Entry'!M14), "", 'Data Entry'!M14)</f>
      </c>
      <c r="N14">
        <f>IF(ISBLANK('Data Entry'!N14), "", 'Data Entry'!N14)</f>
      </c>
      <c r="O14">
        <f>IF(ISBLANK('Data Entry'!O14), "", 'Data Entry'!O14)</f>
      </c>
      <c r="P14">
        <f>IF(ISBLANK('Data Entry'!P14), "", 'Data Entry'!P14)</f>
      </c>
      <c r="Q14">
        <f>IF(ISBLANK('Data Entry'!Q14), "", 'Data Entry'!Q14)</f>
      </c>
      <c r="R14">
        <f>IF(ISBLANK('Data Entry'!R14), "", 'Data Entry'!R14)</f>
      </c>
      <c r="S14">
        <f>IF(ISBLANK('Data Entry'!S14), "", 'Data Entry'!S14)</f>
      </c>
      <c r="T14">
        <f>IF(ISBLANK('Data Entry'!T14), "", 'Data Entry'!T14)</f>
      </c>
      <c r="U14">
        <f>IF(ISBLANK('Data Entry'!U14), "", 'Data Entry'!U14)</f>
      </c>
      <c r="V14">
        <f>IF(ISBLANK('Data Entry'!V14), "", 'Data Entry'!V14)</f>
      </c>
      <c r="W14">
        <f>IF(ISBLANK('Data Entry'!W14), "", 'Data Entry'!W14)</f>
      </c>
      <c r="X14">
        <f>IF(ISBLANK('Data Entry'!X14), "", 'Data Entry'!X14)</f>
      </c>
      <c r="Y14">
        <f>IF(ISBLANK('Data Entry'!Y14), "", 'Data Entry'!Y14)</f>
      </c>
      <c r="Z14">
        <f>IF(ISBLANK('Data Entry'!Z14), "", 'Data Entry'!Z14)</f>
      </c>
      <c r="AA14">
        <f>IF(ISBLANK('Data Entry'![14), "", 'Data Entry'![14)</f>
      </c>
      <c r="AB14">
        <f>IF(ISBLANK('Data Entry'!\14), "", 'Data Entry'!\14)</f>
      </c>
      <c r="AC14">
        <f>IF(ISBLANK('Data Entry'!]14), "", 'Data Entry'!]14)</f>
      </c>
      <c r="AD14">
        <f>IF(ISBLANK('Data Entry'!^14), "", 'Data Entry'!^14)</f>
      </c>
      <c r="AE14">
        <f>IF(ISBLANK('Data Entry'!_14), "", 'Data Entry'!_14)</f>
      </c>
      <c r="AF14">
        <f>IF(ISBLANK('Data Entry'!`14), "", 'Data Entry'!`14)</f>
      </c>
      <c r="AG14">
        <f>IF(ISBLANK('Data Entry'!a14), "", 'Data Entry'!a14)</f>
      </c>
      <c r="AH14">
        <f>IF(ISBLANK('Data Entry'!b14), "", 'Data Entry'!b14)</f>
      </c>
      <c r="AI14">
        <f>IF(ISBLANK('Data Entry'!c14), "", 'Data Entry'!c14)</f>
      </c>
      <c r="AJ14">
        <f>IF(ISBLANK('Data Entry'!d14), "", 'Data Entry'!d14)</f>
      </c>
      <c r="AK14">
        <f>IF(ISBLANK('Data Entry'!e14), "", 'Data Entry'!e14)</f>
      </c>
      <c r="AL14">
        <f>IF(ISBLANK('Data Entry'!f14), "", 'Data Entry'!f14)</f>
      </c>
      <c r="AM14">
        <f>IF(ISBLANK('Data Entry'!g14), "", 'Data Entry'!g14)</f>
      </c>
      <c r="AN14">
        <f>IF(ISBLANK('Data Entry'!h14), "", 'Data Entry'!h14)</f>
      </c>
    </row>
    <row r="15" spans="1:40" x14ac:dyDescent="0.25">
      <c r="A15">
        <f>IF(ISBLANK('Data Entry'!A15), "", 'Data Entry'!A15)</f>
      </c>
      <c r="B15">
        <f>IF(ISBLANK('Data Entry'!B15), "", 'Data Entry'!B15)</f>
      </c>
      <c r="C15">
        <f>IF(ISBLANK('Data Entry'!C15), "", 'Data Entry'!C15)</f>
      </c>
      <c r="D15">
        <f>IF(ISBLANK('Data Entry'!D15), "", 'Data Entry'!D15)</f>
      </c>
      <c r="E15">
        <f>IF(ISBLANK('Data Entry'!E15), "", 'Data Entry'!E15)</f>
      </c>
      <c r="F15">
        <f>IF(ISBLANK('Data Entry'!F15), "", 'Data Entry'!F15)</f>
      </c>
      <c r="G15">
        <f>IF(ISBLANK('Data Entry'!G15), "", 'Data Entry'!G15)</f>
      </c>
      <c r="H15">
        <f>IF(ISBLANK('Data Entry'!H15), "", 'Data Entry'!H15)</f>
      </c>
      <c r="I15">
        <f>IF(ISBLANK('Data Entry'!I15), "", 'Data Entry'!I15)</f>
      </c>
      <c r="J15">
        <f>IF(ISBLANK('Data Entry'!J15), "", 'Data Entry'!J15)</f>
      </c>
      <c r="K15">
        <f>IF(ISBLANK('Data Entry'!K15), "", 'Data Entry'!K15)</f>
      </c>
      <c r="L15">
        <f>IF(ISBLANK('Data Entry'!L15), "", 'Data Entry'!L15)</f>
      </c>
      <c r="M15">
        <f>IF(ISBLANK('Data Entry'!M15), "", 'Data Entry'!M15)</f>
      </c>
      <c r="N15">
        <f>IF(ISBLANK('Data Entry'!N15), "", 'Data Entry'!N15)</f>
      </c>
      <c r="O15">
        <f>IF(ISBLANK('Data Entry'!O15), "", 'Data Entry'!O15)</f>
      </c>
      <c r="P15">
        <f>IF(ISBLANK('Data Entry'!P15), "", 'Data Entry'!P15)</f>
      </c>
      <c r="Q15">
        <f>IF(ISBLANK('Data Entry'!Q15), "", 'Data Entry'!Q15)</f>
      </c>
      <c r="R15">
        <f>IF(ISBLANK('Data Entry'!R15), "", 'Data Entry'!R15)</f>
      </c>
      <c r="S15">
        <f>IF(ISBLANK('Data Entry'!S15), "", 'Data Entry'!S15)</f>
      </c>
      <c r="T15">
        <f>IF(ISBLANK('Data Entry'!T15), "", 'Data Entry'!T15)</f>
      </c>
      <c r="U15">
        <f>IF(ISBLANK('Data Entry'!U15), "", 'Data Entry'!U15)</f>
      </c>
      <c r="V15">
        <f>IF(ISBLANK('Data Entry'!V15), "", 'Data Entry'!V15)</f>
      </c>
      <c r="W15">
        <f>IF(ISBLANK('Data Entry'!W15), "", 'Data Entry'!W15)</f>
      </c>
      <c r="X15">
        <f>IF(ISBLANK('Data Entry'!X15), "", 'Data Entry'!X15)</f>
      </c>
      <c r="Y15">
        <f>IF(ISBLANK('Data Entry'!Y15), "", 'Data Entry'!Y15)</f>
      </c>
      <c r="Z15">
        <f>IF(ISBLANK('Data Entry'!Z15), "", 'Data Entry'!Z15)</f>
      </c>
      <c r="AA15">
        <f>IF(ISBLANK('Data Entry'![15), "", 'Data Entry'![15)</f>
      </c>
      <c r="AB15">
        <f>IF(ISBLANK('Data Entry'!\15), "", 'Data Entry'!\15)</f>
      </c>
      <c r="AC15">
        <f>IF(ISBLANK('Data Entry'!]15), "", 'Data Entry'!]15)</f>
      </c>
      <c r="AD15">
        <f>IF(ISBLANK('Data Entry'!^15), "", 'Data Entry'!^15)</f>
      </c>
      <c r="AE15">
        <f>IF(ISBLANK('Data Entry'!_15), "", 'Data Entry'!_15)</f>
      </c>
      <c r="AF15">
        <f>IF(ISBLANK('Data Entry'!`15), "", 'Data Entry'!`15)</f>
      </c>
      <c r="AG15">
        <f>IF(ISBLANK('Data Entry'!a15), "", 'Data Entry'!a15)</f>
      </c>
      <c r="AH15">
        <f>IF(ISBLANK('Data Entry'!b15), "", 'Data Entry'!b15)</f>
      </c>
      <c r="AI15">
        <f>IF(ISBLANK('Data Entry'!c15), "", 'Data Entry'!c15)</f>
      </c>
      <c r="AJ15">
        <f>IF(ISBLANK('Data Entry'!d15), "", 'Data Entry'!d15)</f>
      </c>
      <c r="AK15">
        <f>IF(ISBLANK('Data Entry'!e15), "", 'Data Entry'!e15)</f>
      </c>
      <c r="AL15">
        <f>IF(ISBLANK('Data Entry'!f15), "", 'Data Entry'!f15)</f>
      </c>
      <c r="AM15">
        <f>IF(ISBLANK('Data Entry'!g15), "", 'Data Entry'!g15)</f>
      </c>
      <c r="AN15">
        <f>IF(ISBLANK('Data Entry'!h15), "", 'Data Entry'!h15)</f>
      </c>
    </row>
    <row r="16" spans="1:40" x14ac:dyDescent="0.25">
      <c r="A16">
        <f>IF(ISBLANK('Data Entry'!A16), "", 'Data Entry'!A16)</f>
      </c>
      <c r="B16">
        <f>IF(ISBLANK('Data Entry'!B16), "", 'Data Entry'!B16)</f>
      </c>
      <c r="C16">
        <f>IF(ISBLANK('Data Entry'!C16), "", 'Data Entry'!C16)</f>
      </c>
      <c r="D16">
        <f>IF(ISBLANK('Data Entry'!D16), "", 'Data Entry'!D16)</f>
      </c>
      <c r="E16">
        <f>IF(ISBLANK('Data Entry'!E16), "", 'Data Entry'!E16)</f>
      </c>
      <c r="F16">
        <f>IF(ISBLANK('Data Entry'!F16), "", 'Data Entry'!F16)</f>
      </c>
      <c r="G16">
        <f>IF(ISBLANK('Data Entry'!G16), "", 'Data Entry'!G16)</f>
      </c>
      <c r="H16">
        <f>IF(ISBLANK('Data Entry'!H16), "", 'Data Entry'!H16)</f>
      </c>
      <c r="I16">
        <f>IF(ISBLANK('Data Entry'!I16), "", 'Data Entry'!I16)</f>
      </c>
      <c r="J16">
        <f>IF(ISBLANK('Data Entry'!J16), "", 'Data Entry'!J16)</f>
      </c>
      <c r="K16">
        <f>IF(ISBLANK('Data Entry'!K16), "", 'Data Entry'!K16)</f>
      </c>
      <c r="L16">
        <f>IF(ISBLANK('Data Entry'!L16), "", 'Data Entry'!L16)</f>
      </c>
      <c r="M16">
        <f>IF(ISBLANK('Data Entry'!M16), "", 'Data Entry'!M16)</f>
      </c>
      <c r="N16">
        <f>IF(ISBLANK('Data Entry'!N16), "", 'Data Entry'!N16)</f>
      </c>
      <c r="O16">
        <f>IF(ISBLANK('Data Entry'!O16), "", 'Data Entry'!O16)</f>
      </c>
      <c r="P16">
        <f>IF(ISBLANK('Data Entry'!P16), "", 'Data Entry'!P16)</f>
      </c>
      <c r="Q16">
        <f>IF(ISBLANK('Data Entry'!Q16), "", 'Data Entry'!Q16)</f>
      </c>
      <c r="R16">
        <f>IF(ISBLANK('Data Entry'!R16), "", 'Data Entry'!R16)</f>
      </c>
      <c r="S16">
        <f>IF(ISBLANK('Data Entry'!S16), "", 'Data Entry'!S16)</f>
      </c>
      <c r="T16">
        <f>IF(ISBLANK('Data Entry'!T16), "", 'Data Entry'!T16)</f>
      </c>
      <c r="U16">
        <f>IF(ISBLANK('Data Entry'!U16), "", 'Data Entry'!U16)</f>
      </c>
      <c r="V16">
        <f>IF(ISBLANK('Data Entry'!V16), "", 'Data Entry'!V16)</f>
      </c>
      <c r="W16">
        <f>IF(ISBLANK('Data Entry'!W16), "", 'Data Entry'!W16)</f>
      </c>
      <c r="X16">
        <f>IF(ISBLANK('Data Entry'!X16), "", 'Data Entry'!X16)</f>
      </c>
      <c r="Y16">
        <f>IF(ISBLANK('Data Entry'!Y16), "", 'Data Entry'!Y16)</f>
      </c>
      <c r="Z16">
        <f>IF(ISBLANK('Data Entry'!Z16), "", 'Data Entry'!Z16)</f>
      </c>
      <c r="AA16">
        <f>IF(ISBLANK('Data Entry'![16), "", 'Data Entry'![16)</f>
      </c>
      <c r="AB16">
        <f>IF(ISBLANK('Data Entry'!\16), "", 'Data Entry'!\16)</f>
      </c>
      <c r="AC16">
        <f>IF(ISBLANK('Data Entry'!]16), "", 'Data Entry'!]16)</f>
      </c>
      <c r="AD16">
        <f>IF(ISBLANK('Data Entry'!^16), "", 'Data Entry'!^16)</f>
      </c>
      <c r="AE16">
        <f>IF(ISBLANK('Data Entry'!_16), "", 'Data Entry'!_16)</f>
      </c>
      <c r="AF16">
        <f>IF(ISBLANK('Data Entry'!`16), "", 'Data Entry'!`16)</f>
      </c>
      <c r="AG16">
        <f>IF(ISBLANK('Data Entry'!a16), "", 'Data Entry'!a16)</f>
      </c>
      <c r="AH16">
        <f>IF(ISBLANK('Data Entry'!b16), "", 'Data Entry'!b16)</f>
      </c>
      <c r="AI16">
        <f>IF(ISBLANK('Data Entry'!c16), "", 'Data Entry'!c16)</f>
      </c>
      <c r="AJ16">
        <f>IF(ISBLANK('Data Entry'!d16), "", 'Data Entry'!d16)</f>
      </c>
      <c r="AK16">
        <f>IF(ISBLANK('Data Entry'!e16), "", 'Data Entry'!e16)</f>
      </c>
      <c r="AL16">
        <f>IF(ISBLANK('Data Entry'!f16), "", 'Data Entry'!f16)</f>
      </c>
      <c r="AM16">
        <f>IF(ISBLANK('Data Entry'!g16), "", 'Data Entry'!g16)</f>
      </c>
      <c r="AN16">
        <f>IF(ISBLANK('Data Entry'!h16), "", 'Data Entry'!h16)</f>
      </c>
    </row>
    <row r="17" spans="1:40" x14ac:dyDescent="0.25">
      <c r="A17">
        <f>IF(ISBLANK('Data Entry'!A17), "", 'Data Entry'!A17)</f>
      </c>
      <c r="B17">
        <f>IF(ISBLANK('Data Entry'!B17), "", 'Data Entry'!B17)</f>
      </c>
      <c r="C17">
        <f>IF(ISBLANK('Data Entry'!C17), "", 'Data Entry'!C17)</f>
      </c>
      <c r="D17">
        <f>IF(ISBLANK('Data Entry'!D17), "", 'Data Entry'!D17)</f>
      </c>
      <c r="E17">
        <f>IF(ISBLANK('Data Entry'!E17), "", 'Data Entry'!E17)</f>
      </c>
      <c r="F17">
        <f>IF(ISBLANK('Data Entry'!F17), "", 'Data Entry'!F17)</f>
      </c>
      <c r="G17">
        <f>IF(ISBLANK('Data Entry'!G17), "", 'Data Entry'!G17)</f>
      </c>
      <c r="H17">
        <f>IF(ISBLANK('Data Entry'!H17), "", 'Data Entry'!H17)</f>
      </c>
      <c r="I17">
        <f>IF(ISBLANK('Data Entry'!I17), "", 'Data Entry'!I17)</f>
      </c>
      <c r="J17">
        <f>IF(ISBLANK('Data Entry'!J17), "", 'Data Entry'!J17)</f>
      </c>
      <c r="K17">
        <f>IF(ISBLANK('Data Entry'!K17), "", 'Data Entry'!K17)</f>
      </c>
      <c r="L17">
        <f>IF(ISBLANK('Data Entry'!L17), "", 'Data Entry'!L17)</f>
      </c>
      <c r="M17">
        <f>IF(ISBLANK('Data Entry'!M17), "", 'Data Entry'!M17)</f>
      </c>
      <c r="N17">
        <f>IF(ISBLANK('Data Entry'!N17), "", 'Data Entry'!N17)</f>
      </c>
      <c r="O17">
        <f>IF(ISBLANK('Data Entry'!O17), "", 'Data Entry'!O17)</f>
      </c>
      <c r="P17">
        <f>IF(ISBLANK('Data Entry'!P17), "", 'Data Entry'!P17)</f>
      </c>
      <c r="Q17">
        <f>IF(ISBLANK('Data Entry'!Q17), "", 'Data Entry'!Q17)</f>
      </c>
      <c r="R17">
        <f>IF(ISBLANK('Data Entry'!R17), "", 'Data Entry'!R17)</f>
      </c>
      <c r="S17">
        <f>IF(ISBLANK('Data Entry'!S17), "", 'Data Entry'!S17)</f>
      </c>
      <c r="T17">
        <f>IF(ISBLANK('Data Entry'!T17), "", 'Data Entry'!T17)</f>
      </c>
      <c r="U17">
        <f>IF(ISBLANK('Data Entry'!U17), "", 'Data Entry'!U17)</f>
      </c>
      <c r="V17">
        <f>IF(ISBLANK('Data Entry'!V17), "", 'Data Entry'!V17)</f>
      </c>
      <c r="W17">
        <f>IF(ISBLANK('Data Entry'!W17), "", 'Data Entry'!W17)</f>
      </c>
      <c r="X17">
        <f>IF(ISBLANK('Data Entry'!X17), "", 'Data Entry'!X17)</f>
      </c>
      <c r="Y17">
        <f>IF(ISBLANK('Data Entry'!Y17), "", 'Data Entry'!Y17)</f>
      </c>
      <c r="Z17">
        <f>IF(ISBLANK('Data Entry'!Z17), "", 'Data Entry'!Z17)</f>
      </c>
      <c r="AA17">
        <f>IF(ISBLANK('Data Entry'![17), "", 'Data Entry'![17)</f>
      </c>
      <c r="AB17">
        <f>IF(ISBLANK('Data Entry'!\17), "", 'Data Entry'!\17)</f>
      </c>
      <c r="AC17">
        <f>IF(ISBLANK('Data Entry'!]17), "", 'Data Entry'!]17)</f>
      </c>
      <c r="AD17">
        <f>IF(ISBLANK('Data Entry'!^17), "", 'Data Entry'!^17)</f>
      </c>
      <c r="AE17">
        <f>IF(ISBLANK('Data Entry'!_17), "", 'Data Entry'!_17)</f>
      </c>
      <c r="AF17">
        <f>IF(ISBLANK('Data Entry'!`17), "", 'Data Entry'!`17)</f>
      </c>
      <c r="AG17">
        <f>IF(ISBLANK('Data Entry'!a17), "", 'Data Entry'!a17)</f>
      </c>
      <c r="AH17">
        <f>IF(ISBLANK('Data Entry'!b17), "", 'Data Entry'!b17)</f>
      </c>
      <c r="AI17">
        <f>IF(ISBLANK('Data Entry'!c17), "", 'Data Entry'!c17)</f>
      </c>
      <c r="AJ17">
        <f>IF(ISBLANK('Data Entry'!d17), "", 'Data Entry'!d17)</f>
      </c>
      <c r="AK17">
        <f>IF(ISBLANK('Data Entry'!e17), "", 'Data Entry'!e17)</f>
      </c>
      <c r="AL17">
        <f>IF(ISBLANK('Data Entry'!f17), "", 'Data Entry'!f17)</f>
      </c>
      <c r="AM17">
        <f>IF(ISBLANK('Data Entry'!g17), "", 'Data Entry'!g17)</f>
      </c>
      <c r="AN17">
        <f>IF(ISBLANK('Data Entry'!h17), "", 'Data Entry'!h17)</f>
      </c>
    </row>
    <row r="18" spans="1:40" x14ac:dyDescent="0.25">
      <c r="A18">
        <f>IF(ISBLANK('Data Entry'!A18), "", 'Data Entry'!A18)</f>
      </c>
      <c r="B18">
        <f>IF(ISBLANK('Data Entry'!B18), "", 'Data Entry'!B18)</f>
      </c>
      <c r="C18">
        <f>IF(ISBLANK('Data Entry'!C18), "", 'Data Entry'!C18)</f>
      </c>
      <c r="D18">
        <f>IF(ISBLANK('Data Entry'!D18), "", 'Data Entry'!D18)</f>
      </c>
      <c r="E18">
        <f>IF(ISBLANK('Data Entry'!E18), "", 'Data Entry'!E18)</f>
      </c>
      <c r="F18">
        <f>IF(ISBLANK('Data Entry'!F18), "", 'Data Entry'!F18)</f>
      </c>
      <c r="G18">
        <f>IF(ISBLANK('Data Entry'!G18), "", 'Data Entry'!G18)</f>
      </c>
      <c r="H18">
        <f>IF(ISBLANK('Data Entry'!H18), "", 'Data Entry'!H18)</f>
      </c>
      <c r="I18">
        <f>IF(ISBLANK('Data Entry'!I18), "", 'Data Entry'!I18)</f>
      </c>
      <c r="J18">
        <f>IF(ISBLANK('Data Entry'!J18), "", 'Data Entry'!J18)</f>
      </c>
      <c r="K18">
        <f>IF(ISBLANK('Data Entry'!K18), "", 'Data Entry'!K18)</f>
      </c>
      <c r="L18">
        <f>IF(ISBLANK('Data Entry'!L18), "", 'Data Entry'!L18)</f>
      </c>
      <c r="M18">
        <f>IF(ISBLANK('Data Entry'!M18), "", 'Data Entry'!M18)</f>
      </c>
      <c r="N18">
        <f>IF(ISBLANK('Data Entry'!N18), "", 'Data Entry'!N18)</f>
      </c>
      <c r="O18">
        <f>IF(ISBLANK('Data Entry'!O18), "", 'Data Entry'!O18)</f>
      </c>
      <c r="P18">
        <f>IF(ISBLANK('Data Entry'!P18), "", 'Data Entry'!P18)</f>
      </c>
      <c r="Q18">
        <f>IF(ISBLANK('Data Entry'!Q18), "", 'Data Entry'!Q18)</f>
      </c>
      <c r="R18">
        <f>IF(ISBLANK('Data Entry'!R18), "", 'Data Entry'!R18)</f>
      </c>
      <c r="S18">
        <f>IF(ISBLANK('Data Entry'!S18), "", 'Data Entry'!S18)</f>
      </c>
      <c r="T18">
        <f>IF(ISBLANK('Data Entry'!T18), "", 'Data Entry'!T18)</f>
      </c>
      <c r="U18">
        <f>IF(ISBLANK('Data Entry'!U18), "", 'Data Entry'!U18)</f>
      </c>
      <c r="V18">
        <f>IF(ISBLANK('Data Entry'!V18), "", 'Data Entry'!V18)</f>
      </c>
      <c r="W18">
        <f>IF(ISBLANK('Data Entry'!W18), "", 'Data Entry'!W18)</f>
      </c>
      <c r="X18">
        <f>IF(ISBLANK('Data Entry'!X18), "", 'Data Entry'!X18)</f>
      </c>
      <c r="Y18">
        <f>IF(ISBLANK('Data Entry'!Y18), "", 'Data Entry'!Y18)</f>
      </c>
      <c r="Z18">
        <f>IF(ISBLANK('Data Entry'!Z18), "", 'Data Entry'!Z18)</f>
      </c>
      <c r="AA18">
        <f>IF(ISBLANK('Data Entry'![18), "", 'Data Entry'![18)</f>
      </c>
      <c r="AB18">
        <f>IF(ISBLANK('Data Entry'!\18), "", 'Data Entry'!\18)</f>
      </c>
      <c r="AC18">
        <f>IF(ISBLANK('Data Entry'!]18), "", 'Data Entry'!]18)</f>
      </c>
      <c r="AD18">
        <f>IF(ISBLANK('Data Entry'!^18), "", 'Data Entry'!^18)</f>
      </c>
      <c r="AE18">
        <f>IF(ISBLANK('Data Entry'!_18), "", 'Data Entry'!_18)</f>
      </c>
      <c r="AF18">
        <f>IF(ISBLANK('Data Entry'!`18), "", 'Data Entry'!`18)</f>
      </c>
      <c r="AG18">
        <f>IF(ISBLANK('Data Entry'!a18), "", 'Data Entry'!a18)</f>
      </c>
      <c r="AH18">
        <f>IF(ISBLANK('Data Entry'!b18), "", 'Data Entry'!b18)</f>
      </c>
      <c r="AI18">
        <f>IF(ISBLANK('Data Entry'!c18), "", 'Data Entry'!c18)</f>
      </c>
      <c r="AJ18">
        <f>IF(ISBLANK('Data Entry'!d18), "", 'Data Entry'!d18)</f>
      </c>
      <c r="AK18">
        <f>IF(ISBLANK('Data Entry'!e18), "", 'Data Entry'!e18)</f>
      </c>
      <c r="AL18">
        <f>IF(ISBLANK('Data Entry'!f18), "", 'Data Entry'!f18)</f>
      </c>
      <c r="AM18">
        <f>IF(ISBLANK('Data Entry'!g18), "", 'Data Entry'!g18)</f>
      </c>
      <c r="AN18">
        <f>IF(ISBLANK('Data Entry'!h18), "", 'Data Entry'!h18)</f>
      </c>
    </row>
    <row r="19" spans="1:40" x14ac:dyDescent="0.25">
      <c r="A19">
        <f>IF(ISBLANK('Data Entry'!A19), "", 'Data Entry'!A19)</f>
      </c>
      <c r="B19">
        <f>IF(ISBLANK('Data Entry'!B19), "", 'Data Entry'!B19)</f>
      </c>
      <c r="C19">
        <f>IF(ISBLANK('Data Entry'!C19), "", 'Data Entry'!C19)</f>
      </c>
      <c r="D19">
        <f>IF(ISBLANK('Data Entry'!D19), "", 'Data Entry'!D19)</f>
      </c>
      <c r="E19">
        <f>IF(ISBLANK('Data Entry'!E19), "", 'Data Entry'!E19)</f>
      </c>
      <c r="F19">
        <f>IF(ISBLANK('Data Entry'!F19), "", 'Data Entry'!F19)</f>
      </c>
      <c r="G19">
        <f>IF(ISBLANK('Data Entry'!G19), "", 'Data Entry'!G19)</f>
      </c>
      <c r="H19">
        <f>IF(ISBLANK('Data Entry'!H19), "", 'Data Entry'!H19)</f>
      </c>
      <c r="I19">
        <f>IF(ISBLANK('Data Entry'!I19), "", 'Data Entry'!I19)</f>
      </c>
      <c r="J19">
        <f>IF(ISBLANK('Data Entry'!J19), "", 'Data Entry'!J19)</f>
      </c>
      <c r="K19">
        <f>IF(ISBLANK('Data Entry'!K19), "", 'Data Entry'!K19)</f>
      </c>
      <c r="L19">
        <f>IF(ISBLANK('Data Entry'!L19), "", 'Data Entry'!L19)</f>
      </c>
      <c r="M19">
        <f>IF(ISBLANK('Data Entry'!M19), "", 'Data Entry'!M19)</f>
      </c>
      <c r="N19">
        <f>IF(ISBLANK('Data Entry'!N19), "", 'Data Entry'!N19)</f>
      </c>
      <c r="O19">
        <f>IF(ISBLANK('Data Entry'!O19), "", 'Data Entry'!O19)</f>
      </c>
      <c r="P19">
        <f>IF(ISBLANK('Data Entry'!P19), "", 'Data Entry'!P19)</f>
      </c>
      <c r="Q19">
        <f>IF(ISBLANK('Data Entry'!Q19), "", 'Data Entry'!Q19)</f>
      </c>
      <c r="R19">
        <f>IF(ISBLANK('Data Entry'!R19), "", 'Data Entry'!R19)</f>
      </c>
      <c r="S19">
        <f>IF(ISBLANK('Data Entry'!S19), "", 'Data Entry'!S19)</f>
      </c>
      <c r="T19">
        <f>IF(ISBLANK('Data Entry'!T19), "", 'Data Entry'!T19)</f>
      </c>
      <c r="U19">
        <f>IF(ISBLANK('Data Entry'!U19), "", 'Data Entry'!U19)</f>
      </c>
      <c r="V19">
        <f>IF(ISBLANK('Data Entry'!V19), "", 'Data Entry'!V19)</f>
      </c>
      <c r="W19">
        <f>IF(ISBLANK('Data Entry'!W19), "", 'Data Entry'!W19)</f>
      </c>
      <c r="X19">
        <f>IF(ISBLANK('Data Entry'!X19), "", 'Data Entry'!X19)</f>
      </c>
      <c r="Y19">
        <f>IF(ISBLANK('Data Entry'!Y19), "", 'Data Entry'!Y19)</f>
      </c>
      <c r="Z19">
        <f>IF(ISBLANK('Data Entry'!Z19), "", 'Data Entry'!Z19)</f>
      </c>
      <c r="AA19">
        <f>IF(ISBLANK('Data Entry'![19), "", 'Data Entry'![19)</f>
      </c>
      <c r="AB19">
        <f>IF(ISBLANK('Data Entry'!\19), "", 'Data Entry'!\19)</f>
      </c>
      <c r="AC19">
        <f>IF(ISBLANK('Data Entry'!]19), "", 'Data Entry'!]19)</f>
      </c>
      <c r="AD19">
        <f>IF(ISBLANK('Data Entry'!^19), "", 'Data Entry'!^19)</f>
      </c>
      <c r="AE19">
        <f>IF(ISBLANK('Data Entry'!_19), "", 'Data Entry'!_19)</f>
      </c>
      <c r="AF19">
        <f>IF(ISBLANK('Data Entry'!`19), "", 'Data Entry'!`19)</f>
      </c>
      <c r="AG19">
        <f>IF(ISBLANK('Data Entry'!a19), "", 'Data Entry'!a19)</f>
      </c>
      <c r="AH19">
        <f>IF(ISBLANK('Data Entry'!b19), "", 'Data Entry'!b19)</f>
      </c>
      <c r="AI19">
        <f>IF(ISBLANK('Data Entry'!c19), "", 'Data Entry'!c19)</f>
      </c>
      <c r="AJ19">
        <f>IF(ISBLANK('Data Entry'!d19), "", 'Data Entry'!d19)</f>
      </c>
      <c r="AK19">
        <f>IF(ISBLANK('Data Entry'!e19), "", 'Data Entry'!e19)</f>
      </c>
      <c r="AL19">
        <f>IF(ISBLANK('Data Entry'!f19), "", 'Data Entry'!f19)</f>
      </c>
      <c r="AM19">
        <f>IF(ISBLANK('Data Entry'!g19), "", 'Data Entry'!g19)</f>
      </c>
      <c r="AN19">
        <f>IF(ISBLANK('Data Entry'!h19), "", 'Data Entry'!h19)</f>
      </c>
    </row>
    <row r="20" spans="1:40" x14ac:dyDescent="0.25">
      <c r="A20">
        <f>IF(ISBLANK('Data Entry'!A20), "", 'Data Entry'!A20)</f>
      </c>
      <c r="B20">
        <f>IF(ISBLANK('Data Entry'!B20), "", 'Data Entry'!B20)</f>
      </c>
      <c r="C20">
        <f>IF(ISBLANK('Data Entry'!C20), "", 'Data Entry'!C20)</f>
      </c>
      <c r="D20">
        <f>IF(ISBLANK('Data Entry'!D20), "", 'Data Entry'!D20)</f>
      </c>
      <c r="E20">
        <f>IF(ISBLANK('Data Entry'!E20), "", 'Data Entry'!E20)</f>
      </c>
      <c r="F20">
        <f>IF(ISBLANK('Data Entry'!F20), "", 'Data Entry'!F20)</f>
      </c>
      <c r="G20">
        <f>IF(ISBLANK('Data Entry'!G20), "", 'Data Entry'!G20)</f>
      </c>
      <c r="H20">
        <f>IF(ISBLANK('Data Entry'!H20), "", 'Data Entry'!H20)</f>
      </c>
      <c r="I20">
        <f>IF(ISBLANK('Data Entry'!I20), "", 'Data Entry'!I20)</f>
      </c>
      <c r="J20">
        <f>IF(ISBLANK('Data Entry'!J20), "", 'Data Entry'!J20)</f>
      </c>
      <c r="K20">
        <f>IF(ISBLANK('Data Entry'!K20), "", 'Data Entry'!K20)</f>
      </c>
      <c r="L20">
        <f>IF(ISBLANK('Data Entry'!L20), "", 'Data Entry'!L20)</f>
      </c>
      <c r="M20">
        <f>IF(ISBLANK('Data Entry'!M20), "", 'Data Entry'!M20)</f>
      </c>
      <c r="N20">
        <f>IF(ISBLANK('Data Entry'!N20), "", 'Data Entry'!N20)</f>
      </c>
      <c r="O20">
        <f>IF(ISBLANK('Data Entry'!O20), "", 'Data Entry'!O20)</f>
      </c>
      <c r="P20">
        <f>IF(ISBLANK('Data Entry'!P20), "", 'Data Entry'!P20)</f>
      </c>
      <c r="Q20">
        <f>IF(ISBLANK('Data Entry'!Q20), "", 'Data Entry'!Q20)</f>
      </c>
      <c r="R20">
        <f>IF(ISBLANK('Data Entry'!R20), "", 'Data Entry'!R20)</f>
      </c>
      <c r="S20">
        <f>IF(ISBLANK('Data Entry'!S20), "", 'Data Entry'!S20)</f>
      </c>
      <c r="T20">
        <f>IF(ISBLANK('Data Entry'!T20), "", 'Data Entry'!T20)</f>
      </c>
      <c r="U20">
        <f>IF(ISBLANK('Data Entry'!U20), "", 'Data Entry'!U20)</f>
      </c>
      <c r="V20">
        <f>IF(ISBLANK('Data Entry'!V20), "", 'Data Entry'!V20)</f>
      </c>
      <c r="W20">
        <f>IF(ISBLANK('Data Entry'!W20), "", 'Data Entry'!W20)</f>
      </c>
      <c r="X20">
        <f>IF(ISBLANK('Data Entry'!X20), "", 'Data Entry'!X20)</f>
      </c>
      <c r="Y20">
        <f>IF(ISBLANK('Data Entry'!Y20), "", 'Data Entry'!Y20)</f>
      </c>
      <c r="Z20">
        <f>IF(ISBLANK('Data Entry'!Z20), "", 'Data Entry'!Z20)</f>
      </c>
      <c r="AA20">
        <f>IF(ISBLANK('Data Entry'![20), "", 'Data Entry'![20)</f>
      </c>
      <c r="AB20">
        <f>IF(ISBLANK('Data Entry'!\20), "", 'Data Entry'!\20)</f>
      </c>
      <c r="AC20">
        <f>IF(ISBLANK('Data Entry'!]20), "", 'Data Entry'!]20)</f>
      </c>
      <c r="AD20">
        <f>IF(ISBLANK('Data Entry'!^20), "", 'Data Entry'!^20)</f>
      </c>
      <c r="AE20">
        <f>IF(ISBLANK('Data Entry'!_20), "", 'Data Entry'!_20)</f>
      </c>
      <c r="AF20">
        <f>IF(ISBLANK('Data Entry'!`20), "", 'Data Entry'!`20)</f>
      </c>
      <c r="AG20">
        <f>IF(ISBLANK('Data Entry'!a20), "", 'Data Entry'!a20)</f>
      </c>
      <c r="AH20">
        <f>IF(ISBLANK('Data Entry'!b20), "", 'Data Entry'!b20)</f>
      </c>
      <c r="AI20">
        <f>IF(ISBLANK('Data Entry'!c20), "", 'Data Entry'!c20)</f>
      </c>
      <c r="AJ20">
        <f>IF(ISBLANK('Data Entry'!d20), "", 'Data Entry'!d20)</f>
      </c>
      <c r="AK20">
        <f>IF(ISBLANK('Data Entry'!e20), "", 'Data Entry'!e20)</f>
      </c>
      <c r="AL20">
        <f>IF(ISBLANK('Data Entry'!f20), "", 'Data Entry'!f20)</f>
      </c>
      <c r="AM20">
        <f>IF(ISBLANK('Data Entry'!g20), "", 'Data Entry'!g20)</f>
      </c>
      <c r="AN20">
        <f>IF(ISBLANK('Data Entry'!h20), "", 'Data Entry'!h20)</f>
      </c>
    </row>
    <row r="21" spans="1:40" x14ac:dyDescent="0.25">
      <c r="A21">
        <f>IF(ISBLANK('Data Entry'!A21), "", 'Data Entry'!A21)</f>
      </c>
      <c r="B21">
        <f>IF(ISBLANK('Data Entry'!B21), "", 'Data Entry'!B21)</f>
      </c>
      <c r="C21">
        <f>IF(ISBLANK('Data Entry'!C21), "", 'Data Entry'!C21)</f>
      </c>
      <c r="D21">
        <f>IF(ISBLANK('Data Entry'!D21), "", 'Data Entry'!D21)</f>
      </c>
      <c r="E21">
        <f>IF(ISBLANK('Data Entry'!E21), "", 'Data Entry'!E21)</f>
      </c>
      <c r="F21">
        <f>IF(ISBLANK('Data Entry'!F21), "", 'Data Entry'!F21)</f>
      </c>
      <c r="G21">
        <f>IF(ISBLANK('Data Entry'!G21), "", 'Data Entry'!G21)</f>
      </c>
      <c r="H21">
        <f>IF(ISBLANK('Data Entry'!H21), "", 'Data Entry'!H21)</f>
      </c>
      <c r="I21">
        <f>IF(ISBLANK('Data Entry'!I21), "", 'Data Entry'!I21)</f>
      </c>
      <c r="J21">
        <f>IF(ISBLANK('Data Entry'!J21), "", 'Data Entry'!J21)</f>
      </c>
      <c r="K21">
        <f>IF(ISBLANK('Data Entry'!K21), "", 'Data Entry'!K21)</f>
      </c>
      <c r="L21">
        <f>IF(ISBLANK('Data Entry'!L21), "", 'Data Entry'!L21)</f>
      </c>
      <c r="M21">
        <f>IF(ISBLANK('Data Entry'!M21), "", 'Data Entry'!M21)</f>
      </c>
      <c r="N21">
        <f>IF(ISBLANK('Data Entry'!N21), "", 'Data Entry'!N21)</f>
      </c>
      <c r="O21">
        <f>IF(ISBLANK('Data Entry'!O21), "", 'Data Entry'!O21)</f>
      </c>
      <c r="P21">
        <f>IF(ISBLANK('Data Entry'!P21), "", 'Data Entry'!P21)</f>
      </c>
      <c r="Q21">
        <f>IF(ISBLANK('Data Entry'!Q21), "", 'Data Entry'!Q21)</f>
      </c>
      <c r="R21">
        <f>IF(ISBLANK('Data Entry'!R21), "", 'Data Entry'!R21)</f>
      </c>
      <c r="S21">
        <f>IF(ISBLANK('Data Entry'!S21), "", 'Data Entry'!S21)</f>
      </c>
      <c r="T21">
        <f>IF(ISBLANK('Data Entry'!T21), "", 'Data Entry'!T21)</f>
      </c>
      <c r="U21">
        <f>IF(ISBLANK('Data Entry'!U21), "", 'Data Entry'!U21)</f>
      </c>
      <c r="V21">
        <f>IF(ISBLANK('Data Entry'!V21), "", 'Data Entry'!V21)</f>
      </c>
      <c r="W21">
        <f>IF(ISBLANK('Data Entry'!W21), "", 'Data Entry'!W21)</f>
      </c>
      <c r="X21">
        <f>IF(ISBLANK('Data Entry'!X21), "", 'Data Entry'!X21)</f>
      </c>
      <c r="Y21">
        <f>IF(ISBLANK('Data Entry'!Y21), "", 'Data Entry'!Y21)</f>
      </c>
      <c r="Z21">
        <f>IF(ISBLANK('Data Entry'!Z21), "", 'Data Entry'!Z21)</f>
      </c>
      <c r="AA21">
        <f>IF(ISBLANK('Data Entry'![21), "", 'Data Entry'![21)</f>
      </c>
      <c r="AB21">
        <f>IF(ISBLANK('Data Entry'!\21), "", 'Data Entry'!\21)</f>
      </c>
      <c r="AC21">
        <f>IF(ISBLANK('Data Entry'!]21), "", 'Data Entry'!]21)</f>
      </c>
      <c r="AD21">
        <f>IF(ISBLANK('Data Entry'!^21), "", 'Data Entry'!^21)</f>
      </c>
      <c r="AE21">
        <f>IF(ISBLANK('Data Entry'!_21), "", 'Data Entry'!_21)</f>
      </c>
      <c r="AF21">
        <f>IF(ISBLANK('Data Entry'!`21), "", 'Data Entry'!`21)</f>
      </c>
      <c r="AG21">
        <f>IF(ISBLANK('Data Entry'!a21), "", 'Data Entry'!a21)</f>
      </c>
      <c r="AH21">
        <f>IF(ISBLANK('Data Entry'!b21), "", 'Data Entry'!b21)</f>
      </c>
      <c r="AI21">
        <f>IF(ISBLANK('Data Entry'!c21), "", 'Data Entry'!c21)</f>
      </c>
      <c r="AJ21">
        <f>IF(ISBLANK('Data Entry'!d21), "", 'Data Entry'!d21)</f>
      </c>
      <c r="AK21">
        <f>IF(ISBLANK('Data Entry'!e21), "", 'Data Entry'!e21)</f>
      </c>
      <c r="AL21">
        <f>IF(ISBLANK('Data Entry'!f21), "", 'Data Entry'!f21)</f>
      </c>
      <c r="AM21">
        <f>IF(ISBLANK('Data Entry'!g21), "", 'Data Entry'!g21)</f>
      </c>
      <c r="AN21">
        <f>IF(ISBLANK('Data Entry'!h21), "", 'Data Entry'!h21)</f>
      </c>
    </row>
    <row r="22" spans="1:40" x14ac:dyDescent="0.25">
      <c r="A22">
        <f>IF(ISBLANK('Data Entry'!A22), "", 'Data Entry'!A22)</f>
      </c>
      <c r="B22">
        <f>IF(ISBLANK('Data Entry'!B22), "", 'Data Entry'!B22)</f>
      </c>
      <c r="C22">
        <f>IF(ISBLANK('Data Entry'!C22), "", 'Data Entry'!C22)</f>
      </c>
      <c r="D22">
        <f>IF(ISBLANK('Data Entry'!D22), "", 'Data Entry'!D22)</f>
      </c>
      <c r="E22">
        <f>IF(ISBLANK('Data Entry'!E22), "", 'Data Entry'!E22)</f>
      </c>
      <c r="F22">
        <f>IF(ISBLANK('Data Entry'!F22), "", 'Data Entry'!F22)</f>
      </c>
      <c r="G22">
        <f>IF(ISBLANK('Data Entry'!G22), "", 'Data Entry'!G22)</f>
      </c>
      <c r="H22">
        <f>IF(ISBLANK('Data Entry'!H22), "", 'Data Entry'!H22)</f>
      </c>
      <c r="I22">
        <f>IF(ISBLANK('Data Entry'!I22), "", 'Data Entry'!I22)</f>
      </c>
      <c r="J22">
        <f>IF(ISBLANK('Data Entry'!J22), "", 'Data Entry'!J22)</f>
      </c>
      <c r="K22">
        <f>IF(ISBLANK('Data Entry'!K22), "", 'Data Entry'!K22)</f>
      </c>
      <c r="L22">
        <f>IF(ISBLANK('Data Entry'!L22), "", 'Data Entry'!L22)</f>
      </c>
      <c r="M22">
        <f>IF(ISBLANK('Data Entry'!M22), "", 'Data Entry'!M22)</f>
      </c>
      <c r="N22">
        <f>IF(ISBLANK('Data Entry'!N22), "", 'Data Entry'!N22)</f>
      </c>
      <c r="O22">
        <f>IF(ISBLANK('Data Entry'!O22), "", 'Data Entry'!O22)</f>
      </c>
      <c r="P22">
        <f>IF(ISBLANK('Data Entry'!P22), "", 'Data Entry'!P22)</f>
      </c>
      <c r="Q22">
        <f>IF(ISBLANK('Data Entry'!Q22), "", 'Data Entry'!Q22)</f>
      </c>
      <c r="R22">
        <f>IF(ISBLANK('Data Entry'!R22), "", 'Data Entry'!R22)</f>
      </c>
      <c r="S22">
        <f>IF(ISBLANK('Data Entry'!S22), "", 'Data Entry'!S22)</f>
      </c>
      <c r="T22">
        <f>IF(ISBLANK('Data Entry'!T22), "", 'Data Entry'!T22)</f>
      </c>
      <c r="U22">
        <f>IF(ISBLANK('Data Entry'!U22), "", 'Data Entry'!U22)</f>
      </c>
      <c r="V22">
        <f>IF(ISBLANK('Data Entry'!V22), "", 'Data Entry'!V22)</f>
      </c>
      <c r="W22">
        <f>IF(ISBLANK('Data Entry'!W22), "", 'Data Entry'!W22)</f>
      </c>
      <c r="X22">
        <f>IF(ISBLANK('Data Entry'!X22), "", 'Data Entry'!X22)</f>
      </c>
      <c r="Y22">
        <f>IF(ISBLANK('Data Entry'!Y22), "", 'Data Entry'!Y22)</f>
      </c>
      <c r="Z22">
        <f>IF(ISBLANK('Data Entry'!Z22), "", 'Data Entry'!Z22)</f>
      </c>
      <c r="AA22">
        <f>IF(ISBLANK('Data Entry'![22), "", 'Data Entry'![22)</f>
      </c>
      <c r="AB22">
        <f>IF(ISBLANK('Data Entry'!\22), "", 'Data Entry'!\22)</f>
      </c>
      <c r="AC22">
        <f>IF(ISBLANK('Data Entry'!]22), "", 'Data Entry'!]22)</f>
      </c>
      <c r="AD22">
        <f>IF(ISBLANK('Data Entry'!^22), "", 'Data Entry'!^22)</f>
      </c>
      <c r="AE22">
        <f>IF(ISBLANK('Data Entry'!_22), "", 'Data Entry'!_22)</f>
      </c>
      <c r="AF22">
        <f>IF(ISBLANK('Data Entry'!`22), "", 'Data Entry'!`22)</f>
      </c>
      <c r="AG22">
        <f>IF(ISBLANK('Data Entry'!a22), "", 'Data Entry'!a22)</f>
      </c>
      <c r="AH22">
        <f>IF(ISBLANK('Data Entry'!b22), "", 'Data Entry'!b22)</f>
      </c>
      <c r="AI22">
        <f>IF(ISBLANK('Data Entry'!c22), "", 'Data Entry'!c22)</f>
      </c>
      <c r="AJ22">
        <f>IF(ISBLANK('Data Entry'!d22), "", 'Data Entry'!d22)</f>
      </c>
      <c r="AK22">
        <f>IF(ISBLANK('Data Entry'!e22), "", 'Data Entry'!e22)</f>
      </c>
      <c r="AL22">
        <f>IF(ISBLANK('Data Entry'!f22), "", 'Data Entry'!f22)</f>
      </c>
      <c r="AM22">
        <f>IF(ISBLANK('Data Entry'!g22), "", 'Data Entry'!g22)</f>
      </c>
      <c r="AN22">
        <f>IF(ISBLANK('Data Entry'!h22), "", 'Data Entry'!h22)</f>
      </c>
    </row>
    <row r="23" spans="1:40" x14ac:dyDescent="0.25">
      <c r="A23">
        <f>IF(ISBLANK('Data Entry'!A23), "", 'Data Entry'!A23)</f>
      </c>
      <c r="B23">
        <f>IF(ISBLANK('Data Entry'!B23), "", 'Data Entry'!B23)</f>
      </c>
      <c r="C23">
        <f>IF(ISBLANK('Data Entry'!C23), "", 'Data Entry'!C23)</f>
      </c>
      <c r="D23">
        <f>IF(ISBLANK('Data Entry'!D23), "", 'Data Entry'!D23)</f>
      </c>
      <c r="E23">
        <f>IF(ISBLANK('Data Entry'!E23), "", 'Data Entry'!E23)</f>
      </c>
      <c r="F23">
        <f>IF(ISBLANK('Data Entry'!F23), "", 'Data Entry'!F23)</f>
      </c>
      <c r="G23">
        <f>IF(ISBLANK('Data Entry'!G23), "", 'Data Entry'!G23)</f>
      </c>
      <c r="H23">
        <f>IF(ISBLANK('Data Entry'!H23), "", 'Data Entry'!H23)</f>
      </c>
      <c r="I23">
        <f>IF(ISBLANK('Data Entry'!I23), "", 'Data Entry'!I23)</f>
      </c>
      <c r="J23">
        <f>IF(ISBLANK('Data Entry'!J23), "", 'Data Entry'!J23)</f>
      </c>
      <c r="K23">
        <f>IF(ISBLANK('Data Entry'!K23), "", 'Data Entry'!K23)</f>
      </c>
      <c r="L23">
        <f>IF(ISBLANK('Data Entry'!L23), "", 'Data Entry'!L23)</f>
      </c>
      <c r="M23">
        <f>IF(ISBLANK('Data Entry'!M23), "", 'Data Entry'!M23)</f>
      </c>
      <c r="N23">
        <f>IF(ISBLANK('Data Entry'!N23), "", 'Data Entry'!N23)</f>
      </c>
      <c r="O23">
        <f>IF(ISBLANK('Data Entry'!O23), "", 'Data Entry'!O23)</f>
      </c>
      <c r="P23">
        <f>IF(ISBLANK('Data Entry'!P23), "", 'Data Entry'!P23)</f>
      </c>
      <c r="Q23">
        <f>IF(ISBLANK('Data Entry'!Q23), "", 'Data Entry'!Q23)</f>
      </c>
      <c r="R23">
        <f>IF(ISBLANK('Data Entry'!R23), "", 'Data Entry'!R23)</f>
      </c>
      <c r="S23">
        <f>IF(ISBLANK('Data Entry'!S23), "", 'Data Entry'!S23)</f>
      </c>
      <c r="T23">
        <f>IF(ISBLANK('Data Entry'!T23), "", 'Data Entry'!T23)</f>
      </c>
      <c r="U23">
        <f>IF(ISBLANK('Data Entry'!U23), "", 'Data Entry'!U23)</f>
      </c>
      <c r="V23">
        <f>IF(ISBLANK('Data Entry'!V23), "", 'Data Entry'!V23)</f>
      </c>
      <c r="W23">
        <f>IF(ISBLANK('Data Entry'!W23), "", 'Data Entry'!W23)</f>
      </c>
      <c r="X23">
        <f>IF(ISBLANK('Data Entry'!X23), "", 'Data Entry'!X23)</f>
      </c>
      <c r="Y23">
        <f>IF(ISBLANK('Data Entry'!Y23), "", 'Data Entry'!Y23)</f>
      </c>
      <c r="Z23">
        <f>IF(ISBLANK('Data Entry'!Z23), "", 'Data Entry'!Z23)</f>
      </c>
      <c r="AA23">
        <f>IF(ISBLANK('Data Entry'![23), "", 'Data Entry'![23)</f>
      </c>
      <c r="AB23">
        <f>IF(ISBLANK('Data Entry'!\23), "", 'Data Entry'!\23)</f>
      </c>
      <c r="AC23">
        <f>IF(ISBLANK('Data Entry'!]23), "", 'Data Entry'!]23)</f>
      </c>
      <c r="AD23">
        <f>IF(ISBLANK('Data Entry'!^23), "", 'Data Entry'!^23)</f>
      </c>
      <c r="AE23">
        <f>IF(ISBLANK('Data Entry'!_23), "", 'Data Entry'!_23)</f>
      </c>
      <c r="AF23">
        <f>IF(ISBLANK('Data Entry'!`23), "", 'Data Entry'!`23)</f>
      </c>
      <c r="AG23">
        <f>IF(ISBLANK('Data Entry'!a23), "", 'Data Entry'!a23)</f>
      </c>
      <c r="AH23">
        <f>IF(ISBLANK('Data Entry'!b23), "", 'Data Entry'!b23)</f>
      </c>
      <c r="AI23">
        <f>IF(ISBLANK('Data Entry'!c23), "", 'Data Entry'!c23)</f>
      </c>
      <c r="AJ23">
        <f>IF(ISBLANK('Data Entry'!d23), "", 'Data Entry'!d23)</f>
      </c>
      <c r="AK23">
        <f>IF(ISBLANK('Data Entry'!e23), "", 'Data Entry'!e23)</f>
      </c>
      <c r="AL23">
        <f>IF(ISBLANK('Data Entry'!f23), "", 'Data Entry'!f23)</f>
      </c>
      <c r="AM23">
        <f>IF(ISBLANK('Data Entry'!g23), "", 'Data Entry'!g23)</f>
      </c>
      <c r="AN23">
        <f>IF(ISBLANK('Data Entry'!h23), "", 'Data Entry'!h23)</f>
      </c>
    </row>
    <row r="24" spans="1:40" x14ac:dyDescent="0.25">
      <c r="A24">
        <f>IF(ISBLANK('Data Entry'!A24), "", 'Data Entry'!A24)</f>
      </c>
      <c r="B24">
        <f>IF(ISBLANK('Data Entry'!B24), "", 'Data Entry'!B24)</f>
      </c>
      <c r="C24">
        <f>IF(ISBLANK('Data Entry'!C24), "", 'Data Entry'!C24)</f>
      </c>
      <c r="D24">
        <f>IF(ISBLANK('Data Entry'!D24), "", 'Data Entry'!D24)</f>
      </c>
      <c r="E24">
        <f>IF(ISBLANK('Data Entry'!E24), "", 'Data Entry'!E24)</f>
      </c>
      <c r="F24">
        <f>IF(ISBLANK('Data Entry'!F24), "", 'Data Entry'!F24)</f>
      </c>
      <c r="G24">
        <f>IF(ISBLANK('Data Entry'!G24), "", 'Data Entry'!G24)</f>
      </c>
      <c r="H24">
        <f>IF(ISBLANK('Data Entry'!H24), "", 'Data Entry'!H24)</f>
      </c>
      <c r="I24">
        <f>IF(ISBLANK('Data Entry'!I24), "", 'Data Entry'!I24)</f>
      </c>
      <c r="J24">
        <f>IF(ISBLANK('Data Entry'!J24), "", 'Data Entry'!J24)</f>
      </c>
      <c r="K24">
        <f>IF(ISBLANK('Data Entry'!K24), "", 'Data Entry'!K24)</f>
      </c>
      <c r="L24">
        <f>IF(ISBLANK('Data Entry'!L24), "", 'Data Entry'!L24)</f>
      </c>
      <c r="M24">
        <f>IF(ISBLANK('Data Entry'!M24), "", 'Data Entry'!M24)</f>
      </c>
      <c r="N24">
        <f>IF(ISBLANK('Data Entry'!N24), "", 'Data Entry'!N24)</f>
      </c>
      <c r="O24">
        <f>IF(ISBLANK('Data Entry'!O24), "", 'Data Entry'!O24)</f>
      </c>
      <c r="P24">
        <f>IF(ISBLANK('Data Entry'!P24), "", 'Data Entry'!P24)</f>
      </c>
      <c r="Q24">
        <f>IF(ISBLANK('Data Entry'!Q24), "", 'Data Entry'!Q24)</f>
      </c>
      <c r="R24">
        <f>IF(ISBLANK('Data Entry'!R24), "", 'Data Entry'!R24)</f>
      </c>
      <c r="S24">
        <f>IF(ISBLANK('Data Entry'!S24), "", 'Data Entry'!S24)</f>
      </c>
      <c r="T24">
        <f>IF(ISBLANK('Data Entry'!T24), "", 'Data Entry'!T24)</f>
      </c>
      <c r="U24">
        <f>IF(ISBLANK('Data Entry'!U24), "", 'Data Entry'!U24)</f>
      </c>
      <c r="V24">
        <f>IF(ISBLANK('Data Entry'!V24), "", 'Data Entry'!V24)</f>
      </c>
      <c r="W24">
        <f>IF(ISBLANK('Data Entry'!W24), "", 'Data Entry'!W24)</f>
      </c>
      <c r="X24">
        <f>IF(ISBLANK('Data Entry'!X24), "", 'Data Entry'!X24)</f>
      </c>
      <c r="Y24">
        <f>IF(ISBLANK('Data Entry'!Y24), "", 'Data Entry'!Y24)</f>
      </c>
      <c r="Z24">
        <f>IF(ISBLANK('Data Entry'!Z24), "", 'Data Entry'!Z24)</f>
      </c>
      <c r="AA24">
        <f>IF(ISBLANK('Data Entry'![24), "", 'Data Entry'![24)</f>
      </c>
      <c r="AB24">
        <f>IF(ISBLANK('Data Entry'!\24), "", 'Data Entry'!\24)</f>
      </c>
      <c r="AC24">
        <f>IF(ISBLANK('Data Entry'!]24), "", 'Data Entry'!]24)</f>
      </c>
      <c r="AD24">
        <f>IF(ISBLANK('Data Entry'!^24), "", 'Data Entry'!^24)</f>
      </c>
      <c r="AE24">
        <f>IF(ISBLANK('Data Entry'!_24), "", 'Data Entry'!_24)</f>
      </c>
      <c r="AF24">
        <f>IF(ISBLANK('Data Entry'!`24), "", 'Data Entry'!`24)</f>
      </c>
      <c r="AG24">
        <f>IF(ISBLANK('Data Entry'!a24), "", 'Data Entry'!a24)</f>
      </c>
      <c r="AH24">
        <f>IF(ISBLANK('Data Entry'!b24), "", 'Data Entry'!b24)</f>
      </c>
      <c r="AI24">
        <f>IF(ISBLANK('Data Entry'!c24), "", 'Data Entry'!c24)</f>
      </c>
      <c r="AJ24">
        <f>IF(ISBLANK('Data Entry'!d24), "", 'Data Entry'!d24)</f>
      </c>
      <c r="AK24">
        <f>IF(ISBLANK('Data Entry'!e24), "", 'Data Entry'!e24)</f>
      </c>
      <c r="AL24">
        <f>IF(ISBLANK('Data Entry'!f24), "", 'Data Entry'!f24)</f>
      </c>
      <c r="AM24">
        <f>IF(ISBLANK('Data Entry'!g24), "", 'Data Entry'!g24)</f>
      </c>
      <c r="AN24">
        <f>IF(ISBLANK('Data Entry'!h24), "", 'Data Entry'!h24)</f>
      </c>
    </row>
    <row r="25" spans="1:40" x14ac:dyDescent="0.25">
      <c r="A25">
        <f>IF(ISBLANK('Data Entry'!A25), "", 'Data Entry'!A25)</f>
      </c>
      <c r="B25">
        <f>IF(ISBLANK('Data Entry'!B25), "", 'Data Entry'!B25)</f>
      </c>
      <c r="C25">
        <f>IF(ISBLANK('Data Entry'!C25), "", 'Data Entry'!C25)</f>
      </c>
      <c r="D25">
        <f>IF(ISBLANK('Data Entry'!D25), "", 'Data Entry'!D25)</f>
      </c>
      <c r="E25">
        <f>IF(ISBLANK('Data Entry'!E25), "", 'Data Entry'!E25)</f>
      </c>
      <c r="F25">
        <f>IF(ISBLANK('Data Entry'!F25), "", 'Data Entry'!F25)</f>
      </c>
      <c r="G25">
        <f>IF(ISBLANK('Data Entry'!G25), "", 'Data Entry'!G25)</f>
      </c>
      <c r="H25">
        <f>IF(ISBLANK('Data Entry'!H25), "", 'Data Entry'!H25)</f>
      </c>
      <c r="I25">
        <f>IF(ISBLANK('Data Entry'!I25), "", 'Data Entry'!I25)</f>
      </c>
      <c r="J25">
        <f>IF(ISBLANK('Data Entry'!J25), "", 'Data Entry'!J25)</f>
      </c>
      <c r="K25">
        <f>IF(ISBLANK('Data Entry'!K25), "", 'Data Entry'!K25)</f>
      </c>
      <c r="L25">
        <f>IF(ISBLANK('Data Entry'!L25), "", 'Data Entry'!L25)</f>
      </c>
      <c r="M25">
        <f>IF(ISBLANK('Data Entry'!M25), "", 'Data Entry'!M25)</f>
      </c>
      <c r="N25">
        <f>IF(ISBLANK('Data Entry'!N25), "", 'Data Entry'!N25)</f>
      </c>
      <c r="O25">
        <f>IF(ISBLANK('Data Entry'!O25), "", 'Data Entry'!O25)</f>
      </c>
      <c r="P25">
        <f>IF(ISBLANK('Data Entry'!P25), "", 'Data Entry'!P25)</f>
      </c>
      <c r="Q25">
        <f>IF(ISBLANK('Data Entry'!Q25), "", 'Data Entry'!Q25)</f>
      </c>
      <c r="R25">
        <f>IF(ISBLANK('Data Entry'!R25), "", 'Data Entry'!R25)</f>
      </c>
      <c r="S25">
        <f>IF(ISBLANK('Data Entry'!S25), "", 'Data Entry'!S25)</f>
      </c>
      <c r="T25">
        <f>IF(ISBLANK('Data Entry'!T25), "", 'Data Entry'!T25)</f>
      </c>
      <c r="U25">
        <f>IF(ISBLANK('Data Entry'!U25), "", 'Data Entry'!U25)</f>
      </c>
      <c r="V25">
        <f>IF(ISBLANK('Data Entry'!V25), "", 'Data Entry'!V25)</f>
      </c>
      <c r="W25">
        <f>IF(ISBLANK('Data Entry'!W25), "", 'Data Entry'!W25)</f>
      </c>
      <c r="X25">
        <f>IF(ISBLANK('Data Entry'!X25), "", 'Data Entry'!X25)</f>
      </c>
      <c r="Y25">
        <f>IF(ISBLANK('Data Entry'!Y25), "", 'Data Entry'!Y25)</f>
      </c>
      <c r="Z25">
        <f>IF(ISBLANK('Data Entry'!Z25), "", 'Data Entry'!Z25)</f>
      </c>
      <c r="AA25">
        <f>IF(ISBLANK('Data Entry'![25), "", 'Data Entry'![25)</f>
      </c>
      <c r="AB25">
        <f>IF(ISBLANK('Data Entry'!\25), "", 'Data Entry'!\25)</f>
      </c>
      <c r="AC25">
        <f>IF(ISBLANK('Data Entry'!]25), "", 'Data Entry'!]25)</f>
      </c>
      <c r="AD25">
        <f>IF(ISBLANK('Data Entry'!^25), "", 'Data Entry'!^25)</f>
      </c>
      <c r="AE25">
        <f>IF(ISBLANK('Data Entry'!_25), "", 'Data Entry'!_25)</f>
      </c>
      <c r="AF25">
        <f>IF(ISBLANK('Data Entry'!`25), "", 'Data Entry'!`25)</f>
      </c>
      <c r="AG25">
        <f>IF(ISBLANK('Data Entry'!a25), "", 'Data Entry'!a25)</f>
      </c>
      <c r="AH25">
        <f>IF(ISBLANK('Data Entry'!b25), "", 'Data Entry'!b25)</f>
      </c>
      <c r="AI25">
        <f>IF(ISBLANK('Data Entry'!c25), "", 'Data Entry'!c25)</f>
      </c>
      <c r="AJ25">
        <f>IF(ISBLANK('Data Entry'!d25), "", 'Data Entry'!d25)</f>
      </c>
      <c r="AK25">
        <f>IF(ISBLANK('Data Entry'!e25), "", 'Data Entry'!e25)</f>
      </c>
      <c r="AL25">
        <f>IF(ISBLANK('Data Entry'!f25), "", 'Data Entry'!f25)</f>
      </c>
      <c r="AM25">
        <f>IF(ISBLANK('Data Entry'!g25), "", 'Data Entry'!g25)</f>
      </c>
      <c r="AN25">
        <f>IF(ISBLANK('Data Entry'!h25), "", 'Data Entry'!h25)</f>
      </c>
    </row>
    <row r="26" spans="1:40" x14ac:dyDescent="0.25">
      <c r="A26">
        <f>IF(ISBLANK('Data Entry'!A26), "", 'Data Entry'!A26)</f>
      </c>
      <c r="B26">
        <f>IF(ISBLANK('Data Entry'!B26), "", 'Data Entry'!B26)</f>
      </c>
      <c r="C26">
        <f>IF(ISBLANK('Data Entry'!C26), "", 'Data Entry'!C26)</f>
      </c>
      <c r="D26">
        <f>IF(ISBLANK('Data Entry'!D26), "", 'Data Entry'!D26)</f>
      </c>
      <c r="E26">
        <f>IF(ISBLANK('Data Entry'!E26), "", 'Data Entry'!E26)</f>
      </c>
      <c r="F26">
        <f>IF(ISBLANK('Data Entry'!F26), "", 'Data Entry'!F26)</f>
      </c>
      <c r="G26">
        <f>IF(ISBLANK('Data Entry'!G26), "", 'Data Entry'!G26)</f>
      </c>
      <c r="H26">
        <f>IF(ISBLANK('Data Entry'!H26), "", 'Data Entry'!H26)</f>
      </c>
      <c r="I26">
        <f>IF(ISBLANK('Data Entry'!I26), "", 'Data Entry'!I26)</f>
      </c>
      <c r="J26">
        <f>IF(ISBLANK('Data Entry'!J26), "", 'Data Entry'!J26)</f>
      </c>
      <c r="K26">
        <f>IF(ISBLANK('Data Entry'!K26), "", 'Data Entry'!K26)</f>
      </c>
      <c r="L26">
        <f>IF(ISBLANK('Data Entry'!L26), "", 'Data Entry'!L26)</f>
      </c>
      <c r="M26">
        <f>IF(ISBLANK('Data Entry'!M26), "", 'Data Entry'!M26)</f>
      </c>
      <c r="N26">
        <f>IF(ISBLANK('Data Entry'!N26), "", 'Data Entry'!N26)</f>
      </c>
      <c r="O26">
        <f>IF(ISBLANK('Data Entry'!O26), "", 'Data Entry'!O26)</f>
      </c>
      <c r="P26">
        <f>IF(ISBLANK('Data Entry'!P26), "", 'Data Entry'!P26)</f>
      </c>
      <c r="Q26">
        <f>IF(ISBLANK('Data Entry'!Q26), "", 'Data Entry'!Q26)</f>
      </c>
      <c r="R26">
        <f>IF(ISBLANK('Data Entry'!R26), "", 'Data Entry'!R26)</f>
      </c>
      <c r="S26">
        <f>IF(ISBLANK('Data Entry'!S26), "", 'Data Entry'!S26)</f>
      </c>
      <c r="T26">
        <f>IF(ISBLANK('Data Entry'!T26), "", 'Data Entry'!T26)</f>
      </c>
      <c r="U26">
        <f>IF(ISBLANK('Data Entry'!U26), "", 'Data Entry'!U26)</f>
      </c>
      <c r="V26">
        <f>IF(ISBLANK('Data Entry'!V26), "", 'Data Entry'!V26)</f>
      </c>
      <c r="W26">
        <f>IF(ISBLANK('Data Entry'!W26), "", 'Data Entry'!W26)</f>
      </c>
      <c r="X26">
        <f>IF(ISBLANK('Data Entry'!X26), "", 'Data Entry'!X26)</f>
      </c>
      <c r="Y26">
        <f>IF(ISBLANK('Data Entry'!Y26), "", 'Data Entry'!Y26)</f>
      </c>
      <c r="Z26">
        <f>IF(ISBLANK('Data Entry'!Z26), "", 'Data Entry'!Z26)</f>
      </c>
      <c r="AA26">
        <f>IF(ISBLANK('Data Entry'![26), "", 'Data Entry'![26)</f>
      </c>
      <c r="AB26">
        <f>IF(ISBLANK('Data Entry'!\26), "", 'Data Entry'!\26)</f>
      </c>
      <c r="AC26">
        <f>IF(ISBLANK('Data Entry'!]26), "", 'Data Entry'!]26)</f>
      </c>
      <c r="AD26">
        <f>IF(ISBLANK('Data Entry'!^26), "", 'Data Entry'!^26)</f>
      </c>
      <c r="AE26">
        <f>IF(ISBLANK('Data Entry'!_26), "", 'Data Entry'!_26)</f>
      </c>
      <c r="AF26">
        <f>IF(ISBLANK('Data Entry'!`26), "", 'Data Entry'!`26)</f>
      </c>
      <c r="AG26">
        <f>IF(ISBLANK('Data Entry'!a26), "", 'Data Entry'!a26)</f>
      </c>
      <c r="AH26">
        <f>IF(ISBLANK('Data Entry'!b26), "", 'Data Entry'!b26)</f>
      </c>
      <c r="AI26">
        <f>IF(ISBLANK('Data Entry'!c26), "", 'Data Entry'!c26)</f>
      </c>
      <c r="AJ26">
        <f>IF(ISBLANK('Data Entry'!d26), "", 'Data Entry'!d26)</f>
      </c>
      <c r="AK26">
        <f>IF(ISBLANK('Data Entry'!e26), "", 'Data Entry'!e26)</f>
      </c>
      <c r="AL26">
        <f>IF(ISBLANK('Data Entry'!f26), "", 'Data Entry'!f26)</f>
      </c>
      <c r="AM26">
        <f>IF(ISBLANK('Data Entry'!g26), "", 'Data Entry'!g26)</f>
      </c>
      <c r="AN26">
        <f>IF(ISBLANK('Data Entry'!h26), "", 'Data Entry'!h26)</f>
      </c>
    </row>
    <row r="27" spans="1:40" x14ac:dyDescent="0.25">
      <c r="A27">
        <f>IF(ISBLANK('Data Entry'!A27), "", 'Data Entry'!A27)</f>
      </c>
      <c r="B27">
        <f>IF(ISBLANK('Data Entry'!B27), "", 'Data Entry'!B27)</f>
      </c>
      <c r="C27">
        <f>IF(ISBLANK('Data Entry'!C27), "", 'Data Entry'!C27)</f>
      </c>
      <c r="D27">
        <f>IF(ISBLANK('Data Entry'!D27), "", 'Data Entry'!D27)</f>
      </c>
      <c r="E27">
        <f>IF(ISBLANK('Data Entry'!E27), "", 'Data Entry'!E27)</f>
      </c>
      <c r="F27">
        <f>IF(ISBLANK('Data Entry'!F27), "", 'Data Entry'!F27)</f>
      </c>
      <c r="G27">
        <f>IF(ISBLANK('Data Entry'!G27), "", 'Data Entry'!G27)</f>
      </c>
      <c r="H27">
        <f>IF(ISBLANK('Data Entry'!H27), "", 'Data Entry'!H27)</f>
      </c>
      <c r="I27">
        <f>IF(ISBLANK('Data Entry'!I27), "", 'Data Entry'!I27)</f>
      </c>
      <c r="J27">
        <f>IF(ISBLANK('Data Entry'!J27), "", 'Data Entry'!J27)</f>
      </c>
      <c r="K27">
        <f>IF(ISBLANK('Data Entry'!K27), "", 'Data Entry'!K27)</f>
      </c>
      <c r="L27">
        <f>IF(ISBLANK('Data Entry'!L27), "", 'Data Entry'!L27)</f>
      </c>
      <c r="M27">
        <f>IF(ISBLANK('Data Entry'!M27), "", 'Data Entry'!M27)</f>
      </c>
      <c r="N27">
        <f>IF(ISBLANK('Data Entry'!N27), "", 'Data Entry'!N27)</f>
      </c>
      <c r="O27">
        <f>IF(ISBLANK('Data Entry'!O27), "", 'Data Entry'!O27)</f>
      </c>
      <c r="P27">
        <f>IF(ISBLANK('Data Entry'!P27), "", 'Data Entry'!P27)</f>
      </c>
      <c r="Q27">
        <f>IF(ISBLANK('Data Entry'!Q27), "", 'Data Entry'!Q27)</f>
      </c>
      <c r="R27">
        <f>IF(ISBLANK('Data Entry'!R27), "", 'Data Entry'!R27)</f>
      </c>
      <c r="S27">
        <f>IF(ISBLANK('Data Entry'!S27), "", 'Data Entry'!S27)</f>
      </c>
      <c r="T27">
        <f>IF(ISBLANK('Data Entry'!T27), "", 'Data Entry'!T27)</f>
      </c>
      <c r="U27">
        <f>IF(ISBLANK('Data Entry'!U27), "", 'Data Entry'!U27)</f>
      </c>
      <c r="V27">
        <f>IF(ISBLANK('Data Entry'!V27), "", 'Data Entry'!V27)</f>
      </c>
      <c r="W27">
        <f>IF(ISBLANK('Data Entry'!W27), "", 'Data Entry'!W27)</f>
      </c>
      <c r="X27">
        <f>IF(ISBLANK('Data Entry'!X27), "", 'Data Entry'!X27)</f>
      </c>
      <c r="Y27">
        <f>IF(ISBLANK('Data Entry'!Y27), "", 'Data Entry'!Y27)</f>
      </c>
      <c r="Z27">
        <f>IF(ISBLANK('Data Entry'!Z27), "", 'Data Entry'!Z27)</f>
      </c>
      <c r="AA27">
        <f>IF(ISBLANK('Data Entry'![27), "", 'Data Entry'![27)</f>
      </c>
      <c r="AB27">
        <f>IF(ISBLANK('Data Entry'!\27), "", 'Data Entry'!\27)</f>
      </c>
      <c r="AC27">
        <f>IF(ISBLANK('Data Entry'!]27), "", 'Data Entry'!]27)</f>
      </c>
      <c r="AD27">
        <f>IF(ISBLANK('Data Entry'!^27), "", 'Data Entry'!^27)</f>
      </c>
      <c r="AE27">
        <f>IF(ISBLANK('Data Entry'!_27), "", 'Data Entry'!_27)</f>
      </c>
      <c r="AF27">
        <f>IF(ISBLANK('Data Entry'!`27), "", 'Data Entry'!`27)</f>
      </c>
      <c r="AG27">
        <f>IF(ISBLANK('Data Entry'!a27), "", 'Data Entry'!a27)</f>
      </c>
      <c r="AH27">
        <f>IF(ISBLANK('Data Entry'!b27), "", 'Data Entry'!b27)</f>
      </c>
      <c r="AI27">
        <f>IF(ISBLANK('Data Entry'!c27), "", 'Data Entry'!c27)</f>
      </c>
      <c r="AJ27">
        <f>IF(ISBLANK('Data Entry'!d27), "", 'Data Entry'!d27)</f>
      </c>
      <c r="AK27">
        <f>IF(ISBLANK('Data Entry'!e27), "", 'Data Entry'!e27)</f>
      </c>
      <c r="AL27">
        <f>IF(ISBLANK('Data Entry'!f27), "", 'Data Entry'!f27)</f>
      </c>
      <c r="AM27">
        <f>IF(ISBLANK('Data Entry'!g27), "", 'Data Entry'!g27)</f>
      </c>
      <c r="AN27">
        <f>IF(ISBLANK('Data Entry'!h27), "", 'Data Entry'!h27)</f>
      </c>
    </row>
    <row r="28" spans="1:40" x14ac:dyDescent="0.25">
      <c r="A28">
        <f>IF(ISBLANK('Data Entry'!A28), "", 'Data Entry'!A28)</f>
      </c>
      <c r="B28">
        <f>IF(ISBLANK('Data Entry'!B28), "", 'Data Entry'!B28)</f>
      </c>
      <c r="C28">
        <f>IF(ISBLANK('Data Entry'!C28), "", 'Data Entry'!C28)</f>
      </c>
      <c r="D28">
        <f>IF(ISBLANK('Data Entry'!D28), "", 'Data Entry'!D28)</f>
      </c>
      <c r="E28">
        <f>IF(ISBLANK('Data Entry'!E28), "", 'Data Entry'!E28)</f>
      </c>
      <c r="F28">
        <f>IF(ISBLANK('Data Entry'!F28), "", 'Data Entry'!F28)</f>
      </c>
      <c r="G28">
        <f>IF(ISBLANK('Data Entry'!G28), "", 'Data Entry'!G28)</f>
      </c>
      <c r="H28">
        <f>IF(ISBLANK('Data Entry'!H28), "", 'Data Entry'!H28)</f>
      </c>
      <c r="I28">
        <f>IF(ISBLANK('Data Entry'!I28), "", 'Data Entry'!I28)</f>
      </c>
      <c r="J28">
        <f>IF(ISBLANK('Data Entry'!J28), "", 'Data Entry'!J28)</f>
      </c>
      <c r="K28">
        <f>IF(ISBLANK('Data Entry'!K28), "", 'Data Entry'!K28)</f>
      </c>
      <c r="L28">
        <f>IF(ISBLANK('Data Entry'!L28), "", 'Data Entry'!L28)</f>
      </c>
      <c r="M28">
        <f>IF(ISBLANK('Data Entry'!M28), "", 'Data Entry'!M28)</f>
      </c>
      <c r="N28">
        <f>IF(ISBLANK('Data Entry'!N28), "", 'Data Entry'!N28)</f>
      </c>
      <c r="O28">
        <f>IF(ISBLANK('Data Entry'!O28), "", 'Data Entry'!O28)</f>
      </c>
      <c r="P28">
        <f>IF(ISBLANK('Data Entry'!P28), "", 'Data Entry'!P28)</f>
      </c>
      <c r="Q28">
        <f>IF(ISBLANK('Data Entry'!Q28), "", 'Data Entry'!Q28)</f>
      </c>
      <c r="R28">
        <f>IF(ISBLANK('Data Entry'!R28), "", 'Data Entry'!R28)</f>
      </c>
      <c r="S28">
        <f>IF(ISBLANK('Data Entry'!S28), "", 'Data Entry'!S28)</f>
      </c>
      <c r="T28">
        <f>IF(ISBLANK('Data Entry'!T28), "", 'Data Entry'!T28)</f>
      </c>
      <c r="U28">
        <f>IF(ISBLANK('Data Entry'!U28), "", 'Data Entry'!U28)</f>
      </c>
      <c r="V28">
        <f>IF(ISBLANK('Data Entry'!V28), "", 'Data Entry'!V28)</f>
      </c>
      <c r="W28">
        <f>IF(ISBLANK('Data Entry'!W28), "", 'Data Entry'!W28)</f>
      </c>
      <c r="X28">
        <f>IF(ISBLANK('Data Entry'!X28), "", 'Data Entry'!X28)</f>
      </c>
      <c r="Y28">
        <f>IF(ISBLANK('Data Entry'!Y28), "", 'Data Entry'!Y28)</f>
      </c>
      <c r="Z28">
        <f>IF(ISBLANK('Data Entry'!Z28), "", 'Data Entry'!Z28)</f>
      </c>
      <c r="AA28">
        <f>IF(ISBLANK('Data Entry'![28), "", 'Data Entry'![28)</f>
      </c>
      <c r="AB28">
        <f>IF(ISBLANK('Data Entry'!\28), "", 'Data Entry'!\28)</f>
      </c>
      <c r="AC28">
        <f>IF(ISBLANK('Data Entry'!]28), "", 'Data Entry'!]28)</f>
      </c>
      <c r="AD28">
        <f>IF(ISBLANK('Data Entry'!^28), "", 'Data Entry'!^28)</f>
      </c>
      <c r="AE28">
        <f>IF(ISBLANK('Data Entry'!_28), "", 'Data Entry'!_28)</f>
      </c>
      <c r="AF28">
        <f>IF(ISBLANK('Data Entry'!`28), "", 'Data Entry'!`28)</f>
      </c>
      <c r="AG28">
        <f>IF(ISBLANK('Data Entry'!a28), "", 'Data Entry'!a28)</f>
      </c>
      <c r="AH28">
        <f>IF(ISBLANK('Data Entry'!b28), "", 'Data Entry'!b28)</f>
      </c>
      <c r="AI28">
        <f>IF(ISBLANK('Data Entry'!c28), "", 'Data Entry'!c28)</f>
      </c>
      <c r="AJ28">
        <f>IF(ISBLANK('Data Entry'!d28), "", 'Data Entry'!d28)</f>
      </c>
      <c r="AK28">
        <f>IF(ISBLANK('Data Entry'!e28), "", 'Data Entry'!e28)</f>
      </c>
      <c r="AL28">
        <f>IF(ISBLANK('Data Entry'!f28), "", 'Data Entry'!f28)</f>
      </c>
      <c r="AM28">
        <f>IF(ISBLANK('Data Entry'!g28), "", 'Data Entry'!g28)</f>
      </c>
      <c r="AN28">
        <f>IF(ISBLANK('Data Entry'!h28), "", 'Data Entry'!h28)</f>
      </c>
    </row>
    <row r="29" spans="1:40" x14ac:dyDescent="0.25">
      <c r="A29">
        <f>IF(ISBLANK('Data Entry'!A29), "", 'Data Entry'!A29)</f>
      </c>
      <c r="B29">
        <f>IF(ISBLANK('Data Entry'!B29), "", 'Data Entry'!B29)</f>
      </c>
      <c r="C29">
        <f>IF(ISBLANK('Data Entry'!C29), "", 'Data Entry'!C29)</f>
      </c>
      <c r="D29">
        <f>IF(ISBLANK('Data Entry'!D29), "", 'Data Entry'!D29)</f>
      </c>
      <c r="E29">
        <f>IF(ISBLANK('Data Entry'!E29), "", 'Data Entry'!E29)</f>
      </c>
      <c r="F29">
        <f>IF(ISBLANK('Data Entry'!F29), "", 'Data Entry'!F29)</f>
      </c>
      <c r="G29">
        <f>IF(ISBLANK('Data Entry'!G29), "", 'Data Entry'!G29)</f>
      </c>
      <c r="H29">
        <f>IF(ISBLANK('Data Entry'!H29), "", 'Data Entry'!H29)</f>
      </c>
      <c r="I29">
        <f>IF(ISBLANK('Data Entry'!I29), "", 'Data Entry'!I29)</f>
      </c>
      <c r="J29">
        <f>IF(ISBLANK('Data Entry'!J29), "", 'Data Entry'!J29)</f>
      </c>
      <c r="K29">
        <f>IF(ISBLANK('Data Entry'!K29), "", 'Data Entry'!K29)</f>
      </c>
      <c r="L29">
        <f>IF(ISBLANK('Data Entry'!L29), "", 'Data Entry'!L29)</f>
      </c>
      <c r="M29">
        <f>IF(ISBLANK('Data Entry'!M29), "", 'Data Entry'!M29)</f>
      </c>
      <c r="N29">
        <f>IF(ISBLANK('Data Entry'!N29), "", 'Data Entry'!N29)</f>
      </c>
      <c r="O29">
        <f>IF(ISBLANK('Data Entry'!O29), "", 'Data Entry'!O29)</f>
      </c>
      <c r="P29">
        <f>IF(ISBLANK('Data Entry'!P29), "", 'Data Entry'!P29)</f>
      </c>
      <c r="Q29">
        <f>IF(ISBLANK('Data Entry'!Q29), "", 'Data Entry'!Q29)</f>
      </c>
      <c r="R29">
        <f>IF(ISBLANK('Data Entry'!R29), "", 'Data Entry'!R29)</f>
      </c>
      <c r="S29">
        <f>IF(ISBLANK('Data Entry'!S29), "", 'Data Entry'!S29)</f>
      </c>
      <c r="T29">
        <f>IF(ISBLANK('Data Entry'!T29), "", 'Data Entry'!T29)</f>
      </c>
      <c r="U29">
        <f>IF(ISBLANK('Data Entry'!U29), "", 'Data Entry'!U29)</f>
      </c>
      <c r="V29">
        <f>IF(ISBLANK('Data Entry'!V29), "", 'Data Entry'!V29)</f>
      </c>
      <c r="W29">
        <f>IF(ISBLANK('Data Entry'!W29), "", 'Data Entry'!W29)</f>
      </c>
      <c r="X29">
        <f>IF(ISBLANK('Data Entry'!X29), "", 'Data Entry'!X29)</f>
      </c>
      <c r="Y29">
        <f>IF(ISBLANK('Data Entry'!Y29), "", 'Data Entry'!Y29)</f>
      </c>
      <c r="Z29">
        <f>IF(ISBLANK('Data Entry'!Z29), "", 'Data Entry'!Z29)</f>
      </c>
      <c r="AA29">
        <f>IF(ISBLANK('Data Entry'![29), "", 'Data Entry'![29)</f>
      </c>
      <c r="AB29">
        <f>IF(ISBLANK('Data Entry'!\29), "", 'Data Entry'!\29)</f>
      </c>
      <c r="AC29">
        <f>IF(ISBLANK('Data Entry'!]29), "", 'Data Entry'!]29)</f>
      </c>
      <c r="AD29">
        <f>IF(ISBLANK('Data Entry'!^29), "", 'Data Entry'!^29)</f>
      </c>
      <c r="AE29">
        <f>IF(ISBLANK('Data Entry'!_29), "", 'Data Entry'!_29)</f>
      </c>
      <c r="AF29">
        <f>IF(ISBLANK('Data Entry'!`29), "", 'Data Entry'!`29)</f>
      </c>
      <c r="AG29">
        <f>IF(ISBLANK('Data Entry'!a29), "", 'Data Entry'!a29)</f>
      </c>
      <c r="AH29">
        <f>IF(ISBLANK('Data Entry'!b29), "", 'Data Entry'!b29)</f>
      </c>
      <c r="AI29">
        <f>IF(ISBLANK('Data Entry'!c29), "", 'Data Entry'!c29)</f>
      </c>
      <c r="AJ29">
        <f>IF(ISBLANK('Data Entry'!d29), "", 'Data Entry'!d29)</f>
      </c>
      <c r="AK29">
        <f>IF(ISBLANK('Data Entry'!e29), "", 'Data Entry'!e29)</f>
      </c>
      <c r="AL29">
        <f>IF(ISBLANK('Data Entry'!f29), "", 'Data Entry'!f29)</f>
      </c>
      <c r="AM29">
        <f>IF(ISBLANK('Data Entry'!g29), "", 'Data Entry'!g29)</f>
      </c>
      <c r="AN29">
        <f>IF(ISBLANK('Data Entry'!h29), "", 'Data Entry'!h29)</f>
      </c>
    </row>
    <row r="30" spans="1:40" x14ac:dyDescent="0.25">
      <c r="A30">
        <f>IF(ISBLANK('Data Entry'!A30), "", 'Data Entry'!A30)</f>
      </c>
      <c r="B30">
        <f>IF(ISBLANK('Data Entry'!B30), "", 'Data Entry'!B30)</f>
      </c>
      <c r="C30">
        <f>IF(ISBLANK('Data Entry'!C30), "", 'Data Entry'!C30)</f>
      </c>
      <c r="D30">
        <f>IF(ISBLANK('Data Entry'!D30), "", 'Data Entry'!D30)</f>
      </c>
      <c r="E30">
        <f>IF(ISBLANK('Data Entry'!E30), "", 'Data Entry'!E30)</f>
      </c>
      <c r="F30">
        <f>IF(ISBLANK('Data Entry'!F30), "", 'Data Entry'!F30)</f>
      </c>
      <c r="G30">
        <f>IF(ISBLANK('Data Entry'!G30), "", 'Data Entry'!G30)</f>
      </c>
      <c r="H30">
        <f>IF(ISBLANK('Data Entry'!H30), "", 'Data Entry'!H30)</f>
      </c>
      <c r="I30">
        <f>IF(ISBLANK('Data Entry'!I30), "", 'Data Entry'!I30)</f>
      </c>
      <c r="J30">
        <f>IF(ISBLANK('Data Entry'!J30), "", 'Data Entry'!J30)</f>
      </c>
      <c r="K30">
        <f>IF(ISBLANK('Data Entry'!K30), "", 'Data Entry'!K30)</f>
      </c>
      <c r="L30">
        <f>IF(ISBLANK('Data Entry'!L30), "", 'Data Entry'!L30)</f>
      </c>
      <c r="M30">
        <f>IF(ISBLANK('Data Entry'!M30), "", 'Data Entry'!M30)</f>
      </c>
      <c r="N30">
        <f>IF(ISBLANK('Data Entry'!N30), "", 'Data Entry'!N30)</f>
      </c>
      <c r="O30">
        <f>IF(ISBLANK('Data Entry'!O30), "", 'Data Entry'!O30)</f>
      </c>
      <c r="P30">
        <f>IF(ISBLANK('Data Entry'!P30), "", 'Data Entry'!P30)</f>
      </c>
      <c r="Q30">
        <f>IF(ISBLANK('Data Entry'!Q30), "", 'Data Entry'!Q30)</f>
      </c>
      <c r="R30">
        <f>IF(ISBLANK('Data Entry'!R30), "", 'Data Entry'!R30)</f>
      </c>
      <c r="S30">
        <f>IF(ISBLANK('Data Entry'!S30), "", 'Data Entry'!S30)</f>
      </c>
      <c r="T30">
        <f>IF(ISBLANK('Data Entry'!T30), "", 'Data Entry'!T30)</f>
      </c>
      <c r="U30">
        <f>IF(ISBLANK('Data Entry'!U30), "", 'Data Entry'!U30)</f>
      </c>
      <c r="V30">
        <f>IF(ISBLANK('Data Entry'!V30), "", 'Data Entry'!V30)</f>
      </c>
      <c r="W30">
        <f>IF(ISBLANK('Data Entry'!W30), "", 'Data Entry'!W30)</f>
      </c>
      <c r="X30">
        <f>IF(ISBLANK('Data Entry'!X30), "", 'Data Entry'!X30)</f>
      </c>
      <c r="Y30">
        <f>IF(ISBLANK('Data Entry'!Y30), "", 'Data Entry'!Y30)</f>
      </c>
      <c r="Z30">
        <f>IF(ISBLANK('Data Entry'!Z30), "", 'Data Entry'!Z30)</f>
      </c>
      <c r="AA30">
        <f>IF(ISBLANK('Data Entry'![30), "", 'Data Entry'![30)</f>
      </c>
      <c r="AB30">
        <f>IF(ISBLANK('Data Entry'!\30), "", 'Data Entry'!\30)</f>
      </c>
      <c r="AC30">
        <f>IF(ISBLANK('Data Entry'!]30), "", 'Data Entry'!]30)</f>
      </c>
      <c r="AD30">
        <f>IF(ISBLANK('Data Entry'!^30), "", 'Data Entry'!^30)</f>
      </c>
      <c r="AE30">
        <f>IF(ISBLANK('Data Entry'!_30), "", 'Data Entry'!_30)</f>
      </c>
      <c r="AF30">
        <f>IF(ISBLANK('Data Entry'!`30), "", 'Data Entry'!`30)</f>
      </c>
      <c r="AG30">
        <f>IF(ISBLANK('Data Entry'!a30), "", 'Data Entry'!a30)</f>
      </c>
      <c r="AH30">
        <f>IF(ISBLANK('Data Entry'!b30), "", 'Data Entry'!b30)</f>
      </c>
      <c r="AI30">
        <f>IF(ISBLANK('Data Entry'!c30), "", 'Data Entry'!c30)</f>
      </c>
      <c r="AJ30">
        <f>IF(ISBLANK('Data Entry'!d30), "", 'Data Entry'!d30)</f>
      </c>
      <c r="AK30">
        <f>IF(ISBLANK('Data Entry'!e30), "", 'Data Entry'!e30)</f>
      </c>
      <c r="AL30">
        <f>IF(ISBLANK('Data Entry'!f30), "", 'Data Entry'!f30)</f>
      </c>
      <c r="AM30">
        <f>IF(ISBLANK('Data Entry'!g30), "", 'Data Entry'!g30)</f>
      </c>
      <c r="AN30">
        <f>IF(ISBLANK('Data Entry'!h30), "", 'Data Entry'!h30)</f>
      </c>
    </row>
    <row r="31" spans="1:40" x14ac:dyDescent="0.25">
      <c r="A31">
        <f>IF(ISBLANK('Data Entry'!A31), "", 'Data Entry'!A31)</f>
      </c>
      <c r="B31">
        <f>IF(ISBLANK('Data Entry'!B31), "", 'Data Entry'!B31)</f>
      </c>
      <c r="C31">
        <f>IF(ISBLANK('Data Entry'!C31), "", 'Data Entry'!C31)</f>
      </c>
      <c r="D31">
        <f>IF(ISBLANK('Data Entry'!D31), "", 'Data Entry'!D31)</f>
      </c>
      <c r="E31">
        <f>IF(ISBLANK('Data Entry'!E31), "", 'Data Entry'!E31)</f>
      </c>
      <c r="F31">
        <f>IF(ISBLANK('Data Entry'!F31), "", 'Data Entry'!F31)</f>
      </c>
      <c r="G31">
        <f>IF(ISBLANK('Data Entry'!G31), "", 'Data Entry'!G31)</f>
      </c>
      <c r="H31">
        <f>IF(ISBLANK('Data Entry'!H31), "", 'Data Entry'!H31)</f>
      </c>
      <c r="I31">
        <f>IF(ISBLANK('Data Entry'!I31), "", 'Data Entry'!I31)</f>
      </c>
      <c r="J31">
        <f>IF(ISBLANK('Data Entry'!J31), "", 'Data Entry'!J31)</f>
      </c>
      <c r="K31">
        <f>IF(ISBLANK('Data Entry'!K31), "", 'Data Entry'!K31)</f>
      </c>
      <c r="L31">
        <f>IF(ISBLANK('Data Entry'!L31), "", 'Data Entry'!L31)</f>
      </c>
      <c r="M31">
        <f>IF(ISBLANK('Data Entry'!M31), "", 'Data Entry'!M31)</f>
      </c>
      <c r="N31">
        <f>IF(ISBLANK('Data Entry'!N31), "", 'Data Entry'!N31)</f>
      </c>
      <c r="O31">
        <f>IF(ISBLANK('Data Entry'!O31), "", 'Data Entry'!O31)</f>
      </c>
      <c r="P31">
        <f>IF(ISBLANK('Data Entry'!P31), "", 'Data Entry'!P31)</f>
      </c>
      <c r="Q31">
        <f>IF(ISBLANK('Data Entry'!Q31), "", 'Data Entry'!Q31)</f>
      </c>
      <c r="R31">
        <f>IF(ISBLANK('Data Entry'!R31), "", 'Data Entry'!R31)</f>
      </c>
      <c r="S31">
        <f>IF(ISBLANK('Data Entry'!S31), "", 'Data Entry'!S31)</f>
      </c>
      <c r="T31">
        <f>IF(ISBLANK('Data Entry'!T31), "", 'Data Entry'!T31)</f>
      </c>
      <c r="U31">
        <f>IF(ISBLANK('Data Entry'!U31), "", 'Data Entry'!U31)</f>
      </c>
      <c r="V31">
        <f>IF(ISBLANK('Data Entry'!V31), "", 'Data Entry'!V31)</f>
      </c>
      <c r="W31">
        <f>IF(ISBLANK('Data Entry'!W31), "", 'Data Entry'!W31)</f>
      </c>
      <c r="X31">
        <f>IF(ISBLANK('Data Entry'!X31), "", 'Data Entry'!X31)</f>
      </c>
      <c r="Y31">
        <f>IF(ISBLANK('Data Entry'!Y31), "", 'Data Entry'!Y31)</f>
      </c>
      <c r="Z31">
        <f>IF(ISBLANK('Data Entry'!Z31), "", 'Data Entry'!Z31)</f>
      </c>
      <c r="AA31">
        <f>IF(ISBLANK('Data Entry'![31), "", 'Data Entry'![31)</f>
      </c>
      <c r="AB31">
        <f>IF(ISBLANK('Data Entry'!\31), "", 'Data Entry'!\31)</f>
      </c>
      <c r="AC31">
        <f>IF(ISBLANK('Data Entry'!]31), "", 'Data Entry'!]31)</f>
      </c>
      <c r="AD31">
        <f>IF(ISBLANK('Data Entry'!^31), "", 'Data Entry'!^31)</f>
      </c>
      <c r="AE31">
        <f>IF(ISBLANK('Data Entry'!_31), "", 'Data Entry'!_31)</f>
      </c>
      <c r="AF31">
        <f>IF(ISBLANK('Data Entry'!`31), "", 'Data Entry'!`31)</f>
      </c>
      <c r="AG31">
        <f>IF(ISBLANK('Data Entry'!a31), "", 'Data Entry'!a31)</f>
      </c>
      <c r="AH31">
        <f>IF(ISBLANK('Data Entry'!b31), "", 'Data Entry'!b31)</f>
      </c>
      <c r="AI31">
        <f>IF(ISBLANK('Data Entry'!c31), "", 'Data Entry'!c31)</f>
      </c>
      <c r="AJ31">
        <f>IF(ISBLANK('Data Entry'!d31), "", 'Data Entry'!d31)</f>
      </c>
      <c r="AK31">
        <f>IF(ISBLANK('Data Entry'!e31), "", 'Data Entry'!e31)</f>
      </c>
      <c r="AL31">
        <f>IF(ISBLANK('Data Entry'!f31), "", 'Data Entry'!f31)</f>
      </c>
      <c r="AM31">
        <f>IF(ISBLANK('Data Entry'!g31), "", 'Data Entry'!g31)</f>
      </c>
      <c r="AN31">
        <f>IF(ISBLANK('Data Entry'!h31), "", 'Data Entry'!h31)</f>
      </c>
    </row>
    <row r="32" spans="1:40" x14ac:dyDescent="0.25">
      <c r="A32">
        <f>IF(ISBLANK('Data Entry'!A32), "", 'Data Entry'!A32)</f>
      </c>
      <c r="B32">
        <f>IF(ISBLANK('Data Entry'!B32), "", 'Data Entry'!B32)</f>
      </c>
      <c r="C32">
        <f>IF(ISBLANK('Data Entry'!C32), "", 'Data Entry'!C32)</f>
      </c>
      <c r="D32">
        <f>IF(ISBLANK('Data Entry'!D32), "", 'Data Entry'!D32)</f>
      </c>
      <c r="E32">
        <f>IF(ISBLANK('Data Entry'!E32), "", 'Data Entry'!E32)</f>
      </c>
      <c r="F32">
        <f>IF(ISBLANK('Data Entry'!F32), "", 'Data Entry'!F32)</f>
      </c>
      <c r="G32">
        <f>IF(ISBLANK('Data Entry'!G32), "", 'Data Entry'!G32)</f>
      </c>
      <c r="H32">
        <f>IF(ISBLANK('Data Entry'!H32), "", 'Data Entry'!H32)</f>
      </c>
      <c r="I32">
        <f>IF(ISBLANK('Data Entry'!I32), "", 'Data Entry'!I32)</f>
      </c>
      <c r="J32">
        <f>IF(ISBLANK('Data Entry'!J32), "", 'Data Entry'!J32)</f>
      </c>
      <c r="K32">
        <f>IF(ISBLANK('Data Entry'!K32), "", 'Data Entry'!K32)</f>
      </c>
      <c r="L32">
        <f>IF(ISBLANK('Data Entry'!L32), "", 'Data Entry'!L32)</f>
      </c>
      <c r="M32">
        <f>IF(ISBLANK('Data Entry'!M32), "", 'Data Entry'!M32)</f>
      </c>
      <c r="N32">
        <f>IF(ISBLANK('Data Entry'!N32), "", 'Data Entry'!N32)</f>
      </c>
      <c r="O32">
        <f>IF(ISBLANK('Data Entry'!O32), "", 'Data Entry'!O32)</f>
      </c>
      <c r="P32">
        <f>IF(ISBLANK('Data Entry'!P32), "", 'Data Entry'!P32)</f>
      </c>
      <c r="Q32">
        <f>IF(ISBLANK('Data Entry'!Q32), "", 'Data Entry'!Q32)</f>
      </c>
      <c r="R32">
        <f>IF(ISBLANK('Data Entry'!R32), "", 'Data Entry'!R32)</f>
      </c>
      <c r="S32">
        <f>IF(ISBLANK('Data Entry'!S32), "", 'Data Entry'!S32)</f>
      </c>
      <c r="T32">
        <f>IF(ISBLANK('Data Entry'!T32), "", 'Data Entry'!T32)</f>
      </c>
      <c r="U32">
        <f>IF(ISBLANK('Data Entry'!U32), "", 'Data Entry'!U32)</f>
      </c>
      <c r="V32">
        <f>IF(ISBLANK('Data Entry'!V32), "", 'Data Entry'!V32)</f>
      </c>
      <c r="W32">
        <f>IF(ISBLANK('Data Entry'!W32), "", 'Data Entry'!W32)</f>
      </c>
      <c r="X32">
        <f>IF(ISBLANK('Data Entry'!X32), "", 'Data Entry'!X32)</f>
      </c>
      <c r="Y32">
        <f>IF(ISBLANK('Data Entry'!Y32), "", 'Data Entry'!Y32)</f>
      </c>
      <c r="Z32">
        <f>IF(ISBLANK('Data Entry'!Z32), "", 'Data Entry'!Z32)</f>
      </c>
      <c r="AA32">
        <f>IF(ISBLANK('Data Entry'![32), "", 'Data Entry'![32)</f>
      </c>
      <c r="AB32">
        <f>IF(ISBLANK('Data Entry'!\32), "", 'Data Entry'!\32)</f>
      </c>
      <c r="AC32">
        <f>IF(ISBLANK('Data Entry'!]32), "", 'Data Entry'!]32)</f>
      </c>
      <c r="AD32">
        <f>IF(ISBLANK('Data Entry'!^32), "", 'Data Entry'!^32)</f>
      </c>
      <c r="AE32">
        <f>IF(ISBLANK('Data Entry'!_32), "", 'Data Entry'!_32)</f>
      </c>
      <c r="AF32">
        <f>IF(ISBLANK('Data Entry'!`32), "", 'Data Entry'!`32)</f>
      </c>
      <c r="AG32">
        <f>IF(ISBLANK('Data Entry'!a32), "", 'Data Entry'!a32)</f>
      </c>
      <c r="AH32">
        <f>IF(ISBLANK('Data Entry'!b32), "", 'Data Entry'!b32)</f>
      </c>
      <c r="AI32">
        <f>IF(ISBLANK('Data Entry'!c32), "", 'Data Entry'!c32)</f>
      </c>
      <c r="AJ32">
        <f>IF(ISBLANK('Data Entry'!d32), "", 'Data Entry'!d32)</f>
      </c>
      <c r="AK32">
        <f>IF(ISBLANK('Data Entry'!e32), "", 'Data Entry'!e32)</f>
      </c>
      <c r="AL32">
        <f>IF(ISBLANK('Data Entry'!f32), "", 'Data Entry'!f32)</f>
      </c>
      <c r="AM32">
        <f>IF(ISBLANK('Data Entry'!g32), "", 'Data Entry'!g32)</f>
      </c>
      <c r="AN32">
        <f>IF(ISBLANK('Data Entry'!h32), "", 'Data Entry'!h32)</f>
      </c>
    </row>
    <row r="33" spans="1:40" x14ac:dyDescent="0.25">
      <c r="A33">
        <f>IF(ISBLANK('Data Entry'!A33), "", 'Data Entry'!A33)</f>
      </c>
      <c r="B33">
        <f>IF(ISBLANK('Data Entry'!B33), "", 'Data Entry'!B33)</f>
      </c>
      <c r="C33">
        <f>IF(ISBLANK('Data Entry'!C33), "", 'Data Entry'!C33)</f>
      </c>
      <c r="D33">
        <f>IF(ISBLANK('Data Entry'!D33), "", 'Data Entry'!D33)</f>
      </c>
      <c r="E33">
        <f>IF(ISBLANK('Data Entry'!E33), "", 'Data Entry'!E33)</f>
      </c>
      <c r="F33">
        <f>IF(ISBLANK('Data Entry'!F33), "", 'Data Entry'!F33)</f>
      </c>
      <c r="G33">
        <f>IF(ISBLANK('Data Entry'!G33), "", 'Data Entry'!G33)</f>
      </c>
      <c r="H33">
        <f>IF(ISBLANK('Data Entry'!H33), "", 'Data Entry'!H33)</f>
      </c>
      <c r="I33">
        <f>IF(ISBLANK('Data Entry'!I33), "", 'Data Entry'!I33)</f>
      </c>
      <c r="J33">
        <f>IF(ISBLANK('Data Entry'!J33), "", 'Data Entry'!J33)</f>
      </c>
      <c r="K33">
        <f>IF(ISBLANK('Data Entry'!K33), "", 'Data Entry'!K33)</f>
      </c>
      <c r="L33">
        <f>IF(ISBLANK('Data Entry'!L33), "", 'Data Entry'!L33)</f>
      </c>
      <c r="M33">
        <f>IF(ISBLANK('Data Entry'!M33), "", 'Data Entry'!M33)</f>
      </c>
      <c r="N33">
        <f>IF(ISBLANK('Data Entry'!N33), "", 'Data Entry'!N33)</f>
      </c>
      <c r="O33">
        <f>IF(ISBLANK('Data Entry'!O33), "", 'Data Entry'!O33)</f>
      </c>
      <c r="P33">
        <f>IF(ISBLANK('Data Entry'!P33), "", 'Data Entry'!P33)</f>
      </c>
      <c r="Q33">
        <f>IF(ISBLANK('Data Entry'!Q33), "", 'Data Entry'!Q33)</f>
      </c>
      <c r="R33">
        <f>IF(ISBLANK('Data Entry'!R33), "", 'Data Entry'!R33)</f>
      </c>
      <c r="S33">
        <f>IF(ISBLANK('Data Entry'!S33), "", 'Data Entry'!S33)</f>
      </c>
      <c r="T33">
        <f>IF(ISBLANK('Data Entry'!T33), "", 'Data Entry'!T33)</f>
      </c>
      <c r="U33">
        <f>IF(ISBLANK('Data Entry'!U33), "", 'Data Entry'!U33)</f>
      </c>
      <c r="V33">
        <f>IF(ISBLANK('Data Entry'!V33), "", 'Data Entry'!V33)</f>
      </c>
      <c r="W33">
        <f>IF(ISBLANK('Data Entry'!W33), "", 'Data Entry'!W33)</f>
      </c>
      <c r="X33">
        <f>IF(ISBLANK('Data Entry'!X33), "", 'Data Entry'!X33)</f>
      </c>
      <c r="Y33">
        <f>IF(ISBLANK('Data Entry'!Y33), "", 'Data Entry'!Y33)</f>
      </c>
      <c r="Z33">
        <f>IF(ISBLANK('Data Entry'!Z33), "", 'Data Entry'!Z33)</f>
      </c>
      <c r="AA33">
        <f>IF(ISBLANK('Data Entry'![33), "", 'Data Entry'![33)</f>
      </c>
      <c r="AB33">
        <f>IF(ISBLANK('Data Entry'!\33), "", 'Data Entry'!\33)</f>
      </c>
      <c r="AC33">
        <f>IF(ISBLANK('Data Entry'!]33), "", 'Data Entry'!]33)</f>
      </c>
      <c r="AD33">
        <f>IF(ISBLANK('Data Entry'!^33), "", 'Data Entry'!^33)</f>
      </c>
      <c r="AE33">
        <f>IF(ISBLANK('Data Entry'!_33), "", 'Data Entry'!_33)</f>
      </c>
      <c r="AF33">
        <f>IF(ISBLANK('Data Entry'!`33), "", 'Data Entry'!`33)</f>
      </c>
      <c r="AG33">
        <f>IF(ISBLANK('Data Entry'!a33), "", 'Data Entry'!a33)</f>
      </c>
      <c r="AH33">
        <f>IF(ISBLANK('Data Entry'!b33), "", 'Data Entry'!b33)</f>
      </c>
      <c r="AI33">
        <f>IF(ISBLANK('Data Entry'!c33), "", 'Data Entry'!c33)</f>
      </c>
      <c r="AJ33">
        <f>IF(ISBLANK('Data Entry'!d33), "", 'Data Entry'!d33)</f>
      </c>
      <c r="AK33">
        <f>IF(ISBLANK('Data Entry'!e33), "", 'Data Entry'!e33)</f>
      </c>
      <c r="AL33">
        <f>IF(ISBLANK('Data Entry'!f33), "", 'Data Entry'!f33)</f>
      </c>
      <c r="AM33">
        <f>IF(ISBLANK('Data Entry'!g33), "", 'Data Entry'!g33)</f>
      </c>
      <c r="AN33">
        <f>IF(ISBLANK('Data Entry'!h33), "", 'Data Entry'!h33)</f>
      </c>
    </row>
    <row r="34" spans="1:40" x14ac:dyDescent="0.25">
      <c r="A34">
        <f>IF(ISBLANK('Data Entry'!A34), "", 'Data Entry'!A34)</f>
      </c>
      <c r="B34">
        <f>IF(ISBLANK('Data Entry'!B34), "", 'Data Entry'!B34)</f>
      </c>
      <c r="C34">
        <f>IF(ISBLANK('Data Entry'!C34), "", 'Data Entry'!C34)</f>
      </c>
      <c r="D34">
        <f>IF(ISBLANK('Data Entry'!D34), "", 'Data Entry'!D34)</f>
      </c>
      <c r="E34">
        <f>IF(ISBLANK('Data Entry'!E34), "", 'Data Entry'!E34)</f>
      </c>
      <c r="F34">
        <f>IF(ISBLANK('Data Entry'!F34), "", 'Data Entry'!F34)</f>
      </c>
      <c r="G34">
        <f>IF(ISBLANK('Data Entry'!G34), "", 'Data Entry'!G34)</f>
      </c>
      <c r="H34">
        <f>IF(ISBLANK('Data Entry'!H34), "", 'Data Entry'!H34)</f>
      </c>
      <c r="I34">
        <f>IF(ISBLANK('Data Entry'!I34), "", 'Data Entry'!I34)</f>
      </c>
      <c r="J34">
        <f>IF(ISBLANK('Data Entry'!J34), "", 'Data Entry'!J34)</f>
      </c>
      <c r="K34">
        <f>IF(ISBLANK('Data Entry'!K34), "", 'Data Entry'!K34)</f>
      </c>
      <c r="L34">
        <f>IF(ISBLANK('Data Entry'!L34), "", 'Data Entry'!L34)</f>
      </c>
      <c r="M34">
        <f>IF(ISBLANK('Data Entry'!M34), "", 'Data Entry'!M34)</f>
      </c>
      <c r="N34">
        <f>IF(ISBLANK('Data Entry'!N34), "", 'Data Entry'!N34)</f>
      </c>
      <c r="O34">
        <f>IF(ISBLANK('Data Entry'!O34), "", 'Data Entry'!O34)</f>
      </c>
      <c r="P34">
        <f>IF(ISBLANK('Data Entry'!P34), "", 'Data Entry'!P34)</f>
      </c>
      <c r="Q34">
        <f>IF(ISBLANK('Data Entry'!Q34), "", 'Data Entry'!Q34)</f>
      </c>
      <c r="R34">
        <f>IF(ISBLANK('Data Entry'!R34), "", 'Data Entry'!R34)</f>
      </c>
      <c r="S34">
        <f>IF(ISBLANK('Data Entry'!S34), "", 'Data Entry'!S34)</f>
      </c>
      <c r="T34">
        <f>IF(ISBLANK('Data Entry'!T34), "", 'Data Entry'!T34)</f>
      </c>
      <c r="U34">
        <f>IF(ISBLANK('Data Entry'!U34), "", 'Data Entry'!U34)</f>
      </c>
      <c r="V34">
        <f>IF(ISBLANK('Data Entry'!V34), "", 'Data Entry'!V34)</f>
      </c>
      <c r="W34">
        <f>IF(ISBLANK('Data Entry'!W34), "", 'Data Entry'!W34)</f>
      </c>
      <c r="X34">
        <f>IF(ISBLANK('Data Entry'!X34), "", 'Data Entry'!X34)</f>
      </c>
      <c r="Y34">
        <f>IF(ISBLANK('Data Entry'!Y34), "", 'Data Entry'!Y34)</f>
      </c>
      <c r="Z34">
        <f>IF(ISBLANK('Data Entry'!Z34), "", 'Data Entry'!Z34)</f>
      </c>
      <c r="AA34">
        <f>IF(ISBLANK('Data Entry'![34), "", 'Data Entry'![34)</f>
      </c>
      <c r="AB34">
        <f>IF(ISBLANK('Data Entry'!\34), "", 'Data Entry'!\34)</f>
      </c>
      <c r="AC34">
        <f>IF(ISBLANK('Data Entry'!]34), "", 'Data Entry'!]34)</f>
      </c>
      <c r="AD34">
        <f>IF(ISBLANK('Data Entry'!^34), "", 'Data Entry'!^34)</f>
      </c>
      <c r="AE34">
        <f>IF(ISBLANK('Data Entry'!_34), "", 'Data Entry'!_34)</f>
      </c>
      <c r="AF34">
        <f>IF(ISBLANK('Data Entry'!`34), "", 'Data Entry'!`34)</f>
      </c>
      <c r="AG34">
        <f>IF(ISBLANK('Data Entry'!a34), "", 'Data Entry'!a34)</f>
      </c>
      <c r="AH34">
        <f>IF(ISBLANK('Data Entry'!b34), "", 'Data Entry'!b34)</f>
      </c>
      <c r="AI34">
        <f>IF(ISBLANK('Data Entry'!c34), "", 'Data Entry'!c34)</f>
      </c>
      <c r="AJ34">
        <f>IF(ISBLANK('Data Entry'!d34), "", 'Data Entry'!d34)</f>
      </c>
      <c r="AK34">
        <f>IF(ISBLANK('Data Entry'!e34), "", 'Data Entry'!e34)</f>
      </c>
      <c r="AL34">
        <f>IF(ISBLANK('Data Entry'!f34), "", 'Data Entry'!f34)</f>
      </c>
      <c r="AM34">
        <f>IF(ISBLANK('Data Entry'!g34), "", 'Data Entry'!g34)</f>
      </c>
      <c r="AN34">
        <f>IF(ISBLANK('Data Entry'!h34), "", 'Data Entry'!h34)</f>
      </c>
    </row>
    <row r="35" spans="1:40" x14ac:dyDescent="0.25">
      <c r="A35">
        <f>IF(ISBLANK('Data Entry'!A35), "", 'Data Entry'!A35)</f>
      </c>
      <c r="B35">
        <f>IF(ISBLANK('Data Entry'!B35), "", 'Data Entry'!B35)</f>
      </c>
      <c r="C35">
        <f>IF(ISBLANK('Data Entry'!C35), "", 'Data Entry'!C35)</f>
      </c>
      <c r="D35">
        <f>IF(ISBLANK('Data Entry'!D35), "", 'Data Entry'!D35)</f>
      </c>
      <c r="E35">
        <f>IF(ISBLANK('Data Entry'!E35), "", 'Data Entry'!E35)</f>
      </c>
      <c r="F35">
        <f>IF(ISBLANK('Data Entry'!F35), "", 'Data Entry'!F35)</f>
      </c>
      <c r="G35">
        <f>IF(ISBLANK('Data Entry'!G35), "", 'Data Entry'!G35)</f>
      </c>
      <c r="H35">
        <f>IF(ISBLANK('Data Entry'!H35), "", 'Data Entry'!H35)</f>
      </c>
      <c r="I35">
        <f>IF(ISBLANK('Data Entry'!I35), "", 'Data Entry'!I35)</f>
      </c>
      <c r="J35">
        <f>IF(ISBLANK('Data Entry'!J35), "", 'Data Entry'!J35)</f>
      </c>
      <c r="K35">
        <f>IF(ISBLANK('Data Entry'!K35), "", 'Data Entry'!K35)</f>
      </c>
      <c r="L35">
        <f>IF(ISBLANK('Data Entry'!L35), "", 'Data Entry'!L35)</f>
      </c>
      <c r="M35">
        <f>IF(ISBLANK('Data Entry'!M35), "", 'Data Entry'!M35)</f>
      </c>
      <c r="N35">
        <f>IF(ISBLANK('Data Entry'!N35), "", 'Data Entry'!N35)</f>
      </c>
      <c r="O35">
        <f>IF(ISBLANK('Data Entry'!O35), "", 'Data Entry'!O35)</f>
      </c>
      <c r="P35">
        <f>IF(ISBLANK('Data Entry'!P35), "", 'Data Entry'!P35)</f>
      </c>
      <c r="Q35">
        <f>IF(ISBLANK('Data Entry'!Q35), "", 'Data Entry'!Q35)</f>
      </c>
      <c r="R35">
        <f>IF(ISBLANK('Data Entry'!R35), "", 'Data Entry'!R35)</f>
      </c>
      <c r="S35">
        <f>IF(ISBLANK('Data Entry'!S35), "", 'Data Entry'!S35)</f>
      </c>
      <c r="T35">
        <f>IF(ISBLANK('Data Entry'!T35), "", 'Data Entry'!T35)</f>
      </c>
      <c r="U35">
        <f>IF(ISBLANK('Data Entry'!U35), "", 'Data Entry'!U35)</f>
      </c>
      <c r="V35">
        <f>IF(ISBLANK('Data Entry'!V35), "", 'Data Entry'!V35)</f>
      </c>
      <c r="W35">
        <f>IF(ISBLANK('Data Entry'!W35), "", 'Data Entry'!W35)</f>
      </c>
      <c r="X35">
        <f>IF(ISBLANK('Data Entry'!X35), "", 'Data Entry'!X35)</f>
      </c>
      <c r="Y35">
        <f>IF(ISBLANK('Data Entry'!Y35), "", 'Data Entry'!Y35)</f>
      </c>
      <c r="Z35">
        <f>IF(ISBLANK('Data Entry'!Z35), "", 'Data Entry'!Z35)</f>
      </c>
      <c r="AA35">
        <f>IF(ISBLANK('Data Entry'![35), "", 'Data Entry'![35)</f>
      </c>
      <c r="AB35">
        <f>IF(ISBLANK('Data Entry'!\35), "", 'Data Entry'!\35)</f>
      </c>
      <c r="AC35">
        <f>IF(ISBLANK('Data Entry'!]35), "", 'Data Entry'!]35)</f>
      </c>
      <c r="AD35">
        <f>IF(ISBLANK('Data Entry'!^35), "", 'Data Entry'!^35)</f>
      </c>
      <c r="AE35">
        <f>IF(ISBLANK('Data Entry'!_35), "", 'Data Entry'!_35)</f>
      </c>
      <c r="AF35">
        <f>IF(ISBLANK('Data Entry'!`35), "", 'Data Entry'!`35)</f>
      </c>
      <c r="AG35">
        <f>IF(ISBLANK('Data Entry'!a35), "", 'Data Entry'!a35)</f>
      </c>
      <c r="AH35">
        <f>IF(ISBLANK('Data Entry'!b35), "", 'Data Entry'!b35)</f>
      </c>
      <c r="AI35">
        <f>IF(ISBLANK('Data Entry'!c35), "", 'Data Entry'!c35)</f>
      </c>
      <c r="AJ35">
        <f>IF(ISBLANK('Data Entry'!d35), "", 'Data Entry'!d35)</f>
      </c>
      <c r="AK35">
        <f>IF(ISBLANK('Data Entry'!e35), "", 'Data Entry'!e35)</f>
      </c>
      <c r="AL35">
        <f>IF(ISBLANK('Data Entry'!f35), "", 'Data Entry'!f35)</f>
      </c>
      <c r="AM35">
        <f>IF(ISBLANK('Data Entry'!g35), "", 'Data Entry'!g35)</f>
      </c>
      <c r="AN35">
        <f>IF(ISBLANK('Data Entry'!h35), "", 'Data Entry'!h35)</f>
      </c>
    </row>
    <row r="36" spans="1:40" x14ac:dyDescent="0.25">
      <c r="A36">
        <f>IF(ISBLANK('Data Entry'!A36), "", 'Data Entry'!A36)</f>
      </c>
      <c r="B36">
        <f>IF(ISBLANK('Data Entry'!B36), "", 'Data Entry'!B36)</f>
      </c>
      <c r="C36">
        <f>IF(ISBLANK('Data Entry'!C36), "", 'Data Entry'!C36)</f>
      </c>
      <c r="D36">
        <f>IF(ISBLANK('Data Entry'!D36), "", 'Data Entry'!D36)</f>
      </c>
      <c r="E36">
        <f>IF(ISBLANK('Data Entry'!E36), "", 'Data Entry'!E36)</f>
      </c>
      <c r="F36">
        <f>IF(ISBLANK('Data Entry'!F36), "", 'Data Entry'!F36)</f>
      </c>
      <c r="G36">
        <f>IF(ISBLANK('Data Entry'!G36), "", 'Data Entry'!G36)</f>
      </c>
      <c r="H36">
        <f>IF(ISBLANK('Data Entry'!H36), "", 'Data Entry'!H36)</f>
      </c>
      <c r="I36">
        <f>IF(ISBLANK('Data Entry'!I36), "", 'Data Entry'!I36)</f>
      </c>
      <c r="J36">
        <f>IF(ISBLANK('Data Entry'!J36), "", 'Data Entry'!J36)</f>
      </c>
      <c r="K36">
        <f>IF(ISBLANK('Data Entry'!K36), "", 'Data Entry'!K36)</f>
      </c>
      <c r="L36">
        <f>IF(ISBLANK('Data Entry'!L36), "", 'Data Entry'!L36)</f>
      </c>
      <c r="M36">
        <f>IF(ISBLANK('Data Entry'!M36), "", 'Data Entry'!M36)</f>
      </c>
      <c r="N36">
        <f>IF(ISBLANK('Data Entry'!N36), "", 'Data Entry'!N36)</f>
      </c>
      <c r="O36">
        <f>IF(ISBLANK('Data Entry'!O36), "", 'Data Entry'!O36)</f>
      </c>
      <c r="P36">
        <f>IF(ISBLANK('Data Entry'!P36), "", 'Data Entry'!P36)</f>
      </c>
      <c r="Q36">
        <f>IF(ISBLANK('Data Entry'!Q36), "", 'Data Entry'!Q36)</f>
      </c>
      <c r="R36">
        <f>IF(ISBLANK('Data Entry'!R36), "", 'Data Entry'!R36)</f>
      </c>
      <c r="S36">
        <f>IF(ISBLANK('Data Entry'!S36), "", 'Data Entry'!S36)</f>
      </c>
      <c r="T36">
        <f>IF(ISBLANK('Data Entry'!T36), "", 'Data Entry'!T36)</f>
      </c>
      <c r="U36">
        <f>IF(ISBLANK('Data Entry'!U36), "", 'Data Entry'!U36)</f>
      </c>
      <c r="V36">
        <f>IF(ISBLANK('Data Entry'!V36), "", 'Data Entry'!V36)</f>
      </c>
      <c r="W36">
        <f>IF(ISBLANK('Data Entry'!W36), "", 'Data Entry'!W36)</f>
      </c>
      <c r="X36">
        <f>IF(ISBLANK('Data Entry'!X36), "", 'Data Entry'!X36)</f>
      </c>
      <c r="Y36">
        <f>IF(ISBLANK('Data Entry'!Y36), "", 'Data Entry'!Y36)</f>
      </c>
      <c r="Z36">
        <f>IF(ISBLANK('Data Entry'!Z36), "", 'Data Entry'!Z36)</f>
      </c>
      <c r="AA36">
        <f>IF(ISBLANK('Data Entry'![36), "", 'Data Entry'![36)</f>
      </c>
      <c r="AB36">
        <f>IF(ISBLANK('Data Entry'!\36), "", 'Data Entry'!\36)</f>
      </c>
      <c r="AC36">
        <f>IF(ISBLANK('Data Entry'!]36), "", 'Data Entry'!]36)</f>
      </c>
      <c r="AD36">
        <f>IF(ISBLANK('Data Entry'!^36), "", 'Data Entry'!^36)</f>
      </c>
      <c r="AE36">
        <f>IF(ISBLANK('Data Entry'!_36), "", 'Data Entry'!_36)</f>
      </c>
      <c r="AF36">
        <f>IF(ISBLANK('Data Entry'!`36), "", 'Data Entry'!`36)</f>
      </c>
      <c r="AG36">
        <f>IF(ISBLANK('Data Entry'!a36), "", 'Data Entry'!a36)</f>
      </c>
      <c r="AH36">
        <f>IF(ISBLANK('Data Entry'!b36), "", 'Data Entry'!b36)</f>
      </c>
      <c r="AI36">
        <f>IF(ISBLANK('Data Entry'!c36), "", 'Data Entry'!c36)</f>
      </c>
      <c r="AJ36">
        <f>IF(ISBLANK('Data Entry'!d36), "", 'Data Entry'!d36)</f>
      </c>
      <c r="AK36">
        <f>IF(ISBLANK('Data Entry'!e36), "", 'Data Entry'!e36)</f>
      </c>
      <c r="AL36">
        <f>IF(ISBLANK('Data Entry'!f36), "", 'Data Entry'!f36)</f>
      </c>
      <c r="AM36">
        <f>IF(ISBLANK('Data Entry'!g36), "", 'Data Entry'!g36)</f>
      </c>
      <c r="AN36">
        <f>IF(ISBLANK('Data Entry'!h36), "", 'Data Entry'!h36)</f>
      </c>
    </row>
    <row r="37" spans="1:40" x14ac:dyDescent="0.25">
      <c r="A37">
        <f>IF(ISBLANK('Data Entry'!A37), "", 'Data Entry'!A37)</f>
      </c>
      <c r="B37">
        <f>IF(ISBLANK('Data Entry'!B37), "", 'Data Entry'!B37)</f>
      </c>
      <c r="C37">
        <f>IF(ISBLANK('Data Entry'!C37), "", 'Data Entry'!C37)</f>
      </c>
      <c r="D37">
        <f>IF(ISBLANK('Data Entry'!D37), "", 'Data Entry'!D37)</f>
      </c>
      <c r="E37">
        <f>IF(ISBLANK('Data Entry'!E37), "", 'Data Entry'!E37)</f>
      </c>
      <c r="F37">
        <f>IF(ISBLANK('Data Entry'!F37), "", 'Data Entry'!F37)</f>
      </c>
      <c r="G37">
        <f>IF(ISBLANK('Data Entry'!G37), "", 'Data Entry'!G37)</f>
      </c>
      <c r="H37">
        <f>IF(ISBLANK('Data Entry'!H37), "", 'Data Entry'!H37)</f>
      </c>
      <c r="I37">
        <f>IF(ISBLANK('Data Entry'!I37), "", 'Data Entry'!I37)</f>
      </c>
      <c r="J37">
        <f>IF(ISBLANK('Data Entry'!J37), "", 'Data Entry'!J37)</f>
      </c>
      <c r="K37">
        <f>IF(ISBLANK('Data Entry'!K37), "", 'Data Entry'!K37)</f>
      </c>
      <c r="L37">
        <f>IF(ISBLANK('Data Entry'!L37), "", 'Data Entry'!L37)</f>
      </c>
      <c r="M37">
        <f>IF(ISBLANK('Data Entry'!M37), "", 'Data Entry'!M37)</f>
      </c>
      <c r="N37">
        <f>IF(ISBLANK('Data Entry'!N37), "", 'Data Entry'!N37)</f>
      </c>
      <c r="O37">
        <f>IF(ISBLANK('Data Entry'!O37), "", 'Data Entry'!O37)</f>
      </c>
      <c r="P37">
        <f>IF(ISBLANK('Data Entry'!P37), "", 'Data Entry'!P37)</f>
      </c>
      <c r="Q37">
        <f>IF(ISBLANK('Data Entry'!Q37), "", 'Data Entry'!Q37)</f>
      </c>
      <c r="R37">
        <f>IF(ISBLANK('Data Entry'!R37), "", 'Data Entry'!R37)</f>
      </c>
      <c r="S37">
        <f>IF(ISBLANK('Data Entry'!S37), "", 'Data Entry'!S37)</f>
      </c>
      <c r="T37">
        <f>IF(ISBLANK('Data Entry'!T37), "", 'Data Entry'!T37)</f>
      </c>
      <c r="U37">
        <f>IF(ISBLANK('Data Entry'!U37), "", 'Data Entry'!U37)</f>
      </c>
      <c r="V37">
        <f>IF(ISBLANK('Data Entry'!V37), "", 'Data Entry'!V37)</f>
      </c>
      <c r="W37">
        <f>IF(ISBLANK('Data Entry'!W37), "", 'Data Entry'!W37)</f>
      </c>
      <c r="X37">
        <f>IF(ISBLANK('Data Entry'!X37), "", 'Data Entry'!X37)</f>
      </c>
      <c r="Y37">
        <f>IF(ISBLANK('Data Entry'!Y37), "", 'Data Entry'!Y37)</f>
      </c>
      <c r="Z37">
        <f>IF(ISBLANK('Data Entry'!Z37), "", 'Data Entry'!Z37)</f>
      </c>
      <c r="AA37">
        <f>IF(ISBLANK('Data Entry'![37), "", 'Data Entry'![37)</f>
      </c>
      <c r="AB37">
        <f>IF(ISBLANK('Data Entry'!\37), "", 'Data Entry'!\37)</f>
      </c>
      <c r="AC37">
        <f>IF(ISBLANK('Data Entry'!]37), "", 'Data Entry'!]37)</f>
      </c>
      <c r="AD37">
        <f>IF(ISBLANK('Data Entry'!^37), "", 'Data Entry'!^37)</f>
      </c>
      <c r="AE37">
        <f>IF(ISBLANK('Data Entry'!_37), "", 'Data Entry'!_37)</f>
      </c>
      <c r="AF37">
        <f>IF(ISBLANK('Data Entry'!`37), "", 'Data Entry'!`37)</f>
      </c>
      <c r="AG37">
        <f>IF(ISBLANK('Data Entry'!a37), "", 'Data Entry'!a37)</f>
      </c>
      <c r="AH37">
        <f>IF(ISBLANK('Data Entry'!b37), "", 'Data Entry'!b37)</f>
      </c>
      <c r="AI37">
        <f>IF(ISBLANK('Data Entry'!c37), "", 'Data Entry'!c37)</f>
      </c>
      <c r="AJ37">
        <f>IF(ISBLANK('Data Entry'!d37), "", 'Data Entry'!d37)</f>
      </c>
      <c r="AK37">
        <f>IF(ISBLANK('Data Entry'!e37), "", 'Data Entry'!e37)</f>
      </c>
      <c r="AL37">
        <f>IF(ISBLANK('Data Entry'!f37), "", 'Data Entry'!f37)</f>
      </c>
      <c r="AM37">
        <f>IF(ISBLANK('Data Entry'!g37), "", 'Data Entry'!g37)</f>
      </c>
      <c r="AN37">
        <f>IF(ISBLANK('Data Entry'!h37), "", 'Data Entry'!h37)</f>
      </c>
    </row>
    <row r="38" spans="1:40" x14ac:dyDescent="0.25">
      <c r="A38">
        <f>IF(ISBLANK('Data Entry'!A38), "", 'Data Entry'!A38)</f>
      </c>
      <c r="B38">
        <f>IF(ISBLANK('Data Entry'!B38), "", 'Data Entry'!B38)</f>
      </c>
      <c r="C38">
        <f>IF(ISBLANK('Data Entry'!C38), "", 'Data Entry'!C38)</f>
      </c>
      <c r="D38">
        <f>IF(ISBLANK('Data Entry'!D38), "", 'Data Entry'!D38)</f>
      </c>
      <c r="E38">
        <f>IF(ISBLANK('Data Entry'!E38), "", 'Data Entry'!E38)</f>
      </c>
      <c r="F38">
        <f>IF(ISBLANK('Data Entry'!F38), "", 'Data Entry'!F38)</f>
      </c>
      <c r="G38">
        <f>IF(ISBLANK('Data Entry'!G38), "", 'Data Entry'!G38)</f>
      </c>
      <c r="H38">
        <f>IF(ISBLANK('Data Entry'!H38), "", 'Data Entry'!H38)</f>
      </c>
      <c r="I38">
        <f>IF(ISBLANK('Data Entry'!I38), "", 'Data Entry'!I38)</f>
      </c>
      <c r="J38">
        <f>IF(ISBLANK('Data Entry'!J38), "", 'Data Entry'!J38)</f>
      </c>
      <c r="K38">
        <f>IF(ISBLANK('Data Entry'!K38), "", 'Data Entry'!K38)</f>
      </c>
      <c r="L38">
        <f>IF(ISBLANK('Data Entry'!L38), "", 'Data Entry'!L38)</f>
      </c>
      <c r="M38">
        <f>IF(ISBLANK('Data Entry'!M38), "", 'Data Entry'!M38)</f>
      </c>
      <c r="N38">
        <f>IF(ISBLANK('Data Entry'!N38), "", 'Data Entry'!N38)</f>
      </c>
      <c r="O38">
        <f>IF(ISBLANK('Data Entry'!O38), "", 'Data Entry'!O38)</f>
      </c>
      <c r="P38">
        <f>IF(ISBLANK('Data Entry'!P38), "", 'Data Entry'!P38)</f>
      </c>
      <c r="Q38">
        <f>IF(ISBLANK('Data Entry'!Q38), "", 'Data Entry'!Q38)</f>
      </c>
      <c r="R38">
        <f>IF(ISBLANK('Data Entry'!R38), "", 'Data Entry'!R38)</f>
      </c>
      <c r="S38">
        <f>IF(ISBLANK('Data Entry'!S38), "", 'Data Entry'!S38)</f>
      </c>
      <c r="T38">
        <f>IF(ISBLANK('Data Entry'!T38), "", 'Data Entry'!T38)</f>
      </c>
      <c r="U38">
        <f>IF(ISBLANK('Data Entry'!U38), "", 'Data Entry'!U38)</f>
      </c>
      <c r="V38">
        <f>IF(ISBLANK('Data Entry'!V38), "", 'Data Entry'!V38)</f>
      </c>
      <c r="W38">
        <f>IF(ISBLANK('Data Entry'!W38), "", 'Data Entry'!W38)</f>
      </c>
      <c r="X38">
        <f>IF(ISBLANK('Data Entry'!X38), "", 'Data Entry'!X38)</f>
      </c>
      <c r="Y38">
        <f>IF(ISBLANK('Data Entry'!Y38), "", 'Data Entry'!Y38)</f>
      </c>
      <c r="Z38">
        <f>IF(ISBLANK('Data Entry'!Z38), "", 'Data Entry'!Z38)</f>
      </c>
      <c r="AA38">
        <f>IF(ISBLANK('Data Entry'![38), "", 'Data Entry'![38)</f>
      </c>
      <c r="AB38">
        <f>IF(ISBLANK('Data Entry'!\38), "", 'Data Entry'!\38)</f>
      </c>
      <c r="AC38">
        <f>IF(ISBLANK('Data Entry'!]38), "", 'Data Entry'!]38)</f>
      </c>
      <c r="AD38">
        <f>IF(ISBLANK('Data Entry'!^38), "", 'Data Entry'!^38)</f>
      </c>
      <c r="AE38">
        <f>IF(ISBLANK('Data Entry'!_38), "", 'Data Entry'!_38)</f>
      </c>
      <c r="AF38">
        <f>IF(ISBLANK('Data Entry'!`38), "", 'Data Entry'!`38)</f>
      </c>
      <c r="AG38">
        <f>IF(ISBLANK('Data Entry'!a38), "", 'Data Entry'!a38)</f>
      </c>
      <c r="AH38">
        <f>IF(ISBLANK('Data Entry'!b38), "", 'Data Entry'!b38)</f>
      </c>
      <c r="AI38">
        <f>IF(ISBLANK('Data Entry'!c38), "", 'Data Entry'!c38)</f>
      </c>
      <c r="AJ38">
        <f>IF(ISBLANK('Data Entry'!d38), "", 'Data Entry'!d38)</f>
      </c>
      <c r="AK38">
        <f>IF(ISBLANK('Data Entry'!e38), "", 'Data Entry'!e38)</f>
      </c>
      <c r="AL38">
        <f>IF(ISBLANK('Data Entry'!f38), "", 'Data Entry'!f38)</f>
      </c>
      <c r="AM38">
        <f>IF(ISBLANK('Data Entry'!g38), "", 'Data Entry'!g38)</f>
      </c>
      <c r="AN38">
        <f>IF(ISBLANK('Data Entry'!h38), "", 'Data Entry'!h38)</f>
      </c>
    </row>
    <row r="39" spans="1:40" x14ac:dyDescent="0.25">
      <c r="A39">
        <f>IF(ISBLANK('Data Entry'!A39), "", 'Data Entry'!A39)</f>
      </c>
      <c r="B39">
        <f>IF(ISBLANK('Data Entry'!B39), "", 'Data Entry'!B39)</f>
      </c>
      <c r="C39">
        <f>IF(ISBLANK('Data Entry'!C39), "", 'Data Entry'!C39)</f>
      </c>
      <c r="D39">
        <f>IF(ISBLANK('Data Entry'!D39), "", 'Data Entry'!D39)</f>
      </c>
      <c r="E39">
        <f>IF(ISBLANK('Data Entry'!E39), "", 'Data Entry'!E39)</f>
      </c>
      <c r="F39">
        <f>IF(ISBLANK('Data Entry'!F39), "", 'Data Entry'!F39)</f>
      </c>
      <c r="G39">
        <f>IF(ISBLANK('Data Entry'!G39), "", 'Data Entry'!G39)</f>
      </c>
      <c r="H39">
        <f>IF(ISBLANK('Data Entry'!H39), "", 'Data Entry'!H39)</f>
      </c>
      <c r="I39">
        <f>IF(ISBLANK('Data Entry'!I39), "", 'Data Entry'!I39)</f>
      </c>
      <c r="J39">
        <f>IF(ISBLANK('Data Entry'!J39), "", 'Data Entry'!J39)</f>
      </c>
      <c r="K39">
        <f>IF(ISBLANK('Data Entry'!K39), "", 'Data Entry'!K39)</f>
      </c>
      <c r="L39">
        <f>IF(ISBLANK('Data Entry'!L39), "", 'Data Entry'!L39)</f>
      </c>
      <c r="M39">
        <f>IF(ISBLANK('Data Entry'!M39), "", 'Data Entry'!M39)</f>
      </c>
      <c r="N39">
        <f>IF(ISBLANK('Data Entry'!N39), "", 'Data Entry'!N39)</f>
      </c>
      <c r="O39">
        <f>IF(ISBLANK('Data Entry'!O39), "", 'Data Entry'!O39)</f>
      </c>
      <c r="P39">
        <f>IF(ISBLANK('Data Entry'!P39), "", 'Data Entry'!P39)</f>
      </c>
      <c r="Q39">
        <f>IF(ISBLANK('Data Entry'!Q39), "", 'Data Entry'!Q39)</f>
      </c>
      <c r="R39">
        <f>IF(ISBLANK('Data Entry'!R39), "", 'Data Entry'!R39)</f>
      </c>
      <c r="S39">
        <f>IF(ISBLANK('Data Entry'!S39), "", 'Data Entry'!S39)</f>
      </c>
      <c r="T39">
        <f>IF(ISBLANK('Data Entry'!T39), "", 'Data Entry'!T39)</f>
      </c>
      <c r="U39">
        <f>IF(ISBLANK('Data Entry'!U39), "", 'Data Entry'!U39)</f>
      </c>
      <c r="V39">
        <f>IF(ISBLANK('Data Entry'!V39), "", 'Data Entry'!V39)</f>
      </c>
      <c r="W39">
        <f>IF(ISBLANK('Data Entry'!W39), "", 'Data Entry'!W39)</f>
      </c>
      <c r="X39">
        <f>IF(ISBLANK('Data Entry'!X39), "", 'Data Entry'!X39)</f>
      </c>
      <c r="Y39">
        <f>IF(ISBLANK('Data Entry'!Y39), "", 'Data Entry'!Y39)</f>
      </c>
      <c r="Z39">
        <f>IF(ISBLANK('Data Entry'!Z39), "", 'Data Entry'!Z39)</f>
      </c>
      <c r="AA39">
        <f>IF(ISBLANK('Data Entry'![39), "", 'Data Entry'![39)</f>
      </c>
      <c r="AB39">
        <f>IF(ISBLANK('Data Entry'!\39), "", 'Data Entry'!\39)</f>
      </c>
      <c r="AC39">
        <f>IF(ISBLANK('Data Entry'!]39), "", 'Data Entry'!]39)</f>
      </c>
      <c r="AD39">
        <f>IF(ISBLANK('Data Entry'!^39), "", 'Data Entry'!^39)</f>
      </c>
      <c r="AE39">
        <f>IF(ISBLANK('Data Entry'!_39), "", 'Data Entry'!_39)</f>
      </c>
      <c r="AF39">
        <f>IF(ISBLANK('Data Entry'!`39), "", 'Data Entry'!`39)</f>
      </c>
      <c r="AG39">
        <f>IF(ISBLANK('Data Entry'!a39), "", 'Data Entry'!a39)</f>
      </c>
      <c r="AH39">
        <f>IF(ISBLANK('Data Entry'!b39), "", 'Data Entry'!b39)</f>
      </c>
      <c r="AI39">
        <f>IF(ISBLANK('Data Entry'!c39), "", 'Data Entry'!c39)</f>
      </c>
      <c r="AJ39">
        <f>IF(ISBLANK('Data Entry'!d39), "", 'Data Entry'!d39)</f>
      </c>
      <c r="AK39">
        <f>IF(ISBLANK('Data Entry'!e39), "", 'Data Entry'!e39)</f>
      </c>
      <c r="AL39">
        <f>IF(ISBLANK('Data Entry'!f39), "", 'Data Entry'!f39)</f>
      </c>
      <c r="AM39">
        <f>IF(ISBLANK('Data Entry'!g39), "", 'Data Entry'!g39)</f>
      </c>
      <c r="AN39">
        <f>IF(ISBLANK('Data Entry'!h39), "", 'Data Entry'!h39)</f>
      </c>
    </row>
    <row r="40" spans="1:40" x14ac:dyDescent="0.25">
      <c r="A40">
        <f>IF(ISBLANK('Data Entry'!A40), "", 'Data Entry'!A40)</f>
      </c>
      <c r="B40">
        <f>IF(ISBLANK('Data Entry'!B40), "", 'Data Entry'!B40)</f>
      </c>
      <c r="C40">
        <f>IF(ISBLANK('Data Entry'!C40), "", 'Data Entry'!C40)</f>
      </c>
      <c r="D40">
        <f>IF(ISBLANK('Data Entry'!D40), "", 'Data Entry'!D40)</f>
      </c>
      <c r="E40">
        <f>IF(ISBLANK('Data Entry'!E40), "", 'Data Entry'!E40)</f>
      </c>
      <c r="F40">
        <f>IF(ISBLANK('Data Entry'!F40), "", 'Data Entry'!F40)</f>
      </c>
      <c r="G40">
        <f>IF(ISBLANK('Data Entry'!G40), "", 'Data Entry'!G40)</f>
      </c>
      <c r="H40">
        <f>IF(ISBLANK('Data Entry'!H40), "", 'Data Entry'!H40)</f>
      </c>
      <c r="I40">
        <f>IF(ISBLANK('Data Entry'!I40), "", 'Data Entry'!I40)</f>
      </c>
      <c r="J40">
        <f>IF(ISBLANK('Data Entry'!J40), "", 'Data Entry'!J40)</f>
      </c>
      <c r="K40">
        <f>IF(ISBLANK('Data Entry'!K40), "", 'Data Entry'!K40)</f>
      </c>
      <c r="L40">
        <f>IF(ISBLANK('Data Entry'!L40), "", 'Data Entry'!L40)</f>
      </c>
      <c r="M40">
        <f>IF(ISBLANK('Data Entry'!M40), "", 'Data Entry'!M40)</f>
      </c>
      <c r="N40">
        <f>IF(ISBLANK('Data Entry'!N40), "", 'Data Entry'!N40)</f>
      </c>
      <c r="O40">
        <f>IF(ISBLANK('Data Entry'!O40), "", 'Data Entry'!O40)</f>
      </c>
      <c r="P40">
        <f>IF(ISBLANK('Data Entry'!P40), "", 'Data Entry'!P40)</f>
      </c>
      <c r="Q40">
        <f>IF(ISBLANK('Data Entry'!Q40), "", 'Data Entry'!Q40)</f>
      </c>
      <c r="R40">
        <f>IF(ISBLANK('Data Entry'!R40), "", 'Data Entry'!R40)</f>
      </c>
      <c r="S40">
        <f>IF(ISBLANK('Data Entry'!S40), "", 'Data Entry'!S40)</f>
      </c>
      <c r="T40">
        <f>IF(ISBLANK('Data Entry'!T40), "", 'Data Entry'!T40)</f>
      </c>
      <c r="U40">
        <f>IF(ISBLANK('Data Entry'!U40), "", 'Data Entry'!U40)</f>
      </c>
      <c r="V40">
        <f>IF(ISBLANK('Data Entry'!V40), "", 'Data Entry'!V40)</f>
      </c>
      <c r="W40">
        <f>IF(ISBLANK('Data Entry'!W40), "", 'Data Entry'!W40)</f>
      </c>
      <c r="X40">
        <f>IF(ISBLANK('Data Entry'!X40), "", 'Data Entry'!X40)</f>
      </c>
      <c r="Y40">
        <f>IF(ISBLANK('Data Entry'!Y40), "", 'Data Entry'!Y40)</f>
      </c>
      <c r="Z40">
        <f>IF(ISBLANK('Data Entry'!Z40), "", 'Data Entry'!Z40)</f>
      </c>
      <c r="AA40">
        <f>IF(ISBLANK('Data Entry'![40), "", 'Data Entry'![40)</f>
      </c>
      <c r="AB40">
        <f>IF(ISBLANK('Data Entry'!\40), "", 'Data Entry'!\40)</f>
      </c>
      <c r="AC40">
        <f>IF(ISBLANK('Data Entry'!]40), "", 'Data Entry'!]40)</f>
      </c>
      <c r="AD40">
        <f>IF(ISBLANK('Data Entry'!^40), "", 'Data Entry'!^40)</f>
      </c>
      <c r="AE40">
        <f>IF(ISBLANK('Data Entry'!_40), "", 'Data Entry'!_40)</f>
      </c>
      <c r="AF40">
        <f>IF(ISBLANK('Data Entry'!`40), "", 'Data Entry'!`40)</f>
      </c>
      <c r="AG40">
        <f>IF(ISBLANK('Data Entry'!a40), "", 'Data Entry'!a40)</f>
      </c>
      <c r="AH40">
        <f>IF(ISBLANK('Data Entry'!b40), "", 'Data Entry'!b40)</f>
      </c>
      <c r="AI40">
        <f>IF(ISBLANK('Data Entry'!c40), "", 'Data Entry'!c40)</f>
      </c>
      <c r="AJ40">
        <f>IF(ISBLANK('Data Entry'!d40), "", 'Data Entry'!d40)</f>
      </c>
      <c r="AK40">
        <f>IF(ISBLANK('Data Entry'!e40), "", 'Data Entry'!e40)</f>
      </c>
      <c r="AL40">
        <f>IF(ISBLANK('Data Entry'!f40), "", 'Data Entry'!f40)</f>
      </c>
      <c r="AM40">
        <f>IF(ISBLANK('Data Entry'!g40), "", 'Data Entry'!g40)</f>
      </c>
      <c r="AN40">
        <f>IF(ISBLANK('Data Entry'!h40), "", 'Data Entry'!h40)</f>
      </c>
    </row>
    <row r="41" spans="1:40" x14ac:dyDescent="0.25">
      <c r="A41">
        <f>IF(ISBLANK('Data Entry'!A41), "", 'Data Entry'!A41)</f>
      </c>
      <c r="B41">
        <f>IF(ISBLANK('Data Entry'!B41), "", 'Data Entry'!B41)</f>
      </c>
      <c r="C41">
        <f>IF(ISBLANK('Data Entry'!C41), "", 'Data Entry'!C41)</f>
      </c>
      <c r="D41">
        <f>IF(ISBLANK('Data Entry'!D41), "", 'Data Entry'!D41)</f>
      </c>
      <c r="E41">
        <f>IF(ISBLANK('Data Entry'!E41), "", 'Data Entry'!E41)</f>
      </c>
      <c r="F41">
        <f>IF(ISBLANK('Data Entry'!F41), "", 'Data Entry'!F41)</f>
      </c>
      <c r="G41">
        <f>IF(ISBLANK('Data Entry'!G41), "", 'Data Entry'!G41)</f>
      </c>
      <c r="H41">
        <f>IF(ISBLANK('Data Entry'!H41), "", 'Data Entry'!H41)</f>
      </c>
      <c r="I41">
        <f>IF(ISBLANK('Data Entry'!I41), "", 'Data Entry'!I41)</f>
      </c>
      <c r="J41">
        <f>IF(ISBLANK('Data Entry'!J41), "", 'Data Entry'!J41)</f>
      </c>
      <c r="K41">
        <f>IF(ISBLANK('Data Entry'!K41), "", 'Data Entry'!K41)</f>
      </c>
      <c r="L41">
        <f>IF(ISBLANK('Data Entry'!L41), "", 'Data Entry'!L41)</f>
      </c>
      <c r="M41">
        <f>IF(ISBLANK('Data Entry'!M41), "", 'Data Entry'!M41)</f>
      </c>
      <c r="N41">
        <f>IF(ISBLANK('Data Entry'!N41), "", 'Data Entry'!N41)</f>
      </c>
      <c r="O41">
        <f>IF(ISBLANK('Data Entry'!O41), "", 'Data Entry'!O41)</f>
      </c>
      <c r="P41">
        <f>IF(ISBLANK('Data Entry'!P41), "", 'Data Entry'!P41)</f>
      </c>
      <c r="Q41">
        <f>IF(ISBLANK('Data Entry'!Q41), "", 'Data Entry'!Q41)</f>
      </c>
      <c r="R41">
        <f>IF(ISBLANK('Data Entry'!R41), "", 'Data Entry'!R41)</f>
      </c>
      <c r="S41">
        <f>IF(ISBLANK('Data Entry'!S41), "", 'Data Entry'!S41)</f>
      </c>
      <c r="T41">
        <f>IF(ISBLANK('Data Entry'!T41), "", 'Data Entry'!T41)</f>
      </c>
      <c r="U41">
        <f>IF(ISBLANK('Data Entry'!U41), "", 'Data Entry'!U41)</f>
      </c>
      <c r="V41">
        <f>IF(ISBLANK('Data Entry'!V41), "", 'Data Entry'!V41)</f>
      </c>
      <c r="W41">
        <f>IF(ISBLANK('Data Entry'!W41), "", 'Data Entry'!W41)</f>
      </c>
      <c r="X41">
        <f>IF(ISBLANK('Data Entry'!X41), "", 'Data Entry'!X41)</f>
      </c>
      <c r="Y41">
        <f>IF(ISBLANK('Data Entry'!Y41), "", 'Data Entry'!Y41)</f>
      </c>
      <c r="Z41">
        <f>IF(ISBLANK('Data Entry'!Z41), "", 'Data Entry'!Z41)</f>
      </c>
      <c r="AA41">
        <f>IF(ISBLANK('Data Entry'![41), "", 'Data Entry'![41)</f>
      </c>
      <c r="AB41">
        <f>IF(ISBLANK('Data Entry'!\41), "", 'Data Entry'!\41)</f>
      </c>
      <c r="AC41">
        <f>IF(ISBLANK('Data Entry'!]41), "", 'Data Entry'!]41)</f>
      </c>
      <c r="AD41">
        <f>IF(ISBLANK('Data Entry'!^41), "", 'Data Entry'!^41)</f>
      </c>
      <c r="AE41">
        <f>IF(ISBLANK('Data Entry'!_41), "", 'Data Entry'!_41)</f>
      </c>
      <c r="AF41">
        <f>IF(ISBLANK('Data Entry'!`41), "", 'Data Entry'!`41)</f>
      </c>
      <c r="AG41">
        <f>IF(ISBLANK('Data Entry'!a41), "", 'Data Entry'!a41)</f>
      </c>
      <c r="AH41">
        <f>IF(ISBLANK('Data Entry'!b41), "", 'Data Entry'!b41)</f>
      </c>
      <c r="AI41">
        <f>IF(ISBLANK('Data Entry'!c41), "", 'Data Entry'!c41)</f>
      </c>
      <c r="AJ41">
        <f>IF(ISBLANK('Data Entry'!d41), "", 'Data Entry'!d41)</f>
      </c>
      <c r="AK41">
        <f>IF(ISBLANK('Data Entry'!e41), "", 'Data Entry'!e41)</f>
      </c>
      <c r="AL41">
        <f>IF(ISBLANK('Data Entry'!f41), "", 'Data Entry'!f41)</f>
      </c>
      <c r="AM41">
        <f>IF(ISBLANK('Data Entry'!g41), "", 'Data Entry'!g41)</f>
      </c>
      <c r="AN41">
        <f>IF(ISBLANK('Data Entry'!h41), "", 'Data Entry'!h41)</f>
      </c>
    </row>
    <row r="42" spans="1:40" x14ac:dyDescent="0.25">
      <c r="A42">
        <f>IF(ISBLANK('Data Entry'!A42), "", 'Data Entry'!A42)</f>
      </c>
      <c r="B42">
        <f>IF(ISBLANK('Data Entry'!B42), "", 'Data Entry'!B42)</f>
      </c>
      <c r="C42">
        <f>IF(ISBLANK('Data Entry'!C42), "", 'Data Entry'!C42)</f>
      </c>
      <c r="D42">
        <f>IF(ISBLANK('Data Entry'!D42), "", 'Data Entry'!D42)</f>
      </c>
      <c r="E42">
        <f>IF(ISBLANK('Data Entry'!E42), "", 'Data Entry'!E42)</f>
      </c>
      <c r="F42">
        <f>IF(ISBLANK('Data Entry'!F42), "", 'Data Entry'!F42)</f>
      </c>
      <c r="G42">
        <f>IF(ISBLANK('Data Entry'!G42), "", 'Data Entry'!G42)</f>
      </c>
      <c r="H42">
        <f>IF(ISBLANK('Data Entry'!H42), "", 'Data Entry'!H42)</f>
      </c>
      <c r="I42">
        <f>IF(ISBLANK('Data Entry'!I42), "", 'Data Entry'!I42)</f>
      </c>
      <c r="J42">
        <f>IF(ISBLANK('Data Entry'!J42), "", 'Data Entry'!J42)</f>
      </c>
      <c r="K42">
        <f>IF(ISBLANK('Data Entry'!K42), "", 'Data Entry'!K42)</f>
      </c>
      <c r="L42">
        <f>IF(ISBLANK('Data Entry'!L42), "", 'Data Entry'!L42)</f>
      </c>
      <c r="M42">
        <f>IF(ISBLANK('Data Entry'!M42), "", 'Data Entry'!M42)</f>
      </c>
      <c r="N42">
        <f>IF(ISBLANK('Data Entry'!N42), "", 'Data Entry'!N42)</f>
      </c>
      <c r="O42">
        <f>IF(ISBLANK('Data Entry'!O42), "", 'Data Entry'!O42)</f>
      </c>
      <c r="P42">
        <f>IF(ISBLANK('Data Entry'!P42), "", 'Data Entry'!P42)</f>
      </c>
      <c r="Q42">
        <f>IF(ISBLANK('Data Entry'!Q42), "", 'Data Entry'!Q42)</f>
      </c>
      <c r="R42">
        <f>IF(ISBLANK('Data Entry'!R42), "", 'Data Entry'!R42)</f>
      </c>
      <c r="S42">
        <f>IF(ISBLANK('Data Entry'!S42), "", 'Data Entry'!S42)</f>
      </c>
      <c r="T42">
        <f>IF(ISBLANK('Data Entry'!T42), "", 'Data Entry'!T42)</f>
      </c>
      <c r="U42">
        <f>IF(ISBLANK('Data Entry'!U42), "", 'Data Entry'!U42)</f>
      </c>
      <c r="V42">
        <f>IF(ISBLANK('Data Entry'!V42), "", 'Data Entry'!V42)</f>
      </c>
      <c r="W42">
        <f>IF(ISBLANK('Data Entry'!W42), "", 'Data Entry'!W42)</f>
      </c>
      <c r="X42">
        <f>IF(ISBLANK('Data Entry'!X42), "", 'Data Entry'!X42)</f>
      </c>
      <c r="Y42">
        <f>IF(ISBLANK('Data Entry'!Y42), "", 'Data Entry'!Y42)</f>
      </c>
      <c r="Z42">
        <f>IF(ISBLANK('Data Entry'!Z42), "", 'Data Entry'!Z42)</f>
      </c>
      <c r="AA42">
        <f>IF(ISBLANK('Data Entry'![42), "", 'Data Entry'![42)</f>
      </c>
      <c r="AB42">
        <f>IF(ISBLANK('Data Entry'!\42), "", 'Data Entry'!\42)</f>
      </c>
      <c r="AC42">
        <f>IF(ISBLANK('Data Entry'!]42), "", 'Data Entry'!]42)</f>
      </c>
      <c r="AD42">
        <f>IF(ISBLANK('Data Entry'!^42), "", 'Data Entry'!^42)</f>
      </c>
      <c r="AE42">
        <f>IF(ISBLANK('Data Entry'!_42), "", 'Data Entry'!_42)</f>
      </c>
      <c r="AF42">
        <f>IF(ISBLANK('Data Entry'!`42), "", 'Data Entry'!`42)</f>
      </c>
      <c r="AG42">
        <f>IF(ISBLANK('Data Entry'!a42), "", 'Data Entry'!a42)</f>
      </c>
      <c r="AH42">
        <f>IF(ISBLANK('Data Entry'!b42), "", 'Data Entry'!b42)</f>
      </c>
      <c r="AI42">
        <f>IF(ISBLANK('Data Entry'!c42), "", 'Data Entry'!c42)</f>
      </c>
      <c r="AJ42">
        <f>IF(ISBLANK('Data Entry'!d42), "", 'Data Entry'!d42)</f>
      </c>
      <c r="AK42">
        <f>IF(ISBLANK('Data Entry'!e42), "", 'Data Entry'!e42)</f>
      </c>
      <c r="AL42">
        <f>IF(ISBLANK('Data Entry'!f42), "", 'Data Entry'!f42)</f>
      </c>
      <c r="AM42">
        <f>IF(ISBLANK('Data Entry'!g42), "", 'Data Entry'!g42)</f>
      </c>
      <c r="AN42">
        <f>IF(ISBLANK('Data Entry'!h42), "", 'Data Entry'!h42)</f>
      </c>
    </row>
    <row r="43" spans="1:40" x14ac:dyDescent="0.25">
      <c r="A43">
        <f>IF(ISBLANK('Data Entry'!A43), "", 'Data Entry'!A43)</f>
      </c>
      <c r="B43">
        <f>IF(ISBLANK('Data Entry'!B43), "", 'Data Entry'!B43)</f>
      </c>
      <c r="C43">
        <f>IF(ISBLANK('Data Entry'!C43), "", 'Data Entry'!C43)</f>
      </c>
      <c r="D43">
        <f>IF(ISBLANK('Data Entry'!D43), "", 'Data Entry'!D43)</f>
      </c>
      <c r="E43">
        <f>IF(ISBLANK('Data Entry'!E43), "", 'Data Entry'!E43)</f>
      </c>
      <c r="F43">
        <f>IF(ISBLANK('Data Entry'!F43), "", 'Data Entry'!F43)</f>
      </c>
      <c r="G43">
        <f>IF(ISBLANK('Data Entry'!G43), "", 'Data Entry'!G43)</f>
      </c>
      <c r="H43">
        <f>IF(ISBLANK('Data Entry'!H43), "", 'Data Entry'!H43)</f>
      </c>
      <c r="I43">
        <f>IF(ISBLANK('Data Entry'!I43), "", 'Data Entry'!I43)</f>
      </c>
      <c r="J43">
        <f>IF(ISBLANK('Data Entry'!J43), "", 'Data Entry'!J43)</f>
      </c>
      <c r="K43">
        <f>IF(ISBLANK('Data Entry'!K43), "", 'Data Entry'!K43)</f>
      </c>
      <c r="L43">
        <f>IF(ISBLANK('Data Entry'!L43), "", 'Data Entry'!L43)</f>
      </c>
      <c r="M43">
        <f>IF(ISBLANK('Data Entry'!M43), "", 'Data Entry'!M43)</f>
      </c>
      <c r="N43">
        <f>IF(ISBLANK('Data Entry'!N43), "", 'Data Entry'!N43)</f>
      </c>
      <c r="O43">
        <f>IF(ISBLANK('Data Entry'!O43), "", 'Data Entry'!O43)</f>
      </c>
      <c r="P43">
        <f>IF(ISBLANK('Data Entry'!P43), "", 'Data Entry'!P43)</f>
      </c>
      <c r="Q43">
        <f>IF(ISBLANK('Data Entry'!Q43), "", 'Data Entry'!Q43)</f>
      </c>
      <c r="R43">
        <f>IF(ISBLANK('Data Entry'!R43), "", 'Data Entry'!R43)</f>
      </c>
      <c r="S43">
        <f>IF(ISBLANK('Data Entry'!S43), "", 'Data Entry'!S43)</f>
      </c>
      <c r="T43">
        <f>IF(ISBLANK('Data Entry'!T43), "", 'Data Entry'!T43)</f>
      </c>
      <c r="U43">
        <f>IF(ISBLANK('Data Entry'!U43), "", 'Data Entry'!U43)</f>
      </c>
      <c r="V43">
        <f>IF(ISBLANK('Data Entry'!V43), "", 'Data Entry'!V43)</f>
      </c>
      <c r="W43">
        <f>IF(ISBLANK('Data Entry'!W43), "", 'Data Entry'!W43)</f>
      </c>
      <c r="X43">
        <f>IF(ISBLANK('Data Entry'!X43), "", 'Data Entry'!X43)</f>
      </c>
      <c r="Y43">
        <f>IF(ISBLANK('Data Entry'!Y43), "", 'Data Entry'!Y43)</f>
      </c>
      <c r="Z43">
        <f>IF(ISBLANK('Data Entry'!Z43), "", 'Data Entry'!Z43)</f>
      </c>
      <c r="AA43">
        <f>IF(ISBLANK('Data Entry'![43), "", 'Data Entry'![43)</f>
      </c>
      <c r="AB43">
        <f>IF(ISBLANK('Data Entry'!\43), "", 'Data Entry'!\43)</f>
      </c>
      <c r="AC43">
        <f>IF(ISBLANK('Data Entry'!]43), "", 'Data Entry'!]43)</f>
      </c>
      <c r="AD43">
        <f>IF(ISBLANK('Data Entry'!^43), "", 'Data Entry'!^43)</f>
      </c>
      <c r="AE43">
        <f>IF(ISBLANK('Data Entry'!_43), "", 'Data Entry'!_43)</f>
      </c>
      <c r="AF43">
        <f>IF(ISBLANK('Data Entry'!`43), "", 'Data Entry'!`43)</f>
      </c>
      <c r="AG43">
        <f>IF(ISBLANK('Data Entry'!a43), "", 'Data Entry'!a43)</f>
      </c>
      <c r="AH43">
        <f>IF(ISBLANK('Data Entry'!b43), "", 'Data Entry'!b43)</f>
      </c>
      <c r="AI43">
        <f>IF(ISBLANK('Data Entry'!c43), "", 'Data Entry'!c43)</f>
      </c>
      <c r="AJ43">
        <f>IF(ISBLANK('Data Entry'!d43), "", 'Data Entry'!d43)</f>
      </c>
      <c r="AK43">
        <f>IF(ISBLANK('Data Entry'!e43), "", 'Data Entry'!e43)</f>
      </c>
      <c r="AL43">
        <f>IF(ISBLANK('Data Entry'!f43), "", 'Data Entry'!f43)</f>
      </c>
      <c r="AM43">
        <f>IF(ISBLANK('Data Entry'!g43), "", 'Data Entry'!g43)</f>
      </c>
      <c r="AN43">
        <f>IF(ISBLANK('Data Entry'!h43), "", 'Data Entry'!h43)</f>
      </c>
    </row>
    <row r="44" spans="1:40" x14ac:dyDescent="0.25">
      <c r="A44">
        <f>IF(ISBLANK('Data Entry'!A44), "", 'Data Entry'!A44)</f>
      </c>
      <c r="B44">
        <f>IF(ISBLANK('Data Entry'!B44), "", 'Data Entry'!B44)</f>
      </c>
      <c r="C44">
        <f>IF(ISBLANK('Data Entry'!C44), "", 'Data Entry'!C44)</f>
      </c>
      <c r="D44">
        <f>IF(ISBLANK('Data Entry'!D44), "", 'Data Entry'!D44)</f>
      </c>
      <c r="E44">
        <f>IF(ISBLANK('Data Entry'!E44), "", 'Data Entry'!E44)</f>
      </c>
      <c r="F44">
        <f>IF(ISBLANK('Data Entry'!F44), "", 'Data Entry'!F44)</f>
      </c>
      <c r="G44">
        <f>IF(ISBLANK('Data Entry'!G44), "", 'Data Entry'!G44)</f>
      </c>
      <c r="H44">
        <f>IF(ISBLANK('Data Entry'!H44), "", 'Data Entry'!H44)</f>
      </c>
      <c r="I44">
        <f>IF(ISBLANK('Data Entry'!I44), "", 'Data Entry'!I44)</f>
      </c>
      <c r="J44">
        <f>IF(ISBLANK('Data Entry'!J44), "", 'Data Entry'!J44)</f>
      </c>
      <c r="K44">
        <f>IF(ISBLANK('Data Entry'!K44), "", 'Data Entry'!K44)</f>
      </c>
      <c r="L44">
        <f>IF(ISBLANK('Data Entry'!L44), "", 'Data Entry'!L44)</f>
      </c>
      <c r="M44">
        <f>IF(ISBLANK('Data Entry'!M44), "", 'Data Entry'!M44)</f>
      </c>
      <c r="N44">
        <f>IF(ISBLANK('Data Entry'!N44), "", 'Data Entry'!N44)</f>
      </c>
      <c r="O44">
        <f>IF(ISBLANK('Data Entry'!O44), "", 'Data Entry'!O44)</f>
      </c>
      <c r="P44">
        <f>IF(ISBLANK('Data Entry'!P44), "", 'Data Entry'!P44)</f>
      </c>
      <c r="Q44">
        <f>IF(ISBLANK('Data Entry'!Q44), "", 'Data Entry'!Q44)</f>
      </c>
      <c r="R44">
        <f>IF(ISBLANK('Data Entry'!R44), "", 'Data Entry'!R44)</f>
      </c>
      <c r="S44">
        <f>IF(ISBLANK('Data Entry'!S44), "", 'Data Entry'!S44)</f>
      </c>
      <c r="T44">
        <f>IF(ISBLANK('Data Entry'!T44), "", 'Data Entry'!T44)</f>
      </c>
      <c r="U44">
        <f>IF(ISBLANK('Data Entry'!U44), "", 'Data Entry'!U44)</f>
      </c>
      <c r="V44">
        <f>IF(ISBLANK('Data Entry'!V44), "", 'Data Entry'!V44)</f>
      </c>
      <c r="W44">
        <f>IF(ISBLANK('Data Entry'!W44), "", 'Data Entry'!W44)</f>
      </c>
      <c r="X44">
        <f>IF(ISBLANK('Data Entry'!X44), "", 'Data Entry'!X44)</f>
      </c>
      <c r="Y44">
        <f>IF(ISBLANK('Data Entry'!Y44), "", 'Data Entry'!Y44)</f>
      </c>
      <c r="Z44">
        <f>IF(ISBLANK('Data Entry'!Z44), "", 'Data Entry'!Z44)</f>
      </c>
      <c r="AA44">
        <f>IF(ISBLANK('Data Entry'![44), "", 'Data Entry'![44)</f>
      </c>
      <c r="AB44">
        <f>IF(ISBLANK('Data Entry'!\44), "", 'Data Entry'!\44)</f>
      </c>
      <c r="AC44">
        <f>IF(ISBLANK('Data Entry'!]44), "", 'Data Entry'!]44)</f>
      </c>
      <c r="AD44">
        <f>IF(ISBLANK('Data Entry'!^44), "", 'Data Entry'!^44)</f>
      </c>
      <c r="AE44">
        <f>IF(ISBLANK('Data Entry'!_44), "", 'Data Entry'!_44)</f>
      </c>
      <c r="AF44">
        <f>IF(ISBLANK('Data Entry'!`44), "", 'Data Entry'!`44)</f>
      </c>
      <c r="AG44">
        <f>IF(ISBLANK('Data Entry'!a44), "", 'Data Entry'!a44)</f>
      </c>
      <c r="AH44">
        <f>IF(ISBLANK('Data Entry'!b44), "", 'Data Entry'!b44)</f>
      </c>
      <c r="AI44">
        <f>IF(ISBLANK('Data Entry'!c44), "", 'Data Entry'!c44)</f>
      </c>
      <c r="AJ44">
        <f>IF(ISBLANK('Data Entry'!d44), "", 'Data Entry'!d44)</f>
      </c>
      <c r="AK44">
        <f>IF(ISBLANK('Data Entry'!e44), "", 'Data Entry'!e44)</f>
      </c>
      <c r="AL44">
        <f>IF(ISBLANK('Data Entry'!f44), "", 'Data Entry'!f44)</f>
      </c>
      <c r="AM44">
        <f>IF(ISBLANK('Data Entry'!g44), "", 'Data Entry'!g44)</f>
      </c>
      <c r="AN44">
        <f>IF(ISBLANK('Data Entry'!h44), "", 'Data Entry'!h44)</f>
      </c>
    </row>
    <row r="45" spans="1:40" x14ac:dyDescent="0.25">
      <c r="A45">
        <f>IF(ISBLANK('Data Entry'!A45), "", 'Data Entry'!A45)</f>
      </c>
      <c r="B45">
        <f>IF(ISBLANK('Data Entry'!B45), "", 'Data Entry'!B45)</f>
      </c>
      <c r="C45">
        <f>IF(ISBLANK('Data Entry'!C45), "", 'Data Entry'!C45)</f>
      </c>
      <c r="D45">
        <f>IF(ISBLANK('Data Entry'!D45), "", 'Data Entry'!D45)</f>
      </c>
      <c r="E45">
        <f>IF(ISBLANK('Data Entry'!E45), "", 'Data Entry'!E45)</f>
      </c>
      <c r="F45">
        <f>IF(ISBLANK('Data Entry'!F45), "", 'Data Entry'!F45)</f>
      </c>
      <c r="G45">
        <f>IF(ISBLANK('Data Entry'!G45), "", 'Data Entry'!G45)</f>
      </c>
      <c r="H45">
        <f>IF(ISBLANK('Data Entry'!H45), "", 'Data Entry'!H45)</f>
      </c>
      <c r="I45">
        <f>IF(ISBLANK('Data Entry'!I45), "", 'Data Entry'!I45)</f>
      </c>
      <c r="J45">
        <f>IF(ISBLANK('Data Entry'!J45), "", 'Data Entry'!J45)</f>
      </c>
      <c r="K45">
        <f>IF(ISBLANK('Data Entry'!K45), "", 'Data Entry'!K45)</f>
      </c>
      <c r="L45">
        <f>IF(ISBLANK('Data Entry'!L45), "", 'Data Entry'!L45)</f>
      </c>
      <c r="M45">
        <f>IF(ISBLANK('Data Entry'!M45), "", 'Data Entry'!M45)</f>
      </c>
      <c r="N45">
        <f>IF(ISBLANK('Data Entry'!N45), "", 'Data Entry'!N45)</f>
      </c>
      <c r="O45">
        <f>IF(ISBLANK('Data Entry'!O45), "", 'Data Entry'!O45)</f>
      </c>
      <c r="P45">
        <f>IF(ISBLANK('Data Entry'!P45), "", 'Data Entry'!P45)</f>
      </c>
      <c r="Q45">
        <f>IF(ISBLANK('Data Entry'!Q45), "", 'Data Entry'!Q45)</f>
      </c>
      <c r="R45">
        <f>IF(ISBLANK('Data Entry'!R45), "", 'Data Entry'!R45)</f>
      </c>
      <c r="S45">
        <f>IF(ISBLANK('Data Entry'!S45), "", 'Data Entry'!S45)</f>
      </c>
      <c r="T45">
        <f>IF(ISBLANK('Data Entry'!T45), "", 'Data Entry'!T45)</f>
      </c>
      <c r="U45">
        <f>IF(ISBLANK('Data Entry'!U45), "", 'Data Entry'!U45)</f>
      </c>
      <c r="V45">
        <f>IF(ISBLANK('Data Entry'!V45), "", 'Data Entry'!V45)</f>
      </c>
      <c r="W45">
        <f>IF(ISBLANK('Data Entry'!W45), "", 'Data Entry'!W45)</f>
      </c>
      <c r="X45">
        <f>IF(ISBLANK('Data Entry'!X45), "", 'Data Entry'!X45)</f>
      </c>
      <c r="Y45">
        <f>IF(ISBLANK('Data Entry'!Y45), "", 'Data Entry'!Y45)</f>
      </c>
      <c r="Z45">
        <f>IF(ISBLANK('Data Entry'!Z45), "", 'Data Entry'!Z45)</f>
      </c>
      <c r="AA45">
        <f>IF(ISBLANK('Data Entry'![45), "", 'Data Entry'![45)</f>
      </c>
      <c r="AB45">
        <f>IF(ISBLANK('Data Entry'!\45), "", 'Data Entry'!\45)</f>
      </c>
      <c r="AC45">
        <f>IF(ISBLANK('Data Entry'!]45), "", 'Data Entry'!]45)</f>
      </c>
      <c r="AD45">
        <f>IF(ISBLANK('Data Entry'!^45), "", 'Data Entry'!^45)</f>
      </c>
      <c r="AE45">
        <f>IF(ISBLANK('Data Entry'!_45), "", 'Data Entry'!_45)</f>
      </c>
      <c r="AF45">
        <f>IF(ISBLANK('Data Entry'!`45), "", 'Data Entry'!`45)</f>
      </c>
      <c r="AG45">
        <f>IF(ISBLANK('Data Entry'!a45), "", 'Data Entry'!a45)</f>
      </c>
      <c r="AH45">
        <f>IF(ISBLANK('Data Entry'!b45), "", 'Data Entry'!b45)</f>
      </c>
      <c r="AI45">
        <f>IF(ISBLANK('Data Entry'!c45), "", 'Data Entry'!c45)</f>
      </c>
      <c r="AJ45">
        <f>IF(ISBLANK('Data Entry'!d45), "", 'Data Entry'!d45)</f>
      </c>
      <c r="AK45">
        <f>IF(ISBLANK('Data Entry'!e45), "", 'Data Entry'!e45)</f>
      </c>
      <c r="AL45">
        <f>IF(ISBLANK('Data Entry'!f45), "", 'Data Entry'!f45)</f>
      </c>
      <c r="AM45">
        <f>IF(ISBLANK('Data Entry'!g45), "", 'Data Entry'!g45)</f>
      </c>
      <c r="AN45">
        <f>IF(ISBLANK('Data Entry'!h45), "", 'Data Entry'!h45)</f>
      </c>
    </row>
    <row r="46" spans="1:40" x14ac:dyDescent="0.25">
      <c r="A46">
        <f>IF(ISBLANK('Data Entry'!A46), "", 'Data Entry'!A46)</f>
      </c>
      <c r="B46">
        <f>IF(ISBLANK('Data Entry'!B46), "", 'Data Entry'!B46)</f>
      </c>
      <c r="C46">
        <f>IF(ISBLANK('Data Entry'!C46), "", 'Data Entry'!C46)</f>
      </c>
      <c r="D46">
        <f>IF(ISBLANK('Data Entry'!D46), "", 'Data Entry'!D46)</f>
      </c>
      <c r="E46">
        <f>IF(ISBLANK('Data Entry'!E46), "", 'Data Entry'!E46)</f>
      </c>
      <c r="F46">
        <f>IF(ISBLANK('Data Entry'!F46), "", 'Data Entry'!F46)</f>
      </c>
      <c r="G46">
        <f>IF(ISBLANK('Data Entry'!G46), "", 'Data Entry'!G46)</f>
      </c>
      <c r="H46">
        <f>IF(ISBLANK('Data Entry'!H46), "", 'Data Entry'!H46)</f>
      </c>
      <c r="I46">
        <f>IF(ISBLANK('Data Entry'!I46), "", 'Data Entry'!I46)</f>
      </c>
      <c r="J46">
        <f>IF(ISBLANK('Data Entry'!J46), "", 'Data Entry'!J46)</f>
      </c>
      <c r="K46">
        <f>IF(ISBLANK('Data Entry'!K46), "", 'Data Entry'!K46)</f>
      </c>
      <c r="L46">
        <f>IF(ISBLANK('Data Entry'!L46), "", 'Data Entry'!L46)</f>
      </c>
      <c r="M46">
        <f>IF(ISBLANK('Data Entry'!M46), "", 'Data Entry'!M46)</f>
      </c>
      <c r="N46">
        <f>IF(ISBLANK('Data Entry'!N46), "", 'Data Entry'!N46)</f>
      </c>
      <c r="O46">
        <f>IF(ISBLANK('Data Entry'!O46), "", 'Data Entry'!O46)</f>
      </c>
      <c r="P46">
        <f>IF(ISBLANK('Data Entry'!P46), "", 'Data Entry'!P46)</f>
      </c>
      <c r="Q46">
        <f>IF(ISBLANK('Data Entry'!Q46), "", 'Data Entry'!Q46)</f>
      </c>
      <c r="R46">
        <f>IF(ISBLANK('Data Entry'!R46), "", 'Data Entry'!R46)</f>
      </c>
      <c r="S46">
        <f>IF(ISBLANK('Data Entry'!S46), "", 'Data Entry'!S46)</f>
      </c>
      <c r="T46">
        <f>IF(ISBLANK('Data Entry'!T46), "", 'Data Entry'!T46)</f>
      </c>
      <c r="U46">
        <f>IF(ISBLANK('Data Entry'!U46), "", 'Data Entry'!U46)</f>
      </c>
      <c r="V46">
        <f>IF(ISBLANK('Data Entry'!V46), "", 'Data Entry'!V46)</f>
      </c>
      <c r="W46">
        <f>IF(ISBLANK('Data Entry'!W46), "", 'Data Entry'!W46)</f>
      </c>
      <c r="X46">
        <f>IF(ISBLANK('Data Entry'!X46), "", 'Data Entry'!X46)</f>
      </c>
      <c r="Y46">
        <f>IF(ISBLANK('Data Entry'!Y46), "", 'Data Entry'!Y46)</f>
      </c>
      <c r="Z46">
        <f>IF(ISBLANK('Data Entry'!Z46), "", 'Data Entry'!Z46)</f>
      </c>
      <c r="AA46">
        <f>IF(ISBLANK('Data Entry'![46), "", 'Data Entry'![46)</f>
      </c>
      <c r="AB46">
        <f>IF(ISBLANK('Data Entry'!\46), "", 'Data Entry'!\46)</f>
      </c>
      <c r="AC46">
        <f>IF(ISBLANK('Data Entry'!]46), "", 'Data Entry'!]46)</f>
      </c>
      <c r="AD46">
        <f>IF(ISBLANK('Data Entry'!^46), "", 'Data Entry'!^46)</f>
      </c>
      <c r="AE46">
        <f>IF(ISBLANK('Data Entry'!_46), "", 'Data Entry'!_46)</f>
      </c>
      <c r="AF46">
        <f>IF(ISBLANK('Data Entry'!`46), "", 'Data Entry'!`46)</f>
      </c>
      <c r="AG46">
        <f>IF(ISBLANK('Data Entry'!a46), "", 'Data Entry'!a46)</f>
      </c>
      <c r="AH46">
        <f>IF(ISBLANK('Data Entry'!b46), "", 'Data Entry'!b46)</f>
      </c>
      <c r="AI46">
        <f>IF(ISBLANK('Data Entry'!c46), "", 'Data Entry'!c46)</f>
      </c>
      <c r="AJ46">
        <f>IF(ISBLANK('Data Entry'!d46), "", 'Data Entry'!d46)</f>
      </c>
      <c r="AK46">
        <f>IF(ISBLANK('Data Entry'!e46), "", 'Data Entry'!e46)</f>
      </c>
      <c r="AL46">
        <f>IF(ISBLANK('Data Entry'!f46), "", 'Data Entry'!f46)</f>
      </c>
      <c r="AM46">
        <f>IF(ISBLANK('Data Entry'!g46), "", 'Data Entry'!g46)</f>
      </c>
      <c r="AN46">
        <f>IF(ISBLANK('Data Entry'!h46), "", 'Data Entry'!h46)</f>
      </c>
    </row>
    <row r="47" spans="1:40" x14ac:dyDescent="0.25">
      <c r="A47">
        <f>IF(ISBLANK('Data Entry'!A47), "", 'Data Entry'!A47)</f>
      </c>
      <c r="B47">
        <f>IF(ISBLANK('Data Entry'!B47), "", 'Data Entry'!B47)</f>
      </c>
      <c r="C47">
        <f>IF(ISBLANK('Data Entry'!C47), "", 'Data Entry'!C47)</f>
      </c>
      <c r="D47">
        <f>IF(ISBLANK('Data Entry'!D47), "", 'Data Entry'!D47)</f>
      </c>
      <c r="E47">
        <f>IF(ISBLANK('Data Entry'!E47), "", 'Data Entry'!E47)</f>
      </c>
      <c r="F47">
        <f>IF(ISBLANK('Data Entry'!F47), "", 'Data Entry'!F47)</f>
      </c>
      <c r="G47">
        <f>IF(ISBLANK('Data Entry'!G47), "", 'Data Entry'!G47)</f>
      </c>
      <c r="H47">
        <f>IF(ISBLANK('Data Entry'!H47), "", 'Data Entry'!H47)</f>
      </c>
      <c r="I47">
        <f>IF(ISBLANK('Data Entry'!I47), "", 'Data Entry'!I47)</f>
      </c>
      <c r="J47">
        <f>IF(ISBLANK('Data Entry'!J47), "", 'Data Entry'!J47)</f>
      </c>
      <c r="K47">
        <f>IF(ISBLANK('Data Entry'!K47), "", 'Data Entry'!K47)</f>
      </c>
      <c r="L47">
        <f>IF(ISBLANK('Data Entry'!L47), "", 'Data Entry'!L47)</f>
      </c>
      <c r="M47">
        <f>IF(ISBLANK('Data Entry'!M47), "", 'Data Entry'!M47)</f>
      </c>
      <c r="N47">
        <f>IF(ISBLANK('Data Entry'!N47), "", 'Data Entry'!N47)</f>
      </c>
      <c r="O47">
        <f>IF(ISBLANK('Data Entry'!O47), "", 'Data Entry'!O47)</f>
      </c>
      <c r="P47">
        <f>IF(ISBLANK('Data Entry'!P47), "", 'Data Entry'!P47)</f>
      </c>
      <c r="Q47">
        <f>IF(ISBLANK('Data Entry'!Q47), "", 'Data Entry'!Q47)</f>
      </c>
      <c r="R47">
        <f>IF(ISBLANK('Data Entry'!R47), "", 'Data Entry'!R47)</f>
      </c>
      <c r="S47">
        <f>IF(ISBLANK('Data Entry'!S47), "", 'Data Entry'!S47)</f>
      </c>
      <c r="T47">
        <f>IF(ISBLANK('Data Entry'!T47), "", 'Data Entry'!T47)</f>
      </c>
      <c r="U47">
        <f>IF(ISBLANK('Data Entry'!U47), "", 'Data Entry'!U47)</f>
      </c>
      <c r="V47">
        <f>IF(ISBLANK('Data Entry'!V47), "", 'Data Entry'!V47)</f>
      </c>
      <c r="W47">
        <f>IF(ISBLANK('Data Entry'!W47), "", 'Data Entry'!W47)</f>
      </c>
      <c r="X47">
        <f>IF(ISBLANK('Data Entry'!X47), "", 'Data Entry'!X47)</f>
      </c>
      <c r="Y47">
        <f>IF(ISBLANK('Data Entry'!Y47), "", 'Data Entry'!Y47)</f>
      </c>
      <c r="Z47">
        <f>IF(ISBLANK('Data Entry'!Z47), "", 'Data Entry'!Z47)</f>
      </c>
      <c r="AA47">
        <f>IF(ISBLANK('Data Entry'![47), "", 'Data Entry'![47)</f>
      </c>
      <c r="AB47">
        <f>IF(ISBLANK('Data Entry'!\47), "", 'Data Entry'!\47)</f>
      </c>
      <c r="AC47">
        <f>IF(ISBLANK('Data Entry'!]47), "", 'Data Entry'!]47)</f>
      </c>
      <c r="AD47">
        <f>IF(ISBLANK('Data Entry'!^47), "", 'Data Entry'!^47)</f>
      </c>
      <c r="AE47">
        <f>IF(ISBLANK('Data Entry'!_47), "", 'Data Entry'!_47)</f>
      </c>
      <c r="AF47">
        <f>IF(ISBLANK('Data Entry'!`47), "", 'Data Entry'!`47)</f>
      </c>
      <c r="AG47">
        <f>IF(ISBLANK('Data Entry'!a47), "", 'Data Entry'!a47)</f>
      </c>
      <c r="AH47">
        <f>IF(ISBLANK('Data Entry'!b47), "", 'Data Entry'!b47)</f>
      </c>
      <c r="AI47">
        <f>IF(ISBLANK('Data Entry'!c47), "", 'Data Entry'!c47)</f>
      </c>
      <c r="AJ47">
        <f>IF(ISBLANK('Data Entry'!d47), "", 'Data Entry'!d47)</f>
      </c>
      <c r="AK47">
        <f>IF(ISBLANK('Data Entry'!e47), "", 'Data Entry'!e47)</f>
      </c>
      <c r="AL47">
        <f>IF(ISBLANK('Data Entry'!f47), "", 'Data Entry'!f47)</f>
      </c>
      <c r="AM47">
        <f>IF(ISBLANK('Data Entry'!g47), "", 'Data Entry'!g47)</f>
      </c>
      <c r="AN47">
        <f>IF(ISBLANK('Data Entry'!h47), "", 'Data Entry'!h47)</f>
      </c>
    </row>
    <row r="48" spans="1:40" x14ac:dyDescent="0.25">
      <c r="A48">
        <f>IF(ISBLANK('Data Entry'!A48), "", 'Data Entry'!A48)</f>
      </c>
      <c r="B48">
        <f>IF(ISBLANK('Data Entry'!B48), "", 'Data Entry'!B48)</f>
      </c>
      <c r="C48">
        <f>IF(ISBLANK('Data Entry'!C48), "", 'Data Entry'!C48)</f>
      </c>
      <c r="D48">
        <f>IF(ISBLANK('Data Entry'!D48), "", 'Data Entry'!D48)</f>
      </c>
      <c r="E48">
        <f>IF(ISBLANK('Data Entry'!E48), "", 'Data Entry'!E48)</f>
      </c>
      <c r="F48">
        <f>IF(ISBLANK('Data Entry'!F48), "", 'Data Entry'!F48)</f>
      </c>
      <c r="G48">
        <f>IF(ISBLANK('Data Entry'!G48), "", 'Data Entry'!G48)</f>
      </c>
      <c r="H48">
        <f>IF(ISBLANK('Data Entry'!H48), "", 'Data Entry'!H48)</f>
      </c>
      <c r="I48">
        <f>IF(ISBLANK('Data Entry'!I48), "", 'Data Entry'!I48)</f>
      </c>
      <c r="J48">
        <f>IF(ISBLANK('Data Entry'!J48), "", 'Data Entry'!J48)</f>
      </c>
      <c r="K48">
        <f>IF(ISBLANK('Data Entry'!K48), "", 'Data Entry'!K48)</f>
      </c>
      <c r="L48">
        <f>IF(ISBLANK('Data Entry'!L48), "", 'Data Entry'!L48)</f>
      </c>
      <c r="M48">
        <f>IF(ISBLANK('Data Entry'!M48), "", 'Data Entry'!M48)</f>
      </c>
      <c r="N48">
        <f>IF(ISBLANK('Data Entry'!N48), "", 'Data Entry'!N48)</f>
      </c>
      <c r="O48">
        <f>IF(ISBLANK('Data Entry'!O48), "", 'Data Entry'!O48)</f>
      </c>
      <c r="P48">
        <f>IF(ISBLANK('Data Entry'!P48), "", 'Data Entry'!P48)</f>
      </c>
      <c r="Q48">
        <f>IF(ISBLANK('Data Entry'!Q48), "", 'Data Entry'!Q48)</f>
      </c>
      <c r="R48">
        <f>IF(ISBLANK('Data Entry'!R48), "", 'Data Entry'!R48)</f>
      </c>
      <c r="S48">
        <f>IF(ISBLANK('Data Entry'!S48), "", 'Data Entry'!S48)</f>
      </c>
      <c r="T48">
        <f>IF(ISBLANK('Data Entry'!T48), "", 'Data Entry'!T48)</f>
      </c>
      <c r="U48">
        <f>IF(ISBLANK('Data Entry'!U48), "", 'Data Entry'!U48)</f>
      </c>
      <c r="V48">
        <f>IF(ISBLANK('Data Entry'!V48), "", 'Data Entry'!V48)</f>
      </c>
      <c r="W48">
        <f>IF(ISBLANK('Data Entry'!W48), "", 'Data Entry'!W48)</f>
      </c>
      <c r="X48">
        <f>IF(ISBLANK('Data Entry'!X48), "", 'Data Entry'!X48)</f>
      </c>
      <c r="Y48">
        <f>IF(ISBLANK('Data Entry'!Y48), "", 'Data Entry'!Y48)</f>
      </c>
      <c r="Z48">
        <f>IF(ISBLANK('Data Entry'!Z48), "", 'Data Entry'!Z48)</f>
      </c>
      <c r="AA48">
        <f>IF(ISBLANK('Data Entry'![48), "", 'Data Entry'![48)</f>
      </c>
      <c r="AB48">
        <f>IF(ISBLANK('Data Entry'!\48), "", 'Data Entry'!\48)</f>
      </c>
      <c r="AC48">
        <f>IF(ISBLANK('Data Entry'!]48), "", 'Data Entry'!]48)</f>
      </c>
      <c r="AD48">
        <f>IF(ISBLANK('Data Entry'!^48), "", 'Data Entry'!^48)</f>
      </c>
      <c r="AE48">
        <f>IF(ISBLANK('Data Entry'!_48), "", 'Data Entry'!_48)</f>
      </c>
      <c r="AF48">
        <f>IF(ISBLANK('Data Entry'!`48), "", 'Data Entry'!`48)</f>
      </c>
      <c r="AG48">
        <f>IF(ISBLANK('Data Entry'!a48), "", 'Data Entry'!a48)</f>
      </c>
      <c r="AH48">
        <f>IF(ISBLANK('Data Entry'!b48), "", 'Data Entry'!b48)</f>
      </c>
      <c r="AI48">
        <f>IF(ISBLANK('Data Entry'!c48), "", 'Data Entry'!c48)</f>
      </c>
      <c r="AJ48">
        <f>IF(ISBLANK('Data Entry'!d48), "", 'Data Entry'!d48)</f>
      </c>
      <c r="AK48">
        <f>IF(ISBLANK('Data Entry'!e48), "", 'Data Entry'!e48)</f>
      </c>
      <c r="AL48">
        <f>IF(ISBLANK('Data Entry'!f48), "", 'Data Entry'!f48)</f>
      </c>
      <c r="AM48">
        <f>IF(ISBLANK('Data Entry'!g48), "", 'Data Entry'!g48)</f>
      </c>
      <c r="AN48">
        <f>IF(ISBLANK('Data Entry'!h48), "", 'Data Entry'!h48)</f>
      </c>
    </row>
    <row r="49" spans="1:40" x14ac:dyDescent="0.25">
      <c r="A49">
        <f>IF(ISBLANK('Data Entry'!A49), "", 'Data Entry'!A49)</f>
      </c>
      <c r="B49">
        <f>IF(ISBLANK('Data Entry'!B49), "", 'Data Entry'!B49)</f>
      </c>
      <c r="C49">
        <f>IF(ISBLANK('Data Entry'!C49), "", 'Data Entry'!C49)</f>
      </c>
      <c r="D49">
        <f>IF(ISBLANK('Data Entry'!D49), "", 'Data Entry'!D49)</f>
      </c>
      <c r="E49">
        <f>IF(ISBLANK('Data Entry'!E49), "", 'Data Entry'!E49)</f>
      </c>
      <c r="F49">
        <f>IF(ISBLANK('Data Entry'!F49), "", 'Data Entry'!F49)</f>
      </c>
      <c r="G49">
        <f>IF(ISBLANK('Data Entry'!G49), "", 'Data Entry'!G49)</f>
      </c>
      <c r="H49">
        <f>IF(ISBLANK('Data Entry'!H49), "", 'Data Entry'!H49)</f>
      </c>
      <c r="I49">
        <f>IF(ISBLANK('Data Entry'!I49), "", 'Data Entry'!I49)</f>
      </c>
      <c r="J49">
        <f>IF(ISBLANK('Data Entry'!J49), "", 'Data Entry'!J49)</f>
      </c>
      <c r="K49">
        <f>IF(ISBLANK('Data Entry'!K49), "", 'Data Entry'!K49)</f>
      </c>
      <c r="L49">
        <f>IF(ISBLANK('Data Entry'!L49), "", 'Data Entry'!L49)</f>
      </c>
      <c r="M49">
        <f>IF(ISBLANK('Data Entry'!M49), "", 'Data Entry'!M49)</f>
      </c>
      <c r="N49">
        <f>IF(ISBLANK('Data Entry'!N49), "", 'Data Entry'!N49)</f>
      </c>
      <c r="O49">
        <f>IF(ISBLANK('Data Entry'!O49), "", 'Data Entry'!O49)</f>
      </c>
      <c r="P49">
        <f>IF(ISBLANK('Data Entry'!P49), "", 'Data Entry'!P49)</f>
      </c>
      <c r="Q49">
        <f>IF(ISBLANK('Data Entry'!Q49), "", 'Data Entry'!Q49)</f>
      </c>
      <c r="R49">
        <f>IF(ISBLANK('Data Entry'!R49), "", 'Data Entry'!R49)</f>
      </c>
      <c r="S49">
        <f>IF(ISBLANK('Data Entry'!S49), "", 'Data Entry'!S49)</f>
      </c>
      <c r="T49">
        <f>IF(ISBLANK('Data Entry'!T49), "", 'Data Entry'!T49)</f>
      </c>
      <c r="U49">
        <f>IF(ISBLANK('Data Entry'!U49), "", 'Data Entry'!U49)</f>
      </c>
      <c r="V49">
        <f>IF(ISBLANK('Data Entry'!V49), "", 'Data Entry'!V49)</f>
      </c>
      <c r="W49">
        <f>IF(ISBLANK('Data Entry'!W49), "", 'Data Entry'!W49)</f>
      </c>
      <c r="X49">
        <f>IF(ISBLANK('Data Entry'!X49), "", 'Data Entry'!X49)</f>
      </c>
      <c r="Y49">
        <f>IF(ISBLANK('Data Entry'!Y49), "", 'Data Entry'!Y49)</f>
      </c>
      <c r="Z49">
        <f>IF(ISBLANK('Data Entry'!Z49), "", 'Data Entry'!Z49)</f>
      </c>
      <c r="AA49">
        <f>IF(ISBLANK('Data Entry'![49), "", 'Data Entry'![49)</f>
      </c>
      <c r="AB49">
        <f>IF(ISBLANK('Data Entry'!\49), "", 'Data Entry'!\49)</f>
      </c>
      <c r="AC49">
        <f>IF(ISBLANK('Data Entry'!]49), "", 'Data Entry'!]49)</f>
      </c>
      <c r="AD49">
        <f>IF(ISBLANK('Data Entry'!^49), "", 'Data Entry'!^49)</f>
      </c>
      <c r="AE49">
        <f>IF(ISBLANK('Data Entry'!_49), "", 'Data Entry'!_49)</f>
      </c>
      <c r="AF49">
        <f>IF(ISBLANK('Data Entry'!`49), "", 'Data Entry'!`49)</f>
      </c>
      <c r="AG49">
        <f>IF(ISBLANK('Data Entry'!a49), "", 'Data Entry'!a49)</f>
      </c>
      <c r="AH49">
        <f>IF(ISBLANK('Data Entry'!b49), "", 'Data Entry'!b49)</f>
      </c>
      <c r="AI49">
        <f>IF(ISBLANK('Data Entry'!c49), "", 'Data Entry'!c49)</f>
      </c>
      <c r="AJ49">
        <f>IF(ISBLANK('Data Entry'!d49), "", 'Data Entry'!d49)</f>
      </c>
      <c r="AK49">
        <f>IF(ISBLANK('Data Entry'!e49), "", 'Data Entry'!e49)</f>
      </c>
      <c r="AL49">
        <f>IF(ISBLANK('Data Entry'!f49), "", 'Data Entry'!f49)</f>
      </c>
      <c r="AM49">
        <f>IF(ISBLANK('Data Entry'!g49), "", 'Data Entry'!g49)</f>
      </c>
      <c r="AN49">
        <f>IF(ISBLANK('Data Entry'!h49), "", 'Data Entry'!h49)</f>
      </c>
    </row>
    <row r="50" spans="1:40" x14ac:dyDescent="0.25">
      <c r="A50">
        <f>IF(ISBLANK('Data Entry'!A50), "", 'Data Entry'!A50)</f>
      </c>
      <c r="B50">
        <f>IF(ISBLANK('Data Entry'!B50), "", 'Data Entry'!B50)</f>
      </c>
      <c r="C50">
        <f>IF(ISBLANK('Data Entry'!C50), "", 'Data Entry'!C50)</f>
      </c>
      <c r="D50">
        <f>IF(ISBLANK('Data Entry'!D50), "", 'Data Entry'!D50)</f>
      </c>
      <c r="E50">
        <f>IF(ISBLANK('Data Entry'!E50), "", 'Data Entry'!E50)</f>
      </c>
      <c r="F50">
        <f>IF(ISBLANK('Data Entry'!F50), "", 'Data Entry'!F50)</f>
      </c>
      <c r="G50">
        <f>IF(ISBLANK('Data Entry'!G50), "", 'Data Entry'!G50)</f>
      </c>
      <c r="H50">
        <f>IF(ISBLANK('Data Entry'!H50), "", 'Data Entry'!H50)</f>
      </c>
      <c r="I50">
        <f>IF(ISBLANK('Data Entry'!I50), "", 'Data Entry'!I50)</f>
      </c>
      <c r="J50">
        <f>IF(ISBLANK('Data Entry'!J50), "", 'Data Entry'!J50)</f>
      </c>
      <c r="K50">
        <f>IF(ISBLANK('Data Entry'!K50), "", 'Data Entry'!K50)</f>
      </c>
      <c r="L50">
        <f>IF(ISBLANK('Data Entry'!L50), "", 'Data Entry'!L50)</f>
      </c>
      <c r="M50">
        <f>IF(ISBLANK('Data Entry'!M50), "", 'Data Entry'!M50)</f>
      </c>
      <c r="N50">
        <f>IF(ISBLANK('Data Entry'!N50), "", 'Data Entry'!N50)</f>
      </c>
      <c r="O50">
        <f>IF(ISBLANK('Data Entry'!O50), "", 'Data Entry'!O50)</f>
      </c>
      <c r="P50">
        <f>IF(ISBLANK('Data Entry'!P50), "", 'Data Entry'!P50)</f>
      </c>
      <c r="Q50">
        <f>IF(ISBLANK('Data Entry'!Q50), "", 'Data Entry'!Q50)</f>
      </c>
      <c r="R50">
        <f>IF(ISBLANK('Data Entry'!R50), "", 'Data Entry'!R50)</f>
      </c>
      <c r="S50">
        <f>IF(ISBLANK('Data Entry'!S50), "", 'Data Entry'!S50)</f>
      </c>
      <c r="T50">
        <f>IF(ISBLANK('Data Entry'!T50), "", 'Data Entry'!T50)</f>
      </c>
      <c r="U50">
        <f>IF(ISBLANK('Data Entry'!U50), "", 'Data Entry'!U50)</f>
      </c>
      <c r="V50">
        <f>IF(ISBLANK('Data Entry'!V50), "", 'Data Entry'!V50)</f>
      </c>
      <c r="W50">
        <f>IF(ISBLANK('Data Entry'!W50), "", 'Data Entry'!W50)</f>
      </c>
      <c r="X50">
        <f>IF(ISBLANK('Data Entry'!X50), "", 'Data Entry'!X50)</f>
      </c>
      <c r="Y50">
        <f>IF(ISBLANK('Data Entry'!Y50), "", 'Data Entry'!Y50)</f>
      </c>
      <c r="Z50">
        <f>IF(ISBLANK('Data Entry'!Z50), "", 'Data Entry'!Z50)</f>
      </c>
      <c r="AA50">
        <f>IF(ISBLANK('Data Entry'![50), "", 'Data Entry'![50)</f>
      </c>
      <c r="AB50">
        <f>IF(ISBLANK('Data Entry'!\50), "", 'Data Entry'!\50)</f>
      </c>
      <c r="AC50">
        <f>IF(ISBLANK('Data Entry'!]50), "", 'Data Entry'!]50)</f>
      </c>
      <c r="AD50">
        <f>IF(ISBLANK('Data Entry'!^50), "", 'Data Entry'!^50)</f>
      </c>
      <c r="AE50">
        <f>IF(ISBLANK('Data Entry'!_50), "", 'Data Entry'!_50)</f>
      </c>
      <c r="AF50">
        <f>IF(ISBLANK('Data Entry'!`50), "", 'Data Entry'!`50)</f>
      </c>
      <c r="AG50">
        <f>IF(ISBLANK('Data Entry'!a50), "", 'Data Entry'!a50)</f>
      </c>
      <c r="AH50">
        <f>IF(ISBLANK('Data Entry'!b50), "", 'Data Entry'!b50)</f>
      </c>
      <c r="AI50">
        <f>IF(ISBLANK('Data Entry'!c50), "", 'Data Entry'!c50)</f>
      </c>
      <c r="AJ50">
        <f>IF(ISBLANK('Data Entry'!d50), "", 'Data Entry'!d50)</f>
      </c>
      <c r="AK50">
        <f>IF(ISBLANK('Data Entry'!e50), "", 'Data Entry'!e50)</f>
      </c>
      <c r="AL50">
        <f>IF(ISBLANK('Data Entry'!f50), "", 'Data Entry'!f50)</f>
      </c>
      <c r="AM50">
        <f>IF(ISBLANK('Data Entry'!g50), "", 'Data Entry'!g50)</f>
      </c>
      <c r="AN50">
        <f>IF(ISBLANK('Data Entry'!h50), "", 'Data Entry'!h50)</f>
      </c>
    </row>
    <row r="51" spans="1:40" x14ac:dyDescent="0.25">
      <c r="A51">
        <f>IF(ISBLANK('Data Entry'!A51), "", 'Data Entry'!A51)</f>
      </c>
      <c r="B51">
        <f>IF(ISBLANK('Data Entry'!B51), "", 'Data Entry'!B51)</f>
      </c>
      <c r="C51">
        <f>IF(ISBLANK('Data Entry'!C51), "", 'Data Entry'!C51)</f>
      </c>
      <c r="D51">
        <f>IF(ISBLANK('Data Entry'!D51), "", 'Data Entry'!D51)</f>
      </c>
      <c r="E51">
        <f>IF(ISBLANK('Data Entry'!E51), "", 'Data Entry'!E51)</f>
      </c>
      <c r="F51">
        <f>IF(ISBLANK('Data Entry'!F51), "", 'Data Entry'!F51)</f>
      </c>
      <c r="G51">
        <f>IF(ISBLANK('Data Entry'!G51), "", 'Data Entry'!G51)</f>
      </c>
      <c r="H51">
        <f>IF(ISBLANK('Data Entry'!H51), "", 'Data Entry'!H51)</f>
      </c>
      <c r="I51">
        <f>IF(ISBLANK('Data Entry'!I51), "", 'Data Entry'!I51)</f>
      </c>
      <c r="J51">
        <f>IF(ISBLANK('Data Entry'!J51), "", 'Data Entry'!J51)</f>
      </c>
      <c r="K51">
        <f>IF(ISBLANK('Data Entry'!K51), "", 'Data Entry'!K51)</f>
      </c>
      <c r="L51">
        <f>IF(ISBLANK('Data Entry'!L51), "", 'Data Entry'!L51)</f>
      </c>
      <c r="M51">
        <f>IF(ISBLANK('Data Entry'!M51), "", 'Data Entry'!M51)</f>
      </c>
      <c r="N51">
        <f>IF(ISBLANK('Data Entry'!N51), "", 'Data Entry'!N51)</f>
      </c>
      <c r="O51">
        <f>IF(ISBLANK('Data Entry'!O51), "", 'Data Entry'!O51)</f>
      </c>
      <c r="P51">
        <f>IF(ISBLANK('Data Entry'!P51), "", 'Data Entry'!P51)</f>
      </c>
      <c r="Q51">
        <f>IF(ISBLANK('Data Entry'!Q51), "", 'Data Entry'!Q51)</f>
      </c>
      <c r="R51">
        <f>IF(ISBLANK('Data Entry'!R51), "", 'Data Entry'!R51)</f>
      </c>
      <c r="S51">
        <f>IF(ISBLANK('Data Entry'!S51), "", 'Data Entry'!S51)</f>
      </c>
      <c r="T51">
        <f>IF(ISBLANK('Data Entry'!T51), "", 'Data Entry'!T51)</f>
      </c>
      <c r="U51">
        <f>IF(ISBLANK('Data Entry'!U51), "", 'Data Entry'!U51)</f>
      </c>
      <c r="V51">
        <f>IF(ISBLANK('Data Entry'!V51), "", 'Data Entry'!V51)</f>
      </c>
      <c r="W51">
        <f>IF(ISBLANK('Data Entry'!W51), "", 'Data Entry'!W51)</f>
      </c>
      <c r="X51">
        <f>IF(ISBLANK('Data Entry'!X51), "", 'Data Entry'!X51)</f>
      </c>
      <c r="Y51">
        <f>IF(ISBLANK('Data Entry'!Y51), "", 'Data Entry'!Y51)</f>
      </c>
      <c r="Z51">
        <f>IF(ISBLANK('Data Entry'!Z51), "", 'Data Entry'!Z51)</f>
      </c>
      <c r="AA51">
        <f>IF(ISBLANK('Data Entry'![51), "", 'Data Entry'![51)</f>
      </c>
      <c r="AB51">
        <f>IF(ISBLANK('Data Entry'!\51), "", 'Data Entry'!\51)</f>
      </c>
      <c r="AC51">
        <f>IF(ISBLANK('Data Entry'!]51), "", 'Data Entry'!]51)</f>
      </c>
      <c r="AD51">
        <f>IF(ISBLANK('Data Entry'!^51), "", 'Data Entry'!^51)</f>
      </c>
      <c r="AE51">
        <f>IF(ISBLANK('Data Entry'!_51), "", 'Data Entry'!_51)</f>
      </c>
      <c r="AF51">
        <f>IF(ISBLANK('Data Entry'!`51), "", 'Data Entry'!`51)</f>
      </c>
      <c r="AG51">
        <f>IF(ISBLANK('Data Entry'!a51), "", 'Data Entry'!a51)</f>
      </c>
      <c r="AH51">
        <f>IF(ISBLANK('Data Entry'!b51), "", 'Data Entry'!b51)</f>
      </c>
      <c r="AI51">
        <f>IF(ISBLANK('Data Entry'!c51), "", 'Data Entry'!c51)</f>
      </c>
      <c r="AJ51">
        <f>IF(ISBLANK('Data Entry'!d51), "", 'Data Entry'!d51)</f>
      </c>
      <c r="AK51">
        <f>IF(ISBLANK('Data Entry'!e51), "", 'Data Entry'!e51)</f>
      </c>
      <c r="AL51">
        <f>IF(ISBLANK('Data Entry'!f51), "", 'Data Entry'!f51)</f>
      </c>
      <c r="AM51">
        <f>IF(ISBLANK('Data Entry'!g51), "", 'Data Entry'!g51)</f>
      </c>
      <c r="AN51">
        <f>IF(ISBLANK('Data Entry'!h51), "", 'Data Entry'!h51)</f>
      </c>
    </row>
    <row r="52" spans="1:40" x14ac:dyDescent="0.25">
      <c r="A52">
        <f>IF(ISBLANK('Data Entry'!A52), "", 'Data Entry'!A52)</f>
      </c>
      <c r="B52">
        <f>IF(ISBLANK('Data Entry'!B52), "", 'Data Entry'!B52)</f>
      </c>
      <c r="C52">
        <f>IF(ISBLANK('Data Entry'!C52), "", 'Data Entry'!C52)</f>
      </c>
      <c r="D52">
        <f>IF(ISBLANK('Data Entry'!D52), "", 'Data Entry'!D52)</f>
      </c>
      <c r="E52">
        <f>IF(ISBLANK('Data Entry'!E52), "", 'Data Entry'!E52)</f>
      </c>
      <c r="F52">
        <f>IF(ISBLANK('Data Entry'!F52), "", 'Data Entry'!F52)</f>
      </c>
      <c r="G52">
        <f>IF(ISBLANK('Data Entry'!G52), "", 'Data Entry'!G52)</f>
      </c>
      <c r="H52">
        <f>IF(ISBLANK('Data Entry'!H52), "", 'Data Entry'!H52)</f>
      </c>
      <c r="I52">
        <f>IF(ISBLANK('Data Entry'!I52), "", 'Data Entry'!I52)</f>
      </c>
      <c r="J52">
        <f>IF(ISBLANK('Data Entry'!J52), "", 'Data Entry'!J52)</f>
      </c>
      <c r="K52">
        <f>IF(ISBLANK('Data Entry'!K52), "", 'Data Entry'!K52)</f>
      </c>
      <c r="L52">
        <f>IF(ISBLANK('Data Entry'!L52), "", 'Data Entry'!L52)</f>
      </c>
      <c r="M52">
        <f>IF(ISBLANK('Data Entry'!M52), "", 'Data Entry'!M52)</f>
      </c>
      <c r="N52">
        <f>IF(ISBLANK('Data Entry'!N52), "", 'Data Entry'!N52)</f>
      </c>
      <c r="O52">
        <f>IF(ISBLANK('Data Entry'!O52), "", 'Data Entry'!O52)</f>
      </c>
      <c r="P52">
        <f>IF(ISBLANK('Data Entry'!P52), "", 'Data Entry'!P52)</f>
      </c>
      <c r="Q52">
        <f>IF(ISBLANK('Data Entry'!Q52), "", 'Data Entry'!Q52)</f>
      </c>
      <c r="R52">
        <f>IF(ISBLANK('Data Entry'!R52), "", 'Data Entry'!R52)</f>
      </c>
      <c r="S52">
        <f>IF(ISBLANK('Data Entry'!S52), "", 'Data Entry'!S52)</f>
      </c>
      <c r="T52">
        <f>IF(ISBLANK('Data Entry'!T52), "", 'Data Entry'!T52)</f>
      </c>
      <c r="U52">
        <f>IF(ISBLANK('Data Entry'!U52), "", 'Data Entry'!U52)</f>
      </c>
      <c r="V52">
        <f>IF(ISBLANK('Data Entry'!V52), "", 'Data Entry'!V52)</f>
      </c>
      <c r="W52">
        <f>IF(ISBLANK('Data Entry'!W52), "", 'Data Entry'!W52)</f>
      </c>
      <c r="X52">
        <f>IF(ISBLANK('Data Entry'!X52), "", 'Data Entry'!X52)</f>
      </c>
      <c r="Y52">
        <f>IF(ISBLANK('Data Entry'!Y52), "", 'Data Entry'!Y52)</f>
      </c>
      <c r="Z52">
        <f>IF(ISBLANK('Data Entry'!Z52), "", 'Data Entry'!Z52)</f>
      </c>
      <c r="AA52">
        <f>IF(ISBLANK('Data Entry'![52), "", 'Data Entry'![52)</f>
      </c>
      <c r="AB52">
        <f>IF(ISBLANK('Data Entry'!\52), "", 'Data Entry'!\52)</f>
      </c>
      <c r="AC52">
        <f>IF(ISBLANK('Data Entry'!]52), "", 'Data Entry'!]52)</f>
      </c>
      <c r="AD52">
        <f>IF(ISBLANK('Data Entry'!^52), "", 'Data Entry'!^52)</f>
      </c>
      <c r="AE52">
        <f>IF(ISBLANK('Data Entry'!_52), "", 'Data Entry'!_52)</f>
      </c>
      <c r="AF52">
        <f>IF(ISBLANK('Data Entry'!`52), "", 'Data Entry'!`52)</f>
      </c>
      <c r="AG52">
        <f>IF(ISBLANK('Data Entry'!a52), "", 'Data Entry'!a52)</f>
      </c>
      <c r="AH52">
        <f>IF(ISBLANK('Data Entry'!b52), "", 'Data Entry'!b52)</f>
      </c>
      <c r="AI52">
        <f>IF(ISBLANK('Data Entry'!c52), "", 'Data Entry'!c52)</f>
      </c>
      <c r="AJ52">
        <f>IF(ISBLANK('Data Entry'!d52), "", 'Data Entry'!d52)</f>
      </c>
      <c r="AK52">
        <f>IF(ISBLANK('Data Entry'!e52), "", 'Data Entry'!e52)</f>
      </c>
      <c r="AL52">
        <f>IF(ISBLANK('Data Entry'!f52), "", 'Data Entry'!f52)</f>
      </c>
      <c r="AM52">
        <f>IF(ISBLANK('Data Entry'!g52), "", 'Data Entry'!g52)</f>
      </c>
      <c r="AN52">
        <f>IF(ISBLANK('Data Entry'!h52), "", 'Data Entry'!h52)</f>
      </c>
    </row>
    <row r="53" spans="1:40" x14ac:dyDescent="0.25">
      <c r="A53">
        <f>IF(ISBLANK('Data Entry'!A53), "", 'Data Entry'!A53)</f>
      </c>
      <c r="B53">
        <f>IF(ISBLANK('Data Entry'!B53), "", 'Data Entry'!B53)</f>
      </c>
      <c r="C53">
        <f>IF(ISBLANK('Data Entry'!C53), "", 'Data Entry'!C53)</f>
      </c>
      <c r="D53">
        <f>IF(ISBLANK('Data Entry'!D53), "", 'Data Entry'!D53)</f>
      </c>
      <c r="E53">
        <f>IF(ISBLANK('Data Entry'!E53), "", 'Data Entry'!E53)</f>
      </c>
      <c r="F53">
        <f>IF(ISBLANK('Data Entry'!F53), "", 'Data Entry'!F53)</f>
      </c>
      <c r="G53">
        <f>IF(ISBLANK('Data Entry'!G53), "", 'Data Entry'!G53)</f>
      </c>
      <c r="H53">
        <f>IF(ISBLANK('Data Entry'!H53), "", 'Data Entry'!H53)</f>
      </c>
      <c r="I53">
        <f>IF(ISBLANK('Data Entry'!I53), "", 'Data Entry'!I53)</f>
      </c>
      <c r="J53">
        <f>IF(ISBLANK('Data Entry'!J53), "", 'Data Entry'!J53)</f>
      </c>
      <c r="K53">
        <f>IF(ISBLANK('Data Entry'!K53), "", 'Data Entry'!K53)</f>
      </c>
      <c r="L53">
        <f>IF(ISBLANK('Data Entry'!L53), "", 'Data Entry'!L53)</f>
      </c>
      <c r="M53">
        <f>IF(ISBLANK('Data Entry'!M53), "", 'Data Entry'!M53)</f>
      </c>
      <c r="N53">
        <f>IF(ISBLANK('Data Entry'!N53), "", 'Data Entry'!N53)</f>
      </c>
      <c r="O53">
        <f>IF(ISBLANK('Data Entry'!O53), "", 'Data Entry'!O53)</f>
      </c>
      <c r="P53">
        <f>IF(ISBLANK('Data Entry'!P53), "", 'Data Entry'!P53)</f>
      </c>
      <c r="Q53">
        <f>IF(ISBLANK('Data Entry'!Q53), "", 'Data Entry'!Q53)</f>
      </c>
      <c r="R53">
        <f>IF(ISBLANK('Data Entry'!R53), "", 'Data Entry'!R53)</f>
      </c>
      <c r="S53">
        <f>IF(ISBLANK('Data Entry'!S53), "", 'Data Entry'!S53)</f>
      </c>
      <c r="T53">
        <f>IF(ISBLANK('Data Entry'!T53), "", 'Data Entry'!T53)</f>
      </c>
      <c r="U53">
        <f>IF(ISBLANK('Data Entry'!U53), "", 'Data Entry'!U53)</f>
      </c>
      <c r="V53">
        <f>IF(ISBLANK('Data Entry'!V53), "", 'Data Entry'!V53)</f>
      </c>
      <c r="W53">
        <f>IF(ISBLANK('Data Entry'!W53), "", 'Data Entry'!W53)</f>
      </c>
      <c r="X53">
        <f>IF(ISBLANK('Data Entry'!X53), "", 'Data Entry'!X53)</f>
      </c>
      <c r="Y53">
        <f>IF(ISBLANK('Data Entry'!Y53), "", 'Data Entry'!Y53)</f>
      </c>
      <c r="Z53">
        <f>IF(ISBLANK('Data Entry'!Z53), "", 'Data Entry'!Z53)</f>
      </c>
      <c r="AA53">
        <f>IF(ISBLANK('Data Entry'![53), "", 'Data Entry'![53)</f>
      </c>
      <c r="AB53">
        <f>IF(ISBLANK('Data Entry'!\53), "", 'Data Entry'!\53)</f>
      </c>
      <c r="AC53">
        <f>IF(ISBLANK('Data Entry'!]53), "", 'Data Entry'!]53)</f>
      </c>
      <c r="AD53">
        <f>IF(ISBLANK('Data Entry'!^53), "", 'Data Entry'!^53)</f>
      </c>
      <c r="AE53">
        <f>IF(ISBLANK('Data Entry'!_53), "", 'Data Entry'!_53)</f>
      </c>
      <c r="AF53">
        <f>IF(ISBLANK('Data Entry'!`53), "", 'Data Entry'!`53)</f>
      </c>
      <c r="AG53">
        <f>IF(ISBLANK('Data Entry'!a53), "", 'Data Entry'!a53)</f>
      </c>
      <c r="AH53">
        <f>IF(ISBLANK('Data Entry'!b53), "", 'Data Entry'!b53)</f>
      </c>
      <c r="AI53">
        <f>IF(ISBLANK('Data Entry'!c53), "", 'Data Entry'!c53)</f>
      </c>
      <c r="AJ53">
        <f>IF(ISBLANK('Data Entry'!d53), "", 'Data Entry'!d53)</f>
      </c>
      <c r="AK53">
        <f>IF(ISBLANK('Data Entry'!e53), "", 'Data Entry'!e53)</f>
      </c>
      <c r="AL53">
        <f>IF(ISBLANK('Data Entry'!f53), "", 'Data Entry'!f53)</f>
      </c>
      <c r="AM53">
        <f>IF(ISBLANK('Data Entry'!g53), "", 'Data Entry'!g53)</f>
      </c>
      <c r="AN53">
        <f>IF(ISBLANK('Data Entry'!h53), "", 'Data Entry'!h53)</f>
      </c>
    </row>
    <row r="54" spans="1:40" x14ac:dyDescent="0.25">
      <c r="A54">
        <f>IF(ISBLANK('Data Entry'!A54), "", 'Data Entry'!A54)</f>
      </c>
      <c r="B54">
        <f>IF(ISBLANK('Data Entry'!B54), "", 'Data Entry'!B54)</f>
      </c>
      <c r="C54">
        <f>IF(ISBLANK('Data Entry'!C54), "", 'Data Entry'!C54)</f>
      </c>
      <c r="D54">
        <f>IF(ISBLANK('Data Entry'!D54), "", 'Data Entry'!D54)</f>
      </c>
      <c r="E54">
        <f>IF(ISBLANK('Data Entry'!E54), "", 'Data Entry'!E54)</f>
      </c>
      <c r="F54">
        <f>IF(ISBLANK('Data Entry'!F54), "", 'Data Entry'!F54)</f>
      </c>
      <c r="G54">
        <f>IF(ISBLANK('Data Entry'!G54), "", 'Data Entry'!G54)</f>
      </c>
      <c r="H54">
        <f>IF(ISBLANK('Data Entry'!H54), "", 'Data Entry'!H54)</f>
      </c>
      <c r="I54">
        <f>IF(ISBLANK('Data Entry'!I54), "", 'Data Entry'!I54)</f>
      </c>
      <c r="J54">
        <f>IF(ISBLANK('Data Entry'!J54), "", 'Data Entry'!J54)</f>
      </c>
      <c r="K54">
        <f>IF(ISBLANK('Data Entry'!K54), "", 'Data Entry'!K54)</f>
      </c>
      <c r="L54">
        <f>IF(ISBLANK('Data Entry'!L54), "", 'Data Entry'!L54)</f>
      </c>
      <c r="M54">
        <f>IF(ISBLANK('Data Entry'!M54), "", 'Data Entry'!M54)</f>
      </c>
      <c r="N54">
        <f>IF(ISBLANK('Data Entry'!N54), "", 'Data Entry'!N54)</f>
      </c>
      <c r="O54">
        <f>IF(ISBLANK('Data Entry'!O54), "", 'Data Entry'!O54)</f>
      </c>
      <c r="P54">
        <f>IF(ISBLANK('Data Entry'!P54), "", 'Data Entry'!P54)</f>
      </c>
      <c r="Q54">
        <f>IF(ISBLANK('Data Entry'!Q54), "", 'Data Entry'!Q54)</f>
      </c>
      <c r="R54">
        <f>IF(ISBLANK('Data Entry'!R54), "", 'Data Entry'!R54)</f>
      </c>
      <c r="S54">
        <f>IF(ISBLANK('Data Entry'!S54), "", 'Data Entry'!S54)</f>
      </c>
      <c r="T54">
        <f>IF(ISBLANK('Data Entry'!T54), "", 'Data Entry'!T54)</f>
      </c>
      <c r="U54">
        <f>IF(ISBLANK('Data Entry'!U54), "", 'Data Entry'!U54)</f>
      </c>
      <c r="V54">
        <f>IF(ISBLANK('Data Entry'!V54), "", 'Data Entry'!V54)</f>
      </c>
      <c r="W54">
        <f>IF(ISBLANK('Data Entry'!W54), "", 'Data Entry'!W54)</f>
      </c>
      <c r="X54">
        <f>IF(ISBLANK('Data Entry'!X54), "", 'Data Entry'!X54)</f>
      </c>
      <c r="Y54">
        <f>IF(ISBLANK('Data Entry'!Y54), "", 'Data Entry'!Y54)</f>
      </c>
      <c r="Z54">
        <f>IF(ISBLANK('Data Entry'!Z54), "", 'Data Entry'!Z54)</f>
      </c>
      <c r="AA54">
        <f>IF(ISBLANK('Data Entry'![54), "", 'Data Entry'![54)</f>
      </c>
      <c r="AB54">
        <f>IF(ISBLANK('Data Entry'!\54), "", 'Data Entry'!\54)</f>
      </c>
      <c r="AC54">
        <f>IF(ISBLANK('Data Entry'!]54), "", 'Data Entry'!]54)</f>
      </c>
      <c r="AD54">
        <f>IF(ISBLANK('Data Entry'!^54), "", 'Data Entry'!^54)</f>
      </c>
      <c r="AE54">
        <f>IF(ISBLANK('Data Entry'!_54), "", 'Data Entry'!_54)</f>
      </c>
      <c r="AF54">
        <f>IF(ISBLANK('Data Entry'!`54), "", 'Data Entry'!`54)</f>
      </c>
      <c r="AG54">
        <f>IF(ISBLANK('Data Entry'!a54), "", 'Data Entry'!a54)</f>
      </c>
      <c r="AH54">
        <f>IF(ISBLANK('Data Entry'!b54), "", 'Data Entry'!b54)</f>
      </c>
      <c r="AI54">
        <f>IF(ISBLANK('Data Entry'!c54), "", 'Data Entry'!c54)</f>
      </c>
      <c r="AJ54">
        <f>IF(ISBLANK('Data Entry'!d54), "", 'Data Entry'!d54)</f>
      </c>
      <c r="AK54">
        <f>IF(ISBLANK('Data Entry'!e54), "", 'Data Entry'!e54)</f>
      </c>
      <c r="AL54">
        <f>IF(ISBLANK('Data Entry'!f54), "", 'Data Entry'!f54)</f>
      </c>
      <c r="AM54">
        <f>IF(ISBLANK('Data Entry'!g54), "", 'Data Entry'!g54)</f>
      </c>
      <c r="AN54">
        <f>IF(ISBLANK('Data Entry'!h54), "", 'Data Entry'!h54)</f>
      </c>
    </row>
    <row r="55" spans="1:40" x14ac:dyDescent="0.25">
      <c r="A55">
        <f>IF(ISBLANK('Data Entry'!A55), "", 'Data Entry'!A55)</f>
      </c>
      <c r="B55">
        <f>IF(ISBLANK('Data Entry'!B55), "", 'Data Entry'!B55)</f>
      </c>
      <c r="C55">
        <f>IF(ISBLANK('Data Entry'!C55), "", 'Data Entry'!C55)</f>
      </c>
      <c r="D55">
        <f>IF(ISBLANK('Data Entry'!D55), "", 'Data Entry'!D55)</f>
      </c>
      <c r="E55">
        <f>IF(ISBLANK('Data Entry'!E55), "", 'Data Entry'!E55)</f>
      </c>
      <c r="F55">
        <f>IF(ISBLANK('Data Entry'!F55), "", 'Data Entry'!F55)</f>
      </c>
      <c r="G55">
        <f>IF(ISBLANK('Data Entry'!G55), "", 'Data Entry'!G55)</f>
      </c>
      <c r="H55">
        <f>IF(ISBLANK('Data Entry'!H55), "", 'Data Entry'!H55)</f>
      </c>
      <c r="I55">
        <f>IF(ISBLANK('Data Entry'!I55), "", 'Data Entry'!I55)</f>
      </c>
      <c r="J55">
        <f>IF(ISBLANK('Data Entry'!J55), "", 'Data Entry'!J55)</f>
      </c>
      <c r="K55">
        <f>IF(ISBLANK('Data Entry'!K55), "", 'Data Entry'!K55)</f>
      </c>
      <c r="L55">
        <f>IF(ISBLANK('Data Entry'!L55), "", 'Data Entry'!L55)</f>
      </c>
      <c r="M55">
        <f>IF(ISBLANK('Data Entry'!M55), "", 'Data Entry'!M55)</f>
      </c>
      <c r="N55">
        <f>IF(ISBLANK('Data Entry'!N55), "", 'Data Entry'!N55)</f>
      </c>
      <c r="O55">
        <f>IF(ISBLANK('Data Entry'!O55), "", 'Data Entry'!O55)</f>
      </c>
      <c r="P55">
        <f>IF(ISBLANK('Data Entry'!P55), "", 'Data Entry'!P55)</f>
      </c>
      <c r="Q55">
        <f>IF(ISBLANK('Data Entry'!Q55), "", 'Data Entry'!Q55)</f>
      </c>
      <c r="R55">
        <f>IF(ISBLANK('Data Entry'!R55), "", 'Data Entry'!R55)</f>
      </c>
      <c r="S55">
        <f>IF(ISBLANK('Data Entry'!S55), "", 'Data Entry'!S55)</f>
      </c>
      <c r="T55">
        <f>IF(ISBLANK('Data Entry'!T55), "", 'Data Entry'!T55)</f>
      </c>
      <c r="U55">
        <f>IF(ISBLANK('Data Entry'!U55), "", 'Data Entry'!U55)</f>
      </c>
      <c r="V55">
        <f>IF(ISBLANK('Data Entry'!V55), "", 'Data Entry'!V55)</f>
      </c>
      <c r="W55">
        <f>IF(ISBLANK('Data Entry'!W55), "", 'Data Entry'!W55)</f>
      </c>
      <c r="X55">
        <f>IF(ISBLANK('Data Entry'!X55), "", 'Data Entry'!X55)</f>
      </c>
      <c r="Y55">
        <f>IF(ISBLANK('Data Entry'!Y55), "", 'Data Entry'!Y55)</f>
      </c>
      <c r="Z55">
        <f>IF(ISBLANK('Data Entry'!Z55), "", 'Data Entry'!Z55)</f>
      </c>
      <c r="AA55">
        <f>IF(ISBLANK('Data Entry'![55), "", 'Data Entry'![55)</f>
      </c>
      <c r="AB55">
        <f>IF(ISBLANK('Data Entry'!\55), "", 'Data Entry'!\55)</f>
      </c>
      <c r="AC55">
        <f>IF(ISBLANK('Data Entry'!]55), "", 'Data Entry'!]55)</f>
      </c>
      <c r="AD55">
        <f>IF(ISBLANK('Data Entry'!^55), "", 'Data Entry'!^55)</f>
      </c>
      <c r="AE55">
        <f>IF(ISBLANK('Data Entry'!_55), "", 'Data Entry'!_55)</f>
      </c>
      <c r="AF55">
        <f>IF(ISBLANK('Data Entry'!`55), "", 'Data Entry'!`55)</f>
      </c>
      <c r="AG55">
        <f>IF(ISBLANK('Data Entry'!a55), "", 'Data Entry'!a55)</f>
      </c>
      <c r="AH55">
        <f>IF(ISBLANK('Data Entry'!b55), "", 'Data Entry'!b55)</f>
      </c>
      <c r="AI55">
        <f>IF(ISBLANK('Data Entry'!c55), "", 'Data Entry'!c55)</f>
      </c>
      <c r="AJ55">
        <f>IF(ISBLANK('Data Entry'!d55), "", 'Data Entry'!d55)</f>
      </c>
      <c r="AK55">
        <f>IF(ISBLANK('Data Entry'!e55), "", 'Data Entry'!e55)</f>
      </c>
      <c r="AL55">
        <f>IF(ISBLANK('Data Entry'!f55), "", 'Data Entry'!f55)</f>
      </c>
      <c r="AM55">
        <f>IF(ISBLANK('Data Entry'!g55), "", 'Data Entry'!g55)</f>
      </c>
      <c r="AN55">
        <f>IF(ISBLANK('Data Entry'!h55), "", 'Data Entry'!h55)</f>
      </c>
    </row>
    <row r="56" spans="1:40" x14ac:dyDescent="0.25">
      <c r="A56">
        <f>IF(ISBLANK('Data Entry'!A56), "", 'Data Entry'!A56)</f>
      </c>
      <c r="B56">
        <f>IF(ISBLANK('Data Entry'!B56), "", 'Data Entry'!B56)</f>
      </c>
      <c r="C56">
        <f>IF(ISBLANK('Data Entry'!C56), "", 'Data Entry'!C56)</f>
      </c>
      <c r="D56">
        <f>IF(ISBLANK('Data Entry'!D56), "", 'Data Entry'!D56)</f>
      </c>
      <c r="E56">
        <f>IF(ISBLANK('Data Entry'!E56), "", 'Data Entry'!E56)</f>
      </c>
      <c r="F56">
        <f>IF(ISBLANK('Data Entry'!F56), "", 'Data Entry'!F56)</f>
      </c>
      <c r="G56">
        <f>IF(ISBLANK('Data Entry'!G56), "", 'Data Entry'!G56)</f>
      </c>
      <c r="H56">
        <f>IF(ISBLANK('Data Entry'!H56), "", 'Data Entry'!H56)</f>
      </c>
      <c r="I56">
        <f>IF(ISBLANK('Data Entry'!I56), "", 'Data Entry'!I56)</f>
      </c>
      <c r="J56">
        <f>IF(ISBLANK('Data Entry'!J56), "", 'Data Entry'!J56)</f>
      </c>
      <c r="K56">
        <f>IF(ISBLANK('Data Entry'!K56), "", 'Data Entry'!K56)</f>
      </c>
      <c r="L56">
        <f>IF(ISBLANK('Data Entry'!L56), "", 'Data Entry'!L56)</f>
      </c>
      <c r="M56">
        <f>IF(ISBLANK('Data Entry'!M56), "", 'Data Entry'!M56)</f>
      </c>
      <c r="N56">
        <f>IF(ISBLANK('Data Entry'!N56), "", 'Data Entry'!N56)</f>
      </c>
      <c r="O56">
        <f>IF(ISBLANK('Data Entry'!O56), "", 'Data Entry'!O56)</f>
      </c>
      <c r="P56">
        <f>IF(ISBLANK('Data Entry'!P56), "", 'Data Entry'!P56)</f>
      </c>
      <c r="Q56">
        <f>IF(ISBLANK('Data Entry'!Q56), "", 'Data Entry'!Q56)</f>
      </c>
      <c r="R56">
        <f>IF(ISBLANK('Data Entry'!R56), "", 'Data Entry'!R56)</f>
      </c>
      <c r="S56">
        <f>IF(ISBLANK('Data Entry'!S56), "", 'Data Entry'!S56)</f>
      </c>
      <c r="T56">
        <f>IF(ISBLANK('Data Entry'!T56), "", 'Data Entry'!T56)</f>
      </c>
      <c r="U56">
        <f>IF(ISBLANK('Data Entry'!U56), "", 'Data Entry'!U56)</f>
      </c>
      <c r="V56">
        <f>IF(ISBLANK('Data Entry'!V56), "", 'Data Entry'!V56)</f>
      </c>
      <c r="W56">
        <f>IF(ISBLANK('Data Entry'!W56), "", 'Data Entry'!W56)</f>
      </c>
      <c r="X56">
        <f>IF(ISBLANK('Data Entry'!X56), "", 'Data Entry'!X56)</f>
      </c>
      <c r="Y56">
        <f>IF(ISBLANK('Data Entry'!Y56), "", 'Data Entry'!Y56)</f>
      </c>
      <c r="Z56">
        <f>IF(ISBLANK('Data Entry'!Z56), "", 'Data Entry'!Z56)</f>
      </c>
      <c r="AA56">
        <f>IF(ISBLANK('Data Entry'![56), "", 'Data Entry'![56)</f>
      </c>
      <c r="AB56">
        <f>IF(ISBLANK('Data Entry'!\56), "", 'Data Entry'!\56)</f>
      </c>
      <c r="AC56">
        <f>IF(ISBLANK('Data Entry'!]56), "", 'Data Entry'!]56)</f>
      </c>
      <c r="AD56">
        <f>IF(ISBLANK('Data Entry'!^56), "", 'Data Entry'!^56)</f>
      </c>
      <c r="AE56">
        <f>IF(ISBLANK('Data Entry'!_56), "", 'Data Entry'!_56)</f>
      </c>
      <c r="AF56">
        <f>IF(ISBLANK('Data Entry'!`56), "", 'Data Entry'!`56)</f>
      </c>
      <c r="AG56">
        <f>IF(ISBLANK('Data Entry'!a56), "", 'Data Entry'!a56)</f>
      </c>
      <c r="AH56">
        <f>IF(ISBLANK('Data Entry'!b56), "", 'Data Entry'!b56)</f>
      </c>
      <c r="AI56">
        <f>IF(ISBLANK('Data Entry'!c56), "", 'Data Entry'!c56)</f>
      </c>
      <c r="AJ56">
        <f>IF(ISBLANK('Data Entry'!d56), "", 'Data Entry'!d56)</f>
      </c>
      <c r="AK56">
        <f>IF(ISBLANK('Data Entry'!e56), "", 'Data Entry'!e56)</f>
      </c>
      <c r="AL56">
        <f>IF(ISBLANK('Data Entry'!f56), "", 'Data Entry'!f56)</f>
      </c>
      <c r="AM56">
        <f>IF(ISBLANK('Data Entry'!g56), "", 'Data Entry'!g56)</f>
      </c>
      <c r="AN56">
        <f>IF(ISBLANK('Data Entry'!h56), "", 'Data Entry'!h56)</f>
      </c>
    </row>
    <row r="57" spans="1:40" x14ac:dyDescent="0.25">
      <c r="A57">
        <f>IF(ISBLANK('Data Entry'!A57), "", 'Data Entry'!A57)</f>
      </c>
      <c r="B57">
        <f>IF(ISBLANK('Data Entry'!B57), "", 'Data Entry'!B57)</f>
      </c>
      <c r="C57">
        <f>IF(ISBLANK('Data Entry'!C57), "", 'Data Entry'!C57)</f>
      </c>
      <c r="D57">
        <f>IF(ISBLANK('Data Entry'!D57), "", 'Data Entry'!D57)</f>
      </c>
      <c r="E57">
        <f>IF(ISBLANK('Data Entry'!E57), "", 'Data Entry'!E57)</f>
      </c>
      <c r="F57">
        <f>IF(ISBLANK('Data Entry'!F57), "", 'Data Entry'!F57)</f>
      </c>
      <c r="G57">
        <f>IF(ISBLANK('Data Entry'!G57), "", 'Data Entry'!G57)</f>
      </c>
      <c r="H57">
        <f>IF(ISBLANK('Data Entry'!H57), "", 'Data Entry'!H57)</f>
      </c>
      <c r="I57">
        <f>IF(ISBLANK('Data Entry'!I57), "", 'Data Entry'!I57)</f>
      </c>
      <c r="J57">
        <f>IF(ISBLANK('Data Entry'!J57), "", 'Data Entry'!J57)</f>
      </c>
      <c r="K57">
        <f>IF(ISBLANK('Data Entry'!K57), "", 'Data Entry'!K57)</f>
      </c>
      <c r="L57">
        <f>IF(ISBLANK('Data Entry'!L57), "", 'Data Entry'!L57)</f>
      </c>
      <c r="M57">
        <f>IF(ISBLANK('Data Entry'!M57), "", 'Data Entry'!M57)</f>
      </c>
      <c r="N57">
        <f>IF(ISBLANK('Data Entry'!N57), "", 'Data Entry'!N57)</f>
      </c>
      <c r="O57">
        <f>IF(ISBLANK('Data Entry'!O57), "", 'Data Entry'!O57)</f>
      </c>
      <c r="P57">
        <f>IF(ISBLANK('Data Entry'!P57), "", 'Data Entry'!P57)</f>
      </c>
      <c r="Q57">
        <f>IF(ISBLANK('Data Entry'!Q57), "", 'Data Entry'!Q57)</f>
      </c>
      <c r="R57">
        <f>IF(ISBLANK('Data Entry'!R57), "", 'Data Entry'!R57)</f>
      </c>
      <c r="S57">
        <f>IF(ISBLANK('Data Entry'!S57), "", 'Data Entry'!S57)</f>
      </c>
      <c r="T57">
        <f>IF(ISBLANK('Data Entry'!T57), "", 'Data Entry'!T57)</f>
      </c>
      <c r="U57">
        <f>IF(ISBLANK('Data Entry'!U57), "", 'Data Entry'!U57)</f>
      </c>
      <c r="V57">
        <f>IF(ISBLANK('Data Entry'!V57), "", 'Data Entry'!V57)</f>
      </c>
      <c r="W57">
        <f>IF(ISBLANK('Data Entry'!W57), "", 'Data Entry'!W57)</f>
      </c>
      <c r="X57">
        <f>IF(ISBLANK('Data Entry'!X57), "", 'Data Entry'!X57)</f>
      </c>
      <c r="Y57">
        <f>IF(ISBLANK('Data Entry'!Y57), "", 'Data Entry'!Y57)</f>
      </c>
      <c r="Z57">
        <f>IF(ISBLANK('Data Entry'!Z57), "", 'Data Entry'!Z57)</f>
      </c>
      <c r="AA57">
        <f>IF(ISBLANK('Data Entry'![57), "", 'Data Entry'![57)</f>
      </c>
      <c r="AB57">
        <f>IF(ISBLANK('Data Entry'!\57), "", 'Data Entry'!\57)</f>
      </c>
      <c r="AC57">
        <f>IF(ISBLANK('Data Entry'!]57), "", 'Data Entry'!]57)</f>
      </c>
      <c r="AD57">
        <f>IF(ISBLANK('Data Entry'!^57), "", 'Data Entry'!^57)</f>
      </c>
      <c r="AE57">
        <f>IF(ISBLANK('Data Entry'!_57), "", 'Data Entry'!_57)</f>
      </c>
      <c r="AF57">
        <f>IF(ISBLANK('Data Entry'!`57), "", 'Data Entry'!`57)</f>
      </c>
      <c r="AG57">
        <f>IF(ISBLANK('Data Entry'!a57), "", 'Data Entry'!a57)</f>
      </c>
      <c r="AH57">
        <f>IF(ISBLANK('Data Entry'!b57), "", 'Data Entry'!b57)</f>
      </c>
      <c r="AI57">
        <f>IF(ISBLANK('Data Entry'!c57), "", 'Data Entry'!c57)</f>
      </c>
      <c r="AJ57">
        <f>IF(ISBLANK('Data Entry'!d57), "", 'Data Entry'!d57)</f>
      </c>
      <c r="AK57">
        <f>IF(ISBLANK('Data Entry'!e57), "", 'Data Entry'!e57)</f>
      </c>
      <c r="AL57">
        <f>IF(ISBLANK('Data Entry'!f57), "", 'Data Entry'!f57)</f>
      </c>
      <c r="AM57">
        <f>IF(ISBLANK('Data Entry'!g57), "", 'Data Entry'!g57)</f>
      </c>
      <c r="AN57">
        <f>IF(ISBLANK('Data Entry'!h57), "", 'Data Entry'!h57)</f>
      </c>
    </row>
    <row r="58" spans="1:40" x14ac:dyDescent="0.25">
      <c r="A58">
        <f>IF(ISBLANK('Data Entry'!A58), "", 'Data Entry'!A58)</f>
      </c>
      <c r="B58">
        <f>IF(ISBLANK('Data Entry'!B58), "", 'Data Entry'!B58)</f>
      </c>
      <c r="C58">
        <f>IF(ISBLANK('Data Entry'!C58), "", 'Data Entry'!C58)</f>
      </c>
      <c r="D58">
        <f>IF(ISBLANK('Data Entry'!D58), "", 'Data Entry'!D58)</f>
      </c>
      <c r="E58">
        <f>IF(ISBLANK('Data Entry'!E58), "", 'Data Entry'!E58)</f>
      </c>
      <c r="F58">
        <f>IF(ISBLANK('Data Entry'!F58), "", 'Data Entry'!F58)</f>
      </c>
      <c r="G58">
        <f>IF(ISBLANK('Data Entry'!G58), "", 'Data Entry'!G58)</f>
      </c>
      <c r="H58">
        <f>IF(ISBLANK('Data Entry'!H58), "", 'Data Entry'!H58)</f>
      </c>
      <c r="I58">
        <f>IF(ISBLANK('Data Entry'!I58), "", 'Data Entry'!I58)</f>
      </c>
      <c r="J58">
        <f>IF(ISBLANK('Data Entry'!J58), "", 'Data Entry'!J58)</f>
      </c>
      <c r="K58">
        <f>IF(ISBLANK('Data Entry'!K58), "", 'Data Entry'!K58)</f>
      </c>
      <c r="L58">
        <f>IF(ISBLANK('Data Entry'!L58), "", 'Data Entry'!L58)</f>
      </c>
      <c r="M58">
        <f>IF(ISBLANK('Data Entry'!M58), "", 'Data Entry'!M58)</f>
      </c>
      <c r="N58">
        <f>IF(ISBLANK('Data Entry'!N58), "", 'Data Entry'!N58)</f>
      </c>
      <c r="O58">
        <f>IF(ISBLANK('Data Entry'!O58), "", 'Data Entry'!O58)</f>
      </c>
      <c r="P58">
        <f>IF(ISBLANK('Data Entry'!P58), "", 'Data Entry'!P58)</f>
      </c>
      <c r="Q58">
        <f>IF(ISBLANK('Data Entry'!Q58), "", 'Data Entry'!Q58)</f>
      </c>
      <c r="R58">
        <f>IF(ISBLANK('Data Entry'!R58), "", 'Data Entry'!R58)</f>
      </c>
      <c r="S58">
        <f>IF(ISBLANK('Data Entry'!S58), "", 'Data Entry'!S58)</f>
      </c>
      <c r="T58">
        <f>IF(ISBLANK('Data Entry'!T58), "", 'Data Entry'!T58)</f>
      </c>
      <c r="U58">
        <f>IF(ISBLANK('Data Entry'!U58), "", 'Data Entry'!U58)</f>
      </c>
      <c r="V58">
        <f>IF(ISBLANK('Data Entry'!V58), "", 'Data Entry'!V58)</f>
      </c>
      <c r="W58">
        <f>IF(ISBLANK('Data Entry'!W58), "", 'Data Entry'!W58)</f>
      </c>
      <c r="X58">
        <f>IF(ISBLANK('Data Entry'!X58), "", 'Data Entry'!X58)</f>
      </c>
      <c r="Y58">
        <f>IF(ISBLANK('Data Entry'!Y58), "", 'Data Entry'!Y58)</f>
      </c>
      <c r="Z58">
        <f>IF(ISBLANK('Data Entry'!Z58), "", 'Data Entry'!Z58)</f>
      </c>
      <c r="AA58">
        <f>IF(ISBLANK('Data Entry'![58), "", 'Data Entry'![58)</f>
      </c>
      <c r="AB58">
        <f>IF(ISBLANK('Data Entry'!\58), "", 'Data Entry'!\58)</f>
      </c>
      <c r="AC58">
        <f>IF(ISBLANK('Data Entry'!]58), "", 'Data Entry'!]58)</f>
      </c>
      <c r="AD58">
        <f>IF(ISBLANK('Data Entry'!^58), "", 'Data Entry'!^58)</f>
      </c>
      <c r="AE58">
        <f>IF(ISBLANK('Data Entry'!_58), "", 'Data Entry'!_58)</f>
      </c>
      <c r="AF58">
        <f>IF(ISBLANK('Data Entry'!`58), "", 'Data Entry'!`58)</f>
      </c>
      <c r="AG58">
        <f>IF(ISBLANK('Data Entry'!a58), "", 'Data Entry'!a58)</f>
      </c>
      <c r="AH58">
        <f>IF(ISBLANK('Data Entry'!b58), "", 'Data Entry'!b58)</f>
      </c>
      <c r="AI58">
        <f>IF(ISBLANK('Data Entry'!c58), "", 'Data Entry'!c58)</f>
      </c>
      <c r="AJ58">
        <f>IF(ISBLANK('Data Entry'!d58), "", 'Data Entry'!d58)</f>
      </c>
      <c r="AK58">
        <f>IF(ISBLANK('Data Entry'!e58), "", 'Data Entry'!e58)</f>
      </c>
      <c r="AL58">
        <f>IF(ISBLANK('Data Entry'!f58), "", 'Data Entry'!f58)</f>
      </c>
      <c r="AM58">
        <f>IF(ISBLANK('Data Entry'!g58), "", 'Data Entry'!g58)</f>
      </c>
      <c r="AN58">
        <f>IF(ISBLANK('Data Entry'!h58), "", 'Data Entry'!h58)</f>
      </c>
    </row>
    <row r="59" spans="1:40" x14ac:dyDescent="0.25">
      <c r="A59">
        <f>IF(ISBLANK('Data Entry'!A59), "", 'Data Entry'!A59)</f>
      </c>
      <c r="B59">
        <f>IF(ISBLANK('Data Entry'!B59), "", 'Data Entry'!B59)</f>
      </c>
      <c r="C59">
        <f>IF(ISBLANK('Data Entry'!C59), "", 'Data Entry'!C59)</f>
      </c>
      <c r="D59">
        <f>IF(ISBLANK('Data Entry'!D59), "", 'Data Entry'!D59)</f>
      </c>
      <c r="E59">
        <f>IF(ISBLANK('Data Entry'!E59), "", 'Data Entry'!E59)</f>
      </c>
      <c r="F59">
        <f>IF(ISBLANK('Data Entry'!F59), "", 'Data Entry'!F59)</f>
      </c>
      <c r="G59">
        <f>IF(ISBLANK('Data Entry'!G59), "", 'Data Entry'!G59)</f>
      </c>
      <c r="H59">
        <f>IF(ISBLANK('Data Entry'!H59), "", 'Data Entry'!H59)</f>
      </c>
      <c r="I59">
        <f>IF(ISBLANK('Data Entry'!I59), "", 'Data Entry'!I59)</f>
      </c>
      <c r="J59">
        <f>IF(ISBLANK('Data Entry'!J59), "", 'Data Entry'!J59)</f>
      </c>
      <c r="K59">
        <f>IF(ISBLANK('Data Entry'!K59), "", 'Data Entry'!K59)</f>
      </c>
      <c r="L59">
        <f>IF(ISBLANK('Data Entry'!L59), "", 'Data Entry'!L59)</f>
      </c>
      <c r="M59">
        <f>IF(ISBLANK('Data Entry'!M59), "", 'Data Entry'!M59)</f>
      </c>
      <c r="N59">
        <f>IF(ISBLANK('Data Entry'!N59), "", 'Data Entry'!N59)</f>
      </c>
      <c r="O59">
        <f>IF(ISBLANK('Data Entry'!O59), "", 'Data Entry'!O59)</f>
      </c>
      <c r="P59">
        <f>IF(ISBLANK('Data Entry'!P59), "", 'Data Entry'!P59)</f>
      </c>
      <c r="Q59">
        <f>IF(ISBLANK('Data Entry'!Q59), "", 'Data Entry'!Q59)</f>
      </c>
      <c r="R59">
        <f>IF(ISBLANK('Data Entry'!R59), "", 'Data Entry'!R59)</f>
      </c>
      <c r="S59">
        <f>IF(ISBLANK('Data Entry'!S59), "", 'Data Entry'!S59)</f>
      </c>
      <c r="T59">
        <f>IF(ISBLANK('Data Entry'!T59), "", 'Data Entry'!T59)</f>
      </c>
      <c r="U59">
        <f>IF(ISBLANK('Data Entry'!U59), "", 'Data Entry'!U59)</f>
      </c>
      <c r="V59">
        <f>IF(ISBLANK('Data Entry'!V59), "", 'Data Entry'!V59)</f>
      </c>
      <c r="W59">
        <f>IF(ISBLANK('Data Entry'!W59), "", 'Data Entry'!W59)</f>
      </c>
      <c r="X59">
        <f>IF(ISBLANK('Data Entry'!X59), "", 'Data Entry'!X59)</f>
      </c>
      <c r="Y59">
        <f>IF(ISBLANK('Data Entry'!Y59), "", 'Data Entry'!Y59)</f>
      </c>
      <c r="Z59">
        <f>IF(ISBLANK('Data Entry'!Z59), "", 'Data Entry'!Z59)</f>
      </c>
      <c r="AA59">
        <f>IF(ISBLANK('Data Entry'![59), "", 'Data Entry'![59)</f>
      </c>
      <c r="AB59">
        <f>IF(ISBLANK('Data Entry'!\59), "", 'Data Entry'!\59)</f>
      </c>
      <c r="AC59">
        <f>IF(ISBLANK('Data Entry'!]59), "", 'Data Entry'!]59)</f>
      </c>
      <c r="AD59">
        <f>IF(ISBLANK('Data Entry'!^59), "", 'Data Entry'!^59)</f>
      </c>
      <c r="AE59">
        <f>IF(ISBLANK('Data Entry'!_59), "", 'Data Entry'!_59)</f>
      </c>
      <c r="AF59">
        <f>IF(ISBLANK('Data Entry'!`59), "", 'Data Entry'!`59)</f>
      </c>
      <c r="AG59">
        <f>IF(ISBLANK('Data Entry'!a59), "", 'Data Entry'!a59)</f>
      </c>
      <c r="AH59">
        <f>IF(ISBLANK('Data Entry'!b59), "", 'Data Entry'!b59)</f>
      </c>
      <c r="AI59">
        <f>IF(ISBLANK('Data Entry'!c59), "", 'Data Entry'!c59)</f>
      </c>
      <c r="AJ59">
        <f>IF(ISBLANK('Data Entry'!d59), "", 'Data Entry'!d59)</f>
      </c>
      <c r="AK59">
        <f>IF(ISBLANK('Data Entry'!e59), "", 'Data Entry'!e59)</f>
      </c>
      <c r="AL59">
        <f>IF(ISBLANK('Data Entry'!f59), "", 'Data Entry'!f59)</f>
      </c>
      <c r="AM59">
        <f>IF(ISBLANK('Data Entry'!g59), "", 'Data Entry'!g59)</f>
      </c>
      <c r="AN59">
        <f>IF(ISBLANK('Data Entry'!h59), "", 'Data Entry'!h59)</f>
      </c>
    </row>
    <row r="60" spans="1:40" x14ac:dyDescent="0.25">
      <c r="A60">
        <f>IF(ISBLANK('Data Entry'!A60), "", 'Data Entry'!A60)</f>
      </c>
      <c r="B60">
        <f>IF(ISBLANK('Data Entry'!B60), "", 'Data Entry'!B60)</f>
      </c>
      <c r="C60">
        <f>IF(ISBLANK('Data Entry'!C60), "", 'Data Entry'!C60)</f>
      </c>
      <c r="D60">
        <f>IF(ISBLANK('Data Entry'!D60), "", 'Data Entry'!D60)</f>
      </c>
      <c r="E60">
        <f>IF(ISBLANK('Data Entry'!E60), "", 'Data Entry'!E60)</f>
      </c>
      <c r="F60">
        <f>IF(ISBLANK('Data Entry'!F60), "", 'Data Entry'!F60)</f>
      </c>
      <c r="G60">
        <f>IF(ISBLANK('Data Entry'!G60), "", 'Data Entry'!G60)</f>
      </c>
      <c r="H60">
        <f>IF(ISBLANK('Data Entry'!H60), "", 'Data Entry'!H60)</f>
      </c>
      <c r="I60">
        <f>IF(ISBLANK('Data Entry'!I60), "", 'Data Entry'!I60)</f>
      </c>
      <c r="J60">
        <f>IF(ISBLANK('Data Entry'!J60), "", 'Data Entry'!J60)</f>
      </c>
      <c r="K60">
        <f>IF(ISBLANK('Data Entry'!K60), "", 'Data Entry'!K60)</f>
      </c>
      <c r="L60">
        <f>IF(ISBLANK('Data Entry'!L60), "", 'Data Entry'!L60)</f>
      </c>
      <c r="M60">
        <f>IF(ISBLANK('Data Entry'!M60), "", 'Data Entry'!M60)</f>
      </c>
      <c r="N60">
        <f>IF(ISBLANK('Data Entry'!N60), "", 'Data Entry'!N60)</f>
      </c>
      <c r="O60">
        <f>IF(ISBLANK('Data Entry'!O60), "", 'Data Entry'!O60)</f>
      </c>
      <c r="P60">
        <f>IF(ISBLANK('Data Entry'!P60), "", 'Data Entry'!P60)</f>
      </c>
      <c r="Q60">
        <f>IF(ISBLANK('Data Entry'!Q60), "", 'Data Entry'!Q60)</f>
      </c>
      <c r="R60">
        <f>IF(ISBLANK('Data Entry'!R60), "", 'Data Entry'!R60)</f>
      </c>
      <c r="S60">
        <f>IF(ISBLANK('Data Entry'!S60), "", 'Data Entry'!S60)</f>
      </c>
      <c r="T60">
        <f>IF(ISBLANK('Data Entry'!T60), "", 'Data Entry'!T60)</f>
      </c>
      <c r="U60">
        <f>IF(ISBLANK('Data Entry'!U60), "", 'Data Entry'!U60)</f>
      </c>
      <c r="V60">
        <f>IF(ISBLANK('Data Entry'!V60), "", 'Data Entry'!V60)</f>
      </c>
      <c r="W60">
        <f>IF(ISBLANK('Data Entry'!W60), "", 'Data Entry'!W60)</f>
      </c>
      <c r="X60">
        <f>IF(ISBLANK('Data Entry'!X60), "", 'Data Entry'!X60)</f>
      </c>
      <c r="Y60">
        <f>IF(ISBLANK('Data Entry'!Y60), "", 'Data Entry'!Y60)</f>
      </c>
      <c r="Z60">
        <f>IF(ISBLANK('Data Entry'!Z60), "", 'Data Entry'!Z60)</f>
      </c>
      <c r="AA60">
        <f>IF(ISBLANK('Data Entry'![60), "", 'Data Entry'![60)</f>
      </c>
      <c r="AB60">
        <f>IF(ISBLANK('Data Entry'!\60), "", 'Data Entry'!\60)</f>
      </c>
      <c r="AC60">
        <f>IF(ISBLANK('Data Entry'!]60), "", 'Data Entry'!]60)</f>
      </c>
      <c r="AD60">
        <f>IF(ISBLANK('Data Entry'!^60), "", 'Data Entry'!^60)</f>
      </c>
      <c r="AE60">
        <f>IF(ISBLANK('Data Entry'!_60), "", 'Data Entry'!_60)</f>
      </c>
      <c r="AF60">
        <f>IF(ISBLANK('Data Entry'!`60), "", 'Data Entry'!`60)</f>
      </c>
      <c r="AG60">
        <f>IF(ISBLANK('Data Entry'!a60), "", 'Data Entry'!a60)</f>
      </c>
      <c r="AH60">
        <f>IF(ISBLANK('Data Entry'!b60), "", 'Data Entry'!b60)</f>
      </c>
      <c r="AI60">
        <f>IF(ISBLANK('Data Entry'!c60), "", 'Data Entry'!c60)</f>
      </c>
      <c r="AJ60">
        <f>IF(ISBLANK('Data Entry'!d60), "", 'Data Entry'!d60)</f>
      </c>
      <c r="AK60">
        <f>IF(ISBLANK('Data Entry'!e60), "", 'Data Entry'!e60)</f>
      </c>
      <c r="AL60">
        <f>IF(ISBLANK('Data Entry'!f60), "", 'Data Entry'!f60)</f>
      </c>
      <c r="AM60">
        <f>IF(ISBLANK('Data Entry'!g60), "", 'Data Entry'!g60)</f>
      </c>
      <c r="AN60">
        <f>IF(ISBLANK('Data Entry'!h60), "", 'Data Entry'!h60)</f>
      </c>
    </row>
    <row r="61" spans="1:40" x14ac:dyDescent="0.25">
      <c r="A61">
        <f>IF(ISBLANK('Data Entry'!A61), "", 'Data Entry'!A61)</f>
      </c>
      <c r="B61">
        <f>IF(ISBLANK('Data Entry'!B61), "", 'Data Entry'!B61)</f>
      </c>
      <c r="C61">
        <f>IF(ISBLANK('Data Entry'!C61), "", 'Data Entry'!C61)</f>
      </c>
      <c r="D61">
        <f>IF(ISBLANK('Data Entry'!D61), "", 'Data Entry'!D61)</f>
      </c>
      <c r="E61">
        <f>IF(ISBLANK('Data Entry'!E61), "", 'Data Entry'!E61)</f>
      </c>
      <c r="F61">
        <f>IF(ISBLANK('Data Entry'!F61), "", 'Data Entry'!F61)</f>
      </c>
      <c r="G61">
        <f>IF(ISBLANK('Data Entry'!G61), "", 'Data Entry'!G61)</f>
      </c>
      <c r="H61">
        <f>IF(ISBLANK('Data Entry'!H61), "", 'Data Entry'!H61)</f>
      </c>
      <c r="I61">
        <f>IF(ISBLANK('Data Entry'!I61), "", 'Data Entry'!I61)</f>
      </c>
      <c r="J61">
        <f>IF(ISBLANK('Data Entry'!J61), "", 'Data Entry'!J61)</f>
      </c>
      <c r="K61">
        <f>IF(ISBLANK('Data Entry'!K61), "", 'Data Entry'!K61)</f>
      </c>
      <c r="L61">
        <f>IF(ISBLANK('Data Entry'!L61), "", 'Data Entry'!L61)</f>
      </c>
      <c r="M61">
        <f>IF(ISBLANK('Data Entry'!M61), "", 'Data Entry'!M61)</f>
      </c>
      <c r="N61">
        <f>IF(ISBLANK('Data Entry'!N61), "", 'Data Entry'!N61)</f>
      </c>
      <c r="O61">
        <f>IF(ISBLANK('Data Entry'!O61), "", 'Data Entry'!O61)</f>
      </c>
      <c r="P61">
        <f>IF(ISBLANK('Data Entry'!P61), "", 'Data Entry'!P61)</f>
      </c>
      <c r="Q61">
        <f>IF(ISBLANK('Data Entry'!Q61), "", 'Data Entry'!Q61)</f>
      </c>
      <c r="R61">
        <f>IF(ISBLANK('Data Entry'!R61), "", 'Data Entry'!R61)</f>
      </c>
      <c r="S61">
        <f>IF(ISBLANK('Data Entry'!S61), "", 'Data Entry'!S61)</f>
      </c>
      <c r="T61">
        <f>IF(ISBLANK('Data Entry'!T61), "", 'Data Entry'!T61)</f>
      </c>
      <c r="U61">
        <f>IF(ISBLANK('Data Entry'!U61), "", 'Data Entry'!U61)</f>
      </c>
      <c r="V61">
        <f>IF(ISBLANK('Data Entry'!V61), "", 'Data Entry'!V61)</f>
      </c>
      <c r="W61">
        <f>IF(ISBLANK('Data Entry'!W61), "", 'Data Entry'!W61)</f>
      </c>
      <c r="X61">
        <f>IF(ISBLANK('Data Entry'!X61), "", 'Data Entry'!X61)</f>
      </c>
      <c r="Y61">
        <f>IF(ISBLANK('Data Entry'!Y61), "", 'Data Entry'!Y61)</f>
      </c>
      <c r="Z61">
        <f>IF(ISBLANK('Data Entry'!Z61), "", 'Data Entry'!Z61)</f>
      </c>
      <c r="AA61">
        <f>IF(ISBLANK('Data Entry'![61), "", 'Data Entry'![61)</f>
      </c>
      <c r="AB61">
        <f>IF(ISBLANK('Data Entry'!\61), "", 'Data Entry'!\61)</f>
      </c>
      <c r="AC61">
        <f>IF(ISBLANK('Data Entry'!]61), "", 'Data Entry'!]61)</f>
      </c>
      <c r="AD61">
        <f>IF(ISBLANK('Data Entry'!^61), "", 'Data Entry'!^61)</f>
      </c>
      <c r="AE61">
        <f>IF(ISBLANK('Data Entry'!_61), "", 'Data Entry'!_61)</f>
      </c>
      <c r="AF61">
        <f>IF(ISBLANK('Data Entry'!`61), "", 'Data Entry'!`61)</f>
      </c>
      <c r="AG61">
        <f>IF(ISBLANK('Data Entry'!a61), "", 'Data Entry'!a61)</f>
      </c>
      <c r="AH61">
        <f>IF(ISBLANK('Data Entry'!b61), "", 'Data Entry'!b61)</f>
      </c>
      <c r="AI61">
        <f>IF(ISBLANK('Data Entry'!c61), "", 'Data Entry'!c61)</f>
      </c>
      <c r="AJ61">
        <f>IF(ISBLANK('Data Entry'!d61), "", 'Data Entry'!d61)</f>
      </c>
      <c r="AK61">
        <f>IF(ISBLANK('Data Entry'!e61), "", 'Data Entry'!e61)</f>
      </c>
      <c r="AL61">
        <f>IF(ISBLANK('Data Entry'!f61), "", 'Data Entry'!f61)</f>
      </c>
      <c r="AM61">
        <f>IF(ISBLANK('Data Entry'!g61), "", 'Data Entry'!g61)</f>
      </c>
      <c r="AN61">
        <f>IF(ISBLANK('Data Entry'!h61), "", 'Data Entry'!h61)</f>
      </c>
    </row>
    <row r="62" spans="1:40" x14ac:dyDescent="0.25">
      <c r="A62">
        <f>IF(ISBLANK('Data Entry'!A62), "", 'Data Entry'!A62)</f>
      </c>
      <c r="B62">
        <f>IF(ISBLANK('Data Entry'!B62), "", 'Data Entry'!B62)</f>
      </c>
      <c r="C62">
        <f>IF(ISBLANK('Data Entry'!C62), "", 'Data Entry'!C62)</f>
      </c>
      <c r="D62">
        <f>IF(ISBLANK('Data Entry'!D62), "", 'Data Entry'!D62)</f>
      </c>
      <c r="E62">
        <f>IF(ISBLANK('Data Entry'!E62), "", 'Data Entry'!E62)</f>
      </c>
      <c r="F62">
        <f>IF(ISBLANK('Data Entry'!F62), "", 'Data Entry'!F62)</f>
      </c>
      <c r="G62">
        <f>IF(ISBLANK('Data Entry'!G62), "", 'Data Entry'!G62)</f>
      </c>
      <c r="H62">
        <f>IF(ISBLANK('Data Entry'!H62), "", 'Data Entry'!H62)</f>
      </c>
      <c r="I62">
        <f>IF(ISBLANK('Data Entry'!I62), "", 'Data Entry'!I62)</f>
      </c>
      <c r="J62">
        <f>IF(ISBLANK('Data Entry'!J62), "", 'Data Entry'!J62)</f>
      </c>
      <c r="K62">
        <f>IF(ISBLANK('Data Entry'!K62), "", 'Data Entry'!K62)</f>
      </c>
      <c r="L62">
        <f>IF(ISBLANK('Data Entry'!L62), "", 'Data Entry'!L62)</f>
      </c>
      <c r="M62">
        <f>IF(ISBLANK('Data Entry'!M62), "", 'Data Entry'!M62)</f>
      </c>
      <c r="N62">
        <f>IF(ISBLANK('Data Entry'!N62), "", 'Data Entry'!N62)</f>
      </c>
      <c r="O62">
        <f>IF(ISBLANK('Data Entry'!O62), "", 'Data Entry'!O62)</f>
      </c>
      <c r="P62">
        <f>IF(ISBLANK('Data Entry'!P62), "", 'Data Entry'!P62)</f>
      </c>
      <c r="Q62">
        <f>IF(ISBLANK('Data Entry'!Q62), "", 'Data Entry'!Q62)</f>
      </c>
      <c r="R62">
        <f>IF(ISBLANK('Data Entry'!R62), "", 'Data Entry'!R62)</f>
      </c>
      <c r="S62">
        <f>IF(ISBLANK('Data Entry'!S62), "", 'Data Entry'!S62)</f>
      </c>
      <c r="T62">
        <f>IF(ISBLANK('Data Entry'!T62), "", 'Data Entry'!T62)</f>
      </c>
      <c r="U62">
        <f>IF(ISBLANK('Data Entry'!U62), "", 'Data Entry'!U62)</f>
      </c>
      <c r="V62">
        <f>IF(ISBLANK('Data Entry'!V62), "", 'Data Entry'!V62)</f>
      </c>
      <c r="W62">
        <f>IF(ISBLANK('Data Entry'!W62), "", 'Data Entry'!W62)</f>
      </c>
      <c r="X62">
        <f>IF(ISBLANK('Data Entry'!X62), "", 'Data Entry'!X62)</f>
      </c>
      <c r="Y62">
        <f>IF(ISBLANK('Data Entry'!Y62), "", 'Data Entry'!Y62)</f>
      </c>
      <c r="Z62">
        <f>IF(ISBLANK('Data Entry'!Z62), "", 'Data Entry'!Z62)</f>
      </c>
      <c r="AA62">
        <f>IF(ISBLANK('Data Entry'![62), "", 'Data Entry'![62)</f>
      </c>
      <c r="AB62">
        <f>IF(ISBLANK('Data Entry'!\62), "", 'Data Entry'!\62)</f>
      </c>
      <c r="AC62">
        <f>IF(ISBLANK('Data Entry'!]62), "", 'Data Entry'!]62)</f>
      </c>
      <c r="AD62">
        <f>IF(ISBLANK('Data Entry'!^62), "", 'Data Entry'!^62)</f>
      </c>
      <c r="AE62">
        <f>IF(ISBLANK('Data Entry'!_62), "", 'Data Entry'!_62)</f>
      </c>
      <c r="AF62">
        <f>IF(ISBLANK('Data Entry'!`62), "", 'Data Entry'!`62)</f>
      </c>
      <c r="AG62">
        <f>IF(ISBLANK('Data Entry'!a62), "", 'Data Entry'!a62)</f>
      </c>
      <c r="AH62">
        <f>IF(ISBLANK('Data Entry'!b62), "", 'Data Entry'!b62)</f>
      </c>
      <c r="AI62">
        <f>IF(ISBLANK('Data Entry'!c62), "", 'Data Entry'!c62)</f>
      </c>
      <c r="AJ62">
        <f>IF(ISBLANK('Data Entry'!d62), "", 'Data Entry'!d62)</f>
      </c>
      <c r="AK62">
        <f>IF(ISBLANK('Data Entry'!e62), "", 'Data Entry'!e62)</f>
      </c>
      <c r="AL62">
        <f>IF(ISBLANK('Data Entry'!f62), "", 'Data Entry'!f62)</f>
      </c>
      <c r="AM62">
        <f>IF(ISBLANK('Data Entry'!g62), "", 'Data Entry'!g62)</f>
      </c>
      <c r="AN62">
        <f>IF(ISBLANK('Data Entry'!h62), "", 'Data Entry'!h62)</f>
      </c>
    </row>
    <row r="63" spans="1:40" x14ac:dyDescent="0.25">
      <c r="A63">
        <f>IF(ISBLANK('Data Entry'!A63), "", 'Data Entry'!A63)</f>
      </c>
      <c r="B63">
        <f>IF(ISBLANK('Data Entry'!B63), "", 'Data Entry'!B63)</f>
      </c>
      <c r="C63">
        <f>IF(ISBLANK('Data Entry'!C63), "", 'Data Entry'!C63)</f>
      </c>
      <c r="D63">
        <f>IF(ISBLANK('Data Entry'!D63), "", 'Data Entry'!D63)</f>
      </c>
      <c r="E63">
        <f>IF(ISBLANK('Data Entry'!E63), "", 'Data Entry'!E63)</f>
      </c>
      <c r="F63">
        <f>IF(ISBLANK('Data Entry'!F63), "", 'Data Entry'!F63)</f>
      </c>
      <c r="G63">
        <f>IF(ISBLANK('Data Entry'!G63), "", 'Data Entry'!G63)</f>
      </c>
      <c r="H63">
        <f>IF(ISBLANK('Data Entry'!H63), "", 'Data Entry'!H63)</f>
      </c>
      <c r="I63">
        <f>IF(ISBLANK('Data Entry'!I63), "", 'Data Entry'!I63)</f>
      </c>
      <c r="J63">
        <f>IF(ISBLANK('Data Entry'!J63), "", 'Data Entry'!J63)</f>
      </c>
      <c r="K63">
        <f>IF(ISBLANK('Data Entry'!K63), "", 'Data Entry'!K63)</f>
      </c>
      <c r="L63">
        <f>IF(ISBLANK('Data Entry'!L63), "", 'Data Entry'!L63)</f>
      </c>
      <c r="M63">
        <f>IF(ISBLANK('Data Entry'!M63), "", 'Data Entry'!M63)</f>
      </c>
      <c r="N63">
        <f>IF(ISBLANK('Data Entry'!N63), "", 'Data Entry'!N63)</f>
      </c>
      <c r="O63">
        <f>IF(ISBLANK('Data Entry'!O63), "", 'Data Entry'!O63)</f>
      </c>
      <c r="P63">
        <f>IF(ISBLANK('Data Entry'!P63), "", 'Data Entry'!P63)</f>
      </c>
      <c r="Q63">
        <f>IF(ISBLANK('Data Entry'!Q63), "", 'Data Entry'!Q63)</f>
      </c>
      <c r="R63">
        <f>IF(ISBLANK('Data Entry'!R63), "", 'Data Entry'!R63)</f>
      </c>
      <c r="S63">
        <f>IF(ISBLANK('Data Entry'!S63), "", 'Data Entry'!S63)</f>
      </c>
      <c r="T63">
        <f>IF(ISBLANK('Data Entry'!T63), "", 'Data Entry'!T63)</f>
      </c>
      <c r="U63">
        <f>IF(ISBLANK('Data Entry'!U63), "", 'Data Entry'!U63)</f>
      </c>
      <c r="V63">
        <f>IF(ISBLANK('Data Entry'!V63), "", 'Data Entry'!V63)</f>
      </c>
      <c r="W63">
        <f>IF(ISBLANK('Data Entry'!W63), "", 'Data Entry'!W63)</f>
      </c>
      <c r="X63">
        <f>IF(ISBLANK('Data Entry'!X63), "", 'Data Entry'!X63)</f>
      </c>
      <c r="Y63">
        <f>IF(ISBLANK('Data Entry'!Y63), "", 'Data Entry'!Y63)</f>
      </c>
      <c r="Z63">
        <f>IF(ISBLANK('Data Entry'!Z63), "", 'Data Entry'!Z63)</f>
      </c>
      <c r="AA63">
        <f>IF(ISBLANK('Data Entry'![63), "", 'Data Entry'![63)</f>
      </c>
      <c r="AB63">
        <f>IF(ISBLANK('Data Entry'!\63), "", 'Data Entry'!\63)</f>
      </c>
      <c r="AC63">
        <f>IF(ISBLANK('Data Entry'!]63), "", 'Data Entry'!]63)</f>
      </c>
      <c r="AD63">
        <f>IF(ISBLANK('Data Entry'!^63), "", 'Data Entry'!^63)</f>
      </c>
      <c r="AE63">
        <f>IF(ISBLANK('Data Entry'!_63), "", 'Data Entry'!_63)</f>
      </c>
      <c r="AF63">
        <f>IF(ISBLANK('Data Entry'!`63), "", 'Data Entry'!`63)</f>
      </c>
      <c r="AG63">
        <f>IF(ISBLANK('Data Entry'!a63), "", 'Data Entry'!a63)</f>
      </c>
      <c r="AH63">
        <f>IF(ISBLANK('Data Entry'!b63), "", 'Data Entry'!b63)</f>
      </c>
      <c r="AI63">
        <f>IF(ISBLANK('Data Entry'!c63), "", 'Data Entry'!c63)</f>
      </c>
      <c r="AJ63">
        <f>IF(ISBLANK('Data Entry'!d63), "", 'Data Entry'!d63)</f>
      </c>
      <c r="AK63">
        <f>IF(ISBLANK('Data Entry'!e63), "", 'Data Entry'!e63)</f>
      </c>
      <c r="AL63">
        <f>IF(ISBLANK('Data Entry'!f63), "", 'Data Entry'!f63)</f>
      </c>
      <c r="AM63">
        <f>IF(ISBLANK('Data Entry'!g63), "", 'Data Entry'!g63)</f>
      </c>
      <c r="AN63">
        <f>IF(ISBLANK('Data Entry'!h63), "", 'Data Entry'!h63)</f>
      </c>
    </row>
    <row r="64" spans="1:40" x14ac:dyDescent="0.25">
      <c r="A64">
        <f>IF(ISBLANK('Data Entry'!A64), "", 'Data Entry'!A64)</f>
      </c>
      <c r="B64">
        <f>IF(ISBLANK('Data Entry'!B64), "", 'Data Entry'!B64)</f>
      </c>
      <c r="C64">
        <f>IF(ISBLANK('Data Entry'!C64), "", 'Data Entry'!C64)</f>
      </c>
      <c r="D64">
        <f>IF(ISBLANK('Data Entry'!D64), "", 'Data Entry'!D64)</f>
      </c>
      <c r="E64">
        <f>IF(ISBLANK('Data Entry'!E64), "", 'Data Entry'!E64)</f>
      </c>
      <c r="F64">
        <f>IF(ISBLANK('Data Entry'!F64), "", 'Data Entry'!F64)</f>
      </c>
      <c r="G64">
        <f>IF(ISBLANK('Data Entry'!G64), "", 'Data Entry'!G64)</f>
      </c>
      <c r="H64">
        <f>IF(ISBLANK('Data Entry'!H64), "", 'Data Entry'!H64)</f>
      </c>
      <c r="I64">
        <f>IF(ISBLANK('Data Entry'!I64), "", 'Data Entry'!I64)</f>
      </c>
      <c r="J64">
        <f>IF(ISBLANK('Data Entry'!J64), "", 'Data Entry'!J64)</f>
      </c>
      <c r="K64">
        <f>IF(ISBLANK('Data Entry'!K64), "", 'Data Entry'!K64)</f>
      </c>
      <c r="L64">
        <f>IF(ISBLANK('Data Entry'!L64), "", 'Data Entry'!L64)</f>
      </c>
      <c r="M64">
        <f>IF(ISBLANK('Data Entry'!M64), "", 'Data Entry'!M64)</f>
      </c>
      <c r="N64">
        <f>IF(ISBLANK('Data Entry'!N64), "", 'Data Entry'!N64)</f>
      </c>
      <c r="O64">
        <f>IF(ISBLANK('Data Entry'!O64), "", 'Data Entry'!O64)</f>
      </c>
      <c r="P64">
        <f>IF(ISBLANK('Data Entry'!P64), "", 'Data Entry'!P64)</f>
      </c>
      <c r="Q64">
        <f>IF(ISBLANK('Data Entry'!Q64), "", 'Data Entry'!Q64)</f>
      </c>
      <c r="R64">
        <f>IF(ISBLANK('Data Entry'!R64), "", 'Data Entry'!R64)</f>
      </c>
      <c r="S64">
        <f>IF(ISBLANK('Data Entry'!S64), "", 'Data Entry'!S64)</f>
      </c>
      <c r="T64">
        <f>IF(ISBLANK('Data Entry'!T64), "", 'Data Entry'!T64)</f>
      </c>
      <c r="U64">
        <f>IF(ISBLANK('Data Entry'!U64), "", 'Data Entry'!U64)</f>
      </c>
      <c r="V64">
        <f>IF(ISBLANK('Data Entry'!V64), "", 'Data Entry'!V64)</f>
      </c>
      <c r="W64">
        <f>IF(ISBLANK('Data Entry'!W64), "", 'Data Entry'!W64)</f>
      </c>
      <c r="X64">
        <f>IF(ISBLANK('Data Entry'!X64), "", 'Data Entry'!X64)</f>
      </c>
      <c r="Y64">
        <f>IF(ISBLANK('Data Entry'!Y64), "", 'Data Entry'!Y64)</f>
      </c>
      <c r="Z64">
        <f>IF(ISBLANK('Data Entry'!Z64), "", 'Data Entry'!Z64)</f>
      </c>
      <c r="AA64">
        <f>IF(ISBLANK('Data Entry'![64), "", 'Data Entry'![64)</f>
      </c>
      <c r="AB64">
        <f>IF(ISBLANK('Data Entry'!\64), "", 'Data Entry'!\64)</f>
      </c>
      <c r="AC64">
        <f>IF(ISBLANK('Data Entry'!]64), "", 'Data Entry'!]64)</f>
      </c>
      <c r="AD64">
        <f>IF(ISBLANK('Data Entry'!^64), "", 'Data Entry'!^64)</f>
      </c>
      <c r="AE64">
        <f>IF(ISBLANK('Data Entry'!_64), "", 'Data Entry'!_64)</f>
      </c>
      <c r="AF64">
        <f>IF(ISBLANK('Data Entry'!`64), "", 'Data Entry'!`64)</f>
      </c>
      <c r="AG64">
        <f>IF(ISBLANK('Data Entry'!a64), "", 'Data Entry'!a64)</f>
      </c>
      <c r="AH64">
        <f>IF(ISBLANK('Data Entry'!b64), "", 'Data Entry'!b64)</f>
      </c>
      <c r="AI64">
        <f>IF(ISBLANK('Data Entry'!c64), "", 'Data Entry'!c64)</f>
      </c>
      <c r="AJ64">
        <f>IF(ISBLANK('Data Entry'!d64), "", 'Data Entry'!d64)</f>
      </c>
      <c r="AK64">
        <f>IF(ISBLANK('Data Entry'!e64), "", 'Data Entry'!e64)</f>
      </c>
      <c r="AL64">
        <f>IF(ISBLANK('Data Entry'!f64), "", 'Data Entry'!f64)</f>
      </c>
      <c r="AM64">
        <f>IF(ISBLANK('Data Entry'!g64), "", 'Data Entry'!g64)</f>
      </c>
      <c r="AN64">
        <f>IF(ISBLANK('Data Entry'!h64), "", 'Data Entry'!h64)</f>
      </c>
    </row>
    <row r="65" spans="1:40" x14ac:dyDescent="0.25">
      <c r="A65">
        <f>IF(ISBLANK('Data Entry'!A65), "", 'Data Entry'!A65)</f>
      </c>
      <c r="B65">
        <f>IF(ISBLANK('Data Entry'!B65), "", 'Data Entry'!B65)</f>
      </c>
      <c r="C65">
        <f>IF(ISBLANK('Data Entry'!C65), "", 'Data Entry'!C65)</f>
      </c>
      <c r="D65">
        <f>IF(ISBLANK('Data Entry'!D65), "", 'Data Entry'!D65)</f>
      </c>
      <c r="E65">
        <f>IF(ISBLANK('Data Entry'!E65), "", 'Data Entry'!E65)</f>
      </c>
      <c r="F65">
        <f>IF(ISBLANK('Data Entry'!F65), "", 'Data Entry'!F65)</f>
      </c>
      <c r="G65">
        <f>IF(ISBLANK('Data Entry'!G65), "", 'Data Entry'!G65)</f>
      </c>
      <c r="H65">
        <f>IF(ISBLANK('Data Entry'!H65), "", 'Data Entry'!H65)</f>
      </c>
      <c r="I65">
        <f>IF(ISBLANK('Data Entry'!I65), "", 'Data Entry'!I65)</f>
      </c>
      <c r="J65">
        <f>IF(ISBLANK('Data Entry'!J65), "", 'Data Entry'!J65)</f>
      </c>
      <c r="K65">
        <f>IF(ISBLANK('Data Entry'!K65), "", 'Data Entry'!K65)</f>
      </c>
      <c r="L65">
        <f>IF(ISBLANK('Data Entry'!L65), "", 'Data Entry'!L65)</f>
      </c>
      <c r="M65">
        <f>IF(ISBLANK('Data Entry'!M65), "", 'Data Entry'!M65)</f>
      </c>
      <c r="N65">
        <f>IF(ISBLANK('Data Entry'!N65), "", 'Data Entry'!N65)</f>
      </c>
      <c r="O65">
        <f>IF(ISBLANK('Data Entry'!O65), "", 'Data Entry'!O65)</f>
      </c>
      <c r="P65">
        <f>IF(ISBLANK('Data Entry'!P65), "", 'Data Entry'!P65)</f>
      </c>
      <c r="Q65">
        <f>IF(ISBLANK('Data Entry'!Q65), "", 'Data Entry'!Q65)</f>
      </c>
      <c r="R65">
        <f>IF(ISBLANK('Data Entry'!R65), "", 'Data Entry'!R65)</f>
      </c>
      <c r="S65">
        <f>IF(ISBLANK('Data Entry'!S65), "", 'Data Entry'!S65)</f>
      </c>
      <c r="T65">
        <f>IF(ISBLANK('Data Entry'!T65), "", 'Data Entry'!T65)</f>
      </c>
      <c r="U65">
        <f>IF(ISBLANK('Data Entry'!U65), "", 'Data Entry'!U65)</f>
      </c>
      <c r="V65">
        <f>IF(ISBLANK('Data Entry'!V65), "", 'Data Entry'!V65)</f>
      </c>
      <c r="W65">
        <f>IF(ISBLANK('Data Entry'!W65), "", 'Data Entry'!W65)</f>
      </c>
      <c r="X65">
        <f>IF(ISBLANK('Data Entry'!X65), "", 'Data Entry'!X65)</f>
      </c>
      <c r="Y65">
        <f>IF(ISBLANK('Data Entry'!Y65), "", 'Data Entry'!Y65)</f>
      </c>
      <c r="Z65">
        <f>IF(ISBLANK('Data Entry'!Z65), "", 'Data Entry'!Z65)</f>
      </c>
      <c r="AA65">
        <f>IF(ISBLANK('Data Entry'![65), "", 'Data Entry'![65)</f>
      </c>
      <c r="AB65">
        <f>IF(ISBLANK('Data Entry'!\65), "", 'Data Entry'!\65)</f>
      </c>
      <c r="AC65">
        <f>IF(ISBLANK('Data Entry'!]65), "", 'Data Entry'!]65)</f>
      </c>
      <c r="AD65">
        <f>IF(ISBLANK('Data Entry'!^65), "", 'Data Entry'!^65)</f>
      </c>
      <c r="AE65">
        <f>IF(ISBLANK('Data Entry'!_65), "", 'Data Entry'!_65)</f>
      </c>
      <c r="AF65">
        <f>IF(ISBLANK('Data Entry'!`65), "", 'Data Entry'!`65)</f>
      </c>
      <c r="AG65">
        <f>IF(ISBLANK('Data Entry'!a65), "", 'Data Entry'!a65)</f>
      </c>
      <c r="AH65">
        <f>IF(ISBLANK('Data Entry'!b65), "", 'Data Entry'!b65)</f>
      </c>
      <c r="AI65">
        <f>IF(ISBLANK('Data Entry'!c65), "", 'Data Entry'!c65)</f>
      </c>
      <c r="AJ65">
        <f>IF(ISBLANK('Data Entry'!d65), "", 'Data Entry'!d65)</f>
      </c>
      <c r="AK65">
        <f>IF(ISBLANK('Data Entry'!e65), "", 'Data Entry'!e65)</f>
      </c>
      <c r="AL65">
        <f>IF(ISBLANK('Data Entry'!f65), "", 'Data Entry'!f65)</f>
      </c>
      <c r="AM65">
        <f>IF(ISBLANK('Data Entry'!g65), "", 'Data Entry'!g65)</f>
      </c>
      <c r="AN65">
        <f>IF(ISBLANK('Data Entry'!h65), "", 'Data Entry'!h65)</f>
      </c>
    </row>
    <row r="66" spans="1:40" x14ac:dyDescent="0.25">
      <c r="A66">
        <f>IF(ISBLANK('Data Entry'!A66), "", 'Data Entry'!A66)</f>
      </c>
      <c r="B66">
        <f>IF(ISBLANK('Data Entry'!B66), "", 'Data Entry'!B66)</f>
      </c>
      <c r="C66">
        <f>IF(ISBLANK('Data Entry'!C66), "", 'Data Entry'!C66)</f>
      </c>
      <c r="D66">
        <f>IF(ISBLANK('Data Entry'!D66), "", 'Data Entry'!D66)</f>
      </c>
      <c r="E66">
        <f>IF(ISBLANK('Data Entry'!E66), "", 'Data Entry'!E66)</f>
      </c>
      <c r="F66">
        <f>IF(ISBLANK('Data Entry'!F66), "", 'Data Entry'!F66)</f>
      </c>
      <c r="G66">
        <f>IF(ISBLANK('Data Entry'!G66), "", 'Data Entry'!G66)</f>
      </c>
      <c r="H66">
        <f>IF(ISBLANK('Data Entry'!H66), "", 'Data Entry'!H66)</f>
      </c>
      <c r="I66">
        <f>IF(ISBLANK('Data Entry'!I66), "", 'Data Entry'!I66)</f>
      </c>
      <c r="J66">
        <f>IF(ISBLANK('Data Entry'!J66), "", 'Data Entry'!J66)</f>
      </c>
      <c r="K66">
        <f>IF(ISBLANK('Data Entry'!K66), "", 'Data Entry'!K66)</f>
      </c>
      <c r="L66">
        <f>IF(ISBLANK('Data Entry'!L66), "", 'Data Entry'!L66)</f>
      </c>
      <c r="M66">
        <f>IF(ISBLANK('Data Entry'!M66), "", 'Data Entry'!M66)</f>
      </c>
      <c r="N66">
        <f>IF(ISBLANK('Data Entry'!N66), "", 'Data Entry'!N66)</f>
      </c>
      <c r="O66">
        <f>IF(ISBLANK('Data Entry'!O66), "", 'Data Entry'!O66)</f>
      </c>
      <c r="P66">
        <f>IF(ISBLANK('Data Entry'!P66), "", 'Data Entry'!P66)</f>
      </c>
      <c r="Q66">
        <f>IF(ISBLANK('Data Entry'!Q66), "", 'Data Entry'!Q66)</f>
      </c>
      <c r="R66">
        <f>IF(ISBLANK('Data Entry'!R66), "", 'Data Entry'!R66)</f>
      </c>
      <c r="S66">
        <f>IF(ISBLANK('Data Entry'!S66), "", 'Data Entry'!S66)</f>
      </c>
      <c r="T66">
        <f>IF(ISBLANK('Data Entry'!T66), "", 'Data Entry'!T66)</f>
      </c>
      <c r="U66">
        <f>IF(ISBLANK('Data Entry'!U66), "", 'Data Entry'!U66)</f>
      </c>
      <c r="V66">
        <f>IF(ISBLANK('Data Entry'!V66), "", 'Data Entry'!V66)</f>
      </c>
      <c r="W66">
        <f>IF(ISBLANK('Data Entry'!W66), "", 'Data Entry'!W66)</f>
      </c>
      <c r="X66">
        <f>IF(ISBLANK('Data Entry'!X66), "", 'Data Entry'!X66)</f>
      </c>
      <c r="Y66">
        <f>IF(ISBLANK('Data Entry'!Y66), "", 'Data Entry'!Y66)</f>
      </c>
      <c r="Z66">
        <f>IF(ISBLANK('Data Entry'!Z66), "", 'Data Entry'!Z66)</f>
      </c>
      <c r="AA66">
        <f>IF(ISBLANK('Data Entry'![66), "", 'Data Entry'![66)</f>
      </c>
      <c r="AB66">
        <f>IF(ISBLANK('Data Entry'!\66), "", 'Data Entry'!\66)</f>
      </c>
      <c r="AC66">
        <f>IF(ISBLANK('Data Entry'!]66), "", 'Data Entry'!]66)</f>
      </c>
      <c r="AD66">
        <f>IF(ISBLANK('Data Entry'!^66), "", 'Data Entry'!^66)</f>
      </c>
      <c r="AE66">
        <f>IF(ISBLANK('Data Entry'!_66), "", 'Data Entry'!_66)</f>
      </c>
      <c r="AF66">
        <f>IF(ISBLANK('Data Entry'!`66), "", 'Data Entry'!`66)</f>
      </c>
      <c r="AG66">
        <f>IF(ISBLANK('Data Entry'!a66), "", 'Data Entry'!a66)</f>
      </c>
      <c r="AH66">
        <f>IF(ISBLANK('Data Entry'!b66), "", 'Data Entry'!b66)</f>
      </c>
      <c r="AI66">
        <f>IF(ISBLANK('Data Entry'!c66), "", 'Data Entry'!c66)</f>
      </c>
      <c r="AJ66">
        <f>IF(ISBLANK('Data Entry'!d66), "", 'Data Entry'!d66)</f>
      </c>
      <c r="AK66">
        <f>IF(ISBLANK('Data Entry'!e66), "", 'Data Entry'!e66)</f>
      </c>
      <c r="AL66">
        <f>IF(ISBLANK('Data Entry'!f66), "", 'Data Entry'!f66)</f>
      </c>
      <c r="AM66">
        <f>IF(ISBLANK('Data Entry'!g66), "", 'Data Entry'!g66)</f>
      </c>
      <c r="AN66">
        <f>IF(ISBLANK('Data Entry'!h66), "", 'Data Entry'!h66)</f>
      </c>
    </row>
    <row r="67" spans="1:40" x14ac:dyDescent="0.25">
      <c r="A67">
        <f>IF(ISBLANK('Data Entry'!A67), "", 'Data Entry'!A67)</f>
      </c>
      <c r="B67">
        <f>IF(ISBLANK('Data Entry'!B67), "", 'Data Entry'!B67)</f>
      </c>
      <c r="C67">
        <f>IF(ISBLANK('Data Entry'!C67), "", 'Data Entry'!C67)</f>
      </c>
      <c r="D67">
        <f>IF(ISBLANK('Data Entry'!D67), "", 'Data Entry'!D67)</f>
      </c>
      <c r="E67">
        <f>IF(ISBLANK('Data Entry'!E67), "", 'Data Entry'!E67)</f>
      </c>
      <c r="F67">
        <f>IF(ISBLANK('Data Entry'!F67), "", 'Data Entry'!F67)</f>
      </c>
      <c r="G67">
        <f>IF(ISBLANK('Data Entry'!G67), "", 'Data Entry'!G67)</f>
      </c>
      <c r="H67">
        <f>IF(ISBLANK('Data Entry'!H67), "", 'Data Entry'!H67)</f>
      </c>
      <c r="I67">
        <f>IF(ISBLANK('Data Entry'!I67), "", 'Data Entry'!I67)</f>
      </c>
      <c r="J67">
        <f>IF(ISBLANK('Data Entry'!J67), "", 'Data Entry'!J67)</f>
      </c>
      <c r="K67">
        <f>IF(ISBLANK('Data Entry'!K67), "", 'Data Entry'!K67)</f>
      </c>
      <c r="L67">
        <f>IF(ISBLANK('Data Entry'!L67), "", 'Data Entry'!L67)</f>
      </c>
      <c r="M67">
        <f>IF(ISBLANK('Data Entry'!M67), "", 'Data Entry'!M67)</f>
      </c>
      <c r="N67">
        <f>IF(ISBLANK('Data Entry'!N67), "", 'Data Entry'!N67)</f>
      </c>
      <c r="O67">
        <f>IF(ISBLANK('Data Entry'!O67), "", 'Data Entry'!O67)</f>
      </c>
      <c r="P67">
        <f>IF(ISBLANK('Data Entry'!P67), "", 'Data Entry'!P67)</f>
      </c>
      <c r="Q67">
        <f>IF(ISBLANK('Data Entry'!Q67), "", 'Data Entry'!Q67)</f>
      </c>
      <c r="R67">
        <f>IF(ISBLANK('Data Entry'!R67), "", 'Data Entry'!R67)</f>
      </c>
      <c r="S67">
        <f>IF(ISBLANK('Data Entry'!S67), "", 'Data Entry'!S67)</f>
      </c>
      <c r="T67">
        <f>IF(ISBLANK('Data Entry'!T67), "", 'Data Entry'!T67)</f>
      </c>
      <c r="U67">
        <f>IF(ISBLANK('Data Entry'!U67), "", 'Data Entry'!U67)</f>
      </c>
      <c r="V67">
        <f>IF(ISBLANK('Data Entry'!V67), "", 'Data Entry'!V67)</f>
      </c>
      <c r="W67">
        <f>IF(ISBLANK('Data Entry'!W67), "", 'Data Entry'!W67)</f>
      </c>
      <c r="X67">
        <f>IF(ISBLANK('Data Entry'!X67), "", 'Data Entry'!X67)</f>
      </c>
      <c r="Y67">
        <f>IF(ISBLANK('Data Entry'!Y67), "", 'Data Entry'!Y67)</f>
      </c>
      <c r="Z67">
        <f>IF(ISBLANK('Data Entry'!Z67), "", 'Data Entry'!Z67)</f>
      </c>
      <c r="AA67">
        <f>IF(ISBLANK('Data Entry'![67), "", 'Data Entry'![67)</f>
      </c>
      <c r="AB67">
        <f>IF(ISBLANK('Data Entry'!\67), "", 'Data Entry'!\67)</f>
      </c>
      <c r="AC67">
        <f>IF(ISBLANK('Data Entry'!]67), "", 'Data Entry'!]67)</f>
      </c>
      <c r="AD67">
        <f>IF(ISBLANK('Data Entry'!^67), "", 'Data Entry'!^67)</f>
      </c>
      <c r="AE67">
        <f>IF(ISBLANK('Data Entry'!_67), "", 'Data Entry'!_67)</f>
      </c>
      <c r="AF67">
        <f>IF(ISBLANK('Data Entry'!`67), "", 'Data Entry'!`67)</f>
      </c>
      <c r="AG67">
        <f>IF(ISBLANK('Data Entry'!a67), "", 'Data Entry'!a67)</f>
      </c>
      <c r="AH67">
        <f>IF(ISBLANK('Data Entry'!b67), "", 'Data Entry'!b67)</f>
      </c>
      <c r="AI67">
        <f>IF(ISBLANK('Data Entry'!c67), "", 'Data Entry'!c67)</f>
      </c>
      <c r="AJ67">
        <f>IF(ISBLANK('Data Entry'!d67), "", 'Data Entry'!d67)</f>
      </c>
      <c r="AK67">
        <f>IF(ISBLANK('Data Entry'!e67), "", 'Data Entry'!e67)</f>
      </c>
      <c r="AL67">
        <f>IF(ISBLANK('Data Entry'!f67), "", 'Data Entry'!f67)</f>
      </c>
      <c r="AM67">
        <f>IF(ISBLANK('Data Entry'!g67), "", 'Data Entry'!g67)</f>
      </c>
      <c r="AN67">
        <f>IF(ISBLANK('Data Entry'!h67), "", 'Data Entry'!h67)</f>
      </c>
    </row>
    <row r="68" spans="1:40" x14ac:dyDescent="0.25">
      <c r="A68">
        <f>IF(ISBLANK('Data Entry'!A68), "", 'Data Entry'!A68)</f>
      </c>
      <c r="B68">
        <f>IF(ISBLANK('Data Entry'!B68), "", 'Data Entry'!B68)</f>
      </c>
      <c r="C68">
        <f>IF(ISBLANK('Data Entry'!C68), "", 'Data Entry'!C68)</f>
      </c>
      <c r="D68">
        <f>IF(ISBLANK('Data Entry'!D68), "", 'Data Entry'!D68)</f>
      </c>
      <c r="E68">
        <f>IF(ISBLANK('Data Entry'!E68), "", 'Data Entry'!E68)</f>
      </c>
      <c r="F68">
        <f>IF(ISBLANK('Data Entry'!F68), "", 'Data Entry'!F68)</f>
      </c>
      <c r="G68">
        <f>IF(ISBLANK('Data Entry'!G68), "", 'Data Entry'!G68)</f>
      </c>
      <c r="H68">
        <f>IF(ISBLANK('Data Entry'!H68), "", 'Data Entry'!H68)</f>
      </c>
      <c r="I68">
        <f>IF(ISBLANK('Data Entry'!I68), "", 'Data Entry'!I68)</f>
      </c>
      <c r="J68">
        <f>IF(ISBLANK('Data Entry'!J68), "", 'Data Entry'!J68)</f>
      </c>
      <c r="K68">
        <f>IF(ISBLANK('Data Entry'!K68), "", 'Data Entry'!K68)</f>
      </c>
      <c r="L68">
        <f>IF(ISBLANK('Data Entry'!L68), "", 'Data Entry'!L68)</f>
      </c>
      <c r="M68">
        <f>IF(ISBLANK('Data Entry'!M68), "", 'Data Entry'!M68)</f>
      </c>
      <c r="N68">
        <f>IF(ISBLANK('Data Entry'!N68), "", 'Data Entry'!N68)</f>
      </c>
      <c r="O68">
        <f>IF(ISBLANK('Data Entry'!O68), "", 'Data Entry'!O68)</f>
      </c>
      <c r="P68">
        <f>IF(ISBLANK('Data Entry'!P68), "", 'Data Entry'!P68)</f>
      </c>
      <c r="Q68">
        <f>IF(ISBLANK('Data Entry'!Q68), "", 'Data Entry'!Q68)</f>
      </c>
      <c r="R68">
        <f>IF(ISBLANK('Data Entry'!R68), "", 'Data Entry'!R68)</f>
      </c>
      <c r="S68">
        <f>IF(ISBLANK('Data Entry'!S68), "", 'Data Entry'!S68)</f>
      </c>
      <c r="T68">
        <f>IF(ISBLANK('Data Entry'!T68), "", 'Data Entry'!T68)</f>
      </c>
      <c r="U68">
        <f>IF(ISBLANK('Data Entry'!U68), "", 'Data Entry'!U68)</f>
      </c>
      <c r="V68">
        <f>IF(ISBLANK('Data Entry'!V68), "", 'Data Entry'!V68)</f>
      </c>
      <c r="W68">
        <f>IF(ISBLANK('Data Entry'!W68), "", 'Data Entry'!W68)</f>
      </c>
      <c r="X68">
        <f>IF(ISBLANK('Data Entry'!X68), "", 'Data Entry'!X68)</f>
      </c>
      <c r="Y68">
        <f>IF(ISBLANK('Data Entry'!Y68), "", 'Data Entry'!Y68)</f>
      </c>
      <c r="Z68">
        <f>IF(ISBLANK('Data Entry'!Z68), "", 'Data Entry'!Z68)</f>
      </c>
      <c r="AA68">
        <f>IF(ISBLANK('Data Entry'![68), "", 'Data Entry'![68)</f>
      </c>
      <c r="AB68">
        <f>IF(ISBLANK('Data Entry'!\68), "", 'Data Entry'!\68)</f>
      </c>
      <c r="AC68">
        <f>IF(ISBLANK('Data Entry'!]68), "", 'Data Entry'!]68)</f>
      </c>
      <c r="AD68">
        <f>IF(ISBLANK('Data Entry'!^68), "", 'Data Entry'!^68)</f>
      </c>
      <c r="AE68">
        <f>IF(ISBLANK('Data Entry'!_68), "", 'Data Entry'!_68)</f>
      </c>
      <c r="AF68">
        <f>IF(ISBLANK('Data Entry'!`68), "", 'Data Entry'!`68)</f>
      </c>
      <c r="AG68">
        <f>IF(ISBLANK('Data Entry'!a68), "", 'Data Entry'!a68)</f>
      </c>
      <c r="AH68">
        <f>IF(ISBLANK('Data Entry'!b68), "", 'Data Entry'!b68)</f>
      </c>
      <c r="AI68">
        <f>IF(ISBLANK('Data Entry'!c68), "", 'Data Entry'!c68)</f>
      </c>
      <c r="AJ68">
        <f>IF(ISBLANK('Data Entry'!d68), "", 'Data Entry'!d68)</f>
      </c>
      <c r="AK68">
        <f>IF(ISBLANK('Data Entry'!e68), "", 'Data Entry'!e68)</f>
      </c>
      <c r="AL68">
        <f>IF(ISBLANK('Data Entry'!f68), "", 'Data Entry'!f68)</f>
      </c>
      <c r="AM68">
        <f>IF(ISBLANK('Data Entry'!g68), "", 'Data Entry'!g68)</f>
      </c>
      <c r="AN68">
        <f>IF(ISBLANK('Data Entry'!h68), "", 'Data Entry'!h68)</f>
      </c>
    </row>
    <row r="69" spans="1:40" x14ac:dyDescent="0.25">
      <c r="A69">
        <f>IF(ISBLANK('Data Entry'!A69), "", 'Data Entry'!A69)</f>
      </c>
      <c r="B69">
        <f>IF(ISBLANK('Data Entry'!B69), "", 'Data Entry'!B69)</f>
      </c>
      <c r="C69">
        <f>IF(ISBLANK('Data Entry'!C69), "", 'Data Entry'!C69)</f>
      </c>
      <c r="D69">
        <f>IF(ISBLANK('Data Entry'!D69), "", 'Data Entry'!D69)</f>
      </c>
      <c r="E69">
        <f>IF(ISBLANK('Data Entry'!E69), "", 'Data Entry'!E69)</f>
      </c>
      <c r="F69">
        <f>IF(ISBLANK('Data Entry'!F69), "", 'Data Entry'!F69)</f>
      </c>
      <c r="G69">
        <f>IF(ISBLANK('Data Entry'!G69), "", 'Data Entry'!G69)</f>
      </c>
      <c r="H69">
        <f>IF(ISBLANK('Data Entry'!H69), "", 'Data Entry'!H69)</f>
      </c>
      <c r="I69">
        <f>IF(ISBLANK('Data Entry'!I69), "", 'Data Entry'!I69)</f>
      </c>
      <c r="J69">
        <f>IF(ISBLANK('Data Entry'!J69), "", 'Data Entry'!J69)</f>
      </c>
      <c r="K69">
        <f>IF(ISBLANK('Data Entry'!K69), "", 'Data Entry'!K69)</f>
      </c>
      <c r="L69">
        <f>IF(ISBLANK('Data Entry'!L69), "", 'Data Entry'!L69)</f>
      </c>
      <c r="M69">
        <f>IF(ISBLANK('Data Entry'!M69), "", 'Data Entry'!M69)</f>
      </c>
      <c r="N69">
        <f>IF(ISBLANK('Data Entry'!N69), "", 'Data Entry'!N69)</f>
      </c>
      <c r="O69">
        <f>IF(ISBLANK('Data Entry'!O69), "", 'Data Entry'!O69)</f>
      </c>
      <c r="P69">
        <f>IF(ISBLANK('Data Entry'!P69), "", 'Data Entry'!P69)</f>
      </c>
      <c r="Q69">
        <f>IF(ISBLANK('Data Entry'!Q69), "", 'Data Entry'!Q69)</f>
      </c>
      <c r="R69">
        <f>IF(ISBLANK('Data Entry'!R69), "", 'Data Entry'!R69)</f>
      </c>
      <c r="S69">
        <f>IF(ISBLANK('Data Entry'!S69), "", 'Data Entry'!S69)</f>
      </c>
      <c r="T69">
        <f>IF(ISBLANK('Data Entry'!T69), "", 'Data Entry'!T69)</f>
      </c>
      <c r="U69">
        <f>IF(ISBLANK('Data Entry'!U69), "", 'Data Entry'!U69)</f>
      </c>
      <c r="V69">
        <f>IF(ISBLANK('Data Entry'!V69), "", 'Data Entry'!V69)</f>
      </c>
      <c r="W69">
        <f>IF(ISBLANK('Data Entry'!W69), "", 'Data Entry'!W69)</f>
      </c>
      <c r="X69">
        <f>IF(ISBLANK('Data Entry'!X69), "", 'Data Entry'!X69)</f>
      </c>
      <c r="Y69">
        <f>IF(ISBLANK('Data Entry'!Y69), "", 'Data Entry'!Y69)</f>
      </c>
      <c r="Z69">
        <f>IF(ISBLANK('Data Entry'!Z69), "", 'Data Entry'!Z69)</f>
      </c>
      <c r="AA69">
        <f>IF(ISBLANK('Data Entry'![69), "", 'Data Entry'![69)</f>
      </c>
      <c r="AB69">
        <f>IF(ISBLANK('Data Entry'!\69), "", 'Data Entry'!\69)</f>
      </c>
      <c r="AC69">
        <f>IF(ISBLANK('Data Entry'!]69), "", 'Data Entry'!]69)</f>
      </c>
      <c r="AD69">
        <f>IF(ISBLANK('Data Entry'!^69), "", 'Data Entry'!^69)</f>
      </c>
      <c r="AE69">
        <f>IF(ISBLANK('Data Entry'!_69), "", 'Data Entry'!_69)</f>
      </c>
      <c r="AF69">
        <f>IF(ISBLANK('Data Entry'!`69), "", 'Data Entry'!`69)</f>
      </c>
      <c r="AG69">
        <f>IF(ISBLANK('Data Entry'!a69), "", 'Data Entry'!a69)</f>
      </c>
      <c r="AH69">
        <f>IF(ISBLANK('Data Entry'!b69), "", 'Data Entry'!b69)</f>
      </c>
      <c r="AI69">
        <f>IF(ISBLANK('Data Entry'!c69), "", 'Data Entry'!c69)</f>
      </c>
      <c r="AJ69">
        <f>IF(ISBLANK('Data Entry'!d69), "", 'Data Entry'!d69)</f>
      </c>
      <c r="AK69">
        <f>IF(ISBLANK('Data Entry'!e69), "", 'Data Entry'!e69)</f>
      </c>
      <c r="AL69">
        <f>IF(ISBLANK('Data Entry'!f69), "", 'Data Entry'!f69)</f>
      </c>
      <c r="AM69">
        <f>IF(ISBLANK('Data Entry'!g69), "", 'Data Entry'!g69)</f>
      </c>
      <c r="AN69">
        <f>IF(ISBLANK('Data Entry'!h69), "", 'Data Entry'!h69)</f>
      </c>
    </row>
    <row r="70" spans="1:40" x14ac:dyDescent="0.25">
      <c r="A70">
        <f>IF(ISBLANK('Data Entry'!A70), "", 'Data Entry'!A70)</f>
      </c>
      <c r="B70">
        <f>IF(ISBLANK('Data Entry'!B70), "", 'Data Entry'!B70)</f>
      </c>
      <c r="C70">
        <f>IF(ISBLANK('Data Entry'!C70), "", 'Data Entry'!C70)</f>
      </c>
      <c r="D70">
        <f>IF(ISBLANK('Data Entry'!D70), "", 'Data Entry'!D70)</f>
      </c>
      <c r="E70">
        <f>IF(ISBLANK('Data Entry'!E70), "", 'Data Entry'!E70)</f>
      </c>
      <c r="F70">
        <f>IF(ISBLANK('Data Entry'!F70), "", 'Data Entry'!F70)</f>
      </c>
      <c r="G70">
        <f>IF(ISBLANK('Data Entry'!G70), "", 'Data Entry'!G70)</f>
      </c>
      <c r="H70">
        <f>IF(ISBLANK('Data Entry'!H70), "", 'Data Entry'!H70)</f>
      </c>
      <c r="I70">
        <f>IF(ISBLANK('Data Entry'!I70), "", 'Data Entry'!I70)</f>
      </c>
      <c r="J70">
        <f>IF(ISBLANK('Data Entry'!J70), "", 'Data Entry'!J70)</f>
      </c>
      <c r="K70">
        <f>IF(ISBLANK('Data Entry'!K70), "", 'Data Entry'!K70)</f>
      </c>
      <c r="L70">
        <f>IF(ISBLANK('Data Entry'!L70), "", 'Data Entry'!L70)</f>
      </c>
      <c r="M70">
        <f>IF(ISBLANK('Data Entry'!M70), "", 'Data Entry'!M70)</f>
      </c>
      <c r="N70">
        <f>IF(ISBLANK('Data Entry'!N70), "", 'Data Entry'!N70)</f>
      </c>
      <c r="O70">
        <f>IF(ISBLANK('Data Entry'!O70), "", 'Data Entry'!O70)</f>
      </c>
      <c r="P70">
        <f>IF(ISBLANK('Data Entry'!P70), "", 'Data Entry'!P70)</f>
      </c>
      <c r="Q70">
        <f>IF(ISBLANK('Data Entry'!Q70), "", 'Data Entry'!Q70)</f>
      </c>
      <c r="R70">
        <f>IF(ISBLANK('Data Entry'!R70), "", 'Data Entry'!R70)</f>
      </c>
      <c r="S70">
        <f>IF(ISBLANK('Data Entry'!S70), "", 'Data Entry'!S70)</f>
      </c>
      <c r="T70">
        <f>IF(ISBLANK('Data Entry'!T70), "", 'Data Entry'!T70)</f>
      </c>
      <c r="U70">
        <f>IF(ISBLANK('Data Entry'!U70), "", 'Data Entry'!U70)</f>
      </c>
      <c r="V70">
        <f>IF(ISBLANK('Data Entry'!V70), "", 'Data Entry'!V70)</f>
      </c>
      <c r="W70">
        <f>IF(ISBLANK('Data Entry'!W70), "", 'Data Entry'!W70)</f>
      </c>
      <c r="X70">
        <f>IF(ISBLANK('Data Entry'!X70), "", 'Data Entry'!X70)</f>
      </c>
      <c r="Y70">
        <f>IF(ISBLANK('Data Entry'!Y70), "", 'Data Entry'!Y70)</f>
      </c>
      <c r="Z70">
        <f>IF(ISBLANK('Data Entry'!Z70), "", 'Data Entry'!Z70)</f>
      </c>
      <c r="AA70">
        <f>IF(ISBLANK('Data Entry'![70), "", 'Data Entry'![70)</f>
      </c>
      <c r="AB70">
        <f>IF(ISBLANK('Data Entry'!\70), "", 'Data Entry'!\70)</f>
      </c>
      <c r="AC70">
        <f>IF(ISBLANK('Data Entry'!]70), "", 'Data Entry'!]70)</f>
      </c>
      <c r="AD70">
        <f>IF(ISBLANK('Data Entry'!^70), "", 'Data Entry'!^70)</f>
      </c>
      <c r="AE70">
        <f>IF(ISBLANK('Data Entry'!_70), "", 'Data Entry'!_70)</f>
      </c>
      <c r="AF70">
        <f>IF(ISBLANK('Data Entry'!`70), "", 'Data Entry'!`70)</f>
      </c>
      <c r="AG70">
        <f>IF(ISBLANK('Data Entry'!a70), "", 'Data Entry'!a70)</f>
      </c>
      <c r="AH70">
        <f>IF(ISBLANK('Data Entry'!b70), "", 'Data Entry'!b70)</f>
      </c>
      <c r="AI70">
        <f>IF(ISBLANK('Data Entry'!c70), "", 'Data Entry'!c70)</f>
      </c>
      <c r="AJ70">
        <f>IF(ISBLANK('Data Entry'!d70), "", 'Data Entry'!d70)</f>
      </c>
      <c r="AK70">
        <f>IF(ISBLANK('Data Entry'!e70), "", 'Data Entry'!e70)</f>
      </c>
      <c r="AL70">
        <f>IF(ISBLANK('Data Entry'!f70), "", 'Data Entry'!f70)</f>
      </c>
      <c r="AM70">
        <f>IF(ISBLANK('Data Entry'!g70), "", 'Data Entry'!g70)</f>
      </c>
      <c r="AN70">
        <f>IF(ISBLANK('Data Entry'!h70), "", 'Data Entry'!h70)</f>
      </c>
    </row>
    <row r="71" spans="1:40" x14ac:dyDescent="0.25">
      <c r="A71">
        <f>IF(ISBLANK('Data Entry'!A71), "", 'Data Entry'!A71)</f>
      </c>
      <c r="B71">
        <f>IF(ISBLANK('Data Entry'!B71), "", 'Data Entry'!B71)</f>
      </c>
      <c r="C71">
        <f>IF(ISBLANK('Data Entry'!C71), "", 'Data Entry'!C71)</f>
      </c>
      <c r="D71">
        <f>IF(ISBLANK('Data Entry'!D71), "", 'Data Entry'!D71)</f>
      </c>
      <c r="E71">
        <f>IF(ISBLANK('Data Entry'!E71), "", 'Data Entry'!E71)</f>
      </c>
      <c r="F71">
        <f>IF(ISBLANK('Data Entry'!F71), "", 'Data Entry'!F71)</f>
      </c>
      <c r="G71">
        <f>IF(ISBLANK('Data Entry'!G71), "", 'Data Entry'!G71)</f>
      </c>
      <c r="H71">
        <f>IF(ISBLANK('Data Entry'!H71), "", 'Data Entry'!H71)</f>
      </c>
      <c r="I71">
        <f>IF(ISBLANK('Data Entry'!I71), "", 'Data Entry'!I71)</f>
      </c>
      <c r="J71">
        <f>IF(ISBLANK('Data Entry'!J71), "", 'Data Entry'!J71)</f>
      </c>
      <c r="K71">
        <f>IF(ISBLANK('Data Entry'!K71), "", 'Data Entry'!K71)</f>
      </c>
      <c r="L71">
        <f>IF(ISBLANK('Data Entry'!L71), "", 'Data Entry'!L71)</f>
      </c>
      <c r="M71">
        <f>IF(ISBLANK('Data Entry'!M71), "", 'Data Entry'!M71)</f>
      </c>
      <c r="N71">
        <f>IF(ISBLANK('Data Entry'!N71), "", 'Data Entry'!N71)</f>
      </c>
      <c r="O71">
        <f>IF(ISBLANK('Data Entry'!O71), "", 'Data Entry'!O71)</f>
      </c>
      <c r="P71">
        <f>IF(ISBLANK('Data Entry'!P71), "", 'Data Entry'!P71)</f>
      </c>
      <c r="Q71">
        <f>IF(ISBLANK('Data Entry'!Q71), "", 'Data Entry'!Q71)</f>
      </c>
      <c r="R71">
        <f>IF(ISBLANK('Data Entry'!R71), "", 'Data Entry'!R71)</f>
      </c>
      <c r="S71">
        <f>IF(ISBLANK('Data Entry'!S71), "", 'Data Entry'!S71)</f>
      </c>
      <c r="T71">
        <f>IF(ISBLANK('Data Entry'!T71), "", 'Data Entry'!T71)</f>
      </c>
      <c r="U71">
        <f>IF(ISBLANK('Data Entry'!U71), "", 'Data Entry'!U71)</f>
      </c>
      <c r="V71">
        <f>IF(ISBLANK('Data Entry'!V71), "", 'Data Entry'!V71)</f>
      </c>
      <c r="W71">
        <f>IF(ISBLANK('Data Entry'!W71), "", 'Data Entry'!W71)</f>
      </c>
      <c r="X71">
        <f>IF(ISBLANK('Data Entry'!X71), "", 'Data Entry'!X71)</f>
      </c>
      <c r="Y71">
        <f>IF(ISBLANK('Data Entry'!Y71), "", 'Data Entry'!Y71)</f>
      </c>
      <c r="Z71">
        <f>IF(ISBLANK('Data Entry'!Z71), "", 'Data Entry'!Z71)</f>
      </c>
      <c r="AA71">
        <f>IF(ISBLANK('Data Entry'![71), "", 'Data Entry'![71)</f>
      </c>
      <c r="AB71">
        <f>IF(ISBLANK('Data Entry'!\71), "", 'Data Entry'!\71)</f>
      </c>
      <c r="AC71">
        <f>IF(ISBLANK('Data Entry'!]71), "", 'Data Entry'!]71)</f>
      </c>
      <c r="AD71">
        <f>IF(ISBLANK('Data Entry'!^71), "", 'Data Entry'!^71)</f>
      </c>
      <c r="AE71">
        <f>IF(ISBLANK('Data Entry'!_71), "", 'Data Entry'!_71)</f>
      </c>
      <c r="AF71">
        <f>IF(ISBLANK('Data Entry'!`71), "", 'Data Entry'!`71)</f>
      </c>
      <c r="AG71">
        <f>IF(ISBLANK('Data Entry'!a71), "", 'Data Entry'!a71)</f>
      </c>
      <c r="AH71">
        <f>IF(ISBLANK('Data Entry'!b71), "", 'Data Entry'!b71)</f>
      </c>
      <c r="AI71">
        <f>IF(ISBLANK('Data Entry'!c71), "", 'Data Entry'!c71)</f>
      </c>
      <c r="AJ71">
        <f>IF(ISBLANK('Data Entry'!d71), "", 'Data Entry'!d71)</f>
      </c>
      <c r="AK71">
        <f>IF(ISBLANK('Data Entry'!e71), "", 'Data Entry'!e71)</f>
      </c>
      <c r="AL71">
        <f>IF(ISBLANK('Data Entry'!f71), "", 'Data Entry'!f71)</f>
      </c>
      <c r="AM71">
        <f>IF(ISBLANK('Data Entry'!g71), "", 'Data Entry'!g71)</f>
      </c>
      <c r="AN71">
        <f>IF(ISBLANK('Data Entry'!h71), "", 'Data Entry'!h71)</f>
      </c>
    </row>
    <row r="72" spans="1:40" x14ac:dyDescent="0.25">
      <c r="A72">
        <f>IF(ISBLANK('Data Entry'!A72), "", 'Data Entry'!A72)</f>
      </c>
      <c r="B72">
        <f>IF(ISBLANK('Data Entry'!B72), "", 'Data Entry'!B72)</f>
      </c>
      <c r="C72">
        <f>IF(ISBLANK('Data Entry'!C72), "", 'Data Entry'!C72)</f>
      </c>
      <c r="D72">
        <f>IF(ISBLANK('Data Entry'!D72), "", 'Data Entry'!D72)</f>
      </c>
      <c r="E72">
        <f>IF(ISBLANK('Data Entry'!E72), "", 'Data Entry'!E72)</f>
      </c>
      <c r="F72">
        <f>IF(ISBLANK('Data Entry'!F72), "", 'Data Entry'!F72)</f>
      </c>
      <c r="G72">
        <f>IF(ISBLANK('Data Entry'!G72), "", 'Data Entry'!G72)</f>
      </c>
      <c r="H72">
        <f>IF(ISBLANK('Data Entry'!H72), "", 'Data Entry'!H72)</f>
      </c>
      <c r="I72">
        <f>IF(ISBLANK('Data Entry'!I72), "", 'Data Entry'!I72)</f>
      </c>
      <c r="J72">
        <f>IF(ISBLANK('Data Entry'!J72), "", 'Data Entry'!J72)</f>
      </c>
      <c r="K72">
        <f>IF(ISBLANK('Data Entry'!K72), "", 'Data Entry'!K72)</f>
      </c>
      <c r="L72">
        <f>IF(ISBLANK('Data Entry'!L72), "", 'Data Entry'!L72)</f>
      </c>
      <c r="M72">
        <f>IF(ISBLANK('Data Entry'!M72), "", 'Data Entry'!M72)</f>
      </c>
      <c r="N72">
        <f>IF(ISBLANK('Data Entry'!N72), "", 'Data Entry'!N72)</f>
      </c>
      <c r="O72">
        <f>IF(ISBLANK('Data Entry'!O72), "", 'Data Entry'!O72)</f>
      </c>
      <c r="P72">
        <f>IF(ISBLANK('Data Entry'!P72), "", 'Data Entry'!P72)</f>
      </c>
      <c r="Q72">
        <f>IF(ISBLANK('Data Entry'!Q72), "", 'Data Entry'!Q72)</f>
      </c>
      <c r="R72">
        <f>IF(ISBLANK('Data Entry'!R72), "", 'Data Entry'!R72)</f>
      </c>
      <c r="S72">
        <f>IF(ISBLANK('Data Entry'!S72), "", 'Data Entry'!S72)</f>
      </c>
      <c r="T72">
        <f>IF(ISBLANK('Data Entry'!T72), "", 'Data Entry'!T72)</f>
      </c>
      <c r="U72">
        <f>IF(ISBLANK('Data Entry'!U72), "", 'Data Entry'!U72)</f>
      </c>
      <c r="V72">
        <f>IF(ISBLANK('Data Entry'!V72), "", 'Data Entry'!V72)</f>
      </c>
      <c r="W72">
        <f>IF(ISBLANK('Data Entry'!W72), "", 'Data Entry'!W72)</f>
      </c>
      <c r="X72">
        <f>IF(ISBLANK('Data Entry'!X72), "", 'Data Entry'!X72)</f>
      </c>
      <c r="Y72">
        <f>IF(ISBLANK('Data Entry'!Y72), "", 'Data Entry'!Y72)</f>
      </c>
      <c r="Z72">
        <f>IF(ISBLANK('Data Entry'!Z72), "", 'Data Entry'!Z72)</f>
      </c>
      <c r="AA72">
        <f>IF(ISBLANK('Data Entry'![72), "", 'Data Entry'![72)</f>
      </c>
      <c r="AB72">
        <f>IF(ISBLANK('Data Entry'!\72), "", 'Data Entry'!\72)</f>
      </c>
      <c r="AC72">
        <f>IF(ISBLANK('Data Entry'!]72), "", 'Data Entry'!]72)</f>
      </c>
      <c r="AD72">
        <f>IF(ISBLANK('Data Entry'!^72), "", 'Data Entry'!^72)</f>
      </c>
      <c r="AE72">
        <f>IF(ISBLANK('Data Entry'!_72), "", 'Data Entry'!_72)</f>
      </c>
      <c r="AF72">
        <f>IF(ISBLANK('Data Entry'!`72), "", 'Data Entry'!`72)</f>
      </c>
      <c r="AG72">
        <f>IF(ISBLANK('Data Entry'!a72), "", 'Data Entry'!a72)</f>
      </c>
      <c r="AH72">
        <f>IF(ISBLANK('Data Entry'!b72), "", 'Data Entry'!b72)</f>
      </c>
      <c r="AI72">
        <f>IF(ISBLANK('Data Entry'!c72), "", 'Data Entry'!c72)</f>
      </c>
      <c r="AJ72">
        <f>IF(ISBLANK('Data Entry'!d72), "", 'Data Entry'!d72)</f>
      </c>
      <c r="AK72">
        <f>IF(ISBLANK('Data Entry'!e72), "", 'Data Entry'!e72)</f>
      </c>
      <c r="AL72">
        <f>IF(ISBLANK('Data Entry'!f72), "", 'Data Entry'!f72)</f>
      </c>
      <c r="AM72">
        <f>IF(ISBLANK('Data Entry'!g72), "", 'Data Entry'!g72)</f>
      </c>
      <c r="AN72">
        <f>IF(ISBLANK('Data Entry'!h72), "", 'Data Entry'!h72)</f>
      </c>
    </row>
    <row r="73" spans="1:40" x14ac:dyDescent="0.25">
      <c r="A73">
        <f>IF(ISBLANK('Data Entry'!A73), "", 'Data Entry'!A73)</f>
      </c>
      <c r="B73">
        <f>IF(ISBLANK('Data Entry'!B73), "", 'Data Entry'!B73)</f>
      </c>
      <c r="C73">
        <f>IF(ISBLANK('Data Entry'!C73), "", 'Data Entry'!C73)</f>
      </c>
      <c r="D73">
        <f>IF(ISBLANK('Data Entry'!D73), "", 'Data Entry'!D73)</f>
      </c>
      <c r="E73">
        <f>IF(ISBLANK('Data Entry'!E73), "", 'Data Entry'!E73)</f>
      </c>
      <c r="F73">
        <f>IF(ISBLANK('Data Entry'!F73), "", 'Data Entry'!F73)</f>
      </c>
      <c r="G73">
        <f>IF(ISBLANK('Data Entry'!G73), "", 'Data Entry'!G73)</f>
      </c>
      <c r="H73">
        <f>IF(ISBLANK('Data Entry'!H73), "", 'Data Entry'!H73)</f>
      </c>
      <c r="I73">
        <f>IF(ISBLANK('Data Entry'!I73), "", 'Data Entry'!I73)</f>
      </c>
      <c r="J73">
        <f>IF(ISBLANK('Data Entry'!J73), "", 'Data Entry'!J73)</f>
      </c>
      <c r="K73">
        <f>IF(ISBLANK('Data Entry'!K73), "", 'Data Entry'!K73)</f>
      </c>
      <c r="L73">
        <f>IF(ISBLANK('Data Entry'!L73), "", 'Data Entry'!L73)</f>
      </c>
      <c r="M73">
        <f>IF(ISBLANK('Data Entry'!M73), "", 'Data Entry'!M73)</f>
      </c>
      <c r="N73">
        <f>IF(ISBLANK('Data Entry'!N73), "", 'Data Entry'!N73)</f>
      </c>
      <c r="O73">
        <f>IF(ISBLANK('Data Entry'!O73), "", 'Data Entry'!O73)</f>
      </c>
      <c r="P73">
        <f>IF(ISBLANK('Data Entry'!P73), "", 'Data Entry'!P73)</f>
      </c>
      <c r="Q73">
        <f>IF(ISBLANK('Data Entry'!Q73), "", 'Data Entry'!Q73)</f>
      </c>
      <c r="R73">
        <f>IF(ISBLANK('Data Entry'!R73), "", 'Data Entry'!R73)</f>
      </c>
      <c r="S73">
        <f>IF(ISBLANK('Data Entry'!S73), "", 'Data Entry'!S73)</f>
      </c>
      <c r="T73">
        <f>IF(ISBLANK('Data Entry'!T73), "", 'Data Entry'!T73)</f>
      </c>
      <c r="U73">
        <f>IF(ISBLANK('Data Entry'!U73), "", 'Data Entry'!U73)</f>
      </c>
      <c r="V73">
        <f>IF(ISBLANK('Data Entry'!V73), "", 'Data Entry'!V73)</f>
      </c>
      <c r="W73">
        <f>IF(ISBLANK('Data Entry'!W73), "", 'Data Entry'!W73)</f>
      </c>
      <c r="X73">
        <f>IF(ISBLANK('Data Entry'!X73), "", 'Data Entry'!X73)</f>
      </c>
      <c r="Y73">
        <f>IF(ISBLANK('Data Entry'!Y73), "", 'Data Entry'!Y73)</f>
      </c>
      <c r="Z73">
        <f>IF(ISBLANK('Data Entry'!Z73), "", 'Data Entry'!Z73)</f>
      </c>
      <c r="AA73">
        <f>IF(ISBLANK('Data Entry'![73), "", 'Data Entry'![73)</f>
      </c>
      <c r="AB73">
        <f>IF(ISBLANK('Data Entry'!\73), "", 'Data Entry'!\73)</f>
      </c>
      <c r="AC73">
        <f>IF(ISBLANK('Data Entry'!]73), "", 'Data Entry'!]73)</f>
      </c>
      <c r="AD73">
        <f>IF(ISBLANK('Data Entry'!^73), "", 'Data Entry'!^73)</f>
      </c>
      <c r="AE73">
        <f>IF(ISBLANK('Data Entry'!_73), "", 'Data Entry'!_73)</f>
      </c>
      <c r="AF73">
        <f>IF(ISBLANK('Data Entry'!`73), "", 'Data Entry'!`73)</f>
      </c>
      <c r="AG73">
        <f>IF(ISBLANK('Data Entry'!a73), "", 'Data Entry'!a73)</f>
      </c>
      <c r="AH73">
        <f>IF(ISBLANK('Data Entry'!b73), "", 'Data Entry'!b73)</f>
      </c>
      <c r="AI73">
        <f>IF(ISBLANK('Data Entry'!c73), "", 'Data Entry'!c73)</f>
      </c>
      <c r="AJ73">
        <f>IF(ISBLANK('Data Entry'!d73), "", 'Data Entry'!d73)</f>
      </c>
      <c r="AK73">
        <f>IF(ISBLANK('Data Entry'!e73), "", 'Data Entry'!e73)</f>
      </c>
      <c r="AL73">
        <f>IF(ISBLANK('Data Entry'!f73), "", 'Data Entry'!f73)</f>
      </c>
      <c r="AM73">
        <f>IF(ISBLANK('Data Entry'!g73), "", 'Data Entry'!g73)</f>
      </c>
      <c r="AN73">
        <f>IF(ISBLANK('Data Entry'!h73), "", 'Data Entry'!h73)</f>
      </c>
    </row>
    <row r="74" spans="1:40" x14ac:dyDescent="0.25">
      <c r="A74">
        <f>IF(ISBLANK('Data Entry'!A74), "", 'Data Entry'!A74)</f>
      </c>
      <c r="B74">
        <f>IF(ISBLANK('Data Entry'!B74), "", 'Data Entry'!B74)</f>
      </c>
      <c r="C74">
        <f>IF(ISBLANK('Data Entry'!C74), "", 'Data Entry'!C74)</f>
      </c>
      <c r="D74">
        <f>IF(ISBLANK('Data Entry'!D74), "", 'Data Entry'!D74)</f>
      </c>
      <c r="E74">
        <f>IF(ISBLANK('Data Entry'!E74), "", 'Data Entry'!E74)</f>
      </c>
      <c r="F74">
        <f>IF(ISBLANK('Data Entry'!F74), "", 'Data Entry'!F74)</f>
      </c>
      <c r="G74">
        <f>IF(ISBLANK('Data Entry'!G74), "", 'Data Entry'!G74)</f>
      </c>
      <c r="H74">
        <f>IF(ISBLANK('Data Entry'!H74), "", 'Data Entry'!H74)</f>
      </c>
      <c r="I74">
        <f>IF(ISBLANK('Data Entry'!I74), "", 'Data Entry'!I74)</f>
      </c>
      <c r="J74">
        <f>IF(ISBLANK('Data Entry'!J74), "", 'Data Entry'!J74)</f>
      </c>
      <c r="K74">
        <f>IF(ISBLANK('Data Entry'!K74), "", 'Data Entry'!K74)</f>
      </c>
      <c r="L74">
        <f>IF(ISBLANK('Data Entry'!L74), "", 'Data Entry'!L74)</f>
      </c>
      <c r="M74">
        <f>IF(ISBLANK('Data Entry'!M74), "", 'Data Entry'!M74)</f>
      </c>
      <c r="N74">
        <f>IF(ISBLANK('Data Entry'!N74), "", 'Data Entry'!N74)</f>
      </c>
      <c r="O74">
        <f>IF(ISBLANK('Data Entry'!O74), "", 'Data Entry'!O74)</f>
      </c>
      <c r="P74">
        <f>IF(ISBLANK('Data Entry'!P74), "", 'Data Entry'!P74)</f>
      </c>
      <c r="Q74">
        <f>IF(ISBLANK('Data Entry'!Q74), "", 'Data Entry'!Q74)</f>
      </c>
      <c r="R74">
        <f>IF(ISBLANK('Data Entry'!R74), "", 'Data Entry'!R74)</f>
      </c>
      <c r="S74">
        <f>IF(ISBLANK('Data Entry'!S74), "", 'Data Entry'!S74)</f>
      </c>
      <c r="T74">
        <f>IF(ISBLANK('Data Entry'!T74), "", 'Data Entry'!T74)</f>
      </c>
      <c r="U74">
        <f>IF(ISBLANK('Data Entry'!U74), "", 'Data Entry'!U74)</f>
      </c>
      <c r="V74">
        <f>IF(ISBLANK('Data Entry'!V74), "", 'Data Entry'!V74)</f>
      </c>
      <c r="W74">
        <f>IF(ISBLANK('Data Entry'!W74), "", 'Data Entry'!W74)</f>
      </c>
      <c r="X74">
        <f>IF(ISBLANK('Data Entry'!X74), "", 'Data Entry'!X74)</f>
      </c>
      <c r="Y74">
        <f>IF(ISBLANK('Data Entry'!Y74), "", 'Data Entry'!Y74)</f>
      </c>
      <c r="Z74">
        <f>IF(ISBLANK('Data Entry'!Z74), "", 'Data Entry'!Z74)</f>
      </c>
      <c r="AA74">
        <f>IF(ISBLANK('Data Entry'![74), "", 'Data Entry'![74)</f>
      </c>
      <c r="AB74">
        <f>IF(ISBLANK('Data Entry'!\74), "", 'Data Entry'!\74)</f>
      </c>
      <c r="AC74">
        <f>IF(ISBLANK('Data Entry'!]74), "", 'Data Entry'!]74)</f>
      </c>
      <c r="AD74">
        <f>IF(ISBLANK('Data Entry'!^74), "", 'Data Entry'!^74)</f>
      </c>
      <c r="AE74">
        <f>IF(ISBLANK('Data Entry'!_74), "", 'Data Entry'!_74)</f>
      </c>
      <c r="AF74">
        <f>IF(ISBLANK('Data Entry'!`74), "", 'Data Entry'!`74)</f>
      </c>
      <c r="AG74">
        <f>IF(ISBLANK('Data Entry'!a74), "", 'Data Entry'!a74)</f>
      </c>
      <c r="AH74">
        <f>IF(ISBLANK('Data Entry'!b74), "", 'Data Entry'!b74)</f>
      </c>
      <c r="AI74">
        <f>IF(ISBLANK('Data Entry'!c74), "", 'Data Entry'!c74)</f>
      </c>
      <c r="AJ74">
        <f>IF(ISBLANK('Data Entry'!d74), "", 'Data Entry'!d74)</f>
      </c>
      <c r="AK74">
        <f>IF(ISBLANK('Data Entry'!e74), "", 'Data Entry'!e74)</f>
      </c>
      <c r="AL74">
        <f>IF(ISBLANK('Data Entry'!f74), "", 'Data Entry'!f74)</f>
      </c>
      <c r="AM74">
        <f>IF(ISBLANK('Data Entry'!g74), "", 'Data Entry'!g74)</f>
      </c>
      <c r="AN74">
        <f>IF(ISBLANK('Data Entry'!h74), "", 'Data Entry'!h74)</f>
      </c>
    </row>
    <row r="75" spans="1:40" x14ac:dyDescent="0.25">
      <c r="A75">
        <f>IF(ISBLANK('Data Entry'!A75), "", 'Data Entry'!A75)</f>
      </c>
      <c r="B75">
        <f>IF(ISBLANK('Data Entry'!B75), "", 'Data Entry'!B75)</f>
      </c>
      <c r="C75">
        <f>IF(ISBLANK('Data Entry'!C75), "", 'Data Entry'!C75)</f>
      </c>
      <c r="D75">
        <f>IF(ISBLANK('Data Entry'!D75), "", 'Data Entry'!D75)</f>
      </c>
      <c r="E75">
        <f>IF(ISBLANK('Data Entry'!E75), "", 'Data Entry'!E75)</f>
      </c>
      <c r="F75">
        <f>IF(ISBLANK('Data Entry'!F75), "", 'Data Entry'!F75)</f>
      </c>
      <c r="G75">
        <f>IF(ISBLANK('Data Entry'!G75), "", 'Data Entry'!G75)</f>
      </c>
      <c r="H75">
        <f>IF(ISBLANK('Data Entry'!H75), "", 'Data Entry'!H75)</f>
      </c>
      <c r="I75">
        <f>IF(ISBLANK('Data Entry'!I75), "", 'Data Entry'!I75)</f>
      </c>
      <c r="J75">
        <f>IF(ISBLANK('Data Entry'!J75), "", 'Data Entry'!J75)</f>
      </c>
      <c r="K75">
        <f>IF(ISBLANK('Data Entry'!K75), "", 'Data Entry'!K75)</f>
      </c>
      <c r="L75">
        <f>IF(ISBLANK('Data Entry'!L75), "", 'Data Entry'!L75)</f>
      </c>
      <c r="M75">
        <f>IF(ISBLANK('Data Entry'!M75), "", 'Data Entry'!M75)</f>
      </c>
      <c r="N75">
        <f>IF(ISBLANK('Data Entry'!N75), "", 'Data Entry'!N75)</f>
      </c>
      <c r="O75">
        <f>IF(ISBLANK('Data Entry'!O75), "", 'Data Entry'!O75)</f>
      </c>
      <c r="P75">
        <f>IF(ISBLANK('Data Entry'!P75), "", 'Data Entry'!P75)</f>
      </c>
      <c r="Q75">
        <f>IF(ISBLANK('Data Entry'!Q75), "", 'Data Entry'!Q75)</f>
      </c>
      <c r="R75">
        <f>IF(ISBLANK('Data Entry'!R75), "", 'Data Entry'!R75)</f>
      </c>
      <c r="S75">
        <f>IF(ISBLANK('Data Entry'!S75), "", 'Data Entry'!S75)</f>
      </c>
      <c r="T75">
        <f>IF(ISBLANK('Data Entry'!T75), "", 'Data Entry'!T75)</f>
      </c>
      <c r="U75">
        <f>IF(ISBLANK('Data Entry'!U75), "", 'Data Entry'!U75)</f>
      </c>
      <c r="V75">
        <f>IF(ISBLANK('Data Entry'!V75), "", 'Data Entry'!V75)</f>
      </c>
      <c r="W75">
        <f>IF(ISBLANK('Data Entry'!W75), "", 'Data Entry'!W75)</f>
      </c>
      <c r="X75">
        <f>IF(ISBLANK('Data Entry'!X75), "", 'Data Entry'!X75)</f>
      </c>
      <c r="Y75">
        <f>IF(ISBLANK('Data Entry'!Y75), "", 'Data Entry'!Y75)</f>
      </c>
      <c r="Z75">
        <f>IF(ISBLANK('Data Entry'!Z75), "", 'Data Entry'!Z75)</f>
      </c>
      <c r="AA75">
        <f>IF(ISBLANK('Data Entry'![75), "", 'Data Entry'![75)</f>
      </c>
      <c r="AB75">
        <f>IF(ISBLANK('Data Entry'!\75), "", 'Data Entry'!\75)</f>
      </c>
      <c r="AC75">
        <f>IF(ISBLANK('Data Entry'!]75), "", 'Data Entry'!]75)</f>
      </c>
      <c r="AD75">
        <f>IF(ISBLANK('Data Entry'!^75), "", 'Data Entry'!^75)</f>
      </c>
      <c r="AE75">
        <f>IF(ISBLANK('Data Entry'!_75), "", 'Data Entry'!_75)</f>
      </c>
      <c r="AF75">
        <f>IF(ISBLANK('Data Entry'!`75), "", 'Data Entry'!`75)</f>
      </c>
      <c r="AG75">
        <f>IF(ISBLANK('Data Entry'!a75), "", 'Data Entry'!a75)</f>
      </c>
      <c r="AH75">
        <f>IF(ISBLANK('Data Entry'!b75), "", 'Data Entry'!b75)</f>
      </c>
      <c r="AI75">
        <f>IF(ISBLANK('Data Entry'!c75), "", 'Data Entry'!c75)</f>
      </c>
      <c r="AJ75">
        <f>IF(ISBLANK('Data Entry'!d75), "", 'Data Entry'!d75)</f>
      </c>
      <c r="AK75">
        <f>IF(ISBLANK('Data Entry'!e75), "", 'Data Entry'!e75)</f>
      </c>
      <c r="AL75">
        <f>IF(ISBLANK('Data Entry'!f75), "", 'Data Entry'!f75)</f>
      </c>
      <c r="AM75">
        <f>IF(ISBLANK('Data Entry'!g75), "", 'Data Entry'!g75)</f>
      </c>
      <c r="AN75">
        <f>IF(ISBLANK('Data Entry'!h75), "", 'Data Entry'!h75)</f>
      </c>
    </row>
    <row r="76" spans="1:40" x14ac:dyDescent="0.25">
      <c r="A76">
        <f>IF(ISBLANK('Data Entry'!A76), "", 'Data Entry'!A76)</f>
      </c>
      <c r="B76">
        <f>IF(ISBLANK('Data Entry'!B76), "", 'Data Entry'!B76)</f>
      </c>
      <c r="C76">
        <f>IF(ISBLANK('Data Entry'!C76), "", 'Data Entry'!C76)</f>
      </c>
      <c r="D76">
        <f>IF(ISBLANK('Data Entry'!D76), "", 'Data Entry'!D76)</f>
      </c>
      <c r="E76">
        <f>IF(ISBLANK('Data Entry'!E76), "", 'Data Entry'!E76)</f>
      </c>
      <c r="F76">
        <f>IF(ISBLANK('Data Entry'!F76), "", 'Data Entry'!F76)</f>
      </c>
      <c r="G76">
        <f>IF(ISBLANK('Data Entry'!G76), "", 'Data Entry'!G76)</f>
      </c>
      <c r="H76">
        <f>IF(ISBLANK('Data Entry'!H76), "", 'Data Entry'!H76)</f>
      </c>
      <c r="I76">
        <f>IF(ISBLANK('Data Entry'!I76), "", 'Data Entry'!I76)</f>
      </c>
      <c r="J76">
        <f>IF(ISBLANK('Data Entry'!J76), "", 'Data Entry'!J76)</f>
      </c>
      <c r="K76">
        <f>IF(ISBLANK('Data Entry'!K76), "", 'Data Entry'!K76)</f>
      </c>
      <c r="L76">
        <f>IF(ISBLANK('Data Entry'!L76), "", 'Data Entry'!L76)</f>
      </c>
      <c r="M76">
        <f>IF(ISBLANK('Data Entry'!M76), "", 'Data Entry'!M76)</f>
      </c>
      <c r="N76">
        <f>IF(ISBLANK('Data Entry'!N76), "", 'Data Entry'!N76)</f>
      </c>
      <c r="O76">
        <f>IF(ISBLANK('Data Entry'!O76), "", 'Data Entry'!O76)</f>
      </c>
      <c r="P76">
        <f>IF(ISBLANK('Data Entry'!P76), "", 'Data Entry'!P76)</f>
      </c>
      <c r="Q76">
        <f>IF(ISBLANK('Data Entry'!Q76), "", 'Data Entry'!Q76)</f>
      </c>
      <c r="R76">
        <f>IF(ISBLANK('Data Entry'!R76), "", 'Data Entry'!R76)</f>
      </c>
      <c r="S76">
        <f>IF(ISBLANK('Data Entry'!S76), "", 'Data Entry'!S76)</f>
      </c>
      <c r="T76">
        <f>IF(ISBLANK('Data Entry'!T76), "", 'Data Entry'!T76)</f>
      </c>
      <c r="U76">
        <f>IF(ISBLANK('Data Entry'!U76), "", 'Data Entry'!U76)</f>
      </c>
      <c r="V76">
        <f>IF(ISBLANK('Data Entry'!V76), "", 'Data Entry'!V76)</f>
      </c>
      <c r="W76">
        <f>IF(ISBLANK('Data Entry'!W76), "", 'Data Entry'!W76)</f>
      </c>
      <c r="X76">
        <f>IF(ISBLANK('Data Entry'!X76), "", 'Data Entry'!X76)</f>
      </c>
      <c r="Y76">
        <f>IF(ISBLANK('Data Entry'!Y76), "", 'Data Entry'!Y76)</f>
      </c>
      <c r="Z76">
        <f>IF(ISBLANK('Data Entry'!Z76), "", 'Data Entry'!Z76)</f>
      </c>
      <c r="AA76">
        <f>IF(ISBLANK('Data Entry'![76), "", 'Data Entry'![76)</f>
      </c>
      <c r="AB76">
        <f>IF(ISBLANK('Data Entry'!\76), "", 'Data Entry'!\76)</f>
      </c>
      <c r="AC76">
        <f>IF(ISBLANK('Data Entry'!]76), "", 'Data Entry'!]76)</f>
      </c>
      <c r="AD76">
        <f>IF(ISBLANK('Data Entry'!^76), "", 'Data Entry'!^76)</f>
      </c>
      <c r="AE76">
        <f>IF(ISBLANK('Data Entry'!_76), "", 'Data Entry'!_76)</f>
      </c>
      <c r="AF76">
        <f>IF(ISBLANK('Data Entry'!`76), "", 'Data Entry'!`76)</f>
      </c>
      <c r="AG76">
        <f>IF(ISBLANK('Data Entry'!a76), "", 'Data Entry'!a76)</f>
      </c>
      <c r="AH76">
        <f>IF(ISBLANK('Data Entry'!b76), "", 'Data Entry'!b76)</f>
      </c>
      <c r="AI76">
        <f>IF(ISBLANK('Data Entry'!c76), "", 'Data Entry'!c76)</f>
      </c>
      <c r="AJ76">
        <f>IF(ISBLANK('Data Entry'!d76), "", 'Data Entry'!d76)</f>
      </c>
      <c r="AK76">
        <f>IF(ISBLANK('Data Entry'!e76), "", 'Data Entry'!e76)</f>
      </c>
      <c r="AL76">
        <f>IF(ISBLANK('Data Entry'!f76), "", 'Data Entry'!f76)</f>
      </c>
      <c r="AM76">
        <f>IF(ISBLANK('Data Entry'!g76), "", 'Data Entry'!g76)</f>
      </c>
      <c r="AN76">
        <f>IF(ISBLANK('Data Entry'!h76), "", 'Data Entry'!h76)</f>
      </c>
    </row>
    <row r="77" spans="1:40" x14ac:dyDescent="0.25">
      <c r="A77">
        <f>IF(ISBLANK('Data Entry'!A77), "", 'Data Entry'!A77)</f>
      </c>
      <c r="B77">
        <f>IF(ISBLANK('Data Entry'!B77), "", 'Data Entry'!B77)</f>
      </c>
      <c r="C77">
        <f>IF(ISBLANK('Data Entry'!C77), "", 'Data Entry'!C77)</f>
      </c>
      <c r="D77">
        <f>IF(ISBLANK('Data Entry'!D77), "", 'Data Entry'!D77)</f>
      </c>
      <c r="E77">
        <f>IF(ISBLANK('Data Entry'!E77), "", 'Data Entry'!E77)</f>
      </c>
      <c r="F77">
        <f>IF(ISBLANK('Data Entry'!F77), "", 'Data Entry'!F77)</f>
      </c>
      <c r="G77">
        <f>IF(ISBLANK('Data Entry'!G77), "", 'Data Entry'!G77)</f>
      </c>
      <c r="H77">
        <f>IF(ISBLANK('Data Entry'!H77), "", 'Data Entry'!H77)</f>
      </c>
      <c r="I77">
        <f>IF(ISBLANK('Data Entry'!I77), "", 'Data Entry'!I77)</f>
      </c>
      <c r="J77">
        <f>IF(ISBLANK('Data Entry'!J77), "", 'Data Entry'!J77)</f>
      </c>
      <c r="K77">
        <f>IF(ISBLANK('Data Entry'!K77), "", 'Data Entry'!K77)</f>
      </c>
      <c r="L77">
        <f>IF(ISBLANK('Data Entry'!L77), "", 'Data Entry'!L77)</f>
      </c>
      <c r="M77">
        <f>IF(ISBLANK('Data Entry'!M77), "", 'Data Entry'!M77)</f>
      </c>
      <c r="N77">
        <f>IF(ISBLANK('Data Entry'!N77), "", 'Data Entry'!N77)</f>
      </c>
      <c r="O77">
        <f>IF(ISBLANK('Data Entry'!O77), "", 'Data Entry'!O77)</f>
      </c>
      <c r="P77">
        <f>IF(ISBLANK('Data Entry'!P77), "", 'Data Entry'!P77)</f>
      </c>
      <c r="Q77">
        <f>IF(ISBLANK('Data Entry'!Q77), "", 'Data Entry'!Q77)</f>
      </c>
      <c r="R77">
        <f>IF(ISBLANK('Data Entry'!R77), "", 'Data Entry'!R77)</f>
      </c>
      <c r="S77">
        <f>IF(ISBLANK('Data Entry'!S77), "", 'Data Entry'!S77)</f>
      </c>
      <c r="T77">
        <f>IF(ISBLANK('Data Entry'!T77), "", 'Data Entry'!T77)</f>
      </c>
      <c r="U77">
        <f>IF(ISBLANK('Data Entry'!U77), "", 'Data Entry'!U77)</f>
      </c>
      <c r="V77">
        <f>IF(ISBLANK('Data Entry'!V77), "", 'Data Entry'!V77)</f>
      </c>
      <c r="W77">
        <f>IF(ISBLANK('Data Entry'!W77), "", 'Data Entry'!W77)</f>
      </c>
      <c r="X77">
        <f>IF(ISBLANK('Data Entry'!X77), "", 'Data Entry'!X77)</f>
      </c>
      <c r="Y77">
        <f>IF(ISBLANK('Data Entry'!Y77), "", 'Data Entry'!Y77)</f>
      </c>
      <c r="Z77">
        <f>IF(ISBLANK('Data Entry'!Z77), "", 'Data Entry'!Z77)</f>
      </c>
      <c r="AA77">
        <f>IF(ISBLANK('Data Entry'![77), "", 'Data Entry'![77)</f>
      </c>
      <c r="AB77">
        <f>IF(ISBLANK('Data Entry'!\77), "", 'Data Entry'!\77)</f>
      </c>
      <c r="AC77">
        <f>IF(ISBLANK('Data Entry'!]77), "", 'Data Entry'!]77)</f>
      </c>
      <c r="AD77">
        <f>IF(ISBLANK('Data Entry'!^77), "", 'Data Entry'!^77)</f>
      </c>
      <c r="AE77">
        <f>IF(ISBLANK('Data Entry'!_77), "", 'Data Entry'!_77)</f>
      </c>
      <c r="AF77">
        <f>IF(ISBLANK('Data Entry'!`77), "", 'Data Entry'!`77)</f>
      </c>
      <c r="AG77">
        <f>IF(ISBLANK('Data Entry'!a77), "", 'Data Entry'!a77)</f>
      </c>
      <c r="AH77">
        <f>IF(ISBLANK('Data Entry'!b77), "", 'Data Entry'!b77)</f>
      </c>
      <c r="AI77">
        <f>IF(ISBLANK('Data Entry'!c77), "", 'Data Entry'!c77)</f>
      </c>
      <c r="AJ77">
        <f>IF(ISBLANK('Data Entry'!d77), "", 'Data Entry'!d77)</f>
      </c>
      <c r="AK77">
        <f>IF(ISBLANK('Data Entry'!e77), "", 'Data Entry'!e77)</f>
      </c>
      <c r="AL77">
        <f>IF(ISBLANK('Data Entry'!f77), "", 'Data Entry'!f77)</f>
      </c>
      <c r="AM77">
        <f>IF(ISBLANK('Data Entry'!g77), "", 'Data Entry'!g77)</f>
      </c>
      <c r="AN77">
        <f>IF(ISBLANK('Data Entry'!h77), "", 'Data Entry'!h77)</f>
      </c>
    </row>
    <row r="78" spans="1:40" x14ac:dyDescent="0.25">
      <c r="A78">
        <f>IF(ISBLANK('Data Entry'!A78), "", 'Data Entry'!A78)</f>
      </c>
      <c r="B78">
        <f>IF(ISBLANK('Data Entry'!B78), "", 'Data Entry'!B78)</f>
      </c>
      <c r="C78">
        <f>IF(ISBLANK('Data Entry'!C78), "", 'Data Entry'!C78)</f>
      </c>
      <c r="D78">
        <f>IF(ISBLANK('Data Entry'!D78), "", 'Data Entry'!D78)</f>
      </c>
      <c r="E78">
        <f>IF(ISBLANK('Data Entry'!E78), "", 'Data Entry'!E78)</f>
      </c>
      <c r="F78">
        <f>IF(ISBLANK('Data Entry'!F78), "", 'Data Entry'!F78)</f>
      </c>
      <c r="G78">
        <f>IF(ISBLANK('Data Entry'!G78), "", 'Data Entry'!G78)</f>
      </c>
      <c r="H78">
        <f>IF(ISBLANK('Data Entry'!H78), "", 'Data Entry'!H78)</f>
      </c>
      <c r="I78">
        <f>IF(ISBLANK('Data Entry'!I78), "", 'Data Entry'!I78)</f>
      </c>
      <c r="J78">
        <f>IF(ISBLANK('Data Entry'!J78), "", 'Data Entry'!J78)</f>
      </c>
      <c r="K78">
        <f>IF(ISBLANK('Data Entry'!K78), "", 'Data Entry'!K78)</f>
      </c>
      <c r="L78">
        <f>IF(ISBLANK('Data Entry'!L78), "", 'Data Entry'!L78)</f>
      </c>
      <c r="M78">
        <f>IF(ISBLANK('Data Entry'!M78), "", 'Data Entry'!M78)</f>
      </c>
      <c r="N78">
        <f>IF(ISBLANK('Data Entry'!N78), "", 'Data Entry'!N78)</f>
      </c>
      <c r="O78">
        <f>IF(ISBLANK('Data Entry'!O78), "", 'Data Entry'!O78)</f>
      </c>
      <c r="P78">
        <f>IF(ISBLANK('Data Entry'!P78), "", 'Data Entry'!P78)</f>
      </c>
      <c r="Q78">
        <f>IF(ISBLANK('Data Entry'!Q78), "", 'Data Entry'!Q78)</f>
      </c>
      <c r="R78">
        <f>IF(ISBLANK('Data Entry'!R78), "", 'Data Entry'!R78)</f>
      </c>
      <c r="S78">
        <f>IF(ISBLANK('Data Entry'!S78), "", 'Data Entry'!S78)</f>
      </c>
      <c r="T78">
        <f>IF(ISBLANK('Data Entry'!T78), "", 'Data Entry'!T78)</f>
      </c>
      <c r="U78">
        <f>IF(ISBLANK('Data Entry'!U78), "", 'Data Entry'!U78)</f>
      </c>
      <c r="V78">
        <f>IF(ISBLANK('Data Entry'!V78), "", 'Data Entry'!V78)</f>
      </c>
      <c r="W78">
        <f>IF(ISBLANK('Data Entry'!W78), "", 'Data Entry'!W78)</f>
      </c>
      <c r="X78">
        <f>IF(ISBLANK('Data Entry'!X78), "", 'Data Entry'!X78)</f>
      </c>
      <c r="Y78">
        <f>IF(ISBLANK('Data Entry'!Y78), "", 'Data Entry'!Y78)</f>
      </c>
      <c r="Z78">
        <f>IF(ISBLANK('Data Entry'!Z78), "", 'Data Entry'!Z78)</f>
      </c>
      <c r="AA78">
        <f>IF(ISBLANK('Data Entry'![78), "", 'Data Entry'![78)</f>
      </c>
      <c r="AB78">
        <f>IF(ISBLANK('Data Entry'!\78), "", 'Data Entry'!\78)</f>
      </c>
      <c r="AC78">
        <f>IF(ISBLANK('Data Entry'!]78), "", 'Data Entry'!]78)</f>
      </c>
      <c r="AD78">
        <f>IF(ISBLANK('Data Entry'!^78), "", 'Data Entry'!^78)</f>
      </c>
      <c r="AE78">
        <f>IF(ISBLANK('Data Entry'!_78), "", 'Data Entry'!_78)</f>
      </c>
      <c r="AF78">
        <f>IF(ISBLANK('Data Entry'!`78), "", 'Data Entry'!`78)</f>
      </c>
      <c r="AG78">
        <f>IF(ISBLANK('Data Entry'!a78), "", 'Data Entry'!a78)</f>
      </c>
      <c r="AH78">
        <f>IF(ISBLANK('Data Entry'!b78), "", 'Data Entry'!b78)</f>
      </c>
      <c r="AI78">
        <f>IF(ISBLANK('Data Entry'!c78), "", 'Data Entry'!c78)</f>
      </c>
      <c r="AJ78">
        <f>IF(ISBLANK('Data Entry'!d78), "", 'Data Entry'!d78)</f>
      </c>
      <c r="AK78">
        <f>IF(ISBLANK('Data Entry'!e78), "", 'Data Entry'!e78)</f>
      </c>
      <c r="AL78">
        <f>IF(ISBLANK('Data Entry'!f78), "", 'Data Entry'!f78)</f>
      </c>
      <c r="AM78">
        <f>IF(ISBLANK('Data Entry'!g78), "", 'Data Entry'!g78)</f>
      </c>
      <c r="AN78">
        <f>IF(ISBLANK('Data Entry'!h78), "", 'Data Entry'!h78)</f>
      </c>
    </row>
    <row r="79" spans="1:40" x14ac:dyDescent="0.25">
      <c r="A79">
        <f>IF(ISBLANK('Data Entry'!A79), "", 'Data Entry'!A79)</f>
      </c>
      <c r="B79">
        <f>IF(ISBLANK('Data Entry'!B79), "", 'Data Entry'!B79)</f>
      </c>
      <c r="C79">
        <f>IF(ISBLANK('Data Entry'!C79), "", 'Data Entry'!C79)</f>
      </c>
      <c r="D79">
        <f>IF(ISBLANK('Data Entry'!D79), "", 'Data Entry'!D79)</f>
      </c>
      <c r="E79">
        <f>IF(ISBLANK('Data Entry'!E79), "", 'Data Entry'!E79)</f>
      </c>
      <c r="F79">
        <f>IF(ISBLANK('Data Entry'!F79), "", 'Data Entry'!F79)</f>
      </c>
      <c r="G79">
        <f>IF(ISBLANK('Data Entry'!G79), "", 'Data Entry'!G79)</f>
      </c>
      <c r="H79">
        <f>IF(ISBLANK('Data Entry'!H79), "", 'Data Entry'!H79)</f>
      </c>
      <c r="I79">
        <f>IF(ISBLANK('Data Entry'!I79), "", 'Data Entry'!I79)</f>
      </c>
      <c r="J79">
        <f>IF(ISBLANK('Data Entry'!J79), "", 'Data Entry'!J79)</f>
      </c>
      <c r="K79">
        <f>IF(ISBLANK('Data Entry'!K79), "", 'Data Entry'!K79)</f>
      </c>
      <c r="L79">
        <f>IF(ISBLANK('Data Entry'!L79), "", 'Data Entry'!L79)</f>
      </c>
      <c r="M79">
        <f>IF(ISBLANK('Data Entry'!M79), "", 'Data Entry'!M79)</f>
      </c>
      <c r="N79">
        <f>IF(ISBLANK('Data Entry'!N79), "", 'Data Entry'!N79)</f>
      </c>
      <c r="O79">
        <f>IF(ISBLANK('Data Entry'!O79), "", 'Data Entry'!O79)</f>
      </c>
      <c r="P79">
        <f>IF(ISBLANK('Data Entry'!P79), "", 'Data Entry'!P79)</f>
      </c>
      <c r="Q79">
        <f>IF(ISBLANK('Data Entry'!Q79), "", 'Data Entry'!Q79)</f>
      </c>
      <c r="R79">
        <f>IF(ISBLANK('Data Entry'!R79), "", 'Data Entry'!R79)</f>
      </c>
      <c r="S79">
        <f>IF(ISBLANK('Data Entry'!S79), "", 'Data Entry'!S79)</f>
      </c>
      <c r="T79">
        <f>IF(ISBLANK('Data Entry'!T79), "", 'Data Entry'!T79)</f>
      </c>
      <c r="U79">
        <f>IF(ISBLANK('Data Entry'!U79), "", 'Data Entry'!U79)</f>
      </c>
      <c r="V79">
        <f>IF(ISBLANK('Data Entry'!V79), "", 'Data Entry'!V79)</f>
      </c>
      <c r="W79">
        <f>IF(ISBLANK('Data Entry'!W79), "", 'Data Entry'!W79)</f>
      </c>
      <c r="X79">
        <f>IF(ISBLANK('Data Entry'!X79), "", 'Data Entry'!X79)</f>
      </c>
      <c r="Y79">
        <f>IF(ISBLANK('Data Entry'!Y79), "", 'Data Entry'!Y79)</f>
      </c>
      <c r="Z79">
        <f>IF(ISBLANK('Data Entry'!Z79), "", 'Data Entry'!Z79)</f>
      </c>
      <c r="AA79">
        <f>IF(ISBLANK('Data Entry'![79), "", 'Data Entry'![79)</f>
      </c>
      <c r="AB79">
        <f>IF(ISBLANK('Data Entry'!\79), "", 'Data Entry'!\79)</f>
      </c>
      <c r="AC79">
        <f>IF(ISBLANK('Data Entry'!]79), "", 'Data Entry'!]79)</f>
      </c>
      <c r="AD79">
        <f>IF(ISBLANK('Data Entry'!^79), "", 'Data Entry'!^79)</f>
      </c>
      <c r="AE79">
        <f>IF(ISBLANK('Data Entry'!_79), "", 'Data Entry'!_79)</f>
      </c>
      <c r="AF79">
        <f>IF(ISBLANK('Data Entry'!`79), "", 'Data Entry'!`79)</f>
      </c>
      <c r="AG79">
        <f>IF(ISBLANK('Data Entry'!a79), "", 'Data Entry'!a79)</f>
      </c>
      <c r="AH79">
        <f>IF(ISBLANK('Data Entry'!b79), "", 'Data Entry'!b79)</f>
      </c>
      <c r="AI79">
        <f>IF(ISBLANK('Data Entry'!c79), "", 'Data Entry'!c79)</f>
      </c>
      <c r="AJ79">
        <f>IF(ISBLANK('Data Entry'!d79), "", 'Data Entry'!d79)</f>
      </c>
      <c r="AK79">
        <f>IF(ISBLANK('Data Entry'!e79), "", 'Data Entry'!e79)</f>
      </c>
      <c r="AL79">
        <f>IF(ISBLANK('Data Entry'!f79), "", 'Data Entry'!f79)</f>
      </c>
      <c r="AM79">
        <f>IF(ISBLANK('Data Entry'!g79), "", 'Data Entry'!g79)</f>
      </c>
      <c r="AN79">
        <f>IF(ISBLANK('Data Entry'!h79), "", 'Data Entry'!h79)</f>
      </c>
    </row>
    <row r="80" spans="1:40" x14ac:dyDescent="0.25">
      <c r="A80">
        <f>IF(ISBLANK('Data Entry'!A80), "", 'Data Entry'!A80)</f>
      </c>
      <c r="B80">
        <f>IF(ISBLANK('Data Entry'!B80), "", 'Data Entry'!B80)</f>
      </c>
      <c r="C80">
        <f>IF(ISBLANK('Data Entry'!C80), "", 'Data Entry'!C80)</f>
      </c>
      <c r="D80">
        <f>IF(ISBLANK('Data Entry'!D80), "", 'Data Entry'!D80)</f>
      </c>
      <c r="E80">
        <f>IF(ISBLANK('Data Entry'!E80), "", 'Data Entry'!E80)</f>
      </c>
      <c r="F80">
        <f>IF(ISBLANK('Data Entry'!F80), "", 'Data Entry'!F80)</f>
      </c>
      <c r="G80">
        <f>IF(ISBLANK('Data Entry'!G80), "", 'Data Entry'!G80)</f>
      </c>
      <c r="H80">
        <f>IF(ISBLANK('Data Entry'!H80), "", 'Data Entry'!H80)</f>
      </c>
      <c r="I80">
        <f>IF(ISBLANK('Data Entry'!I80), "", 'Data Entry'!I80)</f>
      </c>
      <c r="J80">
        <f>IF(ISBLANK('Data Entry'!J80), "", 'Data Entry'!J80)</f>
      </c>
      <c r="K80">
        <f>IF(ISBLANK('Data Entry'!K80), "", 'Data Entry'!K80)</f>
      </c>
      <c r="L80">
        <f>IF(ISBLANK('Data Entry'!L80), "", 'Data Entry'!L80)</f>
      </c>
      <c r="M80">
        <f>IF(ISBLANK('Data Entry'!M80), "", 'Data Entry'!M80)</f>
      </c>
      <c r="N80">
        <f>IF(ISBLANK('Data Entry'!N80), "", 'Data Entry'!N80)</f>
      </c>
      <c r="O80">
        <f>IF(ISBLANK('Data Entry'!O80), "", 'Data Entry'!O80)</f>
      </c>
      <c r="P80">
        <f>IF(ISBLANK('Data Entry'!P80), "", 'Data Entry'!P80)</f>
      </c>
      <c r="Q80">
        <f>IF(ISBLANK('Data Entry'!Q80), "", 'Data Entry'!Q80)</f>
      </c>
      <c r="R80">
        <f>IF(ISBLANK('Data Entry'!R80), "", 'Data Entry'!R80)</f>
      </c>
      <c r="S80">
        <f>IF(ISBLANK('Data Entry'!S80), "", 'Data Entry'!S80)</f>
      </c>
      <c r="T80">
        <f>IF(ISBLANK('Data Entry'!T80), "", 'Data Entry'!T80)</f>
      </c>
      <c r="U80">
        <f>IF(ISBLANK('Data Entry'!U80), "", 'Data Entry'!U80)</f>
      </c>
      <c r="V80">
        <f>IF(ISBLANK('Data Entry'!V80), "", 'Data Entry'!V80)</f>
      </c>
      <c r="W80">
        <f>IF(ISBLANK('Data Entry'!W80), "", 'Data Entry'!W80)</f>
      </c>
      <c r="X80">
        <f>IF(ISBLANK('Data Entry'!X80), "", 'Data Entry'!X80)</f>
      </c>
      <c r="Y80">
        <f>IF(ISBLANK('Data Entry'!Y80), "", 'Data Entry'!Y80)</f>
      </c>
      <c r="Z80">
        <f>IF(ISBLANK('Data Entry'!Z80), "", 'Data Entry'!Z80)</f>
      </c>
      <c r="AA80">
        <f>IF(ISBLANK('Data Entry'![80), "", 'Data Entry'![80)</f>
      </c>
      <c r="AB80">
        <f>IF(ISBLANK('Data Entry'!\80), "", 'Data Entry'!\80)</f>
      </c>
      <c r="AC80">
        <f>IF(ISBLANK('Data Entry'!]80), "", 'Data Entry'!]80)</f>
      </c>
      <c r="AD80">
        <f>IF(ISBLANK('Data Entry'!^80), "", 'Data Entry'!^80)</f>
      </c>
      <c r="AE80">
        <f>IF(ISBLANK('Data Entry'!_80), "", 'Data Entry'!_80)</f>
      </c>
      <c r="AF80">
        <f>IF(ISBLANK('Data Entry'!`80), "", 'Data Entry'!`80)</f>
      </c>
      <c r="AG80">
        <f>IF(ISBLANK('Data Entry'!a80), "", 'Data Entry'!a80)</f>
      </c>
      <c r="AH80">
        <f>IF(ISBLANK('Data Entry'!b80), "", 'Data Entry'!b80)</f>
      </c>
      <c r="AI80">
        <f>IF(ISBLANK('Data Entry'!c80), "", 'Data Entry'!c80)</f>
      </c>
      <c r="AJ80">
        <f>IF(ISBLANK('Data Entry'!d80), "", 'Data Entry'!d80)</f>
      </c>
      <c r="AK80">
        <f>IF(ISBLANK('Data Entry'!e80), "", 'Data Entry'!e80)</f>
      </c>
      <c r="AL80">
        <f>IF(ISBLANK('Data Entry'!f80), "", 'Data Entry'!f80)</f>
      </c>
      <c r="AM80">
        <f>IF(ISBLANK('Data Entry'!g80), "", 'Data Entry'!g80)</f>
      </c>
      <c r="AN80">
        <f>IF(ISBLANK('Data Entry'!h80), "", 'Data Entry'!h80)</f>
      </c>
    </row>
    <row r="81" spans="1:40" x14ac:dyDescent="0.25">
      <c r="A81">
        <f>IF(ISBLANK('Data Entry'!A81), "", 'Data Entry'!A81)</f>
      </c>
      <c r="B81">
        <f>IF(ISBLANK('Data Entry'!B81), "", 'Data Entry'!B81)</f>
      </c>
      <c r="C81">
        <f>IF(ISBLANK('Data Entry'!C81), "", 'Data Entry'!C81)</f>
      </c>
      <c r="D81">
        <f>IF(ISBLANK('Data Entry'!D81), "", 'Data Entry'!D81)</f>
      </c>
      <c r="E81">
        <f>IF(ISBLANK('Data Entry'!E81), "", 'Data Entry'!E81)</f>
      </c>
      <c r="F81">
        <f>IF(ISBLANK('Data Entry'!F81), "", 'Data Entry'!F81)</f>
      </c>
      <c r="G81">
        <f>IF(ISBLANK('Data Entry'!G81), "", 'Data Entry'!G81)</f>
      </c>
      <c r="H81">
        <f>IF(ISBLANK('Data Entry'!H81), "", 'Data Entry'!H81)</f>
      </c>
      <c r="I81">
        <f>IF(ISBLANK('Data Entry'!I81), "", 'Data Entry'!I81)</f>
      </c>
      <c r="J81">
        <f>IF(ISBLANK('Data Entry'!J81), "", 'Data Entry'!J81)</f>
      </c>
      <c r="K81">
        <f>IF(ISBLANK('Data Entry'!K81), "", 'Data Entry'!K81)</f>
      </c>
      <c r="L81">
        <f>IF(ISBLANK('Data Entry'!L81), "", 'Data Entry'!L81)</f>
      </c>
      <c r="M81">
        <f>IF(ISBLANK('Data Entry'!M81), "", 'Data Entry'!M81)</f>
      </c>
      <c r="N81">
        <f>IF(ISBLANK('Data Entry'!N81), "", 'Data Entry'!N81)</f>
      </c>
      <c r="O81">
        <f>IF(ISBLANK('Data Entry'!O81), "", 'Data Entry'!O81)</f>
      </c>
      <c r="P81">
        <f>IF(ISBLANK('Data Entry'!P81), "", 'Data Entry'!P81)</f>
      </c>
      <c r="Q81">
        <f>IF(ISBLANK('Data Entry'!Q81), "", 'Data Entry'!Q81)</f>
      </c>
      <c r="R81">
        <f>IF(ISBLANK('Data Entry'!R81), "", 'Data Entry'!R81)</f>
      </c>
      <c r="S81">
        <f>IF(ISBLANK('Data Entry'!S81), "", 'Data Entry'!S81)</f>
      </c>
      <c r="T81">
        <f>IF(ISBLANK('Data Entry'!T81), "", 'Data Entry'!T81)</f>
      </c>
      <c r="U81">
        <f>IF(ISBLANK('Data Entry'!U81), "", 'Data Entry'!U81)</f>
      </c>
      <c r="V81">
        <f>IF(ISBLANK('Data Entry'!V81), "", 'Data Entry'!V81)</f>
      </c>
      <c r="W81">
        <f>IF(ISBLANK('Data Entry'!W81), "", 'Data Entry'!W81)</f>
      </c>
      <c r="X81">
        <f>IF(ISBLANK('Data Entry'!X81), "", 'Data Entry'!X81)</f>
      </c>
      <c r="Y81">
        <f>IF(ISBLANK('Data Entry'!Y81), "", 'Data Entry'!Y81)</f>
      </c>
      <c r="Z81">
        <f>IF(ISBLANK('Data Entry'!Z81), "", 'Data Entry'!Z81)</f>
      </c>
      <c r="AA81">
        <f>IF(ISBLANK('Data Entry'![81), "", 'Data Entry'![81)</f>
      </c>
      <c r="AB81">
        <f>IF(ISBLANK('Data Entry'!\81), "", 'Data Entry'!\81)</f>
      </c>
      <c r="AC81">
        <f>IF(ISBLANK('Data Entry'!]81), "", 'Data Entry'!]81)</f>
      </c>
      <c r="AD81">
        <f>IF(ISBLANK('Data Entry'!^81), "", 'Data Entry'!^81)</f>
      </c>
      <c r="AE81">
        <f>IF(ISBLANK('Data Entry'!_81), "", 'Data Entry'!_81)</f>
      </c>
      <c r="AF81">
        <f>IF(ISBLANK('Data Entry'!`81), "", 'Data Entry'!`81)</f>
      </c>
      <c r="AG81">
        <f>IF(ISBLANK('Data Entry'!a81), "", 'Data Entry'!a81)</f>
      </c>
      <c r="AH81">
        <f>IF(ISBLANK('Data Entry'!b81), "", 'Data Entry'!b81)</f>
      </c>
      <c r="AI81">
        <f>IF(ISBLANK('Data Entry'!c81), "", 'Data Entry'!c81)</f>
      </c>
      <c r="AJ81">
        <f>IF(ISBLANK('Data Entry'!d81), "", 'Data Entry'!d81)</f>
      </c>
      <c r="AK81">
        <f>IF(ISBLANK('Data Entry'!e81), "", 'Data Entry'!e81)</f>
      </c>
      <c r="AL81">
        <f>IF(ISBLANK('Data Entry'!f81), "", 'Data Entry'!f81)</f>
      </c>
      <c r="AM81">
        <f>IF(ISBLANK('Data Entry'!g81), "", 'Data Entry'!g81)</f>
      </c>
      <c r="AN81">
        <f>IF(ISBLANK('Data Entry'!h81), "", 'Data Entry'!h81)</f>
      </c>
    </row>
    <row r="82" spans="1:40" x14ac:dyDescent="0.25">
      <c r="A82">
        <f>IF(ISBLANK('Data Entry'!A82), "", 'Data Entry'!A82)</f>
      </c>
      <c r="B82">
        <f>IF(ISBLANK('Data Entry'!B82), "", 'Data Entry'!B82)</f>
      </c>
      <c r="C82">
        <f>IF(ISBLANK('Data Entry'!C82), "", 'Data Entry'!C82)</f>
      </c>
      <c r="D82">
        <f>IF(ISBLANK('Data Entry'!D82), "", 'Data Entry'!D82)</f>
      </c>
      <c r="E82">
        <f>IF(ISBLANK('Data Entry'!E82), "", 'Data Entry'!E82)</f>
      </c>
      <c r="F82">
        <f>IF(ISBLANK('Data Entry'!F82), "", 'Data Entry'!F82)</f>
      </c>
      <c r="G82">
        <f>IF(ISBLANK('Data Entry'!G82), "", 'Data Entry'!G82)</f>
      </c>
      <c r="H82">
        <f>IF(ISBLANK('Data Entry'!H82), "", 'Data Entry'!H82)</f>
      </c>
      <c r="I82">
        <f>IF(ISBLANK('Data Entry'!I82), "", 'Data Entry'!I82)</f>
      </c>
      <c r="J82">
        <f>IF(ISBLANK('Data Entry'!J82), "", 'Data Entry'!J82)</f>
      </c>
      <c r="K82">
        <f>IF(ISBLANK('Data Entry'!K82), "", 'Data Entry'!K82)</f>
      </c>
      <c r="L82">
        <f>IF(ISBLANK('Data Entry'!L82), "", 'Data Entry'!L82)</f>
      </c>
      <c r="M82">
        <f>IF(ISBLANK('Data Entry'!M82), "", 'Data Entry'!M82)</f>
      </c>
      <c r="N82">
        <f>IF(ISBLANK('Data Entry'!N82), "", 'Data Entry'!N82)</f>
      </c>
      <c r="O82">
        <f>IF(ISBLANK('Data Entry'!O82), "", 'Data Entry'!O82)</f>
      </c>
      <c r="P82">
        <f>IF(ISBLANK('Data Entry'!P82), "", 'Data Entry'!P82)</f>
      </c>
      <c r="Q82">
        <f>IF(ISBLANK('Data Entry'!Q82), "", 'Data Entry'!Q82)</f>
      </c>
      <c r="R82">
        <f>IF(ISBLANK('Data Entry'!R82), "", 'Data Entry'!R82)</f>
      </c>
      <c r="S82">
        <f>IF(ISBLANK('Data Entry'!S82), "", 'Data Entry'!S82)</f>
      </c>
      <c r="T82">
        <f>IF(ISBLANK('Data Entry'!T82), "", 'Data Entry'!T82)</f>
      </c>
      <c r="U82">
        <f>IF(ISBLANK('Data Entry'!U82), "", 'Data Entry'!U82)</f>
      </c>
      <c r="V82">
        <f>IF(ISBLANK('Data Entry'!V82), "", 'Data Entry'!V82)</f>
      </c>
      <c r="W82">
        <f>IF(ISBLANK('Data Entry'!W82), "", 'Data Entry'!W82)</f>
      </c>
      <c r="X82">
        <f>IF(ISBLANK('Data Entry'!X82), "", 'Data Entry'!X82)</f>
      </c>
      <c r="Y82">
        <f>IF(ISBLANK('Data Entry'!Y82), "", 'Data Entry'!Y82)</f>
      </c>
      <c r="Z82">
        <f>IF(ISBLANK('Data Entry'!Z82), "", 'Data Entry'!Z82)</f>
      </c>
      <c r="AA82">
        <f>IF(ISBLANK('Data Entry'![82), "", 'Data Entry'![82)</f>
      </c>
      <c r="AB82">
        <f>IF(ISBLANK('Data Entry'!\82), "", 'Data Entry'!\82)</f>
      </c>
      <c r="AC82">
        <f>IF(ISBLANK('Data Entry'!]82), "", 'Data Entry'!]82)</f>
      </c>
      <c r="AD82">
        <f>IF(ISBLANK('Data Entry'!^82), "", 'Data Entry'!^82)</f>
      </c>
      <c r="AE82">
        <f>IF(ISBLANK('Data Entry'!_82), "", 'Data Entry'!_82)</f>
      </c>
      <c r="AF82">
        <f>IF(ISBLANK('Data Entry'!`82), "", 'Data Entry'!`82)</f>
      </c>
      <c r="AG82">
        <f>IF(ISBLANK('Data Entry'!a82), "", 'Data Entry'!a82)</f>
      </c>
      <c r="AH82">
        <f>IF(ISBLANK('Data Entry'!b82), "", 'Data Entry'!b82)</f>
      </c>
      <c r="AI82">
        <f>IF(ISBLANK('Data Entry'!c82), "", 'Data Entry'!c82)</f>
      </c>
      <c r="AJ82">
        <f>IF(ISBLANK('Data Entry'!d82), "", 'Data Entry'!d82)</f>
      </c>
      <c r="AK82">
        <f>IF(ISBLANK('Data Entry'!e82), "", 'Data Entry'!e82)</f>
      </c>
      <c r="AL82">
        <f>IF(ISBLANK('Data Entry'!f82), "", 'Data Entry'!f82)</f>
      </c>
      <c r="AM82">
        <f>IF(ISBLANK('Data Entry'!g82), "", 'Data Entry'!g82)</f>
      </c>
      <c r="AN82">
        <f>IF(ISBLANK('Data Entry'!h82), "", 'Data Entry'!h82)</f>
      </c>
    </row>
    <row r="83" spans="1:40" x14ac:dyDescent="0.25">
      <c r="A83">
        <f>IF(ISBLANK('Data Entry'!A83), "", 'Data Entry'!A83)</f>
      </c>
      <c r="B83">
        <f>IF(ISBLANK('Data Entry'!B83), "", 'Data Entry'!B83)</f>
      </c>
      <c r="C83">
        <f>IF(ISBLANK('Data Entry'!C83), "", 'Data Entry'!C83)</f>
      </c>
      <c r="D83">
        <f>IF(ISBLANK('Data Entry'!D83), "", 'Data Entry'!D83)</f>
      </c>
      <c r="E83">
        <f>IF(ISBLANK('Data Entry'!E83), "", 'Data Entry'!E83)</f>
      </c>
      <c r="F83">
        <f>IF(ISBLANK('Data Entry'!F83), "", 'Data Entry'!F83)</f>
      </c>
      <c r="G83">
        <f>IF(ISBLANK('Data Entry'!G83), "", 'Data Entry'!G83)</f>
      </c>
      <c r="H83">
        <f>IF(ISBLANK('Data Entry'!H83), "", 'Data Entry'!H83)</f>
      </c>
      <c r="I83">
        <f>IF(ISBLANK('Data Entry'!I83), "", 'Data Entry'!I83)</f>
      </c>
      <c r="J83">
        <f>IF(ISBLANK('Data Entry'!J83), "", 'Data Entry'!J83)</f>
      </c>
      <c r="K83">
        <f>IF(ISBLANK('Data Entry'!K83), "", 'Data Entry'!K83)</f>
      </c>
      <c r="L83">
        <f>IF(ISBLANK('Data Entry'!L83), "", 'Data Entry'!L83)</f>
      </c>
      <c r="M83">
        <f>IF(ISBLANK('Data Entry'!M83), "", 'Data Entry'!M83)</f>
      </c>
      <c r="N83">
        <f>IF(ISBLANK('Data Entry'!N83), "", 'Data Entry'!N83)</f>
      </c>
      <c r="O83">
        <f>IF(ISBLANK('Data Entry'!O83), "", 'Data Entry'!O83)</f>
      </c>
      <c r="P83">
        <f>IF(ISBLANK('Data Entry'!P83), "", 'Data Entry'!P83)</f>
      </c>
      <c r="Q83">
        <f>IF(ISBLANK('Data Entry'!Q83), "", 'Data Entry'!Q83)</f>
      </c>
      <c r="R83">
        <f>IF(ISBLANK('Data Entry'!R83), "", 'Data Entry'!R83)</f>
      </c>
      <c r="S83">
        <f>IF(ISBLANK('Data Entry'!S83), "", 'Data Entry'!S83)</f>
      </c>
      <c r="T83">
        <f>IF(ISBLANK('Data Entry'!T83), "", 'Data Entry'!T83)</f>
      </c>
      <c r="U83">
        <f>IF(ISBLANK('Data Entry'!U83), "", 'Data Entry'!U83)</f>
      </c>
      <c r="V83">
        <f>IF(ISBLANK('Data Entry'!V83), "", 'Data Entry'!V83)</f>
      </c>
      <c r="W83">
        <f>IF(ISBLANK('Data Entry'!W83), "", 'Data Entry'!W83)</f>
      </c>
      <c r="X83">
        <f>IF(ISBLANK('Data Entry'!X83), "", 'Data Entry'!X83)</f>
      </c>
      <c r="Y83">
        <f>IF(ISBLANK('Data Entry'!Y83), "", 'Data Entry'!Y83)</f>
      </c>
      <c r="Z83">
        <f>IF(ISBLANK('Data Entry'!Z83), "", 'Data Entry'!Z83)</f>
      </c>
      <c r="AA83">
        <f>IF(ISBLANK('Data Entry'![83), "", 'Data Entry'![83)</f>
      </c>
      <c r="AB83">
        <f>IF(ISBLANK('Data Entry'!\83), "", 'Data Entry'!\83)</f>
      </c>
      <c r="AC83">
        <f>IF(ISBLANK('Data Entry'!]83), "", 'Data Entry'!]83)</f>
      </c>
      <c r="AD83">
        <f>IF(ISBLANK('Data Entry'!^83), "", 'Data Entry'!^83)</f>
      </c>
      <c r="AE83">
        <f>IF(ISBLANK('Data Entry'!_83), "", 'Data Entry'!_83)</f>
      </c>
      <c r="AF83">
        <f>IF(ISBLANK('Data Entry'!`83), "", 'Data Entry'!`83)</f>
      </c>
      <c r="AG83">
        <f>IF(ISBLANK('Data Entry'!a83), "", 'Data Entry'!a83)</f>
      </c>
      <c r="AH83">
        <f>IF(ISBLANK('Data Entry'!b83), "", 'Data Entry'!b83)</f>
      </c>
      <c r="AI83">
        <f>IF(ISBLANK('Data Entry'!c83), "", 'Data Entry'!c83)</f>
      </c>
      <c r="AJ83">
        <f>IF(ISBLANK('Data Entry'!d83), "", 'Data Entry'!d83)</f>
      </c>
      <c r="AK83">
        <f>IF(ISBLANK('Data Entry'!e83), "", 'Data Entry'!e83)</f>
      </c>
      <c r="AL83">
        <f>IF(ISBLANK('Data Entry'!f83), "", 'Data Entry'!f83)</f>
      </c>
      <c r="AM83">
        <f>IF(ISBLANK('Data Entry'!g83), "", 'Data Entry'!g83)</f>
      </c>
      <c r="AN83">
        <f>IF(ISBLANK('Data Entry'!h83), "", 'Data Entry'!h83)</f>
      </c>
    </row>
    <row r="84" spans="1:40" x14ac:dyDescent="0.25">
      <c r="A84">
        <f>IF(ISBLANK('Data Entry'!A84), "", 'Data Entry'!A84)</f>
      </c>
      <c r="B84">
        <f>IF(ISBLANK('Data Entry'!B84), "", 'Data Entry'!B84)</f>
      </c>
      <c r="C84">
        <f>IF(ISBLANK('Data Entry'!C84), "", 'Data Entry'!C84)</f>
      </c>
      <c r="D84">
        <f>IF(ISBLANK('Data Entry'!D84), "", 'Data Entry'!D84)</f>
      </c>
      <c r="E84">
        <f>IF(ISBLANK('Data Entry'!E84), "", 'Data Entry'!E84)</f>
      </c>
      <c r="F84">
        <f>IF(ISBLANK('Data Entry'!F84), "", 'Data Entry'!F84)</f>
      </c>
      <c r="G84">
        <f>IF(ISBLANK('Data Entry'!G84), "", 'Data Entry'!G84)</f>
      </c>
      <c r="H84">
        <f>IF(ISBLANK('Data Entry'!H84), "", 'Data Entry'!H84)</f>
      </c>
      <c r="I84">
        <f>IF(ISBLANK('Data Entry'!I84), "", 'Data Entry'!I84)</f>
      </c>
      <c r="J84">
        <f>IF(ISBLANK('Data Entry'!J84), "", 'Data Entry'!J84)</f>
      </c>
      <c r="K84">
        <f>IF(ISBLANK('Data Entry'!K84), "", 'Data Entry'!K84)</f>
      </c>
      <c r="L84">
        <f>IF(ISBLANK('Data Entry'!L84), "", 'Data Entry'!L84)</f>
      </c>
      <c r="M84">
        <f>IF(ISBLANK('Data Entry'!M84), "", 'Data Entry'!M84)</f>
      </c>
      <c r="N84">
        <f>IF(ISBLANK('Data Entry'!N84), "", 'Data Entry'!N84)</f>
      </c>
      <c r="O84">
        <f>IF(ISBLANK('Data Entry'!O84), "", 'Data Entry'!O84)</f>
      </c>
      <c r="P84">
        <f>IF(ISBLANK('Data Entry'!P84), "", 'Data Entry'!P84)</f>
      </c>
      <c r="Q84">
        <f>IF(ISBLANK('Data Entry'!Q84), "", 'Data Entry'!Q84)</f>
      </c>
      <c r="R84">
        <f>IF(ISBLANK('Data Entry'!R84), "", 'Data Entry'!R84)</f>
      </c>
      <c r="S84">
        <f>IF(ISBLANK('Data Entry'!S84), "", 'Data Entry'!S84)</f>
      </c>
      <c r="T84">
        <f>IF(ISBLANK('Data Entry'!T84), "", 'Data Entry'!T84)</f>
      </c>
      <c r="U84">
        <f>IF(ISBLANK('Data Entry'!U84), "", 'Data Entry'!U84)</f>
      </c>
      <c r="V84">
        <f>IF(ISBLANK('Data Entry'!V84), "", 'Data Entry'!V84)</f>
      </c>
      <c r="W84">
        <f>IF(ISBLANK('Data Entry'!W84), "", 'Data Entry'!W84)</f>
      </c>
      <c r="X84">
        <f>IF(ISBLANK('Data Entry'!X84), "", 'Data Entry'!X84)</f>
      </c>
      <c r="Y84">
        <f>IF(ISBLANK('Data Entry'!Y84), "", 'Data Entry'!Y84)</f>
      </c>
      <c r="Z84">
        <f>IF(ISBLANK('Data Entry'!Z84), "", 'Data Entry'!Z84)</f>
      </c>
      <c r="AA84">
        <f>IF(ISBLANK('Data Entry'![84), "", 'Data Entry'![84)</f>
      </c>
      <c r="AB84">
        <f>IF(ISBLANK('Data Entry'!\84), "", 'Data Entry'!\84)</f>
      </c>
      <c r="AC84">
        <f>IF(ISBLANK('Data Entry'!]84), "", 'Data Entry'!]84)</f>
      </c>
      <c r="AD84">
        <f>IF(ISBLANK('Data Entry'!^84), "", 'Data Entry'!^84)</f>
      </c>
      <c r="AE84">
        <f>IF(ISBLANK('Data Entry'!_84), "", 'Data Entry'!_84)</f>
      </c>
      <c r="AF84">
        <f>IF(ISBLANK('Data Entry'!`84), "", 'Data Entry'!`84)</f>
      </c>
      <c r="AG84">
        <f>IF(ISBLANK('Data Entry'!a84), "", 'Data Entry'!a84)</f>
      </c>
      <c r="AH84">
        <f>IF(ISBLANK('Data Entry'!b84), "", 'Data Entry'!b84)</f>
      </c>
      <c r="AI84">
        <f>IF(ISBLANK('Data Entry'!c84), "", 'Data Entry'!c84)</f>
      </c>
      <c r="AJ84">
        <f>IF(ISBLANK('Data Entry'!d84), "", 'Data Entry'!d84)</f>
      </c>
      <c r="AK84">
        <f>IF(ISBLANK('Data Entry'!e84), "", 'Data Entry'!e84)</f>
      </c>
      <c r="AL84">
        <f>IF(ISBLANK('Data Entry'!f84), "", 'Data Entry'!f84)</f>
      </c>
      <c r="AM84">
        <f>IF(ISBLANK('Data Entry'!g84), "", 'Data Entry'!g84)</f>
      </c>
      <c r="AN84">
        <f>IF(ISBLANK('Data Entry'!h84), "", 'Data Entry'!h84)</f>
      </c>
    </row>
    <row r="85" spans="1:40" x14ac:dyDescent="0.25">
      <c r="A85">
        <f>IF(ISBLANK('Data Entry'!A85), "", 'Data Entry'!A85)</f>
      </c>
      <c r="B85">
        <f>IF(ISBLANK('Data Entry'!B85), "", 'Data Entry'!B85)</f>
      </c>
      <c r="C85">
        <f>IF(ISBLANK('Data Entry'!C85), "", 'Data Entry'!C85)</f>
      </c>
      <c r="D85">
        <f>IF(ISBLANK('Data Entry'!D85), "", 'Data Entry'!D85)</f>
      </c>
      <c r="E85">
        <f>IF(ISBLANK('Data Entry'!E85), "", 'Data Entry'!E85)</f>
      </c>
      <c r="F85">
        <f>IF(ISBLANK('Data Entry'!F85), "", 'Data Entry'!F85)</f>
      </c>
      <c r="G85">
        <f>IF(ISBLANK('Data Entry'!G85), "", 'Data Entry'!G85)</f>
      </c>
      <c r="H85">
        <f>IF(ISBLANK('Data Entry'!H85), "", 'Data Entry'!H85)</f>
      </c>
      <c r="I85">
        <f>IF(ISBLANK('Data Entry'!I85), "", 'Data Entry'!I85)</f>
      </c>
      <c r="J85">
        <f>IF(ISBLANK('Data Entry'!J85), "", 'Data Entry'!J85)</f>
      </c>
      <c r="K85">
        <f>IF(ISBLANK('Data Entry'!K85), "", 'Data Entry'!K85)</f>
      </c>
      <c r="L85">
        <f>IF(ISBLANK('Data Entry'!L85), "", 'Data Entry'!L85)</f>
      </c>
      <c r="M85">
        <f>IF(ISBLANK('Data Entry'!M85), "", 'Data Entry'!M85)</f>
      </c>
      <c r="N85">
        <f>IF(ISBLANK('Data Entry'!N85), "", 'Data Entry'!N85)</f>
      </c>
      <c r="O85">
        <f>IF(ISBLANK('Data Entry'!O85), "", 'Data Entry'!O85)</f>
      </c>
      <c r="P85">
        <f>IF(ISBLANK('Data Entry'!P85), "", 'Data Entry'!P85)</f>
      </c>
      <c r="Q85">
        <f>IF(ISBLANK('Data Entry'!Q85), "", 'Data Entry'!Q85)</f>
      </c>
      <c r="R85">
        <f>IF(ISBLANK('Data Entry'!R85), "", 'Data Entry'!R85)</f>
      </c>
      <c r="S85">
        <f>IF(ISBLANK('Data Entry'!S85), "", 'Data Entry'!S85)</f>
      </c>
      <c r="T85">
        <f>IF(ISBLANK('Data Entry'!T85), "", 'Data Entry'!T85)</f>
      </c>
      <c r="U85">
        <f>IF(ISBLANK('Data Entry'!U85), "", 'Data Entry'!U85)</f>
      </c>
      <c r="V85">
        <f>IF(ISBLANK('Data Entry'!V85), "", 'Data Entry'!V85)</f>
      </c>
      <c r="W85">
        <f>IF(ISBLANK('Data Entry'!W85), "", 'Data Entry'!W85)</f>
      </c>
      <c r="X85">
        <f>IF(ISBLANK('Data Entry'!X85), "", 'Data Entry'!X85)</f>
      </c>
      <c r="Y85">
        <f>IF(ISBLANK('Data Entry'!Y85), "", 'Data Entry'!Y85)</f>
      </c>
      <c r="Z85">
        <f>IF(ISBLANK('Data Entry'!Z85), "", 'Data Entry'!Z85)</f>
      </c>
      <c r="AA85">
        <f>IF(ISBLANK('Data Entry'![85), "", 'Data Entry'![85)</f>
      </c>
      <c r="AB85">
        <f>IF(ISBLANK('Data Entry'!\85), "", 'Data Entry'!\85)</f>
      </c>
      <c r="AC85">
        <f>IF(ISBLANK('Data Entry'!]85), "", 'Data Entry'!]85)</f>
      </c>
      <c r="AD85">
        <f>IF(ISBLANK('Data Entry'!^85), "", 'Data Entry'!^85)</f>
      </c>
      <c r="AE85">
        <f>IF(ISBLANK('Data Entry'!_85), "", 'Data Entry'!_85)</f>
      </c>
      <c r="AF85">
        <f>IF(ISBLANK('Data Entry'!`85), "", 'Data Entry'!`85)</f>
      </c>
      <c r="AG85">
        <f>IF(ISBLANK('Data Entry'!a85), "", 'Data Entry'!a85)</f>
      </c>
      <c r="AH85">
        <f>IF(ISBLANK('Data Entry'!b85), "", 'Data Entry'!b85)</f>
      </c>
      <c r="AI85">
        <f>IF(ISBLANK('Data Entry'!c85), "", 'Data Entry'!c85)</f>
      </c>
      <c r="AJ85">
        <f>IF(ISBLANK('Data Entry'!d85), "", 'Data Entry'!d85)</f>
      </c>
      <c r="AK85">
        <f>IF(ISBLANK('Data Entry'!e85), "", 'Data Entry'!e85)</f>
      </c>
      <c r="AL85">
        <f>IF(ISBLANK('Data Entry'!f85), "", 'Data Entry'!f85)</f>
      </c>
      <c r="AM85">
        <f>IF(ISBLANK('Data Entry'!g85), "", 'Data Entry'!g85)</f>
      </c>
      <c r="AN85">
        <f>IF(ISBLANK('Data Entry'!h85), "", 'Data Entry'!h85)</f>
      </c>
    </row>
    <row r="86" spans="1:40" x14ac:dyDescent="0.25">
      <c r="A86">
        <f>IF(ISBLANK('Data Entry'!A86), "", 'Data Entry'!A86)</f>
      </c>
      <c r="B86">
        <f>IF(ISBLANK('Data Entry'!B86), "", 'Data Entry'!B86)</f>
      </c>
      <c r="C86">
        <f>IF(ISBLANK('Data Entry'!C86), "", 'Data Entry'!C86)</f>
      </c>
      <c r="D86">
        <f>IF(ISBLANK('Data Entry'!D86), "", 'Data Entry'!D86)</f>
      </c>
      <c r="E86">
        <f>IF(ISBLANK('Data Entry'!E86), "", 'Data Entry'!E86)</f>
      </c>
      <c r="F86">
        <f>IF(ISBLANK('Data Entry'!F86), "", 'Data Entry'!F86)</f>
      </c>
      <c r="G86">
        <f>IF(ISBLANK('Data Entry'!G86), "", 'Data Entry'!G86)</f>
      </c>
      <c r="H86">
        <f>IF(ISBLANK('Data Entry'!H86), "", 'Data Entry'!H86)</f>
      </c>
      <c r="I86">
        <f>IF(ISBLANK('Data Entry'!I86), "", 'Data Entry'!I86)</f>
      </c>
      <c r="J86">
        <f>IF(ISBLANK('Data Entry'!J86), "", 'Data Entry'!J86)</f>
      </c>
      <c r="K86">
        <f>IF(ISBLANK('Data Entry'!K86), "", 'Data Entry'!K86)</f>
      </c>
      <c r="L86">
        <f>IF(ISBLANK('Data Entry'!L86), "", 'Data Entry'!L86)</f>
      </c>
      <c r="M86">
        <f>IF(ISBLANK('Data Entry'!M86), "", 'Data Entry'!M86)</f>
      </c>
      <c r="N86">
        <f>IF(ISBLANK('Data Entry'!N86), "", 'Data Entry'!N86)</f>
      </c>
      <c r="O86">
        <f>IF(ISBLANK('Data Entry'!O86), "", 'Data Entry'!O86)</f>
      </c>
      <c r="P86">
        <f>IF(ISBLANK('Data Entry'!P86), "", 'Data Entry'!P86)</f>
      </c>
      <c r="Q86">
        <f>IF(ISBLANK('Data Entry'!Q86), "", 'Data Entry'!Q86)</f>
      </c>
      <c r="R86">
        <f>IF(ISBLANK('Data Entry'!R86), "", 'Data Entry'!R86)</f>
      </c>
      <c r="S86">
        <f>IF(ISBLANK('Data Entry'!S86), "", 'Data Entry'!S86)</f>
      </c>
      <c r="T86">
        <f>IF(ISBLANK('Data Entry'!T86), "", 'Data Entry'!T86)</f>
      </c>
      <c r="U86">
        <f>IF(ISBLANK('Data Entry'!U86), "", 'Data Entry'!U86)</f>
      </c>
      <c r="V86">
        <f>IF(ISBLANK('Data Entry'!V86), "", 'Data Entry'!V86)</f>
      </c>
      <c r="W86">
        <f>IF(ISBLANK('Data Entry'!W86), "", 'Data Entry'!W86)</f>
      </c>
      <c r="X86">
        <f>IF(ISBLANK('Data Entry'!X86), "", 'Data Entry'!X86)</f>
      </c>
      <c r="Y86">
        <f>IF(ISBLANK('Data Entry'!Y86), "", 'Data Entry'!Y86)</f>
      </c>
      <c r="Z86">
        <f>IF(ISBLANK('Data Entry'!Z86), "", 'Data Entry'!Z86)</f>
      </c>
      <c r="AA86">
        <f>IF(ISBLANK('Data Entry'![86), "", 'Data Entry'![86)</f>
      </c>
      <c r="AB86">
        <f>IF(ISBLANK('Data Entry'!\86), "", 'Data Entry'!\86)</f>
      </c>
      <c r="AC86">
        <f>IF(ISBLANK('Data Entry'!]86), "", 'Data Entry'!]86)</f>
      </c>
      <c r="AD86">
        <f>IF(ISBLANK('Data Entry'!^86), "", 'Data Entry'!^86)</f>
      </c>
      <c r="AE86">
        <f>IF(ISBLANK('Data Entry'!_86), "", 'Data Entry'!_86)</f>
      </c>
      <c r="AF86">
        <f>IF(ISBLANK('Data Entry'!`86), "", 'Data Entry'!`86)</f>
      </c>
      <c r="AG86">
        <f>IF(ISBLANK('Data Entry'!a86), "", 'Data Entry'!a86)</f>
      </c>
      <c r="AH86">
        <f>IF(ISBLANK('Data Entry'!b86), "", 'Data Entry'!b86)</f>
      </c>
      <c r="AI86">
        <f>IF(ISBLANK('Data Entry'!c86), "", 'Data Entry'!c86)</f>
      </c>
      <c r="AJ86">
        <f>IF(ISBLANK('Data Entry'!d86), "", 'Data Entry'!d86)</f>
      </c>
      <c r="AK86">
        <f>IF(ISBLANK('Data Entry'!e86), "", 'Data Entry'!e86)</f>
      </c>
      <c r="AL86">
        <f>IF(ISBLANK('Data Entry'!f86), "", 'Data Entry'!f86)</f>
      </c>
      <c r="AM86">
        <f>IF(ISBLANK('Data Entry'!g86), "", 'Data Entry'!g86)</f>
      </c>
      <c r="AN86">
        <f>IF(ISBLANK('Data Entry'!h86), "", 'Data Entry'!h86)</f>
      </c>
    </row>
    <row r="87" spans="1:40" x14ac:dyDescent="0.25">
      <c r="A87">
        <f>IF(ISBLANK('Data Entry'!A87), "", 'Data Entry'!A87)</f>
      </c>
      <c r="B87">
        <f>IF(ISBLANK('Data Entry'!B87), "", 'Data Entry'!B87)</f>
      </c>
      <c r="C87">
        <f>IF(ISBLANK('Data Entry'!C87), "", 'Data Entry'!C87)</f>
      </c>
      <c r="D87">
        <f>IF(ISBLANK('Data Entry'!D87), "", 'Data Entry'!D87)</f>
      </c>
      <c r="E87">
        <f>IF(ISBLANK('Data Entry'!E87), "", 'Data Entry'!E87)</f>
      </c>
      <c r="F87">
        <f>IF(ISBLANK('Data Entry'!F87), "", 'Data Entry'!F87)</f>
      </c>
      <c r="G87">
        <f>IF(ISBLANK('Data Entry'!G87), "", 'Data Entry'!G87)</f>
      </c>
      <c r="H87">
        <f>IF(ISBLANK('Data Entry'!H87), "", 'Data Entry'!H87)</f>
      </c>
      <c r="I87">
        <f>IF(ISBLANK('Data Entry'!I87), "", 'Data Entry'!I87)</f>
      </c>
      <c r="J87">
        <f>IF(ISBLANK('Data Entry'!J87), "", 'Data Entry'!J87)</f>
      </c>
      <c r="K87">
        <f>IF(ISBLANK('Data Entry'!K87), "", 'Data Entry'!K87)</f>
      </c>
      <c r="L87">
        <f>IF(ISBLANK('Data Entry'!L87), "", 'Data Entry'!L87)</f>
      </c>
      <c r="M87">
        <f>IF(ISBLANK('Data Entry'!M87), "", 'Data Entry'!M87)</f>
      </c>
      <c r="N87">
        <f>IF(ISBLANK('Data Entry'!N87), "", 'Data Entry'!N87)</f>
      </c>
      <c r="O87">
        <f>IF(ISBLANK('Data Entry'!O87), "", 'Data Entry'!O87)</f>
      </c>
      <c r="P87">
        <f>IF(ISBLANK('Data Entry'!P87), "", 'Data Entry'!P87)</f>
      </c>
      <c r="Q87">
        <f>IF(ISBLANK('Data Entry'!Q87), "", 'Data Entry'!Q87)</f>
      </c>
      <c r="R87">
        <f>IF(ISBLANK('Data Entry'!R87), "", 'Data Entry'!R87)</f>
      </c>
      <c r="S87">
        <f>IF(ISBLANK('Data Entry'!S87), "", 'Data Entry'!S87)</f>
      </c>
      <c r="T87">
        <f>IF(ISBLANK('Data Entry'!T87), "", 'Data Entry'!T87)</f>
      </c>
      <c r="U87">
        <f>IF(ISBLANK('Data Entry'!U87), "", 'Data Entry'!U87)</f>
      </c>
      <c r="V87">
        <f>IF(ISBLANK('Data Entry'!V87), "", 'Data Entry'!V87)</f>
      </c>
      <c r="W87">
        <f>IF(ISBLANK('Data Entry'!W87), "", 'Data Entry'!W87)</f>
      </c>
      <c r="X87">
        <f>IF(ISBLANK('Data Entry'!X87), "", 'Data Entry'!X87)</f>
      </c>
      <c r="Y87">
        <f>IF(ISBLANK('Data Entry'!Y87), "", 'Data Entry'!Y87)</f>
      </c>
      <c r="Z87">
        <f>IF(ISBLANK('Data Entry'!Z87), "", 'Data Entry'!Z87)</f>
      </c>
      <c r="AA87">
        <f>IF(ISBLANK('Data Entry'![87), "", 'Data Entry'![87)</f>
      </c>
      <c r="AB87">
        <f>IF(ISBLANK('Data Entry'!\87), "", 'Data Entry'!\87)</f>
      </c>
      <c r="AC87">
        <f>IF(ISBLANK('Data Entry'!]87), "", 'Data Entry'!]87)</f>
      </c>
      <c r="AD87">
        <f>IF(ISBLANK('Data Entry'!^87), "", 'Data Entry'!^87)</f>
      </c>
      <c r="AE87">
        <f>IF(ISBLANK('Data Entry'!_87), "", 'Data Entry'!_87)</f>
      </c>
      <c r="AF87">
        <f>IF(ISBLANK('Data Entry'!`87), "", 'Data Entry'!`87)</f>
      </c>
      <c r="AG87">
        <f>IF(ISBLANK('Data Entry'!a87), "", 'Data Entry'!a87)</f>
      </c>
      <c r="AH87">
        <f>IF(ISBLANK('Data Entry'!b87), "", 'Data Entry'!b87)</f>
      </c>
      <c r="AI87">
        <f>IF(ISBLANK('Data Entry'!c87), "", 'Data Entry'!c87)</f>
      </c>
      <c r="AJ87">
        <f>IF(ISBLANK('Data Entry'!d87), "", 'Data Entry'!d87)</f>
      </c>
      <c r="AK87">
        <f>IF(ISBLANK('Data Entry'!e87), "", 'Data Entry'!e87)</f>
      </c>
      <c r="AL87">
        <f>IF(ISBLANK('Data Entry'!f87), "", 'Data Entry'!f87)</f>
      </c>
      <c r="AM87">
        <f>IF(ISBLANK('Data Entry'!g87), "", 'Data Entry'!g87)</f>
      </c>
      <c r="AN87">
        <f>IF(ISBLANK('Data Entry'!h87), "", 'Data Entry'!h87)</f>
      </c>
    </row>
    <row r="88" spans="1:40" x14ac:dyDescent="0.25">
      <c r="A88">
        <f>IF(ISBLANK('Data Entry'!A88), "", 'Data Entry'!A88)</f>
      </c>
      <c r="B88">
        <f>IF(ISBLANK('Data Entry'!B88), "", 'Data Entry'!B88)</f>
      </c>
      <c r="C88">
        <f>IF(ISBLANK('Data Entry'!C88), "", 'Data Entry'!C88)</f>
      </c>
      <c r="D88">
        <f>IF(ISBLANK('Data Entry'!D88), "", 'Data Entry'!D88)</f>
      </c>
      <c r="E88">
        <f>IF(ISBLANK('Data Entry'!E88), "", 'Data Entry'!E88)</f>
      </c>
      <c r="F88">
        <f>IF(ISBLANK('Data Entry'!F88), "", 'Data Entry'!F88)</f>
      </c>
      <c r="G88">
        <f>IF(ISBLANK('Data Entry'!G88), "", 'Data Entry'!G88)</f>
      </c>
      <c r="H88">
        <f>IF(ISBLANK('Data Entry'!H88), "", 'Data Entry'!H88)</f>
      </c>
      <c r="I88">
        <f>IF(ISBLANK('Data Entry'!I88), "", 'Data Entry'!I88)</f>
      </c>
      <c r="J88">
        <f>IF(ISBLANK('Data Entry'!J88), "", 'Data Entry'!J88)</f>
      </c>
      <c r="K88">
        <f>IF(ISBLANK('Data Entry'!K88), "", 'Data Entry'!K88)</f>
      </c>
      <c r="L88">
        <f>IF(ISBLANK('Data Entry'!L88), "", 'Data Entry'!L88)</f>
      </c>
      <c r="M88">
        <f>IF(ISBLANK('Data Entry'!M88), "", 'Data Entry'!M88)</f>
      </c>
      <c r="N88">
        <f>IF(ISBLANK('Data Entry'!N88), "", 'Data Entry'!N88)</f>
      </c>
      <c r="O88">
        <f>IF(ISBLANK('Data Entry'!O88), "", 'Data Entry'!O88)</f>
      </c>
      <c r="P88">
        <f>IF(ISBLANK('Data Entry'!P88), "", 'Data Entry'!P88)</f>
      </c>
      <c r="Q88">
        <f>IF(ISBLANK('Data Entry'!Q88), "", 'Data Entry'!Q88)</f>
      </c>
      <c r="R88">
        <f>IF(ISBLANK('Data Entry'!R88), "", 'Data Entry'!R88)</f>
      </c>
      <c r="S88">
        <f>IF(ISBLANK('Data Entry'!S88), "", 'Data Entry'!S88)</f>
      </c>
      <c r="T88">
        <f>IF(ISBLANK('Data Entry'!T88), "", 'Data Entry'!T88)</f>
      </c>
      <c r="U88">
        <f>IF(ISBLANK('Data Entry'!U88), "", 'Data Entry'!U88)</f>
      </c>
      <c r="V88">
        <f>IF(ISBLANK('Data Entry'!V88), "", 'Data Entry'!V88)</f>
      </c>
      <c r="W88">
        <f>IF(ISBLANK('Data Entry'!W88), "", 'Data Entry'!W88)</f>
      </c>
      <c r="X88">
        <f>IF(ISBLANK('Data Entry'!X88), "", 'Data Entry'!X88)</f>
      </c>
      <c r="Y88">
        <f>IF(ISBLANK('Data Entry'!Y88), "", 'Data Entry'!Y88)</f>
      </c>
      <c r="Z88">
        <f>IF(ISBLANK('Data Entry'!Z88), "", 'Data Entry'!Z88)</f>
      </c>
      <c r="AA88">
        <f>IF(ISBLANK('Data Entry'![88), "", 'Data Entry'![88)</f>
      </c>
      <c r="AB88">
        <f>IF(ISBLANK('Data Entry'!\88), "", 'Data Entry'!\88)</f>
      </c>
      <c r="AC88">
        <f>IF(ISBLANK('Data Entry'!]88), "", 'Data Entry'!]88)</f>
      </c>
      <c r="AD88">
        <f>IF(ISBLANK('Data Entry'!^88), "", 'Data Entry'!^88)</f>
      </c>
      <c r="AE88">
        <f>IF(ISBLANK('Data Entry'!_88), "", 'Data Entry'!_88)</f>
      </c>
      <c r="AF88">
        <f>IF(ISBLANK('Data Entry'!`88), "", 'Data Entry'!`88)</f>
      </c>
      <c r="AG88">
        <f>IF(ISBLANK('Data Entry'!a88), "", 'Data Entry'!a88)</f>
      </c>
      <c r="AH88">
        <f>IF(ISBLANK('Data Entry'!b88), "", 'Data Entry'!b88)</f>
      </c>
      <c r="AI88">
        <f>IF(ISBLANK('Data Entry'!c88), "", 'Data Entry'!c88)</f>
      </c>
      <c r="AJ88">
        <f>IF(ISBLANK('Data Entry'!d88), "", 'Data Entry'!d88)</f>
      </c>
      <c r="AK88">
        <f>IF(ISBLANK('Data Entry'!e88), "", 'Data Entry'!e88)</f>
      </c>
      <c r="AL88">
        <f>IF(ISBLANK('Data Entry'!f88), "", 'Data Entry'!f88)</f>
      </c>
      <c r="AM88">
        <f>IF(ISBLANK('Data Entry'!g88), "", 'Data Entry'!g88)</f>
      </c>
      <c r="AN88">
        <f>IF(ISBLANK('Data Entry'!h88), "", 'Data Entry'!h88)</f>
      </c>
    </row>
    <row r="89" spans="1:40" x14ac:dyDescent="0.25">
      <c r="A89">
        <f>IF(ISBLANK('Data Entry'!A89), "", 'Data Entry'!A89)</f>
      </c>
      <c r="B89">
        <f>IF(ISBLANK('Data Entry'!B89), "", 'Data Entry'!B89)</f>
      </c>
      <c r="C89">
        <f>IF(ISBLANK('Data Entry'!C89), "", 'Data Entry'!C89)</f>
      </c>
      <c r="D89">
        <f>IF(ISBLANK('Data Entry'!D89), "", 'Data Entry'!D89)</f>
      </c>
      <c r="E89">
        <f>IF(ISBLANK('Data Entry'!E89), "", 'Data Entry'!E89)</f>
      </c>
      <c r="F89">
        <f>IF(ISBLANK('Data Entry'!F89), "", 'Data Entry'!F89)</f>
      </c>
      <c r="G89">
        <f>IF(ISBLANK('Data Entry'!G89), "", 'Data Entry'!G89)</f>
      </c>
      <c r="H89">
        <f>IF(ISBLANK('Data Entry'!H89), "", 'Data Entry'!H89)</f>
      </c>
      <c r="I89">
        <f>IF(ISBLANK('Data Entry'!I89), "", 'Data Entry'!I89)</f>
      </c>
      <c r="J89">
        <f>IF(ISBLANK('Data Entry'!J89), "", 'Data Entry'!J89)</f>
      </c>
      <c r="K89">
        <f>IF(ISBLANK('Data Entry'!K89), "", 'Data Entry'!K89)</f>
      </c>
      <c r="L89">
        <f>IF(ISBLANK('Data Entry'!L89), "", 'Data Entry'!L89)</f>
      </c>
      <c r="M89">
        <f>IF(ISBLANK('Data Entry'!M89), "", 'Data Entry'!M89)</f>
      </c>
      <c r="N89">
        <f>IF(ISBLANK('Data Entry'!N89), "", 'Data Entry'!N89)</f>
      </c>
      <c r="O89">
        <f>IF(ISBLANK('Data Entry'!O89), "", 'Data Entry'!O89)</f>
      </c>
      <c r="P89">
        <f>IF(ISBLANK('Data Entry'!P89), "", 'Data Entry'!P89)</f>
      </c>
      <c r="Q89">
        <f>IF(ISBLANK('Data Entry'!Q89), "", 'Data Entry'!Q89)</f>
      </c>
      <c r="R89">
        <f>IF(ISBLANK('Data Entry'!R89), "", 'Data Entry'!R89)</f>
      </c>
      <c r="S89">
        <f>IF(ISBLANK('Data Entry'!S89), "", 'Data Entry'!S89)</f>
      </c>
      <c r="T89">
        <f>IF(ISBLANK('Data Entry'!T89), "", 'Data Entry'!T89)</f>
      </c>
      <c r="U89">
        <f>IF(ISBLANK('Data Entry'!U89), "", 'Data Entry'!U89)</f>
      </c>
      <c r="V89">
        <f>IF(ISBLANK('Data Entry'!V89), "", 'Data Entry'!V89)</f>
      </c>
      <c r="W89">
        <f>IF(ISBLANK('Data Entry'!W89), "", 'Data Entry'!W89)</f>
      </c>
      <c r="X89">
        <f>IF(ISBLANK('Data Entry'!X89), "", 'Data Entry'!X89)</f>
      </c>
      <c r="Y89">
        <f>IF(ISBLANK('Data Entry'!Y89), "", 'Data Entry'!Y89)</f>
      </c>
      <c r="Z89">
        <f>IF(ISBLANK('Data Entry'!Z89), "", 'Data Entry'!Z89)</f>
      </c>
      <c r="AA89">
        <f>IF(ISBLANK('Data Entry'![89), "", 'Data Entry'![89)</f>
      </c>
      <c r="AB89">
        <f>IF(ISBLANK('Data Entry'!\89), "", 'Data Entry'!\89)</f>
      </c>
      <c r="AC89">
        <f>IF(ISBLANK('Data Entry'!]89), "", 'Data Entry'!]89)</f>
      </c>
      <c r="AD89">
        <f>IF(ISBLANK('Data Entry'!^89), "", 'Data Entry'!^89)</f>
      </c>
      <c r="AE89">
        <f>IF(ISBLANK('Data Entry'!_89), "", 'Data Entry'!_89)</f>
      </c>
      <c r="AF89">
        <f>IF(ISBLANK('Data Entry'!`89), "", 'Data Entry'!`89)</f>
      </c>
      <c r="AG89">
        <f>IF(ISBLANK('Data Entry'!a89), "", 'Data Entry'!a89)</f>
      </c>
      <c r="AH89">
        <f>IF(ISBLANK('Data Entry'!b89), "", 'Data Entry'!b89)</f>
      </c>
      <c r="AI89">
        <f>IF(ISBLANK('Data Entry'!c89), "", 'Data Entry'!c89)</f>
      </c>
      <c r="AJ89">
        <f>IF(ISBLANK('Data Entry'!d89), "", 'Data Entry'!d89)</f>
      </c>
      <c r="AK89">
        <f>IF(ISBLANK('Data Entry'!e89), "", 'Data Entry'!e89)</f>
      </c>
      <c r="AL89">
        <f>IF(ISBLANK('Data Entry'!f89), "", 'Data Entry'!f89)</f>
      </c>
      <c r="AM89">
        <f>IF(ISBLANK('Data Entry'!g89), "", 'Data Entry'!g89)</f>
      </c>
      <c r="AN89">
        <f>IF(ISBLANK('Data Entry'!h89), "", 'Data Entry'!h89)</f>
      </c>
    </row>
    <row r="90" spans="1:40" x14ac:dyDescent="0.25">
      <c r="A90">
        <f>IF(ISBLANK('Data Entry'!A90), "", 'Data Entry'!A90)</f>
      </c>
      <c r="B90">
        <f>IF(ISBLANK('Data Entry'!B90), "", 'Data Entry'!B90)</f>
      </c>
      <c r="C90">
        <f>IF(ISBLANK('Data Entry'!C90), "", 'Data Entry'!C90)</f>
      </c>
      <c r="D90">
        <f>IF(ISBLANK('Data Entry'!D90), "", 'Data Entry'!D90)</f>
      </c>
      <c r="E90">
        <f>IF(ISBLANK('Data Entry'!E90), "", 'Data Entry'!E90)</f>
      </c>
      <c r="F90">
        <f>IF(ISBLANK('Data Entry'!F90), "", 'Data Entry'!F90)</f>
      </c>
      <c r="G90">
        <f>IF(ISBLANK('Data Entry'!G90), "", 'Data Entry'!G90)</f>
      </c>
      <c r="H90">
        <f>IF(ISBLANK('Data Entry'!H90), "", 'Data Entry'!H90)</f>
      </c>
      <c r="I90">
        <f>IF(ISBLANK('Data Entry'!I90), "", 'Data Entry'!I90)</f>
      </c>
      <c r="J90">
        <f>IF(ISBLANK('Data Entry'!J90), "", 'Data Entry'!J90)</f>
      </c>
      <c r="K90">
        <f>IF(ISBLANK('Data Entry'!K90), "", 'Data Entry'!K90)</f>
      </c>
      <c r="L90">
        <f>IF(ISBLANK('Data Entry'!L90), "", 'Data Entry'!L90)</f>
      </c>
      <c r="M90">
        <f>IF(ISBLANK('Data Entry'!M90), "", 'Data Entry'!M90)</f>
      </c>
      <c r="N90">
        <f>IF(ISBLANK('Data Entry'!N90), "", 'Data Entry'!N90)</f>
      </c>
      <c r="O90">
        <f>IF(ISBLANK('Data Entry'!O90), "", 'Data Entry'!O90)</f>
      </c>
      <c r="P90">
        <f>IF(ISBLANK('Data Entry'!P90), "", 'Data Entry'!P90)</f>
      </c>
      <c r="Q90">
        <f>IF(ISBLANK('Data Entry'!Q90), "", 'Data Entry'!Q90)</f>
      </c>
      <c r="R90">
        <f>IF(ISBLANK('Data Entry'!R90), "", 'Data Entry'!R90)</f>
      </c>
      <c r="S90">
        <f>IF(ISBLANK('Data Entry'!S90), "", 'Data Entry'!S90)</f>
      </c>
      <c r="T90">
        <f>IF(ISBLANK('Data Entry'!T90), "", 'Data Entry'!T90)</f>
      </c>
      <c r="U90">
        <f>IF(ISBLANK('Data Entry'!U90), "", 'Data Entry'!U90)</f>
      </c>
      <c r="V90">
        <f>IF(ISBLANK('Data Entry'!V90), "", 'Data Entry'!V90)</f>
      </c>
      <c r="W90">
        <f>IF(ISBLANK('Data Entry'!W90), "", 'Data Entry'!W90)</f>
      </c>
      <c r="X90">
        <f>IF(ISBLANK('Data Entry'!X90), "", 'Data Entry'!X90)</f>
      </c>
      <c r="Y90">
        <f>IF(ISBLANK('Data Entry'!Y90), "", 'Data Entry'!Y90)</f>
      </c>
      <c r="Z90">
        <f>IF(ISBLANK('Data Entry'!Z90), "", 'Data Entry'!Z90)</f>
      </c>
      <c r="AA90">
        <f>IF(ISBLANK('Data Entry'![90), "", 'Data Entry'![90)</f>
      </c>
      <c r="AB90">
        <f>IF(ISBLANK('Data Entry'!\90), "", 'Data Entry'!\90)</f>
      </c>
      <c r="AC90">
        <f>IF(ISBLANK('Data Entry'!]90), "", 'Data Entry'!]90)</f>
      </c>
      <c r="AD90">
        <f>IF(ISBLANK('Data Entry'!^90), "", 'Data Entry'!^90)</f>
      </c>
      <c r="AE90">
        <f>IF(ISBLANK('Data Entry'!_90), "", 'Data Entry'!_90)</f>
      </c>
      <c r="AF90">
        <f>IF(ISBLANK('Data Entry'!`90), "", 'Data Entry'!`90)</f>
      </c>
      <c r="AG90">
        <f>IF(ISBLANK('Data Entry'!a90), "", 'Data Entry'!a90)</f>
      </c>
      <c r="AH90">
        <f>IF(ISBLANK('Data Entry'!b90), "", 'Data Entry'!b90)</f>
      </c>
      <c r="AI90">
        <f>IF(ISBLANK('Data Entry'!c90), "", 'Data Entry'!c90)</f>
      </c>
      <c r="AJ90">
        <f>IF(ISBLANK('Data Entry'!d90), "", 'Data Entry'!d90)</f>
      </c>
      <c r="AK90">
        <f>IF(ISBLANK('Data Entry'!e90), "", 'Data Entry'!e90)</f>
      </c>
      <c r="AL90">
        <f>IF(ISBLANK('Data Entry'!f90), "", 'Data Entry'!f90)</f>
      </c>
      <c r="AM90">
        <f>IF(ISBLANK('Data Entry'!g90), "", 'Data Entry'!g90)</f>
      </c>
      <c r="AN90">
        <f>IF(ISBLANK('Data Entry'!h90), "", 'Data Entry'!h90)</f>
      </c>
    </row>
    <row r="91" spans="1:40" x14ac:dyDescent="0.25">
      <c r="A91">
        <f>IF(ISBLANK('Data Entry'!A91), "", 'Data Entry'!A91)</f>
      </c>
      <c r="B91">
        <f>IF(ISBLANK('Data Entry'!B91), "", 'Data Entry'!B91)</f>
      </c>
      <c r="C91">
        <f>IF(ISBLANK('Data Entry'!C91), "", 'Data Entry'!C91)</f>
      </c>
      <c r="D91">
        <f>IF(ISBLANK('Data Entry'!D91), "", 'Data Entry'!D91)</f>
      </c>
      <c r="E91">
        <f>IF(ISBLANK('Data Entry'!E91), "", 'Data Entry'!E91)</f>
      </c>
      <c r="F91">
        <f>IF(ISBLANK('Data Entry'!F91), "", 'Data Entry'!F91)</f>
      </c>
      <c r="G91">
        <f>IF(ISBLANK('Data Entry'!G91), "", 'Data Entry'!G91)</f>
      </c>
      <c r="H91">
        <f>IF(ISBLANK('Data Entry'!H91), "", 'Data Entry'!H91)</f>
      </c>
      <c r="I91">
        <f>IF(ISBLANK('Data Entry'!I91), "", 'Data Entry'!I91)</f>
      </c>
      <c r="J91">
        <f>IF(ISBLANK('Data Entry'!J91), "", 'Data Entry'!J91)</f>
      </c>
      <c r="K91">
        <f>IF(ISBLANK('Data Entry'!K91), "", 'Data Entry'!K91)</f>
      </c>
      <c r="L91">
        <f>IF(ISBLANK('Data Entry'!L91), "", 'Data Entry'!L91)</f>
      </c>
      <c r="M91">
        <f>IF(ISBLANK('Data Entry'!M91), "", 'Data Entry'!M91)</f>
      </c>
      <c r="N91">
        <f>IF(ISBLANK('Data Entry'!N91), "", 'Data Entry'!N91)</f>
      </c>
      <c r="O91">
        <f>IF(ISBLANK('Data Entry'!O91), "", 'Data Entry'!O91)</f>
      </c>
      <c r="P91">
        <f>IF(ISBLANK('Data Entry'!P91), "", 'Data Entry'!P91)</f>
      </c>
      <c r="Q91">
        <f>IF(ISBLANK('Data Entry'!Q91), "", 'Data Entry'!Q91)</f>
      </c>
      <c r="R91">
        <f>IF(ISBLANK('Data Entry'!R91), "", 'Data Entry'!R91)</f>
      </c>
      <c r="S91">
        <f>IF(ISBLANK('Data Entry'!S91), "", 'Data Entry'!S91)</f>
      </c>
      <c r="T91">
        <f>IF(ISBLANK('Data Entry'!T91), "", 'Data Entry'!T91)</f>
      </c>
      <c r="U91">
        <f>IF(ISBLANK('Data Entry'!U91), "", 'Data Entry'!U91)</f>
      </c>
      <c r="V91">
        <f>IF(ISBLANK('Data Entry'!V91), "", 'Data Entry'!V91)</f>
      </c>
      <c r="W91">
        <f>IF(ISBLANK('Data Entry'!W91), "", 'Data Entry'!W91)</f>
      </c>
      <c r="X91">
        <f>IF(ISBLANK('Data Entry'!X91), "", 'Data Entry'!X91)</f>
      </c>
      <c r="Y91">
        <f>IF(ISBLANK('Data Entry'!Y91), "", 'Data Entry'!Y91)</f>
      </c>
      <c r="Z91">
        <f>IF(ISBLANK('Data Entry'!Z91), "", 'Data Entry'!Z91)</f>
      </c>
      <c r="AA91">
        <f>IF(ISBLANK('Data Entry'![91), "", 'Data Entry'![91)</f>
      </c>
      <c r="AB91">
        <f>IF(ISBLANK('Data Entry'!\91), "", 'Data Entry'!\91)</f>
      </c>
      <c r="AC91">
        <f>IF(ISBLANK('Data Entry'!]91), "", 'Data Entry'!]91)</f>
      </c>
      <c r="AD91">
        <f>IF(ISBLANK('Data Entry'!^91), "", 'Data Entry'!^91)</f>
      </c>
      <c r="AE91">
        <f>IF(ISBLANK('Data Entry'!_91), "", 'Data Entry'!_91)</f>
      </c>
      <c r="AF91">
        <f>IF(ISBLANK('Data Entry'!`91), "", 'Data Entry'!`91)</f>
      </c>
      <c r="AG91">
        <f>IF(ISBLANK('Data Entry'!a91), "", 'Data Entry'!a91)</f>
      </c>
      <c r="AH91">
        <f>IF(ISBLANK('Data Entry'!b91), "", 'Data Entry'!b91)</f>
      </c>
      <c r="AI91">
        <f>IF(ISBLANK('Data Entry'!c91), "", 'Data Entry'!c91)</f>
      </c>
      <c r="AJ91">
        <f>IF(ISBLANK('Data Entry'!d91), "", 'Data Entry'!d91)</f>
      </c>
      <c r="AK91">
        <f>IF(ISBLANK('Data Entry'!e91), "", 'Data Entry'!e91)</f>
      </c>
      <c r="AL91">
        <f>IF(ISBLANK('Data Entry'!f91), "", 'Data Entry'!f91)</f>
      </c>
      <c r="AM91">
        <f>IF(ISBLANK('Data Entry'!g91), "", 'Data Entry'!g91)</f>
      </c>
      <c r="AN91">
        <f>IF(ISBLANK('Data Entry'!h91), "", 'Data Entry'!h91)</f>
      </c>
    </row>
    <row r="92" spans="1:40" x14ac:dyDescent="0.25">
      <c r="A92">
        <f>IF(ISBLANK('Data Entry'!A92), "", 'Data Entry'!A92)</f>
      </c>
      <c r="B92">
        <f>IF(ISBLANK('Data Entry'!B92), "", 'Data Entry'!B92)</f>
      </c>
      <c r="C92">
        <f>IF(ISBLANK('Data Entry'!C92), "", 'Data Entry'!C92)</f>
      </c>
      <c r="D92">
        <f>IF(ISBLANK('Data Entry'!D92), "", 'Data Entry'!D92)</f>
      </c>
      <c r="E92">
        <f>IF(ISBLANK('Data Entry'!E92), "", 'Data Entry'!E92)</f>
      </c>
      <c r="F92">
        <f>IF(ISBLANK('Data Entry'!F92), "", 'Data Entry'!F92)</f>
      </c>
      <c r="G92">
        <f>IF(ISBLANK('Data Entry'!G92), "", 'Data Entry'!G92)</f>
      </c>
      <c r="H92">
        <f>IF(ISBLANK('Data Entry'!H92), "", 'Data Entry'!H92)</f>
      </c>
      <c r="I92">
        <f>IF(ISBLANK('Data Entry'!I92), "", 'Data Entry'!I92)</f>
      </c>
      <c r="J92">
        <f>IF(ISBLANK('Data Entry'!J92), "", 'Data Entry'!J92)</f>
      </c>
      <c r="K92">
        <f>IF(ISBLANK('Data Entry'!K92), "", 'Data Entry'!K92)</f>
      </c>
      <c r="L92">
        <f>IF(ISBLANK('Data Entry'!L92), "", 'Data Entry'!L92)</f>
      </c>
      <c r="M92">
        <f>IF(ISBLANK('Data Entry'!M92), "", 'Data Entry'!M92)</f>
      </c>
      <c r="N92">
        <f>IF(ISBLANK('Data Entry'!N92), "", 'Data Entry'!N92)</f>
      </c>
      <c r="O92">
        <f>IF(ISBLANK('Data Entry'!O92), "", 'Data Entry'!O92)</f>
      </c>
      <c r="P92">
        <f>IF(ISBLANK('Data Entry'!P92), "", 'Data Entry'!P92)</f>
      </c>
      <c r="Q92">
        <f>IF(ISBLANK('Data Entry'!Q92), "", 'Data Entry'!Q92)</f>
      </c>
      <c r="R92">
        <f>IF(ISBLANK('Data Entry'!R92), "", 'Data Entry'!R92)</f>
      </c>
      <c r="S92">
        <f>IF(ISBLANK('Data Entry'!S92), "", 'Data Entry'!S92)</f>
      </c>
      <c r="T92">
        <f>IF(ISBLANK('Data Entry'!T92), "", 'Data Entry'!T92)</f>
      </c>
      <c r="U92">
        <f>IF(ISBLANK('Data Entry'!U92), "", 'Data Entry'!U92)</f>
      </c>
      <c r="V92">
        <f>IF(ISBLANK('Data Entry'!V92), "", 'Data Entry'!V92)</f>
      </c>
      <c r="W92">
        <f>IF(ISBLANK('Data Entry'!W92), "", 'Data Entry'!W92)</f>
      </c>
      <c r="X92">
        <f>IF(ISBLANK('Data Entry'!X92), "", 'Data Entry'!X92)</f>
      </c>
      <c r="Y92">
        <f>IF(ISBLANK('Data Entry'!Y92), "", 'Data Entry'!Y92)</f>
      </c>
      <c r="Z92">
        <f>IF(ISBLANK('Data Entry'!Z92), "", 'Data Entry'!Z92)</f>
      </c>
      <c r="AA92">
        <f>IF(ISBLANK('Data Entry'![92), "", 'Data Entry'![92)</f>
      </c>
      <c r="AB92">
        <f>IF(ISBLANK('Data Entry'!\92), "", 'Data Entry'!\92)</f>
      </c>
      <c r="AC92">
        <f>IF(ISBLANK('Data Entry'!]92), "", 'Data Entry'!]92)</f>
      </c>
      <c r="AD92">
        <f>IF(ISBLANK('Data Entry'!^92), "", 'Data Entry'!^92)</f>
      </c>
      <c r="AE92">
        <f>IF(ISBLANK('Data Entry'!_92), "", 'Data Entry'!_92)</f>
      </c>
      <c r="AF92">
        <f>IF(ISBLANK('Data Entry'!`92), "", 'Data Entry'!`92)</f>
      </c>
      <c r="AG92">
        <f>IF(ISBLANK('Data Entry'!a92), "", 'Data Entry'!a92)</f>
      </c>
      <c r="AH92">
        <f>IF(ISBLANK('Data Entry'!b92), "", 'Data Entry'!b92)</f>
      </c>
      <c r="AI92">
        <f>IF(ISBLANK('Data Entry'!c92), "", 'Data Entry'!c92)</f>
      </c>
      <c r="AJ92">
        <f>IF(ISBLANK('Data Entry'!d92), "", 'Data Entry'!d92)</f>
      </c>
      <c r="AK92">
        <f>IF(ISBLANK('Data Entry'!e92), "", 'Data Entry'!e92)</f>
      </c>
      <c r="AL92">
        <f>IF(ISBLANK('Data Entry'!f92), "", 'Data Entry'!f92)</f>
      </c>
      <c r="AM92">
        <f>IF(ISBLANK('Data Entry'!g92), "", 'Data Entry'!g92)</f>
      </c>
      <c r="AN92">
        <f>IF(ISBLANK('Data Entry'!h92), "", 'Data Entry'!h92)</f>
      </c>
    </row>
    <row r="93" spans="1:40" x14ac:dyDescent="0.25">
      <c r="A93">
        <f>IF(ISBLANK('Data Entry'!A93), "", 'Data Entry'!A93)</f>
      </c>
      <c r="B93">
        <f>IF(ISBLANK('Data Entry'!B93), "", 'Data Entry'!B93)</f>
      </c>
      <c r="C93">
        <f>IF(ISBLANK('Data Entry'!C93), "", 'Data Entry'!C93)</f>
      </c>
      <c r="D93">
        <f>IF(ISBLANK('Data Entry'!D93), "", 'Data Entry'!D93)</f>
      </c>
      <c r="E93">
        <f>IF(ISBLANK('Data Entry'!E93), "", 'Data Entry'!E93)</f>
      </c>
      <c r="F93">
        <f>IF(ISBLANK('Data Entry'!F93), "", 'Data Entry'!F93)</f>
      </c>
      <c r="G93">
        <f>IF(ISBLANK('Data Entry'!G93), "", 'Data Entry'!G93)</f>
      </c>
      <c r="H93">
        <f>IF(ISBLANK('Data Entry'!H93), "", 'Data Entry'!H93)</f>
      </c>
      <c r="I93">
        <f>IF(ISBLANK('Data Entry'!I93), "", 'Data Entry'!I93)</f>
      </c>
      <c r="J93">
        <f>IF(ISBLANK('Data Entry'!J93), "", 'Data Entry'!J93)</f>
      </c>
      <c r="K93">
        <f>IF(ISBLANK('Data Entry'!K93), "", 'Data Entry'!K93)</f>
      </c>
      <c r="L93">
        <f>IF(ISBLANK('Data Entry'!L93), "", 'Data Entry'!L93)</f>
      </c>
      <c r="M93">
        <f>IF(ISBLANK('Data Entry'!M93), "", 'Data Entry'!M93)</f>
      </c>
      <c r="N93">
        <f>IF(ISBLANK('Data Entry'!N93), "", 'Data Entry'!N93)</f>
      </c>
      <c r="O93">
        <f>IF(ISBLANK('Data Entry'!O93), "", 'Data Entry'!O93)</f>
      </c>
      <c r="P93">
        <f>IF(ISBLANK('Data Entry'!P93), "", 'Data Entry'!P93)</f>
      </c>
      <c r="Q93">
        <f>IF(ISBLANK('Data Entry'!Q93), "", 'Data Entry'!Q93)</f>
      </c>
      <c r="R93">
        <f>IF(ISBLANK('Data Entry'!R93), "", 'Data Entry'!R93)</f>
      </c>
      <c r="S93">
        <f>IF(ISBLANK('Data Entry'!S93), "", 'Data Entry'!S93)</f>
      </c>
      <c r="T93">
        <f>IF(ISBLANK('Data Entry'!T93), "", 'Data Entry'!T93)</f>
      </c>
      <c r="U93">
        <f>IF(ISBLANK('Data Entry'!U93), "", 'Data Entry'!U93)</f>
      </c>
      <c r="V93">
        <f>IF(ISBLANK('Data Entry'!V93), "", 'Data Entry'!V93)</f>
      </c>
      <c r="W93">
        <f>IF(ISBLANK('Data Entry'!W93), "", 'Data Entry'!W93)</f>
      </c>
      <c r="X93">
        <f>IF(ISBLANK('Data Entry'!X93), "", 'Data Entry'!X93)</f>
      </c>
      <c r="Y93">
        <f>IF(ISBLANK('Data Entry'!Y93), "", 'Data Entry'!Y93)</f>
      </c>
      <c r="Z93">
        <f>IF(ISBLANK('Data Entry'!Z93), "", 'Data Entry'!Z93)</f>
      </c>
      <c r="AA93">
        <f>IF(ISBLANK('Data Entry'![93), "", 'Data Entry'![93)</f>
      </c>
      <c r="AB93">
        <f>IF(ISBLANK('Data Entry'!\93), "", 'Data Entry'!\93)</f>
      </c>
      <c r="AC93">
        <f>IF(ISBLANK('Data Entry'!]93), "", 'Data Entry'!]93)</f>
      </c>
      <c r="AD93">
        <f>IF(ISBLANK('Data Entry'!^93), "", 'Data Entry'!^93)</f>
      </c>
      <c r="AE93">
        <f>IF(ISBLANK('Data Entry'!_93), "", 'Data Entry'!_93)</f>
      </c>
      <c r="AF93">
        <f>IF(ISBLANK('Data Entry'!`93), "", 'Data Entry'!`93)</f>
      </c>
      <c r="AG93">
        <f>IF(ISBLANK('Data Entry'!a93), "", 'Data Entry'!a93)</f>
      </c>
      <c r="AH93">
        <f>IF(ISBLANK('Data Entry'!b93), "", 'Data Entry'!b93)</f>
      </c>
      <c r="AI93">
        <f>IF(ISBLANK('Data Entry'!c93), "", 'Data Entry'!c93)</f>
      </c>
      <c r="AJ93">
        <f>IF(ISBLANK('Data Entry'!d93), "", 'Data Entry'!d93)</f>
      </c>
      <c r="AK93">
        <f>IF(ISBLANK('Data Entry'!e93), "", 'Data Entry'!e93)</f>
      </c>
      <c r="AL93">
        <f>IF(ISBLANK('Data Entry'!f93), "", 'Data Entry'!f93)</f>
      </c>
      <c r="AM93">
        <f>IF(ISBLANK('Data Entry'!g93), "", 'Data Entry'!g93)</f>
      </c>
      <c r="AN93">
        <f>IF(ISBLANK('Data Entry'!h93), "", 'Data Entry'!h93)</f>
      </c>
    </row>
    <row r="94" spans="1:40" x14ac:dyDescent="0.25">
      <c r="A94">
        <f>IF(ISBLANK('Data Entry'!A94), "", 'Data Entry'!A94)</f>
      </c>
      <c r="B94">
        <f>IF(ISBLANK('Data Entry'!B94), "", 'Data Entry'!B94)</f>
      </c>
      <c r="C94">
        <f>IF(ISBLANK('Data Entry'!C94), "", 'Data Entry'!C94)</f>
      </c>
      <c r="D94">
        <f>IF(ISBLANK('Data Entry'!D94), "", 'Data Entry'!D94)</f>
      </c>
      <c r="E94">
        <f>IF(ISBLANK('Data Entry'!E94), "", 'Data Entry'!E94)</f>
      </c>
      <c r="F94">
        <f>IF(ISBLANK('Data Entry'!F94), "", 'Data Entry'!F94)</f>
      </c>
      <c r="G94">
        <f>IF(ISBLANK('Data Entry'!G94), "", 'Data Entry'!G94)</f>
      </c>
      <c r="H94">
        <f>IF(ISBLANK('Data Entry'!H94), "", 'Data Entry'!H94)</f>
      </c>
      <c r="I94">
        <f>IF(ISBLANK('Data Entry'!I94), "", 'Data Entry'!I94)</f>
      </c>
      <c r="J94">
        <f>IF(ISBLANK('Data Entry'!J94), "", 'Data Entry'!J94)</f>
      </c>
      <c r="K94">
        <f>IF(ISBLANK('Data Entry'!K94), "", 'Data Entry'!K94)</f>
      </c>
      <c r="L94">
        <f>IF(ISBLANK('Data Entry'!L94), "", 'Data Entry'!L94)</f>
      </c>
      <c r="M94">
        <f>IF(ISBLANK('Data Entry'!M94), "", 'Data Entry'!M94)</f>
      </c>
      <c r="N94">
        <f>IF(ISBLANK('Data Entry'!N94), "", 'Data Entry'!N94)</f>
      </c>
      <c r="O94">
        <f>IF(ISBLANK('Data Entry'!O94), "", 'Data Entry'!O94)</f>
      </c>
      <c r="P94">
        <f>IF(ISBLANK('Data Entry'!P94), "", 'Data Entry'!P94)</f>
      </c>
      <c r="Q94">
        <f>IF(ISBLANK('Data Entry'!Q94), "", 'Data Entry'!Q94)</f>
      </c>
      <c r="R94">
        <f>IF(ISBLANK('Data Entry'!R94), "", 'Data Entry'!R94)</f>
      </c>
      <c r="S94">
        <f>IF(ISBLANK('Data Entry'!S94), "", 'Data Entry'!S94)</f>
      </c>
      <c r="T94">
        <f>IF(ISBLANK('Data Entry'!T94), "", 'Data Entry'!T94)</f>
      </c>
      <c r="U94">
        <f>IF(ISBLANK('Data Entry'!U94), "", 'Data Entry'!U94)</f>
      </c>
      <c r="V94">
        <f>IF(ISBLANK('Data Entry'!V94), "", 'Data Entry'!V94)</f>
      </c>
      <c r="W94">
        <f>IF(ISBLANK('Data Entry'!W94), "", 'Data Entry'!W94)</f>
      </c>
      <c r="X94">
        <f>IF(ISBLANK('Data Entry'!X94), "", 'Data Entry'!X94)</f>
      </c>
      <c r="Y94">
        <f>IF(ISBLANK('Data Entry'!Y94), "", 'Data Entry'!Y94)</f>
      </c>
      <c r="Z94">
        <f>IF(ISBLANK('Data Entry'!Z94), "", 'Data Entry'!Z94)</f>
      </c>
      <c r="AA94">
        <f>IF(ISBLANK('Data Entry'![94), "", 'Data Entry'![94)</f>
      </c>
      <c r="AB94">
        <f>IF(ISBLANK('Data Entry'!\94), "", 'Data Entry'!\94)</f>
      </c>
      <c r="AC94">
        <f>IF(ISBLANK('Data Entry'!]94), "", 'Data Entry'!]94)</f>
      </c>
      <c r="AD94">
        <f>IF(ISBLANK('Data Entry'!^94), "", 'Data Entry'!^94)</f>
      </c>
      <c r="AE94">
        <f>IF(ISBLANK('Data Entry'!_94), "", 'Data Entry'!_94)</f>
      </c>
      <c r="AF94">
        <f>IF(ISBLANK('Data Entry'!`94), "", 'Data Entry'!`94)</f>
      </c>
      <c r="AG94">
        <f>IF(ISBLANK('Data Entry'!a94), "", 'Data Entry'!a94)</f>
      </c>
      <c r="AH94">
        <f>IF(ISBLANK('Data Entry'!b94), "", 'Data Entry'!b94)</f>
      </c>
      <c r="AI94">
        <f>IF(ISBLANK('Data Entry'!c94), "", 'Data Entry'!c94)</f>
      </c>
      <c r="AJ94">
        <f>IF(ISBLANK('Data Entry'!d94), "", 'Data Entry'!d94)</f>
      </c>
      <c r="AK94">
        <f>IF(ISBLANK('Data Entry'!e94), "", 'Data Entry'!e94)</f>
      </c>
      <c r="AL94">
        <f>IF(ISBLANK('Data Entry'!f94), "", 'Data Entry'!f94)</f>
      </c>
      <c r="AM94">
        <f>IF(ISBLANK('Data Entry'!g94), "", 'Data Entry'!g94)</f>
      </c>
      <c r="AN94">
        <f>IF(ISBLANK('Data Entry'!h94), "", 'Data Entry'!h94)</f>
      </c>
    </row>
    <row r="95" spans="1:40" x14ac:dyDescent="0.25">
      <c r="A95">
        <f>IF(ISBLANK('Data Entry'!A95), "", 'Data Entry'!A95)</f>
      </c>
      <c r="B95">
        <f>IF(ISBLANK('Data Entry'!B95), "", 'Data Entry'!B95)</f>
      </c>
      <c r="C95">
        <f>IF(ISBLANK('Data Entry'!C95), "", 'Data Entry'!C95)</f>
      </c>
      <c r="D95">
        <f>IF(ISBLANK('Data Entry'!D95), "", 'Data Entry'!D95)</f>
      </c>
      <c r="E95">
        <f>IF(ISBLANK('Data Entry'!E95), "", 'Data Entry'!E95)</f>
      </c>
      <c r="F95">
        <f>IF(ISBLANK('Data Entry'!F95), "", 'Data Entry'!F95)</f>
      </c>
      <c r="G95">
        <f>IF(ISBLANK('Data Entry'!G95), "", 'Data Entry'!G95)</f>
      </c>
      <c r="H95">
        <f>IF(ISBLANK('Data Entry'!H95), "", 'Data Entry'!H95)</f>
      </c>
      <c r="I95">
        <f>IF(ISBLANK('Data Entry'!I95), "", 'Data Entry'!I95)</f>
      </c>
      <c r="J95">
        <f>IF(ISBLANK('Data Entry'!J95), "", 'Data Entry'!J95)</f>
      </c>
      <c r="K95">
        <f>IF(ISBLANK('Data Entry'!K95), "", 'Data Entry'!K95)</f>
      </c>
      <c r="L95">
        <f>IF(ISBLANK('Data Entry'!L95), "", 'Data Entry'!L95)</f>
      </c>
      <c r="M95">
        <f>IF(ISBLANK('Data Entry'!M95), "", 'Data Entry'!M95)</f>
      </c>
      <c r="N95">
        <f>IF(ISBLANK('Data Entry'!N95), "", 'Data Entry'!N95)</f>
      </c>
      <c r="O95">
        <f>IF(ISBLANK('Data Entry'!O95), "", 'Data Entry'!O95)</f>
      </c>
      <c r="P95">
        <f>IF(ISBLANK('Data Entry'!P95), "", 'Data Entry'!P95)</f>
      </c>
      <c r="Q95">
        <f>IF(ISBLANK('Data Entry'!Q95), "", 'Data Entry'!Q95)</f>
      </c>
      <c r="R95">
        <f>IF(ISBLANK('Data Entry'!R95), "", 'Data Entry'!R95)</f>
      </c>
      <c r="S95">
        <f>IF(ISBLANK('Data Entry'!S95), "", 'Data Entry'!S95)</f>
      </c>
      <c r="T95">
        <f>IF(ISBLANK('Data Entry'!T95), "", 'Data Entry'!T95)</f>
      </c>
      <c r="U95">
        <f>IF(ISBLANK('Data Entry'!U95), "", 'Data Entry'!U95)</f>
      </c>
      <c r="V95">
        <f>IF(ISBLANK('Data Entry'!V95), "", 'Data Entry'!V95)</f>
      </c>
      <c r="W95">
        <f>IF(ISBLANK('Data Entry'!W95), "", 'Data Entry'!W95)</f>
      </c>
      <c r="X95">
        <f>IF(ISBLANK('Data Entry'!X95), "", 'Data Entry'!X95)</f>
      </c>
      <c r="Y95">
        <f>IF(ISBLANK('Data Entry'!Y95), "", 'Data Entry'!Y95)</f>
      </c>
      <c r="Z95">
        <f>IF(ISBLANK('Data Entry'!Z95), "", 'Data Entry'!Z95)</f>
      </c>
      <c r="AA95">
        <f>IF(ISBLANK('Data Entry'![95), "", 'Data Entry'![95)</f>
      </c>
      <c r="AB95">
        <f>IF(ISBLANK('Data Entry'!\95), "", 'Data Entry'!\95)</f>
      </c>
      <c r="AC95">
        <f>IF(ISBLANK('Data Entry'!]95), "", 'Data Entry'!]95)</f>
      </c>
      <c r="AD95">
        <f>IF(ISBLANK('Data Entry'!^95), "", 'Data Entry'!^95)</f>
      </c>
      <c r="AE95">
        <f>IF(ISBLANK('Data Entry'!_95), "", 'Data Entry'!_95)</f>
      </c>
      <c r="AF95">
        <f>IF(ISBLANK('Data Entry'!`95), "", 'Data Entry'!`95)</f>
      </c>
      <c r="AG95">
        <f>IF(ISBLANK('Data Entry'!a95), "", 'Data Entry'!a95)</f>
      </c>
      <c r="AH95">
        <f>IF(ISBLANK('Data Entry'!b95), "", 'Data Entry'!b95)</f>
      </c>
      <c r="AI95">
        <f>IF(ISBLANK('Data Entry'!c95), "", 'Data Entry'!c95)</f>
      </c>
      <c r="AJ95">
        <f>IF(ISBLANK('Data Entry'!d95), "", 'Data Entry'!d95)</f>
      </c>
      <c r="AK95">
        <f>IF(ISBLANK('Data Entry'!e95), "", 'Data Entry'!e95)</f>
      </c>
      <c r="AL95">
        <f>IF(ISBLANK('Data Entry'!f95), "", 'Data Entry'!f95)</f>
      </c>
      <c r="AM95">
        <f>IF(ISBLANK('Data Entry'!g95), "", 'Data Entry'!g95)</f>
      </c>
      <c r="AN95">
        <f>IF(ISBLANK('Data Entry'!h95), "", 'Data Entry'!h95)</f>
      </c>
    </row>
    <row r="96" spans="1:40" x14ac:dyDescent="0.25">
      <c r="A96">
        <f>IF(ISBLANK('Data Entry'!A96), "", 'Data Entry'!A96)</f>
      </c>
      <c r="B96">
        <f>IF(ISBLANK('Data Entry'!B96), "", 'Data Entry'!B96)</f>
      </c>
      <c r="C96">
        <f>IF(ISBLANK('Data Entry'!C96), "", 'Data Entry'!C96)</f>
      </c>
      <c r="D96">
        <f>IF(ISBLANK('Data Entry'!D96), "", 'Data Entry'!D96)</f>
      </c>
      <c r="E96">
        <f>IF(ISBLANK('Data Entry'!E96), "", 'Data Entry'!E96)</f>
      </c>
      <c r="F96">
        <f>IF(ISBLANK('Data Entry'!F96), "", 'Data Entry'!F96)</f>
      </c>
      <c r="G96">
        <f>IF(ISBLANK('Data Entry'!G96), "", 'Data Entry'!G96)</f>
      </c>
      <c r="H96">
        <f>IF(ISBLANK('Data Entry'!H96), "", 'Data Entry'!H96)</f>
      </c>
      <c r="I96">
        <f>IF(ISBLANK('Data Entry'!I96), "", 'Data Entry'!I96)</f>
      </c>
      <c r="J96">
        <f>IF(ISBLANK('Data Entry'!J96), "", 'Data Entry'!J96)</f>
      </c>
      <c r="K96">
        <f>IF(ISBLANK('Data Entry'!K96), "", 'Data Entry'!K96)</f>
      </c>
      <c r="L96">
        <f>IF(ISBLANK('Data Entry'!L96), "", 'Data Entry'!L96)</f>
      </c>
      <c r="M96">
        <f>IF(ISBLANK('Data Entry'!M96), "", 'Data Entry'!M96)</f>
      </c>
      <c r="N96">
        <f>IF(ISBLANK('Data Entry'!N96), "", 'Data Entry'!N96)</f>
      </c>
      <c r="O96">
        <f>IF(ISBLANK('Data Entry'!O96), "", 'Data Entry'!O96)</f>
      </c>
      <c r="P96">
        <f>IF(ISBLANK('Data Entry'!P96), "", 'Data Entry'!P96)</f>
      </c>
      <c r="Q96">
        <f>IF(ISBLANK('Data Entry'!Q96), "", 'Data Entry'!Q96)</f>
      </c>
      <c r="R96">
        <f>IF(ISBLANK('Data Entry'!R96), "", 'Data Entry'!R96)</f>
      </c>
      <c r="S96">
        <f>IF(ISBLANK('Data Entry'!S96), "", 'Data Entry'!S96)</f>
      </c>
      <c r="T96">
        <f>IF(ISBLANK('Data Entry'!T96), "", 'Data Entry'!T96)</f>
      </c>
      <c r="U96">
        <f>IF(ISBLANK('Data Entry'!U96), "", 'Data Entry'!U96)</f>
      </c>
      <c r="V96">
        <f>IF(ISBLANK('Data Entry'!V96), "", 'Data Entry'!V96)</f>
      </c>
      <c r="W96">
        <f>IF(ISBLANK('Data Entry'!W96), "", 'Data Entry'!W96)</f>
      </c>
      <c r="X96">
        <f>IF(ISBLANK('Data Entry'!X96), "", 'Data Entry'!X96)</f>
      </c>
      <c r="Y96">
        <f>IF(ISBLANK('Data Entry'!Y96), "", 'Data Entry'!Y96)</f>
      </c>
      <c r="Z96">
        <f>IF(ISBLANK('Data Entry'!Z96), "", 'Data Entry'!Z96)</f>
      </c>
      <c r="AA96">
        <f>IF(ISBLANK('Data Entry'![96), "", 'Data Entry'![96)</f>
      </c>
      <c r="AB96">
        <f>IF(ISBLANK('Data Entry'!\96), "", 'Data Entry'!\96)</f>
      </c>
      <c r="AC96">
        <f>IF(ISBLANK('Data Entry'!]96), "", 'Data Entry'!]96)</f>
      </c>
      <c r="AD96">
        <f>IF(ISBLANK('Data Entry'!^96), "", 'Data Entry'!^96)</f>
      </c>
      <c r="AE96">
        <f>IF(ISBLANK('Data Entry'!_96), "", 'Data Entry'!_96)</f>
      </c>
      <c r="AF96">
        <f>IF(ISBLANK('Data Entry'!`96), "", 'Data Entry'!`96)</f>
      </c>
      <c r="AG96">
        <f>IF(ISBLANK('Data Entry'!a96), "", 'Data Entry'!a96)</f>
      </c>
      <c r="AH96">
        <f>IF(ISBLANK('Data Entry'!b96), "", 'Data Entry'!b96)</f>
      </c>
      <c r="AI96">
        <f>IF(ISBLANK('Data Entry'!c96), "", 'Data Entry'!c96)</f>
      </c>
      <c r="AJ96">
        <f>IF(ISBLANK('Data Entry'!d96), "", 'Data Entry'!d96)</f>
      </c>
      <c r="AK96">
        <f>IF(ISBLANK('Data Entry'!e96), "", 'Data Entry'!e96)</f>
      </c>
      <c r="AL96">
        <f>IF(ISBLANK('Data Entry'!f96), "", 'Data Entry'!f96)</f>
      </c>
      <c r="AM96">
        <f>IF(ISBLANK('Data Entry'!g96), "", 'Data Entry'!g96)</f>
      </c>
      <c r="AN96">
        <f>IF(ISBLANK('Data Entry'!h96), "", 'Data Entry'!h96)</f>
      </c>
    </row>
    <row r="97" spans="1:40" x14ac:dyDescent="0.25">
      <c r="A97">
        <f>IF(ISBLANK('Data Entry'!A97), "", 'Data Entry'!A97)</f>
      </c>
      <c r="B97">
        <f>IF(ISBLANK('Data Entry'!B97), "", 'Data Entry'!B97)</f>
      </c>
      <c r="C97">
        <f>IF(ISBLANK('Data Entry'!C97), "", 'Data Entry'!C97)</f>
      </c>
      <c r="D97">
        <f>IF(ISBLANK('Data Entry'!D97), "", 'Data Entry'!D97)</f>
      </c>
      <c r="E97">
        <f>IF(ISBLANK('Data Entry'!E97), "", 'Data Entry'!E97)</f>
      </c>
      <c r="F97">
        <f>IF(ISBLANK('Data Entry'!F97), "", 'Data Entry'!F97)</f>
      </c>
      <c r="G97">
        <f>IF(ISBLANK('Data Entry'!G97), "", 'Data Entry'!G97)</f>
      </c>
      <c r="H97">
        <f>IF(ISBLANK('Data Entry'!H97), "", 'Data Entry'!H97)</f>
      </c>
      <c r="I97">
        <f>IF(ISBLANK('Data Entry'!I97), "", 'Data Entry'!I97)</f>
      </c>
      <c r="J97">
        <f>IF(ISBLANK('Data Entry'!J97), "", 'Data Entry'!J97)</f>
      </c>
      <c r="K97">
        <f>IF(ISBLANK('Data Entry'!K97), "", 'Data Entry'!K97)</f>
      </c>
      <c r="L97">
        <f>IF(ISBLANK('Data Entry'!L97), "", 'Data Entry'!L97)</f>
      </c>
      <c r="M97">
        <f>IF(ISBLANK('Data Entry'!M97), "", 'Data Entry'!M97)</f>
      </c>
      <c r="N97">
        <f>IF(ISBLANK('Data Entry'!N97), "", 'Data Entry'!N97)</f>
      </c>
      <c r="O97">
        <f>IF(ISBLANK('Data Entry'!O97), "", 'Data Entry'!O97)</f>
      </c>
      <c r="P97">
        <f>IF(ISBLANK('Data Entry'!P97), "", 'Data Entry'!P97)</f>
      </c>
      <c r="Q97">
        <f>IF(ISBLANK('Data Entry'!Q97), "", 'Data Entry'!Q97)</f>
      </c>
      <c r="R97">
        <f>IF(ISBLANK('Data Entry'!R97), "", 'Data Entry'!R97)</f>
      </c>
      <c r="S97">
        <f>IF(ISBLANK('Data Entry'!S97), "", 'Data Entry'!S97)</f>
      </c>
      <c r="T97">
        <f>IF(ISBLANK('Data Entry'!T97), "", 'Data Entry'!T97)</f>
      </c>
      <c r="U97">
        <f>IF(ISBLANK('Data Entry'!U97), "", 'Data Entry'!U97)</f>
      </c>
      <c r="V97">
        <f>IF(ISBLANK('Data Entry'!V97), "", 'Data Entry'!V97)</f>
      </c>
      <c r="W97">
        <f>IF(ISBLANK('Data Entry'!W97), "", 'Data Entry'!W97)</f>
      </c>
      <c r="X97">
        <f>IF(ISBLANK('Data Entry'!X97), "", 'Data Entry'!X97)</f>
      </c>
      <c r="Y97">
        <f>IF(ISBLANK('Data Entry'!Y97), "", 'Data Entry'!Y97)</f>
      </c>
      <c r="Z97">
        <f>IF(ISBLANK('Data Entry'!Z97), "", 'Data Entry'!Z97)</f>
      </c>
      <c r="AA97">
        <f>IF(ISBLANK('Data Entry'![97), "", 'Data Entry'![97)</f>
      </c>
      <c r="AB97">
        <f>IF(ISBLANK('Data Entry'!\97), "", 'Data Entry'!\97)</f>
      </c>
      <c r="AC97">
        <f>IF(ISBLANK('Data Entry'!]97), "", 'Data Entry'!]97)</f>
      </c>
      <c r="AD97">
        <f>IF(ISBLANK('Data Entry'!^97), "", 'Data Entry'!^97)</f>
      </c>
      <c r="AE97">
        <f>IF(ISBLANK('Data Entry'!_97), "", 'Data Entry'!_97)</f>
      </c>
      <c r="AF97">
        <f>IF(ISBLANK('Data Entry'!`97), "", 'Data Entry'!`97)</f>
      </c>
      <c r="AG97">
        <f>IF(ISBLANK('Data Entry'!a97), "", 'Data Entry'!a97)</f>
      </c>
      <c r="AH97">
        <f>IF(ISBLANK('Data Entry'!b97), "", 'Data Entry'!b97)</f>
      </c>
      <c r="AI97">
        <f>IF(ISBLANK('Data Entry'!c97), "", 'Data Entry'!c97)</f>
      </c>
      <c r="AJ97">
        <f>IF(ISBLANK('Data Entry'!d97), "", 'Data Entry'!d97)</f>
      </c>
      <c r="AK97">
        <f>IF(ISBLANK('Data Entry'!e97), "", 'Data Entry'!e97)</f>
      </c>
      <c r="AL97">
        <f>IF(ISBLANK('Data Entry'!f97), "", 'Data Entry'!f97)</f>
      </c>
      <c r="AM97">
        <f>IF(ISBLANK('Data Entry'!g97), "", 'Data Entry'!g97)</f>
      </c>
      <c r="AN97">
        <f>IF(ISBLANK('Data Entry'!h97), "", 'Data Entry'!h97)</f>
      </c>
    </row>
    <row r="98" spans="1:40" x14ac:dyDescent="0.25">
      <c r="A98">
        <f>IF(ISBLANK('Data Entry'!A98), "", 'Data Entry'!A98)</f>
      </c>
      <c r="B98">
        <f>IF(ISBLANK('Data Entry'!B98), "", 'Data Entry'!B98)</f>
      </c>
      <c r="C98">
        <f>IF(ISBLANK('Data Entry'!C98), "", 'Data Entry'!C98)</f>
      </c>
      <c r="D98">
        <f>IF(ISBLANK('Data Entry'!D98), "", 'Data Entry'!D98)</f>
      </c>
      <c r="E98">
        <f>IF(ISBLANK('Data Entry'!E98), "", 'Data Entry'!E98)</f>
      </c>
      <c r="F98">
        <f>IF(ISBLANK('Data Entry'!F98), "", 'Data Entry'!F98)</f>
      </c>
      <c r="G98">
        <f>IF(ISBLANK('Data Entry'!G98), "", 'Data Entry'!G98)</f>
      </c>
      <c r="H98">
        <f>IF(ISBLANK('Data Entry'!H98), "", 'Data Entry'!H98)</f>
      </c>
      <c r="I98">
        <f>IF(ISBLANK('Data Entry'!I98), "", 'Data Entry'!I98)</f>
      </c>
      <c r="J98">
        <f>IF(ISBLANK('Data Entry'!J98), "", 'Data Entry'!J98)</f>
      </c>
      <c r="K98">
        <f>IF(ISBLANK('Data Entry'!K98), "", 'Data Entry'!K98)</f>
      </c>
      <c r="L98">
        <f>IF(ISBLANK('Data Entry'!L98), "", 'Data Entry'!L98)</f>
      </c>
      <c r="M98">
        <f>IF(ISBLANK('Data Entry'!M98), "", 'Data Entry'!M98)</f>
      </c>
      <c r="N98">
        <f>IF(ISBLANK('Data Entry'!N98), "", 'Data Entry'!N98)</f>
      </c>
      <c r="O98">
        <f>IF(ISBLANK('Data Entry'!O98), "", 'Data Entry'!O98)</f>
      </c>
      <c r="P98">
        <f>IF(ISBLANK('Data Entry'!P98), "", 'Data Entry'!P98)</f>
      </c>
      <c r="Q98">
        <f>IF(ISBLANK('Data Entry'!Q98), "", 'Data Entry'!Q98)</f>
      </c>
      <c r="R98">
        <f>IF(ISBLANK('Data Entry'!R98), "", 'Data Entry'!R98)</f>
      </c>
      <c r="S98">
        <f>IF(ISBLANK('Data Entry'!S98), "", 'Data Entry'!S98)</f>
      </c>
      <c r="T98">
        <f>IF(ISBLANK('Data Entry'!T98), "", 'Data Entry'!T98)</f>
      </c>
      <c r="U98">
        <f>IF(ISBLANK('Data Entry'!U98), "", 'Data Entry'!U98)</f>
      </c>
      <c r="V98">
        <f>IF(ISBLANK('Data Entry'!V98), "", 'Data Entry'!V98)</f>
      </c>
      <c r="W98">
        <f>IF(ISBLANK('Data Entry'!W98), "", 'Data Entry'!W98)</f>
      </c>
      <c r="X98">
        <f>IF(ISBLANK('Data Entry'!X98), "", 'Data Entry'!X98)</f>
      </c>
      <c r="Y98">
        <f>IF(ISBLANK('Data Entry'!Y98), "", 'Data Entry'!Y98)</f>
      </c>
      <c r="Z98">
        <f>IF(ISBLANK('Data Entry'!Z98), "", 'Data Entry'!Z98)</f>
      </c>
      <c r="AA98">
        <f>IF(ISBLANK('Data Entry'![98), "", 'Data Entry'![98)</f>
      </c>
      <c r="AB98">
        <f>IF(ISBLANK('Data Entry'!\98), "", 'Data Entry'!\98)</f>
      </c>
      <c r="AC98">
        <f>IF(ISBLANK('Data Entry'!]98), "", 'Data Entry'!]98)</f>
      </c>
      <c r="AD98">
        <f>IF(ISBLANK('Data Entry'!^98), "", 'Data Entry'!^98)</f>
      </c>
      <c r="AE98">
        <f>IF(ISBLANK('Data Entry'!_98), "", 'Data Entry'!_98)</f>
      </c>
      <c r="AF98">
        <f>IF(ISBLANK('Data Entry'!`98), "", 'Data Entry'!`98)</f>
      </c>
      <c r="AG98">
        <f>IF(ISBLANK('Data Entry'!a98), "", 'Data Entry'!a98)</f>
      </c>
      <c r="AH98">
        <f>IF(ISBLANK('Data Entry'!b98), "", 'Data Entry'!b98)</f>
      </c>
      <c r="AI98">
        <f>IF(ISBLANK('Data Entry'!c98), "", 'Data Entry'!c98)</f>
      </c>
      <c r="AJ98">
        <f>IF(ISBLANK('Data Entry'!d98), "", 'Data Entry'!d98)</f>
      </c>
      <c r="AK98">
        <f>IF(ISBLANK('Data Entry'!e98), "", 'Data Entry'!e98)</f>
      </c>
      <c r="AL98">
        <f>IF(ISBLANK('Data Entry'!f98), "", 'Data Entry'!f98)</f>
      </c>
      <c r="AM98">
        <f>IF(ISBLANK('Data Entry'!g98), "", 'Data Entry'!g98)</f>
      </c>
      <c r="AN98">
        <f>IF(ISBLANK('Data Entry'!h98), "", 'Data Entry'!h98)</f>
      </c>
    </row>
    <row r="99" spans="1:40" x14ac:dyDescent="0.25">
      <c r="A99">
        <f>IF(ISBLANK('Data Entry'!A99), "", 'Data Entry'!A99)</f>
      </c>
      <c r="B99">
        <f>IF(ISBLANK('Data Entry'!B99), "", 'Data Entry'!B99)</f>
      </c>
      <c r="C99">
        <f>IF(ISBLANK('Data Entry'!C99), "", 'Data Entry'!C99)</f>
      </c>
      <c r="D99">
        <f>IF(ISBLANK('Data Entry'!D99), "", 'Data Entry'!D99)</f>
      </c>
      <c r="E99">
        <f>IF(ISBLANK('Data Entry'!E99), "", 'Data Entry'!E99)</f>
      </c>
      <c r="F99">
        <f>IF(ISBLANK('Data Entry'!F99), "", 'Data Entry'!F99)</f>
      </c>
      <c r="G99">
        <f>IF(ISBLANK('Data Entry'!G99), "", 'Data Entry'!G99)</f>
      </c>
      <c r="H99">
        <f>IF(ISBLANK('Data Entry'!H99), "", 'Data Entry'!H99)</f>
      </c>
      <c r="I99">
        <f>IF(ISBLANK('Data Entry'!I99), "", 'Data Entry'!I99)</f>
      </c>
      <c r="J99">
        <f>IF(ISBLANK('Data Entry'!J99), "", 'Data Entry'!J99)</f>
      </c>
      <c r="K99">
        <f>IF(ISBLANK('Data Entry'!K99), "", 'Data Entry'!K99)</f>
      </c>
      <c r="L99">
        <f>IF(ISBLANK('Data Entry'!L99), "", 'Data Entry'!L99)</f>
      </c>
      <c r="M99">
        <f>IF(ISBLANK('Data Entry'!M99), "", 'Data Entry'!M99)</f>
      </c>
      <c r="N99">
        <f>IF(ISBLANK('Data Entry'!N99), "", 'Data Entry'!N99)</f>
      </c>
      <c r="O99">
        <f>IF(ISBLANK('Data Entry'!O99), "", 'Data Entry'!O99)</f>
      </c>
      <c r="P99">
        <f>IF(ISBLANK('Data Entry'!P99), "", 'Data Entry'!P99)</f>
      </c>
      <c r="Q99">
        <f>IF(ISBLANK('Data Entry'!Q99), "", 'Data Entry'!Q99)</f>
      </c>
      <c r="R99">
        <f>IF(ISBLANK('Data Entry'!R99), "", 'Data Entry'!R99)</f>
      </c>
      <c r="S99">
        <f>IF(ISBLANK('Data Entry'!S99), "", 'Data Entry'!S99)</f>
      </c>
      <c r="T99">
        <f>IF(ISBLANK('Data Entry'!T99), "", 'Data Entry'!T99)</f>
      </c>
      <c r="U99">
        <f>IF(ISBLANK('Data Entry'!U99), "", 'Data Entry'!U99)</f>
      </c>
      <c r="V99">
        <f>IF(ISBLANK('Data Entry'!V99), "", 'Data Entry'!V99)</f>
      </c>
      <c r="W99">
        <f>IF(ISBLANK('Data Entry'!W99), "", 'Data Entry'!W99)</f>
      </c>
      <c r="X99">
        <f>IF(ISBLANK('Data Entry'!X99), "", 'Data Entry'!X99)</f>
      </c>
      <c r="Y99">
        <f>IF(ISBLANK('Data Entry'!Y99), "", 'Data Entry'!Y99)</f>
      </c>
      <c r="Z99">
        <f>IF(ISBLANK('Data Entry'!Z99), "", 'Data Entry'!Z99)</f>
      </c>
      <c r="AA99">
        <f>IF(ISBLANK('Data Entry'![99), "", 'Data Entry'![99)</f>
      </c>
      <c r="AB99">
        <f>IF(ISBLANK('Data Entry'!\99), "", 'Data Entry'!\99)</f>
      </c>
      <c r="AC99">
        <f>IF(ISBLANK('Data Entry'!]99), "", 'Data Entry'!]99)</f>
      </c>
      <c r="AD99">
        <f>IF(ISBLANK('Data Entry'!^99), "", 'Data Entry'!^99)</f>
      </c>
      <c r="AE99">
        <f>IF(ISBLANK('Data Entry'!_99), "", 'Data Entry'!_99)</f>
      </c>
      <c r="AF99">
        <f>IF(ISBLANK('Data Entry'!`99), "", 'Data Entry'!`99)</f>
      </c>
      <c r="AG99">
        <f>IF(ISBLANK('Data Entry'!a99), "", 'Data Entry'!a99)</f>
      </c>
      <c r="AH99">
        <f>IF(ISBLANK('Data Entry'!b99), "", 'Data Entry'!b99)</f>
      </c>
      <c r="AI99">
        <f>IF(ISBLANK('Data Entry'!c99), "", 'Data Entry'!c99)</f>
      </c>
      <c r="AJ99">
        <f>IF(ISBLANK('Data Entry'!d99), "", 'Data Entry'!d99)</f>
      </c>
      <c r="AK99">
        <f>IF(ISBLANK('Data Entry'!e99), "", 'Data Entry'!e99)</f>
      </c>
      <c r="AL99">
        <f>IF(ISBLANK('Data Entry'!f99), "", 'Data Entry'!f99)</f>
      </c>
      <c r="AM99">
        <f>IF(ISBLANK('Data Entry'!g99), "", 'Data Entry'!g99)</f>
      </c>
      <c r="AN99">
        <f>IF(ISBLANK('Data Entry'!h99), "", 'Data Entry'!h99)</f>
      </c>
    </row>
    <row r="100" spans="1:40" x14ac:dyDescent="0.25">
      <c r="A100">
        <f>IF(ISBLANK('Data Entry'!A100), "", 'Data Entry'!A100)</f>
      </c>
      <c r="B100">
        <f>IF(ISBLANK('Data Entry'!B100), "", 'Data Entry'!B100)</f>
      </c>
      <c r="C100">
        <f>IF(ISBLANK('Data Entry'!C100), "", 'Data Entry'!C100)</f>
      </c>
      <c r="D100">
        <f>IF(ISBLANK('Data Entry'!D100), "", 'Data Entry'!D100)</f>
      </c>
      <c r="E100">
        <f>IF(ISBLANK('Data Entry'!E100), "", 'Data Entry'!E100)</f>
      </c>
      <c r="F100">
        <f>IF(ISBLANK('Data Entry'!F100), "", 'Data Entry'!F100)</f>
      </c>
      <c r="G100">
        <f>IF(ISBLANK('Data Entry'!G100), "", 'Data Entry'!G100)</f>
      </c>
      <c r="H100">
        <f>IF(ISBLANK('Data Entry'!H100), "", 'Data Entry'!H100)</f>
      </c>
      <c r="I100">
        <f>IF(ISBLANK('Data Entry'!I100), "", 'Data Entry'!I100)</f>
      </c>
      <c r="J100">
        <f>IF(ISBLANK('Data Entry'!J100), "", 'Data Entry'!J100)</f>
      </c>
      <c r="K100">
        <f>IF(ISBLANK('Data Entry'!K100), "", 'Data Entry'!K100)</f>
      </c>
      <c r="L100">
        <f>IF(ISBLANK('Data Entry'!L100), "", 'Data Entry'!L100)</f>
      </c>
      <c r="M100">
        <f>IF(ISBLANK('Data Entry'!M100), "", 'Data Entry'!M100)</f>
      </c>
      <c r="N100">
        <f>IF(ISBLANK('Data Entry'!N100), "", 'Data Entry'!N100)</f>
      </c>
      <c r="O100">
        <f>IF(ISBLANK('Data Entry'!O100), "", 'Data Entry'!O100)</f>
      </c>
      <c r="P100">
        <f>IF(ISBLANK('Data Entry'!P100), "", 'Data Entry'!P100)</f>
      </c>
      <c r="Q100">
        <f>IF(ISBLANK('Data Entry'!Q100), "", 'Data Entry'!Q100)</f>
      </c>
      <c r="R100">
        <f>IF(ISBLANK('Data Entry'!R100), "", 'Data Entry'!R100)</f>
      </c>
      <c r="S100">
        <f>IF(ISBLANK('Data Entry'!S100), "", 'Data Entry'!S100)</f>
      </c>
      <c r="T100">
        <f>IF(ISBLANK('Data Entry'!T100), "", 'Data Entry'!T100)</f>
      </c>
      <c r="U100">
        <f>IF(ISBLANK('Data Entry'!U100), "", 'Data Entry'!U100)</f>
      </c>
      <c r="V100">
        <f>IF(ISBLANK('Data Entry'!V100), "", 'Data Entry'!V100)</f>
      </c>
      <c r="W100">
        <f>IF(ISBLANK('Data Entry'!W100), "", 'Data Entry'!W100)</f>
      </c>
      <c r="X100">
        <f>IF(ISBLANK('Data Entry'!X100), "", 'Data Entry'!X100)</f>
      </c>
      <c r="Y100">
        <f>IF(ISBLANK('Data Entry'!Y100), "", 'Data Entry'!Y100)</f>
      </c>
      <c r="Z100">
        <f>IF(ISBLANK('Data Entry'!Z100), "", 'Data Entry'!Z100)</f>
      </c>
      <c r="AA100">
        <f>IF(ISBLANK('Data Entry'![100), "", 'Data Entry'![100)</f>
      </c>
      <c r="AB100">
        <f>IF(ISBLANK('Data Entry'!\100), "", 'Data Entry'!\100)</f>
      </c>
      <c r="AC100">
        <f>IF(ISBLANK('Data Entry'!]100), "", 'Data Entry'!]100)</f>
      </c>
      <c r="AD100">
        <f>IF(ISBLANK('Data Entry'!^100), "", 'Data Entry'!^100)</f>
      </c>
      <c r="AE100">
        <f>IF(ISBLANK('Data Entry'!_100), "", 'Data Entry'!_100)</f>
      </c>
      <c r="AF100">
        <f>IF(ISBLANK('Data Entry'!`100), "", 'Data Entry'!`100)</f>
      </c>
      <c r="AG100">
        <f>IF(ISBLANK('Data Entry'!a100), "", 'Data Entry'!a100)</f>
      </c>
      <c r="AH100">
        <f>IF(ISBLANK('Data Entry'!b100), "", 'Data Entry'!b100)</f>
      </c>
      <c r="AI100">
        <f>IF(ISBLANK('Data Entry'!c100), "", 'Data Entry'!c100)</f>
      </c>
      <c r="AJ100">
        <f>IF(ISBLANK('Data Entry'!d100), "", 'Data Entry'!d100)</f>
      </c>
      <c r="AK100">
        <f>IF(ISBLANK('Data Entry'!e100), "", 'Data Entry'!e100)</f>
      </c>
      <c r="AL100">
        <f>IF(ISBLANK('Data Entry'!f100), "", 'Data Entry'!f100)</f>
      </c>
      <c r="AM100">
        <f>IF(ISBLANK('Data Entry'!g100), "", 'Data Entry'!g100)</f>
      </c>
      <c r="AN100">
        <f>IF(ISBLANK('Data Entry'!h100), "", 'Data Entry'!h100)</f>
      </c>
    </row>
    <row r="101" spans="1:40" x14ac:dyDescent="0.25">
      <c r="A101">
        <f>IF(ISBLANK('Data Entry'!A101), "", 'Data Entry'!A101)</f>
      </c>
      <c r="B101">
        <f>IF(ISBLANK('Data Entry'!B101), "", 'Data Entry'!B101)</f>
      </c>
      <c r="C101">
        <f>IF(ISBLANK('Data Entry'!C101), "", 'Data Entry'!C101)</f>
      </c>
      <c r="D101">
        <f>IF(ISBLANK('Data Entry'!D101), "", 'Data Entry'!D101)</f>
      </c>
      <c r="E101">
        <f>IF(ISBLANK('Data Entry'!E101), "", 'Data Entry'!E101)</f>
      </c>
      <c r="F101">
        <f>IF(ISBLANK('Data Entry'!F101), "", 'Data Entry'!F101)</f>
      </c>
      <c r="G101">
        <f>IF(ISBLANK('Data Entry'!G101), "", 'Data Entry'!G101)</f>
      </c>
      <c r="H101">
        <f>IF(ISBLANK('Data Entry'!H101), "", 'Data Entry'!H101)</f>
      </c>
      <c r="I101">
        <f>IF(ISBLANK('Data Entry'!I101), "", 'Data Entry'!I101)</f>
      </c>
      <c r="J101">
        <f>IF(ISBLANK('Data Entry'!J101), "", 'Data Entry'!J101)</f>
      </c>
      <c r="K101">
        <f>IF(ISBLANK('Data Entry'!K101), "", 'Data Entry'!K101)</f>
      </c>
      <c r="L101">
        <f>IF(ISBLANK('Data Entry'!L101), "", 'Data Entry'!L101)</f>
      </c>
      <c r="M101">
        <f>IF(ISBLANK('Data Entry'!M101), "", 'Data Entry'!M101)</f>
      </c>
      <c r="N101">
        <f>IF(ISBLANK('Data Entry'!N101), "", 'Data Entry'!N101)</f>
      </c>
      <c r="O101">
        <f>IF(ISBLANK('Data Entry'!O101), "", 'Data Entry'!O101)</f>
      </c>
      <c r="P101">
        <f>IF(ISBLANK('Data Entry'!P101), "", 'Data Entry'!P101)</f>
      </c>
      <c r="Q101">
        <f>IF(ISBLANK('Data Entry'!Q101), "", 'Data Entry'!Q101)</f>
      </c>
      <c r="R101">
        <f>IF(ISBLANK('Data Entry'!R101), "", 'Data Entry'!R101)</f>
      </c>
      <c r="S101">
        <f>IF(ISBLANK('Data Entry'!S101), "", 'Data Entry'!S101)</f>
      </c>
      <c r="T101">
        <f>IF(ISBLANK('Data Entry'!T101), "", 'Data Entry'!T101)</f>
      </c>
      <c r="U101">
        <f>IF(ISBLANK('Data Entry'!U101), "", 'Data Entry'!U101)</f>
      </c>
      <c r="V101">
        <f>IF(ISBLANK('Data Entry'!V101), "", 'Data Entry'!V101)</f>
      </c>
      <c r="W101">
        <f>IF(ISBLANK('Data Entry'!W101), "", 'Data Entry'!W101)</f>
      </c>
      <c r="X101">
        <f>IF(ISBLANK('Data Entry'!X101), "", 'Data Entry'!X101)</f>
      </c>
      <c r="Y101">
        <f>IF(ISBLANK('Data Entry'!Y101), "", 'Data Entry'!Y101)</f>
      </c>
      <c r="Z101">
        <f>IF(ISBLANK('Data Entry'!Z101), "", 'Data Entry'!Z101)</f>
      </c>
      <c r="AA101">
        <f>IF(ISBLANK('Data Entry'![101), "", 'Data Entry'![101)</f>
      </c>
      <c r="AB101">
        <f>IF(ISBLANK('Data Entry'!\101), "", 'Data Entry'!\101)</f>
      </c>
      <c r="AC101">
        <f>IF(ISBLANK('Data Entry'!]101), "", 'Data Entry'!]101)</f>
      </c>
      <c r="AD101">
        <f>IF(ISBLANK('Data Entry'!^101), "", 'Data Entry'!^101)</f>
      </c>
      <c r="AE101">
        <f>IF(ISBLANK('Data Entry'!_101), "", 'Data Entry'!_101)</f>
      </c>
      <c r="AF101">
        <f>IF(ISBLANK('Data Entry'!`101), "", 'Data Entry'!`101)</f>
      </c>
      <c r="AG101">
        <f>IF(ISBLANK('Data Entry'!a101), "", 'Data Entry'!a101)</f>
      </c>
      <c r="AH101">
        <f>IF(ISBLANK('Data Entry'!b101), "", 'Data Entry'!b101)</f>
      </c>
      <c r="AI101">
        <f>IF(ISBLANK('Data Entry'!c101), "", 'Data Entry'!c101)</f>
      </c>
      <c r="AJ101">
        <f>IF(ISBLANK('Data Entry'!d101), "", 'Data Entry'!d101)</f>
      </c>
      <c r="AK101">
        <f>IF(ISBLANK('Data Entry'!e101), "", 'Data Entry'!e101)</f>
      </c>
      <c r="AL101">
        <f>IF(ISBLANK('Data Entry'!f101), "", 'Data Entry'!f101)</f>
      </c>
      <c r="AM101">
        <f>IF(ISBLANK('Data Entry'!g101), "", 'Data Entry'!g101)</f>
      </c>
      <c r="AN101">
        <f>IF(ISBLANK('Data Entry'!h101), "", 'Data Entry'!h101)</f>
      </c>
    </row>
    <row r="102" spans="1:40" x14ac:dyDescent="0.25">
      <c r="A102">
        <f>IF(ISBLANK('Data Entry'!A102), "", 'Data Entry'!A102)</f>
      </c>
      <c r="B102">
        <f>IF(ISBLANK('Data Entry'!B102), "", 'Data Entry'!B102)</f>
      </c>
      <c r="C102">
        <f>IF(ISBLANK('Data Entry'!C102), "", 'Data Entry'!C102)</f>
      </c>
      <c r="D102">
        <f>IF(ISBLANK('Data Entry'!D102), "", 'Data Entry'!D102)</f>
      </c>
      <c r="E102">
        <f>IF(ISBLANK('Data Entry'!E102), "", 'Data Entry'!E102)</f>
      </c>
      <c r="F102">
        <f>IF(ISBLANK('Data Entry'!F102), "", 'Data Entry'!F102)</f>
      </c>
      <c r="G102">
        <f>IF(ISBLANK('Data Entry'!G102), "", 'Data Entry'!G102)</f>
      </c>
      <c r="H102">
        <f>IF(ISBLANK('Data Entry'!H102), "", 'Data Entry'!H102)</f>
      </c>
      <c r="I102">
        <f>IF(ISBLANK('Data Entry'!I102), "", 'Data Entry'!I102)</f>
      </c>
      <c r="J102">
        <f>IF(ISBLANK('Data Entry'!J102), "", 'Data Entry'!J102)</f>
      </c>
      <c r="K102">
        <f>IF(ISBLANK('Data Entry'!K102), "", 'Data Entry'!K102)</f>
      </c>
      <c r="L102">
        <f>IF(ISBLANK('Data Entry'!L102), "", 'Data Entry'!L102)</f>
      </c>
      <c r="M102">
        <f>IF(ISBLANK('Data Entry'!M102), "", 'Data Entry'!M102)</f>
      </c>
      <c r="N102">
        <f>IF(ISBLANK('Data Entry'!N102), "", 'Data Entry'!N102)</f>
      </c>
      <c r="O102">
        <f>IF(ISBLANK('Data Entry'!O102), "", 'Data Entry'!O102)</f>
      </c>
      <c r="P102">
        <f>IF(ISBLANK('Data Entry'!P102), "", 'Data Entry'!P102)</f>
      </c>
      <c r="Q102">
        <f>IF(ISBLANK('Data Entry'!Q102), "", 'Data Entry'!Q102)</f>
      </c>
      <c r="R102">
        <f>IF(ISBLANK('Data Entry'!R102), "", 'Data Entry'!R102)</f>
      </c>
      <c r="S102">
        <f>IF(ISBLANK('Data Entry'!S102), "", 'Data Entry'!S102)</f>
      </c>
      <c r="T102">
        <f>IF(ISBLANK('Data Entry'!T102), "", 'Data Entry'!T102)</f>
      </c>
      <c r="U102">
        <f>IF(ISBLANK('Data Entry'!U102), "", 'Data Entry'!U102)</f>
      </c>
      <c r="V102">
        <f>IF(ISBLANK('Data Entry'!V102), "", 'Data Entry'!V102)</f>
      </c>
      <c r="W102">
        <f>IF(ISBLANK('Data Entry'!W102), "", 'Data Entry'!W102)</f>
      </c>
      <c r="X102">
        <f>IF(ISBLANK('Data Entry'!X102), "", 'Data Entry'!X102)</f>
      </c>
      <c r="Y102">
        <f>IF(ISBLANK('Data Entry'!Y102), "", 'Data Entry'!Y102)</f>
      </c>
      <c r="Z102">
        <f>IF(ISBLANK('Data Entry'!Z102), "", 'Data Entry'!Z102)</f>
      </c>
      <c r="AA102">
        <f>IF(ISBLANK('Data Entry'![102), "", 'Data Entry'![102)</f>
      </c>
      <c r="AB102">
        <f>IF(ISBLANK('Data Entry'!\102), "", 'Data Entry'!\102)</f>
      </c>
      <c r="AC102">
        <f>IF(ISBLANK('Data Entry'!]102), "", 'Data Entry'!]102)</f>
      </c>
      <c r="AD102">
        <f>IF(ISBLANK('Data Entry'!^102), "", 'Data Entry'!^102)</f>
      </c>
      <c r="AE102">
        <f>IF(ISBLANK('Data Entry'!_102), "", 'Data Entry'!_102)</f>
      </c>
      <c r="AF102">
        <f>IF(ISBLANK('Data Entry'!`102), "", 'Data Entry'!`102)</f>
      </c>
      <c r="AG102">
        <f>IF(ISBLANK('Data Entry'!a102), "", 'Data Entry'!a102)</f>
      </c>
      <c r="AH102">
        <f>IF(ISBLANK('Data Entry'!b102), "", 'Data Entry'!b102)</f>
      </c>
      <c r="AI102">
        <f>IF(ISBLANK('Data Entry'!c102), "", 'Data Entry'!c102)</f>
      </c>
      <c r="AJ102">
        <f>IF(ISBLANK('Data Entry'!d102), "", 'Data Entry'!d102)</f>
      </c>
      <c r="AK102">
        <f>IF(ISBLANK('Data Entry'!e102), "", 'Data Entry'!e102)</f>
      </c>
      <c r="AL102">
        <f>IF(ISBLANK('Data Entry'!f102), "", 'Data Entry'!f102)</f>
      </c>
      <c r="AM102">
        <f>IF(ISBLANK('Data Entry'!g102), "", 'Data Entry'!g102)</f>
      </c>
      <c r="AN102">
        <f>IF(ISBLANK('Data Entry'!h102), "", 'Data Entry'!h102)</f>
      </c>
    </row>
    <row r="103" spans="1:40" x14ac:dyDescent="0.25">
      <c r="A103">
        <f>IF(ISBLANK('Data Entry'!A103), "", 'Data Entry'!A103)</f>
      </c>
      <c r="B103">
        <f>IF(ISBLANK('Data Entry'!B103), "", 'Data Entry'!B103)</f>
      </c>
      <c r="C103">
        <f>IF(ISBLANK('Data Entry'!C103), "", 'Data Entry'!C103)</f>
      </c>
      <c r="D103">
        <f>IF(ISBLANK('Data Entry'!D103), "", 'Data Entry'!D103)</f>
      </c>
      <c r="E103">
        <f>IF(ISBLANK('Data Entry'!E103), "", 'Data Entry'!E103)</f>
      </c>
      <c r="F103">
        <f>IF(ISBLANK('Data Entry'!F103), "", 'Data Entry'!F103)</f>
      </c>
      <c r="G103">
        <f>IF(ISBLANK('Data Entry'!G103), "", 'Data Entry'!G103)</f>
      </c>
      <c r="H103">
        <f>IF(ISBLANK('Data Entry'!H103), "", 'Data Entry'!H103)</f>
      </c>
      <c r="I103">
        <f>IF(ISBLANK('Data Entry'!I103), "", 'Data Entry'!I103)</f>
      </c>
      <c r="J103">
        <f>IF(ISBLANK('Data Entry'!J103), "", 'Data Entry'!J103)</f>
      </c>
      <c r="K103">
        <f>IF(ISBLANK('Data Entry'!K103), "", 'Data Entry'!K103)</f>
      </c>
      <c r="L103">
        <f>IF(ISBLANK('Data Entry'!L103), "", 'Data Entry'!L103)</f>
      </c>
      <c r="M103">
        <f>IF(ISBLANK('Data Entry'!M103), "", 'Data Entry'!M103)</f>
      </c>
      <c r="N103">
        <f>IF(ISBLANK('Data Entry'!N103), "", 'Data Entry'!N103)</f>
      </c>
      <c r="O103">
        <f>IF(ISBLANK('Data Entry'!O103), "", 'Data Entry'!O103)</f>
      </c>
      <c r="P103">
        <f>IF(ISBLANK('Data Entry'!P103), "", 'Data Entry'!P103)</f>
      </c>
      <c r="Q103">
        <f>IF(ISBLANK('Data Entry'!Q103), "", 'Data Entry'!Q103)</f>
      </c>
      <c r="R103">
        <f>IF(ISBLANK('Data Entry'!R103), "", 'Data Entry'!R103)</f>
      </c>
      <c r="S103">
        <f>IF(ISBLANK('Data Entry'!S103), "", 'Data Entry'!S103)</f>
      </c>
      <c r="T103">
        <f>IF(ISBLANK('Data Entry'!T103), "", 'Data Entry'!T103)</f>
      </c>
      <c r="U103">
        <f>IF(ISBLANK('Data Entry'!U103), "", 'Data Entry'!U103)</f>
      </c>
      <c r="V103">
        <f>IF(ISBLANK('Data Entry'!V103), "", 'Data Entry'!V103)</f>
      </c>
      <c r="W103">
        <f>IF(ISBLANK('Data Entry'!W103), "", 'Data Entry'!W103)</f>
      </c>
      <c r="X103">
        <f>IF(ISBLANK('Data Entry'!X103), "", 'Data Entry'!X103)</f>
      </c>
      <c r="Y103">
        <f>IF(ISBLANK('Data Entry'!Y103), "", 'Data Entry'!Y103)</f>
      </c>
      <c r="Z103">
        <f>IF(ISBLANK('Data Entry'!Z103), "", 'Data Entry'!Z103)</f>
      </c>
      <c r="AA103">
        <f>IF(ISBLANK('Data Entry'![103), "", 'Data Entry'![103)</f>
      </c>
      <c r="AB103">
        <f>IF(ISBLANK('Data Entry'!\103), "", 'Data Entry'!\103)</f>
      </c>
      <c r="AC103">
        <f>IF(ISBLANK('Data Entry'!]103), "", 'Data Entry'!]103)</f>
      </c>
      <c r="AD103">
        <f>IF(ISBLANK('Data Entry'!^103), "", 'Data Entry'!^103)</f>
      </c>
      <c r="AE103">
        <f>IF(ISBLANK('Data Entry'!_103), "", 'Data Entry'!_103)</f>
      </c>
      <c r="AF103">
        <f>IF(ISBLANK('Data Entry'!`103), "", 'Data Entry'!`103)</f>
      </c>
      <c r="AG103">
        <f>IF(ISBLANK('Data Entry'!a103), "", 'Data Entry'!a103)</f>
      </c>
      <c r="AH103">
        <f>IF(ISBLANK('Data Entry'!b103), "", 'Data Entry'!b103)</f>
      </c>
      <c r="AI103">
        <f>IF(ISBLANK('Data Entry'!c103), "", 'Data Entry'!c103)</f>
      </c>
      <c r="AJ103">
        <f>IF(ISBLANK('Data Entry'!d103), "", 'Data Entry'!d103)</f>
      </c>
      <c r="AK103">
        <f>IF(ISBLANK('Data Entry'!e103), "", 'Data Entry'!e103)</f>
      </c>
      <c r="AL103">
        <f>IF(ISBLANK('Data Entry'!f103), "", 'Data Entry'!f103)</f>
      </c>
      <c r="AM103">
        <f>IF(ISBLANK('Data Entry'!g103), "", 'Data Entry'!g103)</f>
      </c>
      <c r="AN103">
        <f>IF(ISBLANK('Data Entry'!h103), "", 'Data Entry'!h103)</f>
      </c>
    </row>
    <row r="104" spans="1:40" x14ac:dyDescent="0.25">
      <c r="A104">
        <f>IF(ISBLANK('Data Entry'!A104), "", 'Data Entry'!A104)</f>
      </c>
      <c r="B104">
        <f>IF(ISBLANK('Data Entry'!B104), "", 'Data Entry'!B104)</f>
      </c>
      <c r="C104">
        <f>IF(ISBLANK('Data Entry'!C104), "", 'Data Entry'!C104)</f>
      </c>
      <c r="D104">
        <f>IF(ISBLANK('Data Entry'!D104), "", 'Data Entry'!D104)</f>
      </c>
      <c r="E104">
        <f>IF(ISBLANK('Data Entry'!E104), "", 'Data Entry'!E104)</f>
      </c>
      <c r="F104">
        <f>IF(ISBLANK('Data Entry'!F104), "", 'Data Entry'!F104)</f>
      </c>
      <c r="G104">
        <f>IF(ISBLANK('Data Entry'!G104), "", 'Data Entry'!G104)</f>
      </c>
      <c r="H104">
        <f>IF(ISBLANK('Data Entry'!H104), "", 'Data Entry'!H104)</f>
      </c>
      <c r="I104">
        <f>IF(ISBLANK('Data Entry'!I104), "", 'Data Entry'!I104)</f>
      </c>
      <c r="J104">
        <f>IF(ISBLANK('Data Entry'!J104), "", 'Data Entry'!J104)</f>
      </c>
      <c r="K104">
        <f>IF(ISBLANK('Data Entry'!K104), "", 'Data Entry'!K104)</f>
      </c>
      <c r="L104">
        <f>IF(ISBLANK('Data Entry'!L104), "", 'Data Entry'!L104)</f>
      </c>
      <c r="M104">
        <f>IF(ISBLANK('Data Entry'!M104), "", 'Data Entry'!M104)</f>
      </c>
      <c r="N104">
        <f>IF(ISBLANK('Data Entry'!N104), "", 'Data Entry'!N104)</f>
      </c>
      <c r="O104">
        <f>IF(ISBLANK('Data Entry'!O104), "", 'Data Entry'!O104)</f>
      </c>
      <c r="P104">
        <f>IF(ISBLANK('Data Entry'!P104), "", 'Data Entry'!P104)</f>
      </c>
      <c r="Q104">
        <f>IF(ISBLANK('Data Entry'!Q104), "", 'Data Entry'!Q104)</f>
      </c>
      <c r="R104">
        <f>IF(ISBLANK('Data Entry'!R104), "", 'Data Entry'!R104)</f>
      </c>
      <c r="S104">
        <f>IF(ISBLANK('Data Entry'!S104), "", 'Data Entry'!S104)</f>
      </c>
      <c r="T104">
        <f>IF(ISBLANK('Data Entry'!T104), "", 'Data Entry'!T104)</f>
      </c>
      <c r="U104">
        <f>IF(ISBLANK('Data Entry'!U104), "", 'Data Entry'!U104)</f>
      </c>
      <c r="V104">
        <f>IF(ISBLANK('Data Entry'!V104), "", 'Data Entry'!V104)</f>
      </c>
      <c r="W104">
        <f>IF(ISBLANK('Data Entry'!W104), "", 'Data Entry'!W104)</f>
      </c>
      <c r="X104">
        <f>IF(ISBLANK('Data Entry'!X104), "", 'Data Entry'!X104)</f>
      </c>
      <c r="Y104">
        <f>IF(ISBLANK('Data Entry'!Y104), "", 'Data Entry'!Y104)</f>
      </c>
      <c r="Z104">
        <f>IF(ISBLANK('Data Entry'!Z104), "", 'Data Entry'!Z104)</f>
      </c>
      <c r="AA104">
        <f>IF(ISBLANK('Data Entry'![104), "", 'Data Entry'![104)</f>
      </c>
      <c r="AB104">
        <f>IF(ISBLANK('Data Entry'!\104), "", 'Data Entry'!\104)</f>
      </c>
      <c r="AC104">
        <f>IF(ISBLANK('Data Entry'!]104), "", 'Data Entry'!]104)</f>
      </c>
      <c r="AD104">
        <f>IF(ISBLANK('Data Entry'!^104), "", 'Data Entry'!^104)</f>
      </c>
      <c r="AE104">
        <f>IF(ISBLANK('Data Entry'!_104), "", 'Data Entry'!_104)</f>
      </c>
      <c r="AF104">
        <f>IF(ISBLANK('Data Entry'!`104), "", 'Data Entry'!`104)</f>
      </c>
      <c r="AG104">
        <f>IF(ISBLANK('Data Entry'!a104), "", 'Data Entry'!a104)</f>
      </c>
      <c r="AH104">
        <f>IF(ISBLANK('Data Entry'!b104), "", 'Data Entry'!b104)</f>
      </c>
      <c r="AI104">
        <f>IF(ISBLANK('Data Entry'!c104), "", 'Data Entry'!c104)</f>
      </c>
      <c r="AJ104">
        <f>IF(ISBLANK('Data Entry'!d104), "", 'Data Entry'!d104)</f>
      </c>
      <c r="AK104">
        <f>IF(ISBLANK('Data Entry'!e104), "", 'Data Entry'!e104)</f>
      </c>
      <c r="AL104">
        <f>IF(ISBLANK('Data Entry'!f104), "", 'Data Entry'!f104)</f>
      </c>
      <c r="AM104">
        <f>IF(ISBLANK('Data Entry'!g104), "", 'Data Entry'!g104)</f>
      </c>
      <c r="AN104">
        <f>IF(ISBLANK('Data Entry'!h104), "", 'Data Entry'!h104)</f>
      </c>
    </row>
    <row r="105" spans="1:40" x14ac:dyDescent="0.25">
      <c r="A105">
        <f>IF(ISBLANK('Data Entry'!A105), "", 'Data Entry'!A105)</f>
      </c>
      <c r="B105">
        <f>IF(ISBLANK('Data Entry'!B105), "", 'Data Entry'!B105)</f>
      </c>
      <c r="C105">
        <f>IF(ISBLANK('Data Entry'!C105), "", 'Data Entry'!C105)</f>
      </c>
      <c r="D105">
        <f>IF(ISBLANK('Data Entry'!D105), "", 'Data Entry'!D105)</f>
      </c>
      <c r="E105">
        <f>IF(ISBLANK('Data Entry'!E105), "", 'Data Entry'!E105)</f>
      </c>
      <c r="F105">
        <f>IF(ISBLANK('Data Entry'!F105), "", 'Data Entry'!F105)</f>
      </c>
      <c r="G105">
        <f>IF(ISBLANK('Data Entry'!G105), "", 'Data Entry'!G105)</f>
      </c>
      <c r="H105">
        <f>IF(ISBLANK('Data Entry'!H105), "", 'Data Entry'!H105)</f>
      </c>
      <c r="I105">
        <f>IF(ISBLANK('Data Entry'!I105), "", 'Data Entry'!I105)</f>
      </c>
      <c r="J105">
        <f>IF(ISBLANK('Data Entry'!J105), "", 'Data Entry'!J105)</f>
      </c>
      <c r="K105">
        <f>IF(ISBLANK('Data Entry'!K105), "", 'Data Entry'!K105)</f>
      </c>
      <c r="L105">
        <f>IF(ISBLANK('Data Entry'!L105), "", 'Data Entry'!L105)</f>
      </c>
      <c r="M105">
        <f>IF(ISBLANK('Data Entry'!M105), "", 'Data Entry'!M105)</f>
      </c>
      <c r="N105">
        <f>IF(ISBLANK('Data Entry'!N105), "", 'Data Entry'!N105)</f>
      </c>
      <c r="O105">
        <f>IF(ISBLANK('Data Entry'!O105), "", 'Data Entry'!O105)</f>
      </c>
      <c r="P105">
        <f>IF(ISBLANK('Data Entry'!P105), "", 'Data Entry'!P105)</f>
      </c>
      <c r="Q105">
        <f>IF(ISBLANK('Data Entry'!Q105), "", 'Data Entry'!Q105)</f>
      </c>
      <c r="R105">
        <f>IF(ISBLANK('Data Entry'!R105), "", 'Data Entry'!R105)</f>
      </c>
      <c r="S105">
        <f>IF(ISBLANK('Data Entry'!S105), "", 'Data Entry'!S105)</f>
      </c>
      <c r="T105">
        <f>IF(ISBLANK('Data Entry'!T105), "", 'Data Entry'!T105)</f>
      </c>
      <c r="U105">
        <f>IF(ISBLANK('Data Entry'!U105), "", 'Data Entry'!U105)</f>
      </c>
      <c r="V105">
        <f>IF(ISBLANK('Data Entry'!V105), "", 'Data Entry'!V105)</f>
      </c>
      <c r="W105">
        <f>IF(ISBLANK('Data Entry'!W105), "", 'Data Entry'!W105)</f>
      </c>
      <c r="X105">
        <f>IF(ISBLANK('Data Entry'!X105), "", 'Data Entry'!X105)</f>
      </c>
      <c r="Y105">
        <f>IF(ISBLANK('Data Entry'!Y105), "", 'Data Entry'!Y105)</f>
      </c>
      <c r="Z105">
        <f>IF(ISBLANK('Data Entry'!Z105), "", 'Data Entry'!Z105)</f>
      </c>
      <c r="AA105">
        <f>IF(ISBLANK('Data Entry'![105), "", 'Data Entry'![105)</f>
      </c>
      <c r="AB105">
        <f>IF(ISBLANK('Data Entry'!\105), "", 'Data Entry'!\105)</f>
      </c>
      <c r="AC105">
        <f>IF(ISBLANK('Data Entry'!]105), "", 'Data Entry'!]105)</f>
      </c>
      <c r="AD105">
        <f>IF(ISBLANK('Data Entry'!^105), "", 'Data Entry'!^105)</f>
      </c>
      <c r="AE105">
        <f>IF(ISBLANK('Data Entry'!_105), "", 'Data Entry'!_105)</f>
      </c>
      <c r="AF105">
        <f>IF(ISBLANK('Data Entry'!`105), "", 'Data Entry'!`105)</f>
      </c>
      <c r="AG105">
        <f>IF(ISBLANK('Data Entry'!a105), "", 'Data Entry'!a105)</f>
      </c>
      <c r="AH105">
        <f>IF(ISBLANK('Data Entry'!b105), "", 'Data Entry'!b105)</f>
      </c>
      <c r="AI105">
        <f>IF(ISBLANK('Data Entry'!c105), "", 'Data Entry'!c105)</f>
      </c>
      <c r="AJ105">
        <f>IF(ISBLANK('Data Entry'!d105), "", 'Data Entry'!d105)</f>
      </c>
      <c r="AK105">
        <f>IF(ISBLANK('Data Entry'!e105), "", 'Data Entry'!e105)</f>
      </c>
      <c r="AL105">
        <f>IF(ISBLANK('Data Entry'!f105), "", 'Data Entry'!f105)</f>
      </c>
      <c r="AM105">
        <f>IF(ISBLANK('Data Entry'!g105), "", 'Data Entry'!g105)</f>
      </c>
      <c r="AN105">
        <f>IF(ISBLANK('Data Entry'!h105), "", 'Data Entry'!h105)</f>
      </c>
    </row>
    <row r="106" spans="1:40" x14ac:dyDescent="0.25">
      <c r="A106">
        <f>IF(ISBLANK('Data Entry'!A106), "", 'Data Entry'!A106)</f>
      </c>
      <c r="B106">
        <f>IF(ISBLANK('Data Entry'!B106), "", 'Data Entry'!B106)</f>
      </c>
      <c r="C106">
        <f>IF(ISBLANK('Data Entry'!C106), "", 'Data Entry'!C106)</f>
      </c>
      <c r="D106">
        <f>IF(ISBLANK('Data Entry'!D106), "", 'Data Entry'!D106)</f>
      </c>
      <c r="E106">
        <f>IF(ISBLANK('Data Entry'!E106), "", 'Data Entry'!E106)</f>
      </c>
      <c r="F106">
        <f>IF(ISBLANK('Data Entry'!F106), "", 'Data Entry'!F106)</f>
      </c>
      <c r="G106">
        <f>IF(ISBLANK('Data Entry'!G106), "", 'Data Entry'!G106)</f>
      </c>
      <c r="H106">
        <f>IF(ISBLANK('Data Entry'!H106), "", 'Data Entry'!H106)</f>
      </c>
      <c r="I106">
        <f>IF(ISBLANK('Data Entry'!I106), "", 'Data Entry'!I106)</f>
      </c>
      <c r="J106">
        <f>IF(ISBLANK('Data Entry'!J106), "", 'Data Entry'!J106)</f>
      </c>
      <c r="K106">
        <f>IF(ISBLANK('Data Entry'!K106), "", 'Data Entry'!K106)</f>
      </c>
      <c r="L106">
        <f>IF(ISBLANK('Data Entry'!L106), "", 'Data Entry'!L106)</f>
      </c>
      <c r="M106">
        <f>IF(ISBLANK('Data Entry'!M106), "", 'Data Entry'!M106)</f>
      </c>
      <c r="N106">
        <f>IF(ISBLANK('Data Entry'!N106), "", 'Data Entry'!N106)</f>
      </c>
      <c r="O106">
        <f>IF(ISBLANK('Data Entry'!O106), "", 'Data Entry'!O106)</f>
      </c>
      <c r="P106">
        <f>IF(ISBLANK('Data Entry'!P106), "", 'Data Entry'!P106)</f>
      </c>
      <c r="Q106">
        <f>IF(ISBLANK('Data Entry'!Q106), "", 'Data Entry'!Q106)</f>
      </c>
      <c r="R106">
        <f>IF(ISBLANK('Data Entry'!R106), "", 'Data Entry'!R106)</f>
      </c>
      <c r="S106">
        <f>IF(ISBLANK('Data Entry'!S106), "", 'Data Entry'!S106)</f>
      </c>
      <c r="T106">
        <f>IF(ISBLANK('Data Entry'!T106), "", 'Data Entry'!T106)</f>
      </c>
      <c r="U106">
        <f>IF(ISBLANK('Data Entry'!U106), "", 'Data Entry'!U106)</f>
      </c>
      <c r="V106">
        <f>IF(ISBLANK('Data Entry'!V106), "", 'Data Entry'!V106)</f>
      </c>
      <c r="W106">
        <f>IF(ISBLANK('Data Entry'!W106), "", 'Data Entry'!W106)</f>
      </c>
      <c r="X106">
        <f>IF(ISBLANK('Data Entry'!X106), "", 'Data Entry'!X106)</f>
      </c>
      <c r="Y106">
        <f>IF(ISBLANK('Data Entry'!Y106), "", 'Data Entry'!Y106)</f>
      </c>
      <c r="Z106">
        <f>IF(ISBLANK('Data Entry'!Z106), "", 'Data Entry'!Z106)</f>
      </c>
      <c r="AA106">
        <f>IF(ISBLANK('Data Entry'![106), "", 'Data Entry'![106)</f>
      </c>
      <c r="AB106">
        <f>IF(ISBLANK('Data Entry'!\106), "", 'Data Entry'!\106)</f>
      </c>
      <c r="AC106">
        <f>IF(ISBLANK('Data Entry'!]106), "", 'Data Entry'!]106)</f>
      </c>
      <c r="AD106">
        <f>IF(ISBLANK('Data Entry'!^106), "", 'Data Entry'!^106)</f>
      </c>
      <c r="AE106">
        <f>IF(ISBLANK('Data Entry'!_106), "", 'Data Entry'!_106)</f>
      </c>
      <c r="AF106">
        <f>IF(ISBLANK('Data Entry'!`106), "", 'Data Entry'!`106)</f>
      </c>
      <c r="AG106">
        <f>IF(ISBLANK('Data Entry'!a106), "", 'Data Entry'!a106)</f>
      </c>
      <c r="AH106">
        <f>IF(ISBLANK('Data Entry'!b106), "", 'Data Entry'!b106)</f>
      </c>
      <c r="AI106">
        <f>IF(ISBLANK('Data Entry'!c106), "", 'Data Entry'!c106)</f>
      </c>
      <c r="AJ106">
        <f>IF(ISBLANK('Data Entry'!d106), "", 'Data Entry'!d106)</f>
      </c>
      <c r="AK106">
        <f>IF(ISBLANK('Data Entry'!e106), "", 'Data Entry'!e106)</f>
      </c>
      <c r="AL106">
        <f>IF(ISBLANK('Data Entry'!f106), "", 'Data Entry'!f106)</f>
      </c>
      <c r="AM106">
        <f>IF(ISBLANK('Data Entry'!g106), "", 'Data Entry'!g106)</f>
      </c>
      <c r="AN106">
        <f>IF(ISBLANK('Data Entry'!h106), "", 'Data Entry'!h106)</f>
      </c>
    </row>
    <row r="107" spans="1:40" x14ac:dyDescent="0.25">
      <c r="A107">
        <f>IF(ISBLANK('Data Entry'!A107), "", 'Data Entry'!A107)</f>
      </c>
      <c r="B107">
        <f>IF(ISBLANK('Data Entry'!B107), "", 'Data Entry'!B107)</f>
      </c>
      <c r="C107">
        <f>IF(ISBLANK('Data Entry'!C107), "", 'Data Entry'!C107)</f>
      </c>
      <c r="D107">
        <f>IF(ISBLANK('Data Entry'!D107), "", 'Data Entry'!D107)</f>
      </c>
      <c r="E107">
        <f>IF(ISBLANK('Data Entry'!E107), "", 'Data Entry'!E107)</f>
      </c>
      <c r="F107">
        <f>IF(ISBLANK('Data Entry'!F107), "", 'Data Entry'!F107)</f>
      </c>
      <c r="G107">
        <f>IF(ISBLANK('Data Entry'!G107), "", 'Data Entry'!G107)</f>
      </c>
      <c r="H107">
        <f>IF(ISBLANK('Data Entry'!H107), "", 'Data Entry'!H107)</f>
      </c>
      <c r="I107">
        <f>IF(ISBLANK('Data Entry'!I107), "", 'Data Entry'!I107)</f>
      </c>
      <c r="J107">
        <f>IF(ISBLANK('Data Entry'!J107), "", 'Data Entry'!J107)</f>
      </c>
      <c r="K107">
        <f>IF(ISBLANK('Data Entry'!K107), "", 'Data Entry'!K107)</f>
      </c>
      <c r="L107">
        <f>IF(ISBLANK('Data Entry'!L107), "", 'Data Entry'!L107)</f>
      </c>
      <c r="M107">
        <f>IF(ISBLANK('Data Entry'!M107), "", 'Data Entry'!M107)</f>
      </c>
      <c r="N107">
        <f>IF(ISBLANK('Data Entry'!N107), "", 'Data Entry'!N107)</f>
      </c>
      <c r="O107">
        <f>IF(ISBLANK('Data Entry'!O107), "", 'Data Entry'!O107)</f>
      </c>
      <c r="P107">
        <f>IF(ISBLANK('Data Entry'!P107), "", 'Data Entry'!P107)</f>
      </c>
      <c r="Q107">
        <f>IF(ISBLANK('Data Entry'!Q107), "", 'Data Entry'!Q107)</f>
      </c>
      <c r="R107">
        <f>IF(ISBLANK('Data Entry'!R107), "", 'Data Entry'!R107)</f>
      </c>
      <c r="S107">
        <f>IF(ISBLANK('Data Entry'!S107), "", 'Data Entry'!S107)</f>
      </c>
      <c r="T107">
        <f>IF(ISBLANK('Data Entry'!T107), "", 'Data Entry'!T107)</f>
      </c>
      <c r="U107">
        <f>IF(ISBLANK('Data Entry'!U107), "", 'Data Entry'!U107)</f>
      </c>
      <c r="V107">
        <f>IF(ISBLANK('Data Entry'!V107), "", 'Data Entry'!V107)</f>
      </c>
      <c r="W107">
        <f>IF(ISBLANK('Data Entry'!W107), "", 'Data Entry'!W107)</f>
      </c>
      <c r="X107">
        <f>IF(ISBLANK('Data Entry'!X107), "", 'Data Entry'!X107)</f>
      </c>
      <c r="Y107">
        <f>IF(ISBLANK('Data Entry'!Y107), "", 'Data Entry'!Y107)</f>
      </c>
      <c r="Z107">
        <f>IF(ISBLANK('Data Entry'!Z107), "", 'Data Entry'!Z107)</f>
      </c>
      <c r="AA107">
        <f>IF(ISBLANK('Data Entry'![107), "", 'Data Entry'![107)</f>
      </c>
      <c r="AB107">
        <f>IF(ISBLANK('Data Entry'!\107), "", 'Data Entry'!\107)</f>
      </c>
      <c r="AC107">
        <f>IF(ISBLANK('Data Entry'!]107), "", 'Data Entry'!]107)</f>
      </c>
      <c r="AD107">
        <f>IF(ISBLANK('Data Entry'!^107), "", 'Data Entry'!^107)</f>
      </c>
      <c r="AE107">
        <f>IF(ISBLANK('Data Entry'!_107), "", 'Data Entry'!_107)</f>
      </c>
      <c r="AF107">
        <f>IF(ISBLANK('Data Entry'!`107), "", 'Data Entry'!`107)</f>
      </c>
      <c r="AG107">
        <f>IF(ISBLANK('Data Entry'!a107), "", 'Data Entry'!a107)</f>
      </c>
      <c r="AH107">
        <f>IF(ISBLANK('Data Entry'!b107), "", 'Data Entry'!b107)</f>
      </c>
      <c r="AI107">
        <f>IF(ISBLANK('Data Entry'!c107), "", 'Data Entry'!c107)</f>
      </c>
      <c r="AJ107">
        <f>IF(ISBLANK('Data Entry'!d107), "", 'Data Entry'!d107)</f>
      </c>
      <c r="AK107">
        <f>IF(ISBLANK('Data Entry'!e107), "", 'Data Entry'!e107)</f>
      </c>
      <c r="AL107">
        <f>IF(ISBLANK('Data Entry'!f107), "", 'Data Entry'!f107)</f>
      </c>
      <c r="AM107">
        <f>IF(ISBLANK('Data Entry'!g107), "", 'Data Entry'!g107)</f>
      </c>
      <c r="AN107">
        <f>IF(ISBLANK('Data Entry'!h107), "", 'Data Entry'!h107)</f>
      </c>
    </row>
    <row r="108" spans="1:40" x14ac:dyDescent="0.25">
      <c r="A108">
        <f>IF(ISBLANK('Data Entry'!A108), "", 'Data Entry'!A108)</f>
      </c>
      <c r="B108">
        <f>IF(ISBLANK('Data Entry'!B108), "", 'Data Entry'!B108)</f>
      </c>
      <c r="C108">
        <f>IF(ISBLANK('Data Entry'!C108), "", 'Data Entry'!C108)</f>
      </c>
      <c r="D108">
        <f>IF(ISBLANK('Data Entry'!D108), "", 'Data Entry'!D108)</f>
      </c>
      <c r="E108">
        <f>IF(ISBLANK('Data Entry'!E108), "", 'Data Entry'!E108)</f>
      </c>
      <c r="F108">
        <f>IF(ISBLANK('Data Entry'!F108), "", 'Data Entry'!F108)</f>
      </c>
      <c r="G108">
        <f>IF(ISBLANK('Data Entry'!G108), "", 'Data Entry'!G108)</f>
      </c>
      <c r="H108">
        <f>IF(ISBLANK('Data Entry'!H108), "", 'Data Entry'!H108)</f>
      </c>
      <c r="I108">
        <f>IF(ISBLANK('Data Entry'!I108), "", 'Data Entry'!I108)</f>
      </c>
      <c r="J108">
        <f>IF(ISBLANK('Data Entry'!J108), "", 'Data Entry'!J108)</f>
      </c>
      <c r="K108">
        <f>IF(ISBLANK('Data Entry'!K108), "", 'Data Entry'!K108)</f>
      </c>
      <c r="L108">
        <f>IF(ISBLANK('Data Entry'!L108), "", 'Data Entry'!L108)</f>
      </c>
      <c r="M108">
        <f>IF(ISBLANK('Data Entry'!M108), "", 'Data Entry'!M108)</f>
      </c>
      <c r="N108">
        <f>IF(ISBLANK('Data Entry'!N108), "", 'Data Entry'!N108)</f>
      </c>
      <c r="O108">
        <f>IF(ISBLANK('Data Entry'!O108), "", 'Data Entry'!O108)</f>
      </c>
      <c r="P108">
        <f>IF(ISBLANK('Data Entry'!P108), "", 'Data Entry'!P108)</f>
      </c>
      <c r="Q108">
        <f>IF(ISBLANK('Data Entry'!Q108), "", 'Data Entry'!Q108)</f>
      </c>
      <c r="R108">
        <f>IF(ISBLANK('Data Entry'!R108), "", 'Data Entry'!R108)</f>
      </c>
      <c r="S108">
        <f>IF(ISBLANK('Data Entry'!S108), "", 'Data Entry'!S108)</f>
      </c>
      <c r="T108">
        <f>IF(ISBLANK('Data Entry'!T108), "", 'Data Entry'!T108)</f>
      </c>
      <c r="U108">
        <f>IF(ISBLANK('Data Entry'!U108), "", 'Data Entry'!U108)</f>
      </c>
      <c r="V108">
        <f>IF(ISBLANK('Data Entry'!V108), "", 'Data Entry'!V108)</f>
      </c>
      <c r="W108">
        <f>IF(ISBLANK('Data Entry'!W108), "", 'Data Entry'!W108)</f>
      </c>
      <c r="X108">
        <f>IF(ISBLANK('Data Entry'!X108), "", 'Data Entry'!X108)</f>
      </c>
      <c r="Y108">
        <f>IF(ISBLANK('Data Entry'!Y108), "", 'Data Entry'!Y108)</f>
      </c>
      <c r="Z108">
        <f>IF(ISBLANK('Data Entry'!Z108), "", 'Data Entry'!Z108)</f>
      </c>
      <c r="AA108">
        <f>IF(ISBLANK('Data Entry'![108), "", 'Data Entry'![108)</f>
      </c>
      <c r="AB108">
        <f>IF(ISBLANK('Data Entry'!\108), "", 'Data Entry'!\108)</f>
      </c>
      <c r="AC108">
        <f>IF(ISBLANK('Data Entry'!]108), "", 'Data Entry'!]108)</f>
      </c>
      <c r="AD108">
        <f>IF(ISBLANK('Data Entry'!^108), "", 'Data Entry'!^108)</f>
      </c>
      <c r="AE108">
        <f>IF(ISBLANK('Data Entry'!_108), "", 'Data Entry'!_108)</f>
      </c>
      <c r="AF108">
        <f>IF(ISBLANK('Data Entry'!`108), "", 'Data Entry'!`108)</f>
      </c>
      <c r="AG108">
        <f>IF(ISBLANK('Data Entry'!a108), "", 'Data Entry'!a108)</f>
      </c>
      <c r="AH108">
        <f>IF(ISBLANK('Data Entry'!b108), "", 'Data Entry'!b108)</f>
      </c>
      <c r="AI108">
        <f>IF(ISBLANK('Data Entry'!c108), "", 'Data Entry'!c108)</f>
      </c>
      <c r="AJ108">
        <f>IF(ISBLANK('Data Entry'!d108), "", 'Data Entry'!d108)</f>
      </c>
      <c r="AK108">
        <f>IF(ISBLANK('Data Entry'!e108), "", 'Data Entry'!e108)</f>
      </c>
      <c r="AL108">
        <f>IF(ISBLANK('Data Entry'!f108), "", 'Data Entry'!f108)</f>
      </c>
      <c r="AM108">
        <f>IF(ISBLANK('Data Entry'!g108), "", 'Data Entry'!g108)</f>
      </c>
      <c r="AN108">
        <f>IF(ISBLANK('Data Entry'!h108), "", 'Data Entry'!h108)</f>
      </c>
    </row>
    <row r="109" spans="1:40" x14ac:dyDescent="0.25">
      <c r="A109">
        <f>IF(ISBLANK('Data Entry'!A109), "", 'Data Entry'!A109)</f>
      </c>
      <c r="B109">
        <f>IF(ISBLANK('Data Entry'!B109), "", 'Data Entry'!B109)</f>
      </c>
      <c r="C109">
        <f>IF(ISBLANK('Data Entry'!C109), "", 'Data Entry'!C109)</f>
      </c>
      <c r="D109">
        <f>IF(ISBLANK('Data Entry'!D109), "", 'Data Entry'!D109)</f>
      </c>
      <c r="E109">
        <f>IF(ISBLANK('Data Entry'!E109), "", 'Data Entry'!E109)</f>
      </c>
      <c r="F109">
        <f>IF(ISBLANK('Data Entry'!F109), "", 'Data Entry'!F109)</f>
      </c>
      <c r="G109">
        <f>IF(ISBLANK('Data Entry'!G109), "", 'Data Entry'!G109)</f>
      </c>
      <c r="H109">
        <f>IF(ISBLANK('Data Entry'!H109), "", 'Data Entry'!H109)</f>
      </c>
      <c r="I109">
        <f>IF(ISBLANK('Data Entry'!I109), "", 'Data Entry'!I109)</f>
      </c>
      <c r="J109">
        <f>IF(ISBLANK('Data Entry'!J109), "", 'Data Entry'!J109)</f>
      </c>
      <c r="K109">
        <f>IF(ISBLANK('Data Entry'!K109), "", 'Data Entry'!K109)</f>
      </c>
      <c r="L109">
        <f>IF(ISBLANK('Data Entry'!L109), "", 'Data Entry'!L109)</f>
      </c>
      <c r="M109">
        <f>IF(ISBLANK('Data Entry'!M109), "", 'Data Entry'!M109)</f>
      </c>
      <c r="N109">
        <f>IF(ISBLANK('Data Entry'!N109), "", 'Data Entry'!N109)</f>
      </c>
      <c r="O109">
        <f>IF(ISBLANK('Data Entry'!O109), "", 'Data Entry'!O109)</f>
      </c>
      <c r="P109">
        <f>IF(ISBLANK('Data Entry'!P109), "", 'Data Entry'!P109)</f>
      </c>
      <c r="Q109">
        <f>IF(ISBLANK('Data Entry'!Q109), "", 'Data Entry'!Q109)</f>
      </c>
      <c r="R109">
        <f>IF(ISBLANK('Data Entry'!R109), "", 'Data Entry'!R109)</f>
      </c>
      <c r="S109">
        <f>IF(ISBLANK('Data Entry'!S109), "", 'Data Entry'!S109)</f>
      </c>
      <c r="T109">
        <f>IF(ISBLANK('Data Entry'!T109), "", 'Data Entry'!T109)</f>
      </c>
      <c r="U109">
        <f>IF(ISBLANK('Data Entry'!U109), "", 'Data Entry'!U109)</f>
      </c>
      <c r="V109">
        <f>IF(ISBLANK('Data Entry'!V109), "", 'Data Entry'!V109)</f>
      </c>
      <c r="W109">
        <f>IF(ISBLANK('Data Entry'!W109), "", 'Data Entry'!W109)</f>
      </c>
      <c r="X109">
        <f>IF(ISBLANK('Data Entry'!X109), "", 'Data Entry'!X109)</f>
      </c>
      <c r="Y109">
        <f>IF(ISBLANK('Data Entry'!Y109), "", 'Data Entry'!Y109)</f>
      </c>
      <c r="Z109">
        <f>IF(ISBLANK('Data Entry'!Z109), "", 'Data Entry'!Z109)</f>
      </c>
      <c r="AA109">
        <f>IF(ISBLANK('Data Entry'![109), "", 'Data Entry'![109)</f>
      </c>
      <c r="AB109">
        <f>IF(ISBLANK('Data Entry'!\109), "", 'Data Entry'!\109)</f>
      </c>
      <c r="AC109">
        <f>IF(ISBLANK('Data Entry'!]109), "", 'Data Entry'!]109)</f>
      </c>
      <c r="AD109">
        <f>IF(ISBLANK('Data Entry'!^109), "", 'Data Entry'!^109)</f>
      </c>
      <c r="AE109">
        <f>IF(ISBLANK('Data Entry'!_109), "", 'Data Entry'!_109)</f>
      </c>
      <c r="AF109">
        <f>IF(ISBLANK('Data Entry'!`109), "", 'Data Entry'!`109)</f>
      </c>
      <c r="AG109">
        <f>IF(ISBLANK('Data Entry'!a109), "", 'Data Entry'!a109)</f>
      </c>
      <c r="AH109">
        <f>IF(ISBLANK('Data Entry'!b109), "", 'Data Entry'!b109)</f>
      </c>
      <c r="AI109">
        <f>IF(ISBLANK('Data Entry'!c109), "", 'Data Entry'!c109)</f>
      </c>
      <c r="AJ109">
        <f>IF(ISBLANK('Data Entry'!d109), "", 'Data Entry'!d109)</f>
      </c>
      <c r="AK109">
        <f>IF(ISBLANK('Data Entry'!e109), "", 'Data Entry'!e109)</f>
      </c>
      <c r="AL109">
        <f>IF(ISBLANK('Data Entry'!f109), "", 'Data Entry'!f109)</f>
      </c>
      <c r="AM109">
        <f>IF(ISBLANK('Data Entry'!g109), "", 'Data Entry'!g109)</f>
      </c>
      <c r="AN109">
        <f>IF(ISBLANK('Data Entry'!h109), "", 'Data Entry'!h109)</f>
      </c>
    </row>
    <row r="110" spans="1:40" x14ac:dyDescent="0.25">
      <c r="A110">
        <f>IF(ISBLANK('Data Entry'!A110), "", 'Data Entry'!A110)</f>
      </c>
      <c r="B110">
        <f>IF(ISBLANK('Data Entry'!B110), "", 'Data Entry'!B110)</f>
      </c>
      <c r="C110">
        <f>IF(ISBLANK('Data Entry'!C110), "", 'Data Entry'!C110)</f>
      </c>
      <c r="D110">
        <f>IF(ISBLANK('Data Entry'!D110), "", 'Data Entry'!D110)</f>
      </c>
      <c r="E110">
        <f>IF(ISBLANK('Data Entry'!E110), "", 'Data Entry'!E110)</f>
      </c>
      <c r="F110">
        <f>IF(ISBLANK('Data Entry'!F110), "", 'Data Entry'!F110)</f>
      </c>
      <c r="G110">
        <f>IF(ISBLANK('Data Entry'!G110), "", 'Data Entry'!G110)</f>
      </c>
      <c r="H110">
        <f>IF(ISBLANK('Data Entry'!H110), "", 'Data Entry'!H110)</f>
      </c>
      <c r="I110">
        <f>IF(ISBLANK('Data Entry'!I110), "", 'Data Entry'!I110)</f>
      </c>
      <c r="J110">
        <f>IF(ISBLANK('Data Entry'!J110), "", 'Data Entry'!J110)</f>
      </c>
      <c r="K110">
        <f>IF(ISBLANK('Data Entry'!K110), "", 'Data Entry'!K110)</f>
      </c>
      <c r="L110">
        <f>IF(ISBLANK('Data Entry'!L110), "", 'Data Entry'!L110)</f>
      </c>
      <c r="M110">
        <f>IF(ISBLANK('Data Entry'!M110), "", 'Data Entry'!M110)</f>
      </c>
      <c r="N110">
        <f>IF(ISBLANK('Data Entry'!N110), "", 'Data Entry'!N110)</f>
      </c>
      <c r="O110">
        <f>IF(ISBLANK('Data Entry'!O110), "", 'Data Entry'!O110)</f>
      </c>
      <c r="P110">
        <f>IF(ISBLANK('Data Entry'!P110), "", 'Data Entry'!P110)</f>
      </c>
      <c r="Q110">
        <f>IF(ISBLANK('Data Entry'!Q110), "", 'Data Entry'!Q110)</f>
      </c>
      <c r="R110">
        <f>IF(ISBLANK('Data Entry'!R110), "", 'Data Entry'!R110)</f>
      </c>
      <c r="S110">
        <f>IF(ISBLANK('Data Entry'!S110), "", 'Data Entry'!S110)</f>
      </c>
      <c r="T110">
        <f>IF(ISBLANK('Data Entry'!T110), "", 'Data Entry'!T110)</f>
      </c>
      <c r="U110">
        <f>IF(ISBLANK('Data Entry'!U110), "", 'Data Entry'!U110)</f>
      </c>
      <c r="V110">
        <f>IF(ISBLANK('Data Entry'!V110), "", 'Data Entry'!V110)</f>
      </c>
      <c r="W110">
        <f>IF(ISBLANK('Data Entry'!W110), "", 'Data Entry'!W110)</f>
      </c>
      <c r="X110">
        <f>IF(ISBLANK('Data Entry'!X110), "", 'Data Entry'!X110)</f>
      </c>
      <c r="Y110">
        <f>IF(ISBLANK('Data Entry'!Y110), "", 'Data Entry'!Y110)</f>
      </c>
      <c r="Z110">
        <f>IF(ISBLANK('Data Entry'!Z110), "", 'Data Entry'!Z110)</f>
      </c>
      <c r="AA110">
        <f>IF(ISBLANK('Data Entry'![110), "", 'Data Entry'![110)</f>
      </c>
      <c r="AB110">
        <f>IF(ISBLANK('Data Entry'!\110), "", 'Data Entry'!\110)</f>
      </c>
      <c r="AC110">
        <f>IF(ISBLANK('Data Entry'!]110), "", 'Data Entry'!]110)</f>
      </c>
      <c r="AD110">
        <f>IF(ISBLANK('Data Entry'!^110), "", 'Data Entry'!^110)</f>
      </c>
      <c r="AE110">
        <f>IF(ISBLANK('Data Entry'!_110), "", 'Data Entry'!_110)</f>
      </c>
      <c r="AF110">
        <f>IF(ISBLANK('Data Entry'!`110), "", 'Data Entry'!`110)</f>
      </c>
      <c r="AG110">
        <f>IF(ISBLANK('Data Entry'!a110), "", 'Data Entry'!a110)</f>
      </c>
      <c r="AH110">
        <f>IF(ISBLANK('Data Entry'!b110), "", 'Data Entry'!b110)</f>
      </c>
      <c r="AI110">
        <f>IF(ISBLANK('Data Entry'!c110), "", 'Data Entry'!c110)</f>
      </c>
      <c r="AJ110">
        <f>IF(ISBLANK('Data Entry'!d110), "", 'Data Entry'!d110)</f>
      </c>
      <c r="AK110">
        <f>IF(ISBLANK('Data Entry'!e110), "", 'Data Entry'!e110)</f>
      </c>
      <c r="AL110">
        <f>IF(ISBLANK('Data Entry'!f110), "", 'Data Entry'!f110)</f>
      </c>
      <c r="AM110">
        <f>IF(ISBLANK('Data Entry'!g110), "", 'Data Entry'!g110)</f>
      </c>
      <c r="AN110">
        <f>IF(ISBLANK('Data Entry'!h110), "", 'Data Entry'!h110)</f>
      </c>
    </row>
    <row r="111" spans="1:40" x14ac:dyDescent="0.25">
      <c r="A111">
        <f>IF(ISBLANK('Data Entry'!A111), "", 'Data Entry'!A111)</f>
      </c>
      <c r="B111">
        <f>IF(ISBLANK('Data Entry'!B111), "", 'Data Entry'!B111)</f>
      </c>
      <c r="C111">
        <f>IF(ISBLANK('Data Entry'!C111), "", 'Data Entry'!C111)</f>
      </c>
      <c r="D111">
        <f>IF(ISBLANK('Data Entry'!D111), "", 'Data Entry'!D111)</f>
      </c>
      <c r="E111">
        <f>IF(ISBLANK('Data Entry'!E111), "", 'Data Entry'!E111)</f>
      </c>
      <c r="F111">
        <f>IF(ISBLANK('Data Entry'!F111), "", 'Data Entry'!F111)</f>
      </c>
      <c r="G111">
        <f>IF(ISBLANK('Data Entry'!G111), "", 'Data Entry'!G111)</f>
      </c>
      <c r="H111">
        <f>IF(ISBLANK('Data Entry'!H111), "", 'Data Entry'!H111)</f>
      </c>
      <c r="I111">
        <f>IF(ISBLANK('Data Entry'!I111), "", 'Data Entry'!I111)</f>
      </c>
      <c r="J111">
        <f>IF(ISBLANK('Data Entry'!J111), "", 'Data Entry'!J111)</f>
      </c>
      <c r="K111">
        <f>IF(ISBLANK('Data Entry'!K111), "", 'Data Entry'!K111)</f>
      </c>
      <c r="L111">
        <f>IF(ISBLANK('Data Entry'!L111), "", 'Data Entry'!L111)</f>
      </c>
      <c r="M111">
        <f>IF(ISBLANK('Data Entry'!M111), "", 'Data Entry'!M111)</f>
      </c>
      <c r="N111">
        <f>IF(ISBLANK('Data Entry'!N111), "", 'Data Entry'!N111)</f>
      </c>
      <c r="O111">
        <f>IF(ISBLANK('Data Entry'!O111), "", 'Data Entry'!O111)</f>
      </c>
      <c r="P111">
        <f>IF(ISBLANK('Data Entry'!P111), "", 'Data Entry'!P111)</f>
      </c>
      <c r="Q111">
        <f>IF(ISBLANK('Data Entry'!Q111), "", 'Data Entry'!Q111)</f>
      </c>
      <c r="R111">
        <f>IF(ISBLANK('Data Entry'!R111), "", 'Data Entry'!R111)</f>
      </c>
      <c r="S111">
        <f>IF(ISBLANK('Data Entry'!S111), "", 'Data Entry'!S111)</f>
      </c>
      <c r="T111">
        <f>IF(ISBLANK('Data Entry'!T111), "", 'Data Entry'!T111)</f>
      </c>
      <c r="U111">
        <f>IF(ISBLANK('Data Entry'!U111), "", 'Data Entry'!U111)</f>
      </c>
      <c r="V111">
        <f>IF(ISBLANK('Data Entry'!V111), "", 'Data Entry'!V111)</f>
      </c>
      <c r="W111">
        <f>IF(ISBLANK('Data Entry'!W111), "", 'Data Entry'!W111)</f>
      </c>
      <c r="X111">
        <f>IF(ISBLANK('Data Entry'!X111), "", 'Data Entry'!X111)</f>
      </c>
      <c r="Y111">
        <f>IF(ISBLANK('Data Entry'!Y111), "", 'Data Entry'!Y111)</f>
      </c>
      <c r="Z111">
        <f>IF(ISBLANK('Data Entry'!Z111), "", 'Data Entry'!Z111)</f>
      </c>
      <c r="AA111">
        <f>IF(ISBLANK('Data Entry'![111), "", 'Data Entry'![111)</f>
      </c>
      <c r="AB111">
        <f>IF(ISBLANK('Data Entry'!\111), "", 'Data Entry'!\111)</f>
      </c>
      <c r="AC111">
        <f>IF(ISBLANK('Data Entry'!]111), "", 'Data Entry'!]111)</f>
      </c>
      <c r="AD111">
        <f>IF(ISBLANK('Data Entry'!^111), "", 'Data Entry'!^111)</f>
      </c>
      <c r="AE111">
        <f>IF(ISBLANK('Data Entry'!_111), "", 'Data Entry'!_111)</f>
      </c>
      <c r="AF111">
        <f>IF(ISBLANK('Data Entry'!`111), "", 'Data Entry'!`111)</f>
      </c>
      <c r="AG111">
        <f>IF(ISBLANK('Data Entry'!a111), "", 'Data Entry'!a111)</f>
      </c>
      <c r="AH111">
        <f>IF(ISBLANK('Data Entry'!b111), "", 'Data Entry'!b111)</f>
      </c>
      <c r="AI111">
        <f>IF(ISBLANK('Data Entry'!c111), "", 'Data Entry'!c111)</f>
      </c>
      <c r="AJ111">
        <f>IF(ISBLANK('Data Entry'!d111), "", 'Data Entry'!d111)</f>
      </c>
      <c r="AK111">
        <f>IF(ISBLANK('Data Entry'!e111), "", 'Data Entry'!e111)</f>
      </c>
      <c r="AL111">
        <f>IF(ISBLANK('Data Entry'!f111), "", 'Data Entry'!f111)</f>
      </c>
      <c r="AM111">
        <f>IF(ISBLANK('Data Entry'!g111), "", 'Data Entry'!g111)</f>
      </c>
      <c r="AN111">
        <f>IF(ISBLANK('Data Entry'!h111), "", 'Data Entry'!h111)</f>
      </c>
    </row>
    <row r="112" spans="1:40" x14ac:dyDescent="0.25">
      <c r="A112">
        <f>IF(ISBLANK('Data Entry'!A112), "", 'Data Entry'!A112)</f>
      </c>
      <c r="B112">
        <f>IF(ISBLANK('Data Entry'!B112), "", 'Data Entry'!B112)</f>
      </c>
      <c r="C112">
        <f>IF(ISBLANK('Data Entry'!C112), "", 'Data Entry'!C112)</f>
      </c>
      <c r="D112">
        <f>IF(ISBLANK('Data Entry'!D112), "", 'Data Entry'!D112)</f>
      </c>
      <c r="E112">
        <f>IF(ISBLANK('Data Entry'!E112), "", 'Data Entry'!E112)</f>
      </c>
      <c r="F112">
        <f>IF(ISBLANK('Data Entry'!F112), "", 'Data Entry'!F112)</f>
      </c>
      <c r="G112">
        <f>IF(ISBLANK('Data Entry'!G112), "", 'Data Entry'!G112)</f>
      </c>
      <c r="H112">
        <f>IF(ISBLANK('Data Entry'!H112), "", 'Data Entry'!H112)</f>
      </c>
      <c r="I112">
        <f>IF(ISBLANK('Data Entry'!I112), "", 'Data Entry'!I112)</f>
      </c>
      <c r="J112">
        <f>IF(ISBLANK('Data Entry'!J112), "", 'Data Entry'!J112)</f>
      </c>
      <c r="K112">
        <f>IF(ISBLANK('Data Entry'!K112), "", 'Data Entry'!K112)</f>
      </c>
      <c r="L112">
        <f>IF(ISBLANK('Data Entry'!L112), "", 'Data Entry'!L112)</f>
      </c>
      <c r="M112">
        <f>IF(ISBLANK('Data Entry'!M112), "", 'Data Entry'!M112)</f>
      </c>
      <c r="N112">
        <f>IF(ISBLANK('Data Entry'!N112), "", 'Data Entry'!N112)</f>
      </c>
      <c r="O112">
        <f>IF(ISBLANK('Data Entry'!O112), "", 'Data Entry'!O112)</f>
      </c>
      <c r="P112">
        <f>IF(ISBLANK('Data Entry'!P112), "", 'Data Entry'!P112)</f>
      </c>
      <c r="Q112">
        <f>IF(ISBLANK('Data Entry'!Q112), "", 'Data Entry'!Q112)</f>
      </c>
      <c r="R112">
        <f>IF(ISBLANK('Data Entry'!R112), "", 'Data Entry'!R112)</f>
      </c>
      <c r="S112">
        <f>IF(ISBLANK('Data Entry'!S112), "", 'Data Entry'!S112)</f>
      </c>
      <c r="T112">
        <f>IF(ISBLANK('Data Entry'!T112), "", 'Data Entry'!T112)</f>
      </c>
      <c r="U112">
        <f>IF(ISBLANK('Data Entry'!U112), "", 'Data Entry'!U112)</f>
      </c>
      <c r="V112">
        <f>IF(ISBLANK('Data Entry'!V112), "", 'Data Entry'!V112)</f>
      </c>
      <c r="W112">
        <f>IF(ISBLANK('Data Entry'!W112), "", 'Data Entry'!W112)</f>
      </c>
      <c r="X112">
        <f>IF(ISBLANK('Data Entry'!X112), "", 'Data Entry'!X112)</f>
      </c>
      <c r="Y112">
        <f>IF(ISBLANK('Data Entry'!Y112), "", 'Data Entry'!Y112)</f>
      </c>
      <c r="Z112">
        <f>IF(ISBLANK('Data Entry'!Z112), "", 'Data Entry'!Z112)</f>
      </c>
      <c r="AA112">
        <f>IF(ISBLANK('Data Entry'![112), "", 'Data Entry'![112)</f>
      </c>
      <c r="AB112">
        <f>IF(ISBLANK('Data Entry'!\112), "", 'Data Entry'!\112)</f>
      </c>
      <c r="AC112">
        <f>IF(ISBLANK('Data Entry'!]112), "", 'Data Entry'!]112)</f>
      </c>
      <c r="AD112">
        <f>IF(ISBLANK('Data Entry'!^112), "", 'Data Entry'!^112)</f>
      </c>
      <c r="AE112">
        <f>IF(ISBLANK('Data Entry'!_112), "", 'Data Entry'!_112)</f>
      </c>
      <c r="AF112">
        <f>IF(ISBLANK('Data Entry'!`112), "", 'Data Entry'!`112)</f>
      </c>
      <c r="AG112">
        <f>IF(ISBLANK('Data Entry'!a112), "", 'Data Entry'!a112)</f>
      </c>
      <c r="AH112">
        <f>IF(ISBLANK('Data Entry'!b112), "", 'Data Entry'!b112)</f>
      </c>
      <c r="AI112">
        <f>IF(ISBLANK('Data Entry'!c112), "", 'Data Entry'!c112)</f>
      </c>
      <c r="AJ112">
        <f>IF(ISBLANK('Data Entry'!d112), "", 'Data Entry'!d112)</f>
      </c>
      <c r="AK112">
        <f>IF(ISBLANK('Data Entry'!e112), "", 'Data Entry'!e112)</f>
      </c>
      <c r="AL112">
        <f>IF(ISBLANK('Data Entry'!f112), "", 'Data Entry'!f112)</f>
      </c>
      <c r="AM112">
        <f>IF(ISBLANK('Data Entry'!g112), "", 'Data Entry'!g112)</f>
      </c>
      <c r="AN112">
        <f>IF(ISBLANK('Data Entry'!h112), "", 'Data Entry'!h112)</f>
      </c>
    </row>
    <row r="113" spans="1:40" x14ac:dyDescent="0.25">
      <c r="A113">
        <f>IF(ISBLANK('Data Entry'!A113), "", 'Data Entry'!A113)</f>
      </c>
      <c r="B113">
        <f>IF(ISBLANK('Data Entry'!B113), "", 'Data Entry'!B113)</f>
      </c>
      <c r="C113">
        <f>IF(ISBLANK('Data Entry'!C113), "", 'Data Entry'!C113)</f>
      </c>
      <c r="D113">
        <f>IF(ISBLANK('Data Entry'!D113), "", 'Data Entry'!D113)</f>
      </c>
      <c r="E113">
        <f>IF(ISBLANK('Data Entry'!E113), "", 'Data Entry'!E113)</f>
      </c>
      <c r="F113">
        <f>IF(ISBLANK('Data Entry'!F113), "", 'Data Entry'!F113)</f>
      </c>
      <c r="G113">
        <f>IF(ISBLANK('Data Entry'!G113), "", 'Data Entry'!G113)</f>
      </c>
      <c r="H113">
        <f>IF(ISBLANK('Data Entry'!H113), "", 'Data Entry'!H113)</f>
      </c>
      <c r="I113">
        <f>IF(ISBLANK('Data Entry'!I113), "", 'Data Entry'!I113)</f>
      </c>
      <c r="J113">
        <f>IF(ISBLANK('Data Entry'!J113), "", 'Data Entry'!J113)</f>
      </c>
      <c r="K113">
        <f>IF(ISBLANK('Data Entry'!K113), "", 'Data Entry'!K113)</f>
      </c>
      <c r="L113">
        <f>IF(ISBLANK('Data Entry'!L113), "", 'Data Entry'!L113)</f>
      </c>
      <c r="M113">
        <f>IF(ISBLANK('Data Entry'!M113), "", 'Data Entry'!M113)</f>
      </c>
      <c r="N113">
        <f>IF(ISBLANK('Data Entry'!N113), "", 'Data Entry'!N113)</f>
      </c>
      <c r="O113">
        <f>IF(ISBLANK('Data Entry'!O113), "", 'Data Entry'!O113)</f>
      </c>
      <c r="P113">
        <f>IF(ISBLANK('Data Entry'!P113), "", 'Data Entry'!P113)</f>
      </c>
      <c r="Q113">
        <f>IF(ISBLANK('Data Entry'!Q113), "", 'Data Entry'!Q113)</f>
      </c>
      <c r="R113">
        <f>IF(ISBLANK('Data Entry'!R113), "", 'Data Entry'!R113)</f>
      </c>
      <c r="S113">
        <f>IF(ISBLANK('Data Entry'!S113), "", 'Data Entry'!S113)</f>
      </c>
      <c r="T113">
        <f>IF(ISBLANK('Data Entry'!T113), "", 'Data Entry'!T113)</f>
      </c>
      <c r="U113">
        <f>IF(ISBLANK('Data Entry'!U113), "", 'Data Entry'!U113)</f>
      </c>
      <c r="V113">
        <f>IF(ISBLANK('Data Entry'!V113), "", 'Data Entry'!V113)</f>
      </c>
      <c r="W113">
        <f>IF(ISBLANK('Data Entry'!W113), "", 'Data Entry'!W113)</f>
      </c>
      <c r="X113">
        <f>IF(ISBLANK('Data Entry'!X113), "", 'Data Entry'!X113)</f>
      </c>
      <c r="Y113">
        <f>IF(ISBLANK('Data Entry'!Y113), "", 'Data Entry'!Y113)</f>
      </c>
      <c r="Z113">
        <f>IF(ISBLANK('Data Entry'!Z113), "", 'Data Entry'!Z113)</f>
      </c>
      <c r="AA113">
        <f>IF(ISBLANK('Data Entry'![113), "", 'Data Entry'![113)</f>
      </c>
      <c r="AB113">
        <f>IF(ISBLANK('Data Entry'!\113), "", 'Data Entry'!\113)</f>
      </c>
      <c r="AC113">
        <f>IF(ISBLANK('Data Entry'!]113), "", 'Data Entry'!]113)</f>
      </c>
      <c r="AD113">
        <f>IF(ISBLANK('Data Entry'!^113), "", 'Data Entry'!^113)</f>
      </c>
      <c r="AE113">
        <f>IF(ISBLANK('Data Entry'!_113), "", 'Data Entry'!_113)</f>
      </c>
      <c r="AF113">
        <f>IF(ISBLANK('Data Entry'!`113), "", 'Data Entry'!`113)</f>
      </c>
      <c r="AG113">
        <f>IF(ISBLANK('Data Entry'!a113), "", 'Data Entry'!a113)</f>
      </c>
      <c r="AH113">
        <f>IF(ISBLANK('Data Entry'!b113), "", 'Data Entry'!b113)</f>
      </c>
      <c r="AI113">
        <f>IF(ISBLANK('Data Entry'!c113), "", 'Data Entry'!c113)</f>
      </c>
      <c r="AJ113">
        <f>IF(ISBLANK('Data Entry'!d113), "", 'Data Entry'!d113)</f>
      </c>
      <c r="AK113">
        <f>IF(ISBLANK('Data Entry'!e113), "", 'Data Entry'!e113)</f>
      </c>
      <c r="AL113">
        <f>IF(ISBLANK('Data Entry'!f113), "", 'Data Entry'!f113)</f>
      </c>
      <c r="AM113">
        <f>IF(ISBLANK('Data Entry'!g113), "", 'Data Entry'!g113)</f>
      </c>
      <c r="AN113">
        <f>IF(ISBLANK('Data Entry'!h113), "", 'Data Entry'!h113)</f>
      </c>
    </row>
    <row r="114" spans="1:40" x14ac:dyDescent="0.25">
      <c r="A114">
        <f>IF(ISBLANK('Data Entry'!A114), "", 'Data Entry'!A114)</f>
      </c>
      <c r="B114">
        <f>IF(ISBLANK('Data Entry'!B114), "", 'Data Entry'!B114)</f>
      </c>
      <c r="C114">
        <f>IF(ISBLANK('Data Entry'!C114), "", 'Data Entry'!C114)</f>
      </c>
      <c r="D114">
        <f>IF(ISBLANK('Data Entry'!D114), "", 'Data Entry'!D114)</f>
      </c>
      <c r="E114">
        <f>IF(ISBLANK('Data Entry'!E114), "", 'Data Entry'!E114)</f>
      </c>
      <c r="F114">
        <f>IF(ISBLANK('Data Entry'!F114), "", 'Data Entry'!F114)</f>
      </c>
      <c r="G114">
        <f>IF(ISBLANK('Data Entry'!G114), "", 'Data Entry'!G114)</f>
      </c>
      <c r="H114">
        <f>IF(ISBLANK('Data Entry'!H114), "", 'Data Entry'!H114)</f>
      </c>
      <c r="I114">
        <f>IF(ISBLANK('Data Entry'!I114), "", 'Data Entry'!I114)</f>
      </c>
      <c r="J114">
        <f>IF(ISBLANK('Data Entry'!J114), "", 'Data Entry'!J114)</f>
      </c>
      <c r="K114">
        <f>IF(ISBLANK('Data Entry'!K114), "", 'Data Entry'!K114)</f>
      </c>
      <c r="L114">
        <f>IF(ISBLANK('Data Entry'!L114), "", 'Data Entry'!L114)</f>
      </c>
      <c r="M114">
        <f>IF(ISBLANK('Data Entry'!M114), "", 'Data Entry'!M114)</f>
      </c>
      <c r="N114">
        <f>IF(ISBLANK('Data Entry'!N114), "", 'Data Entry'!N114)</f>
      </c>
      <c r="O114">
        <f>IF(ISBLANK('Data Entry'!O114), "", 'Data Entry'!O114)</f>
      </c>
      <c r="P114">
        <f>IF(ISBLANK('Data Entry'!P114), "", 'Data Entry'!P114)</f>
      </c>
      <c r="Q114">
        <f>IF(ISBLANK('Data Entry'!Q114), "", 'Data Entry'!Q114)</f>
      </c>
      <c r="R114">
        <f>IF(ISBLANK('Data Entry'!R114), "", 'Data Entry'!R114)</f>
      </c>
      <c r="S114">
        <f>IF(ISBLANK('Data Entry'!S114), "", 'Data Entry'!S114)</f>
      </c>
      <c r="T114">
        <f>IF(ISBLANK('Data Entry'!T114), "", 'Data Entry'!T114)</f>
      </c>
      <c r="U114">
        <f>IF(ISBLANK('Data Entry'!U114), "", 'Data Entry'!U114)</f>
      </c>
      <c r="V114">
        <f>IF(ISBLANK('Data Entry'!V114), "", 'Data Entry'!V114)</f>
      </c>
      <c r="W114">
        <f>IF(ISBLANK('Data Entry'!W114), "", 'Data Entry'!W114)</f>
      </c>
      <c r="X114">
        <f>IF(ISBLANK('Data Entry'!X114), "", 'Data Entry'!X114)</f>
      </c>
      <c r="Y114">
        <f>IF(ISBLANK('Data Entry'!Y114), "", 'Data Entry'!Y114)</f>
      </c>
      <c r="Z114">
        <f>IF(ISBLANK('Data Entry'!Z114), "", 'Data Entry'!Z114)</f>
      </c>
      <c r="AA114">
        <f>IF(ISBLANK('Data Entry'![114), "", 'Data Entry'![114)</f>
      </c>
      <c r="AB114">
        <f>IF(ISBLANK('Data Entry'!\114), "", 'Data Entry'!\114)</f>
      </c>
      <c r="AC114">
        <f>IF(ISBLANK('Data Entry'!]114), "", 'Data Entry'!]114)</f>
      </c>
      <c r="AD114">
        <f>IF(ISBLANK('Data Entry'!^114), "", 'Data Entry'!^114)</f>
      </c>
      <c r="AE114">
        <f>IF(ISBLANK('Data Entry'!_114), "", 'Data Entry'!_114)</f>
      </c>
      <c r="AF114">
        <f>IF(ISBLANK('Data Entry'!`114), "", 'Data Entry'!`114)</f>
      </c>
      <c r="AG114">
        <f>IF(ISBLANK('Data Entry'!a114), "", 'Data Entry'!a114)</f>
      </c>
      <c r="AH114">
        <f>IF(ISBLANK('Data Entry'!b114), "", 'Data Entry'!b114)</f>
      </c>
      <c r="AI114">
        <f>IF(ISBLANK('Data Entry'!c114), "", 'Data Entry'!c114)</f>
      </c>
      <c r="AJ114">
        <f>IF(ISBLANK('Data Entry'!d114), "", 'Data Entry'!d114)</f>
      </c>
      <c r="AK114">
        <f>IF(ISBLANK('Data Entry'!e114), "", 'Data Entry'!e114)</f>
      </c>
      <c r="AL114">
        <f>IF(ISBLANK('Data Entry'!f114), "", 'Data Entry'!f114)</f>
      </c>
      <c r="AM114">
        <f>IF(ISBLANK('Data Entry'!g114), "", 'Data Entry'!g114)</f>
      </c>
      <c r="AN114">
        <f>IF(ISBLANK('Data Entry'!h114), "", 'Data Entry'!h114)</f>
      </c>
    </row>
    <row r="115" spans="1:40" x14ac:dyDescent="0.25">
      <c r="A115">
        <f>IF(ISBLANK('Data Entry'!A115), "", 'Data Entry'!A115)</f>
      </c>
      <c r="B115">
        <f>IF(ISBLANK('Data Entry'!B115), "", 'Data Entry'!B115)</f>
      </c>
      <c r="C115">
        <f>IF(ISBLANK('Data Entry'!C115), "", 'Data Entry'!C115)</f>
      </c>
      <c r="D115">
        <f>IF(ISBLANK('Data Entry'!D115), "", 'Data Entry'!D115)</f>
      </c>
      <c r="E115">
        <f>IF(ISBLANK('Data Entry'!E115), "", 'Data Entry'!E115)</f>
      </c>
      <c r="F115">
        <f>IF(ISBLANK('Data Entry'!F115), "", 'Data Entry'!F115)</f>
      </c>
      <c r="G115">
        <f>IF(ISBLANK('Data Entry'!G115), "", 'Data Entry'!G115)</f>
      </c>
      <c r="H115">
        <f>IF(ISBLANK('Data Entry'!H115), "", 'Data Entry'!H115)</f>
      </c>
      <c r="I115">
        <f>IF(ISBLANK('Data Entry'!I115), "", 'Data Entry'!I115)</f>
      </c>
      <c r="J115">
        <f>IF(ISBLANK('Data Entry'!J115), "", 'Data Entry'!J115)</f>
      </c>
      <c r="K115">
        <f>IF(ISBLANK('Data Entry'!K115), "", 'Data Entry'!K115)</f>
      </c>
      <c r="L115">
        <f>IF(ISBLANK('Data Entry'!L115), "", 'Data Entry'!L115)</f>
      </c>
      <c r="M115">
        <f>IF(ISBLANK('Data Entry'!M115), "", 'Data Entry'!M115)</f>
      </c>
      <c r="N115">
        <f>IF(ISBLANK('Data Entry'!N115), "", 'Data Entry'!N115)</f>
      </c>
      <c r="O115">
        <f>IF(ISBLANK('Data Entry'!O115), "", 'Data Entry'!O115)</f>
      </c>
      <c r="P115">
        <f>IF(ISBLANK('Data Entry'!P115), "", 'Data Entry'!P115)</f>
      </c>
      <c r="Q115">
        <f>IF(ISBLANK('Data Entry'!Q115), "", 'Data Entry'!Q115)</f>
      </c>
      <c r="R115">
        <f>IF(ISBLANK('Data Entry'!R115), "", 'Data Entry'!R115)</f>
      </c>
      <c r="S115">
        <f>IF(ISBLANK('Data Entry'!S115), "", 'Data Entry'!S115)</f>
      </c>
      <c r="T115">
        <f>IF(ISBLANK('Data Entry'!T115), "", 'Data Entry'!T115)</f>
      </c>
      <c r="U115">
        <f>IF(ISBLANK('Data Entry'!U115), "", 'Data Entry'!U115)</f>
      </c>
      <c r="V115">
        <f>IF(ISBLANK('Data Entry'!V115), "", 'Data Entry'!V115)</f>
      </c>
      <c r="W115">
        <f>IF(ISBLANK('Data Entry'!W115), "", 'Data Entry'!W115)</f>
      </c>
      <c r="X115">
        <f>IF(ISBLANK('Data Entry'!X115), "", 'Data Entry'!X115)</f>
      </c>
      <c r="Y115">
        <f>IF(ISBLANK('Data Entry'!Y115), "", 'Data Entry'!Y115)</f>
      </c>
      <c r="Z115">
        <f>IF(ISBLANK('Data Entry'!Z115), "", 'Data Entry'!Z115)</f>
      </c>
      <c r="AA115">
        <f>IF(ISBLANK('Data Entry'![115), "", 'Data Entry'![115)</f>
      </c>
      <c r="AB115">
        <f>IF(ISBLANK('Data Entry'!\115), "", 'Data Entry'!\115)</f>
      </c>
      <c r="AC115">
        <f>IF(ISBLANK('Data Entry'!]115), "", 'Data Entry'!]115)</f>
      </c>
      <c r="AD115">
        <f>IF(ISBLANK('Data Entry'!^115), "", 'Data Entry'!^115)</f>
      </c>
      <c r="AE115">
        <f>IF(ISBLANK('Data Entry'!_115), "", 'Data Entry'!_115)</f>
      </c>
      <c r="AF115">
        <f>IF(ISBLANK('Data Entry'!`115), "", 'Data Entry'!`115)</f>
      </c>
      <c r="AG115">
        <f>IF(ISBLANK('Data Entry'!a115), "", 'Data Entry'!a115)</f>
      </c>
      <c r="AH115">
        <f>IF(ISBLANK('Data Entry'!b115), "", 'Data Entry'!b115)</f>
      </c>
      <c r="AI115">
        <f>IF(ISBLANK('Data Entry'!c115), "", 'Data Entry'!c115)</f>
      </c>
      <c r="AJ115">
        <f>IF(ISBLANK('Data Entry'!d115), "", 'Data Entry'!d115)</f>
      </c>
      <c r="AK115">
        <f>IF(ISBLANK('Data Entry'!e115), "", 'Data Entry'!e115)</f>
      </c>
      <c r="AL115">
        <f>IF(ISBLANK('Data Entry'!f115), "", 'Data Entry'!f115)</f>
      </c>
      <c r="AM115">
        <f>IF(ISBLANK('Data Entry'!g115), "", 'Data Entry'!g115)</f>
      </c>
      <c r="AN115">
        <f>IF(ISBLANK('Data Entry'!h115), "", 'Data Entry'!h115)</f>
      </c>
    </row>
    <row r="116" spans="1:40" x14ac:dyDescent="0.25">
      <c r="A116">
        <f>IF(ISBLANK('Data Entry'!A116), "", 'Data Entry'!A116)</f>
      </c>
      <c r="B116">
        <f>IF(ISBLANK('Data Entry'!B116), "", 'Data Entry'!B116)</f>
      </c>
      <c r="C116">
        <f>IF(ISBLANK('Data Entry'!C116), "", 'Data Entry'!C116)</f>
      </c>
      <c r="D116">
        <f>IF(ISBLANK('Data Entry'!D116), "", 'Data Entry'!D116)</f>
      </c>
      <c r="E116">
        <f>IF(ISBLANK('Data Entry'!E116), "", 'Data Entry'!E116)</f>
      </c>
      <c r="F116">
        <f>IF(ISBLANK('Data Entry'!F116), "", 'Data Entry'!F116)</f>
      </c>
      <c r="G116">
        <f>IF(ISBLANK('Data Entry'!G116), "", 'Data Entry'!G116)</f>
      </c>
      <c r="H116">
        <f>IF(ISBLANK('Data Entry'!H116), "", 'Data Entry'!H116)</f>
      </c>
      <c r="I116">
        <f>IF(ISBLANK('Data Entry'!I116), "", 'Data Entry'!I116)</f>
      </c>
      <c r="J116">
        <f>IF(ISBLANK('Data Entry'!J116), "", 'Data Entry'!J116)</f>
      </c>
      <c r="K116">
        <f>IF(ISBLANK('Data Entry'!K116), "", 'Data Entry'!K116)</f>
      </c>
      <c r="L116">
        <f>IF(ISBLANK('Data Entry'!L116), "", 'Data Entry'!L116)</f>
      </c>
      <c r="M116">
        <f>IF(ISBLANK('Data Entry'!M116), "", 'Data Entry'!M116)</f>
      </c>
      <c r="N116">
        <f>IF(ISBLANK('Data Entry'!N116), "", 'Data Entry'!N116)</f>
      </c>
      <c r="O116">
        <f>IF(ISBLANK('Data Entry'!O116), "", 'Data Entry'!O116)</f>
      </c>
      <c r="P116">
        <f>IF(ISBLANK('Data Entry'!P116), "", 'Data Entry'!P116)</f>
      </c>
      <c r="Q116">
        <f>IF(ISBLANK('Data Entry'!Q116), "", 'Data Entry'!Q116)</f>
      </c>
      <c r="R116">
        <f>IF(ISBLANK('Data Entry'!R116), "", 'Data Entry'!R116)</f>
      </c>
      <c r="S116">
        <f>IF(ISBLANK('Data Entry'!S116), "", 'Data Entry'!S116)</f>
      </c>
      <c r="T116">
        <f>IF(ISBLANK('Data Entry'!T116), "", 'Data Entry'!T116)</f>
      </c>
      <c r="U116">
        <f>IF(ISBLANK('Data Entry'!U116), "", 'Data Entry'!U116)</f>
      </c>
      <c r="V116">
        <f>IF(ISBLANK('Data Entry'!V116), "", 'Data Entry'!V116)</f>
      </c>
      <c r="W116">
        <f>IF(ISBLANK('Data Entry'!W116), "", 'Data Entry'!W116)</f>
      </c>
      <c r="X116">
        <f>IF(ISBLANK('Data Entry'!X116), "", 'Data Entry'!X116)</f>
      </c>
      <c r="Y116">
        <f>IF(ISBLANK('Data Entry'!Y116), "", 'Data Entry'!Y116)</f>
      </c>
      <c r="Z116">
        <f>IF(ISBLANK('Data Entry'!Z116), "", 'Data Entry'!Z116)</f>
      </c>
      <c r="AA116">
        <f>IF(ISBLANK('Data Entry'![116), "", 'Data Entry'![116)</f>
      </c>
      <c r="AB116">
        <f>IF(ISBLANK('Data Entry'!\116), "", 'Data Entry'!\116)</f>
      </c>
      <c r="AC116">
        <f>IF(ISBLANK('Data Entry'!]116), "", 'Data Entry'!]116)</f>
      </c>
      <c r="AD116">
        <f>IF(ISBLANK('Data Entry'!^116), "", 'Data Entry'!^116)</f>
      </c>
      <c r="AE116">
        <f>IF(ISBLANK('Data Entry'!_116), "", 'Data Entry'!_116)</f>
      </c>
      <c r="AF116">
        <f>IF(ISBLANK('Data Entry'!`116), "", 'Data Entry'!`116)</f>
      </c>
      <c r="AG116">
        <f>IF(ISBLANK('Data Entry'!a116), "", 'Data Entry'!a116)</f>
      </c>
      <c r="AH116">
        <f>IF(ISBLANK('Data Entry'!b116), "", 'Data Entry'!b116)</f>
      </c>
      <c r="AI116">
        <f>IF(ISBLANK('Data Entry'!c116), "", 'Data Entry'!c116)</f>
      </c>
      <c r="AJ116">
        <f>IF(ISBLANK('Data Entry'!d116), "", 'Data Entry'!d116)</f>
      </c>
      <c r="AK116">
        <f>IF(ISBLANK('Data Entry'!e116), "", 'Data Entry'!e116)</f>
      </c>
      <c r="AL116">
        <f>IF(ISBLANK('Data Entry'!f116), "", 'Data Entry'!f116)</f>
      </c>
      <c r="AM116">
        <f>IF(ISBLANK('Data Entry'!g116), "", 'Data Entry'!g116)</f>
      </c>
      <c r="AN116">
        <f>IF(ISBLANK('Data Entry'!h116), "", 'Data Entry'!h116)</f>
      </c>
    </row>
    <row r="117" spans="1:40" x14ac:dyDescent="0.25">
      <c r="A117">
        <f>IF(ISBLANK('Data Entry'!A117), "", 'Data Entry'!A117)</f>
      </c>
      <c r="B117">
        <f>IF(ISBLANK('Data Entry'!B117), "", 'Data Entry'!B117)</f>
      </c>
      <c r="C117">
        <f>IF(ISBLANK('Data Entry'!C117), "", 'Data Entry'!C117)</f>
      </c>
      <c r="D117">
        <f>IF(ISBLANK('Data Entry'!D117), "", 'Data Entry'!D117)</f>
      </c>
      <c r="E117">
        <f>IF(ISBLANK('Data Entry'!E117), "", 'Data Entry'!E117)</f>
      </c>
      <c r="F117">
        <f>IF(ISBLANK('Data Entry'!F117), "", 'Data Entry'!F117)</f>
      </c>
      <c r="G117">
        <f>IF(ISBLANK('Data Entry'!G117), "", 'Data Entry'!G117)</f>
      </c>
      <c r="H117">
        <f>IF(ISBLANK('Data Entry'!H117), "", 'Data Entry'!H117)</f>
      </c>
      <c r="I117">
        <f>IF(ISBLANK('Data Entry'!I117), "", 'Data Entry'!I117)</f>
      </c>
      <c r="J117">
        <f>IF(ISBLANK('Data Entry'!J117), "", 'Data Entry'!J117)</f>
      </c>
      <c r="K117">
        <f>IF(ISBLANK('Data Entry'!K117), "", 'Data Entry'!K117)</f>
      </c>
      <c r="L117">
        <f>IF(ISBLANK('Data Entry'!L117), "", 'Data Entry'!L117)</f>
      </c>
      <c r="M117">
        <f>IF(ISBLANK('Data Entry'!M117), "", 'Data Entry'!M117)</f>
      </c>
      <c r="N117">
        <f>IF(ISBLANK('Data Entry'!N117), "", 'Data Entry'!N117)</f>
      </c>
      <c r="O117">
        <f>IF(ISBLANK('Data Entry'!O117), "", 'Data Entry'!O117)</f>
      </c>
      <c r="P117">
        <f>IF(ISBLANK('Data Entry'!P117), "", 'Data Entry'!P117)</f>
      </c>
      <c r="Q117">
        <f>IF(ISBLANK('Data Entry'!Q117), "", 'Data Entry'!Q117)</f>
      </c>
      <c r="R117">
        <f>IF(ISBLANK('Data Entry'!R117), "", 'Data Entry'!R117)</f>
      </c>
      <c r="S117">
        <f>IF(ISBLANK('Data Entry'!S117), "", 'Data Entry'!S117)</f>
      </c>
      <c r="T117">
        <f>IF(ISBLANK('Data Entry'!T117), "", 'Data Entry'!T117)</f>
      </c>
      <c r="U117">
        <f>IF(ISBLANK('Data Entry'!U117), "", 'Data Entry'!U117)</f>
      </c>
      <c r="V117">
        <f>IF(ISBLANK('Data Entry'!V117), "", 'Data Entry'!V117)</f>
      </c>
      <c r="W117">
        <f>IF(ISBLANK('Data Entry'!W117), "", 'Data Entry'!W117)</f>
      </c>
      <c r="X117">
        <f>IF(ISBLANK('Data Entry'!X117), "", 'Data Entry'!X117)</f>
      </c>
      <c r="Y117">
        <f>IF(ISBLANK('Data Entry'!Y117), "", 'Data Entry'!Y117)</f>
      </c>
      <c r="Z117">
        <f>IF(ISBLANK('Data Entry'!Z117), "", 'Data Entry'!Z117)</f>
      </c>
      <c r="AA117">
        <f>IF(ISBLANK('Data Entry'![117), "", 'Data Entry'![117)</f>
      </c>
      <c r="AB117">
        <f>IF(ISBLANK('Data Entry'!\117), "", 'Data Entry'!\117)</f>
      </c>
      <c r="AC117">
        <f>IF(ISBLANK('Data Entry'!]117), "", 'Data Entry'!]117)</f>
      </c>
      <c r="AD117">
        <f>IF(ISBLANK('Data Entry'!^117), "", 'Data Entry'!^117)</f>
      </c>
      <c r="AE117">
        <f>IF(ISBLANK('Data Entry'!_117), "", 'Data Entry'!_117)</f>
      </c>
      <c r="AF117">
        <f>IF(ISBLANK('Data Entry'!`117), "", 'Data Entry'!`117)</f>
      </c>
      <c r="AG117">
        <f>IF(ISBLANK('Data Entry'!a117), "", 'Data Entry'!a117)</f>
      </c>
      <c r="AH117">
        <f>IF(ISBLANK('Data Entry'!b117), "", 'Data Entry'!b117)</f>
      </c>
      <c r="AI117">
        <f>IF(ISBLANK('Data Entry'!c117), "", 'Data Entry'!c117)</f>
      </c>
      <c r="AJ117">
        <f>IF(ISBLANK('Data Entry'!d117), "", 'Data Entry'!d117)</f>
      </c>
      <c r="AK117">
        <f>IF(ISBLANK('Data Entry'!e117), "", 'Data Entry'!e117)</f>
      </c>
      <c r="AL117">
        <f>IF(ISBLANK('Data Entry'!f117), "", 'Data Entry'!f117)</f>
      </c>
      <c r="AM117">
        <f>IF(ISBLANK('Data Entry'!g117), "", 'Data Entry'!g117)</f>
      </c>
      <c r="AN117">
        <f>IF(ISBLANK('Data Entry'!h117), "", 'Data Entry'!h117)</f>
      </c>
    </row>
    <row r="118" spans="1:40" x14ac:dyDescent="0.25">
      <c r="A118">
        <f>IF(ISBLANK('Data Entry'!A118), "", 'Data Entry'!A118)</f>
      </c>
      <c r="B118">
        <f>IF(ISBLANK('Data Entry'!B118), "", 'Data Entry'!B118)</f>
      </c>
      <c r="C118">
        <f>IF(ISBLANK('Data Entry'!C118), "", 'Data Entry'!C118)</f>
      </c>
      <c r="D118">
        <f>IF(ISBLANK('Data Entry'!D118), "", 'Data Entry'!D118)</f>
      </c>
      <c r="E118">
        <f>IF(ISBLANK('Data Entry'!E118), "", 'Data Entry'!E118)</f>
      </c>
      <c r="F118">
        <f>IF(ISBLANK('Data Entry'!F118), "", 'Data Entry'!F118)</f>
      </c>
      <c r="G118">
        <f>IF(ISBLANK('Data Entry'!G118), "", 'Data Entry'!G118)</f>
      </c>
      <c r="H118">
        <f>IF(ISBLANK('Data Entry'!H118), "", 'Data Entry'!H118)</f>
      </c>
      <c r="I118">
        <f>IF(ISBLANK('Data Entry'!I118), "", 'Data Entry'!I118)</f>
      </c>
      <c r="J118">
        <f>IF(ISBLANK('Data Entry'!J118), "", 'Data Entry'!J118)</f>
      </c>
      <c r="K118">
        <f>IF(ISBLANK('Data Entry'!K118), "", 'Data Entry'!K118)</f>
      </c>
      <c r="L118">
        <f>IF(ISBLANK('Data Entry'!L118), "", 'Data Entry'!L118)</f>
      </c>
      <c r="M118">
        <f>IF(ISBLANK('Data Entry'!M118), "", 'Data Entry'!M118)</f>
      </c>
      <c r="N118">
        <f>IF(ISBLANK('Data Entry'!N118), "", 'Data Entry'!N118)</f>
      </c>
      <c r="O118">
        <f>IF(ISBLANK('Data Entry'!O118), "", 'Data Entry'!O118)</f>
      </c>
      <c r="P118">
        <f>IF(ISBLANK('Data Entry'!P118), "", 'Data Entry'!P118)</f>
      </c>
      <c r="Q118">
        <f>IF(ISBLANK('Data Entry'!Q118), "", 'Data Entry'!Q118)</f>
      </c>
      <c r="R118">
        <f>IF(ISBLANK('Data Entry'!R118), "", 'Data Entry'!R118)</f>
      </c>
      <c r="S118">
        <f>IF(ISBLANK('Data Entry'!S118), "", 'Data Entry'!S118)</f>
      </c>
      <c r="T118">
        <f>IF(ISBLANK('Data Entry'!T118), "", 'Data Entry'!T118)</f>
      </c>
      <c r="U118">
        <f>IF(ISBLANK('Data Entry'!U118), "", 'Data Entry'!U118)</f>
      </c>
      <c r="V118">
        <f>IF(ISBLANK('Data Entry'!V118), "", 'Data Entry'!V118)</f>
      </c>
      <c r="W118">
        <f>IF(ISBLANK('Data Entry'!W118), "", 'Data Entry'!W118)</f>
      </c>
      <c r="X118">
        <f>IF(ISBLANK('Data Entry'!X118), "", 'Data Entry'!X118)</f>
      </c>
      <c r="Y118">
        <f>IF(ISBLANK('Data Entry'!Y118), "", 'Data Entry'!Y118)</f>
      </c>
      <c r="Z118">
        <f>IF(ISBLANK('Data Entry'!Z118), "", 'Data Entry'!Z118)</f>
      </c>
      <c r="AA118">
        <f>IF(ISBLANK('Data Entry'![118), "", 'Data Entry'![118)</f>
      </c>
      <c r="AB118">
        <f>IF(ISBLANK('Data Entry'!\118), "", 'Data Entry'!\118)</f>
      </c>
      <c r="AC118">
        <f>IF(ISBLANK('Data Entry'!]118), "", 'Data Entry'!]118)</f>
      </c>
      <c r="AD118">
        <f>IF(ISBLANK('Data Entry'!^118), "", 'Data Entry'!^118)</f>
      </c>
      <c r="AE118">
        <f>IF(ISBLANK('Data Entry'!_118), "", 'Data Entry'!_118)</f>
      </c>
      <c r="AF118">
        <f>IF(ISBLANK('Data Entry'!`118), "", 'Data Entry'!`118)</f>
      </c>
      <c r="AG118">
        <f>IF(ISBLANK('Data Entry'!a118), "", 'Data Entry'!a118)</f>
      </c>
      <c r="AH118">
        <f>IF(ISBLANK('Data Entry'!b118), "", 'Data Entry'!b118)</f>
      </c>
      <c r="AI118">
        <f>IF(ISBLANK('Data Entry'!c118), "", 'Data Entry'!c118)</f>
      </c>
      <c r="AJ118">
        <f>IF(ISBLANK('Data Entry'!d118), "", 'Data Entry'!d118)</f>
      </c>
      <c r="AK118">
        <f>IF(ISBLANK('Data Entry'!e118), "", 'Data Entry'!e118)</f>
      </c>
      <c r="AL118">
        <f>IF(ISBLANK('Data Entry'!f118), "", 'Data Entry'!f118)</f>
      </c>
      <c r="AM118">
        <f>IF(ISBLANK('Data Entry'!g118), "", 'Data Entry'!g118)</f>
      </c>
      <c r="AN118">
        <f>IF(ISBLANK('Data Entry'!h118), "", 'Data Entry'!h118)</f>
      </c>
    </row>
    <row r="119" spans="1:40" x14ac:dyDescent="0.25">
      <c r="A119">
        <f>IF(ISBLANK('Data Entry'!A119), "", 'Data Entry'!A119)</f>
      </c>
      <c r="B119">
        <f>IF(ISBLANK('Data Entry'!B119), "", 'Data Entry'!B119)</f>
      </c>
      <c r="C119">
        <f>IF(ISBLANK('Data Entry'!C119), "", 'Data Entry'!C119)</f>
      </c>
      <c r="D119">
        <f>IF(ISBLANK('Data Entry'!D119), "", 'Data Entry'!D119)</f>
      </c>
      <c r="E119">
        <f>IF(ISBLANK('Data Entry'!E119), "", 'Data Entry'!E119)</f>
      </c>
      <c r="F119">
        <f>IF(ISBLANK('Data Entry'!F119), "", 'Data Entry'!F119)</f>
      </c>
      <c r="G119">
        <f>IF(ISBLANK('Data Entry'!G119), "", 'Data Entry'!G119)</f>
      </c>
      <c r="H119">
        <f>IF(ISBLANK('Data Entry'!H119), "", 'Data Entry'!H119)</f>
      </c>
      <c r="I119">
        <f>IF(ISBLANK('Data Entry'!I119), "", 'Data Entry'!I119)</f>
      </c>
      <c r="J119">
        <f>IF(ISBLANK('Data Entry'!J119), "", 'Data Entry'!J119)</f>
      </c>
      <c r="K119">
        <f>IF(ISBLANK('Data Entry'!K119), "", 'Data Entry'!K119)</f>
      </c>
      <c r="L119">
        <f>IF(ISBLANK('Data Entry'!L119), "", 'Data Entry'!L119)</f>
      </c>
      <c r="M119">
        <f>IF(ISBLANK('Data Entry'!M119), "", 'Data Entry'!M119)</f>
      </c>
      <c r="N119">
        <f>IF(ISBLANK('Data Entry'!N119), "", 'Data Entry'!N119)</f>
      </c>
      <c r="O119">
        <f>IF(ISBLANK('Data Entry'!O119), "", 'Data Entry'!O119)</f>
      </c>
      <c r="P119">
        <f>IF(ISBLANK('Data Entry'!P119), "", 'Data Entry'!P119)</f>
      </c>
      <c r="Q119">
        <f>IF(ISBLANK('Data Entry'!Q119), "", 'Data Entry'!Q119)</f>
      </c>
      <c r="R119">
        <f>IF(ISBLANK('Data Entry'!R119), "", 'Data Entry'!R119)</f>
      </c>
      <c r="S119">
        <f>IF(ISBLANK('Data Entry'!S119), "", 'Data Entry'!S119)</f>
      </c>
      <c r="T119">
        <f>IF(ISBLANK('Data Entry'!T119), "", 'Data Entry'!T119)</f>
      </c>
      <c r="U119">
        <f>IF(ISBLANK('Data Entry'!U119), "", 'Data Entry'!U119)</f>
      </c>
      <c r="V119">
        <f>IF(ISBLANK('Data Entry'!V119), "", 'Data Entry'!V119)</f>
      </c>
      <c r="W119">
        <f>IF(ISBLANK('Data Entry'!W119), "", 'Data Entry'!W119)</f>
      </c>
      <c r="X119">
        <f>IF(ISBLANK('Data Entry'!X119), "", 'Data Entry'!X119)</f>
      </c>
      <c r="Y119">
        <f>IF(ISBLANK('Data Entry'!Y119), "", 'Data Entry'!Y119)</f>
      </c>
      <c r="Z119">
        <f>IF(ISBLANK('Data Entry'!Z119), "", 'Data Entry'!Z119)</f>
      </c>
      <c r="AA119">
        <f>IF(ISBLANK('Data Entry'![119), "", 'Data Entry'![119)</f>
      </c>
      <c r="AB119">
        <f>IF(ISBLANK('Data Entry'!\119), "", 'Data Entry'!\119)</f>
      </c>
      <c r="AC119">
        <f>IF(ISBLANK('Data Entry'!]119), "", 'Data Entry'!]119)</f>
      </c>
      <c r="AD119">
        <f>IF(ISBLANK('Data Entry'!^119), "", 'Data Entry'!^119)</f>
      </c>
      <c r="AE119">
        <f>IF(ISBLANK('Data Entry'!_119), "", 'Data Entry'!_119)</f>
      </c>
      <c r="AF119">
        <f>IF(ISBLANK('Data Entry'!`119), "", 'Data Entry'!`119)</f>
      </c>
      <c r="AG119">
        <f>IF(ISBLANK('Data Entry'!a119), "", 'Data Entry'!a119)</f>
      </c>
      <c r="AH119">
        <f>IF(ISBLANK('Data Entry'!b119), "", 'Data Entry'!b119)</f>
      </c>
      <c r="AI119">
        <f>IF(ISBLANK('Data Entry'!c119), "", 'Data Entry'!c119)</f>
      </c>
      <c r="AJ119">
        <f>IF(ISBLANK('Data Entry'!d119), "", 'Data Entry'!d119)</f>
      </c>
      <c r="AK119">
        <f>IF(ISBLANK('Data Entry'!e119), "", 'Data Entry'!e119)</f>
      </c>
      <c r="AL119">
        <f>IF(ISBLANK('Data Entry'!f119), "", 'Data Entry'!f119)</f>
      </c>
      <c r="AM119">
        <f>IF(ISBLANK('Data Entry'!g119), "", 'Data Entry'!g119)</f>
      </c>
      <c r="AN119">
        <f>IF(ISBLANK('Data Entry'!h119), "", 'Data Entry'!h119)</f>
      </c>
    </row>
    <row r="120" spans="1:40" x14ac:dyDescent="0.25">
      <c r="A120">
        <f>IF(ISBLANK('Data Entry'!A120), "", 'Data Entry'!A120)</f>
      </c>
      <c r="B120">
        <f>IF(ISBLANK('Data Entry'!B120), "", 'Data Entry'!B120)</f>
      </c>
      <c r="C120">
        <f>IF(ISBLANK('Data Entry'!C120), "", 'Data Entry'!C120)</f>
      </c>
      <c r="D120">
        <f>IF(ISBLANK('Data Entry'!D120), "", 'Data Entry'!D120)</f>
      </c>
      <c r="E120">
        <f>IF(ISBLANK('Data Entry'!E120), "", 'Data Entry'!E120)</f>
      </c>
      <c r="F120">
        <f>IF(ISBLANK('Data Entry'!F120), "", 'Data Entry'!F120)</f>
      </c>
      <c r="G120">
        <f>IF(ISBLANK('Data Entry'!G120), "", 'Data Entry'!G120)</f>
      </c>
      <c r="H120">
        <f>IF(ISBLANK('Data Entry'!H120), "", 'Data Entry'!H120)</f>
      </c>
      <c r="I120">
        <f>IF(ISBLANK('Data Entry'!I120), "", 'Data Entry'!I120)</f>
      </c>
      <c r="J120">
        <f>IF(ISBLANK('Data Entry'!J120), "", 'Data Entry'!J120)</f>
      </c>
      <c r="K120">
        <f>IF(ISBLANK('Data Entry'!K120), "", 'Data Entry'!K120)</f>
      </c>
      <c r="L120">
        <f>IF(ISBLANK('Data Entry'!L120), "", 'Data Entry'!L120)</f>
      </c>
      <c r="M120">
        <f>IF(ISBLANK('Data Entry'!M120), "", 'Data Entry'!M120)</f>
      </c>
      <c r="N120">
        <f>IF(ISBLANK('Data Entry'!N120), "", 'Data Entry'!N120)</f>
      </c>
      <c r="O120">
        <f>IF(ISBLANK('Data Entry'!O120), "", 'Data Entry'!O120)</f>
      </c>
      <c r="P120">
        <f>IF(ISBLANK('Data Entry'!P120), "", 'Data Entry'!P120)</f>
      </c>
      <c r="Q120">
        <f>IF(ISBLANK('Data Entry'!Q120), "", 'Data Entry'!Q120)</f>
      </c>
      <c r="R120">
        <f>IF(ISBLANK('Data Entry'!R120), "", 'Data Entry'!R120)</f>
      </c>
      <c r="S120">
        <f>IF(ISBLANK('Data Entry'!S120), "", 'Data Entry'!S120)</f>
      </c>
      <c r="T120">
        <f>IF(ISBLANK('Data Entry'!T120), "", 'Data Entry'!T120)</f>
      </c>
      <c r="U120">
        <f>IF(ISBLANK('Data Entry'!U120), "", 'Data Entry'!U120)</f>
      </c>
      <c r="V120">
        <f>IF(ISBLANK('Data Entry'!V120), "", 'Data Entry'!V120)</f>
      </c>
      <c r="W120">
        <f>IF(ISBLANK('Data Entry'!W120), "", 'Data Entry'!W120)</f>
      </c>
      <c r="X120">
        <f>IF(ISBLANK('Data Entry'!X120), "", 'Data Entry'!X120)</f>
      </c>
      <c r="Y120">
        <f>IF(ISBLANK('Data Entry'!Y120), "", 'Data Entry'!Y120)</f>
      </c>
      <c r="Z120">
        <f>IF(ISBLANK('Data Entry'!Z120), "", 'Data Entry'!Z120)</f>
      </c>
      <c r="AA120">
        <f>IF(ISBLANK('Data Entry'![120), "", 'Data Entry'![120)</f>
      </c>
      <c r="AB120">
        <f>IF(ISBLANK('Data Entry'!\120), "", 'Data Entry'!\120)</f>
      </c>
      <c r="AC120">
        <f>IF(ISBLANK('Data Entry'!]120), "", 'Data Entry'!]120)</f>
      </c>
      <c r="AD120">
        <f>IF(ISBLANK('Data Entry'!^120), "", 'Data Entry'!^120)</f>
      </c>
      <c r="AE120">
        <f>IF(ISBLANK('Data Entry'!_120), "", 'Data Entry'!_120)</f>
      </c>
      <c r="AF120">
        <f>IF(ISBLANK('Data Entry'!`120), "", 'Data Entry'!`120)</f>
      </c>
      <c r="AG120">
        <f>IF(ISBLANK('Data Entry'!a120), "", 'Data Entry'!a120)</f>
      </c>
      <c r="AH120">
        <f>IF(ISBLANK('Data Entry'!b120), "", 'Data Entry'!b120)</f>
      </c>
      <c r="AI120">
        <f>IF(ISBLANK('Data Entry'!c120), "", 'Data Entry'!c120)</f>
      </c>
      <c r="AJ120">
        <f>IF(ISBLANK('Data Entry'!d120), "", 'Data Entry'!d120)</f>
      </c>
      <c r="AK120">
        <f>IF(ISBLANK('Data Entry'!e120), "", 'Data Entry'!e120)</f>
      </c>
      <c r="AL120">
        <f>IF(ISBLANK('Data Entry'!f120), "", 'Data Entry'!f120)</f>
      </c>
      <c r="AM120">
        <f>IF(ISBLANK('Data Entry'!g120), "", 'Data Entry'!g120)</f>
      </c>
      <c r="AN120">
        <f>IF(ISBLANK('Data Entry'!h120), "", 'Data Entry'!h120)</f>
      </c>
    </row>
    <row r="121" spans="1:40" x14ac:dyDescent="0.25">
      <c r="A121">
        <f>IF(ISBLANK('Data Entry'!A121), "", 'Data Entry'!A121)</f>
      </c>
      <c r="B121">
        <f>IF(ISBLANK('Data Entry'!B121), "", 'Data Entry'!B121)</f>
      </c>
      <c r="C121">
        <f>IF(ISBLANK('Data Entry'!C121), "", 'Data Entry'!C121)</f>
      </c>
      <c r="D121">
        <f>IF(ISBLANK('Data Entry'!D121), "", 'Data Entry'!D121)</f>
      </c>
      <c r="E121">
        <f>IF(ISBLANK('Data Entry'!E121), "", 'Data Entry'!E121)</f>
      </c>
      <c r="F121">
        <f>IF(ISBLANK('Data Entry'!F121), "", 'Data Entry'!F121)</f>
      </c>
      <c r="G121">
        <f>IF(ISBLANK('Data Entry'!G121), "", 'Data Entry'!G121)</f>
      </c>
      <c r="H121">
        <f>IF(ISBLANK('Data Entry'!H121), "", 'Data Entry'!H121)</f>
      </c>
      <c r="I121">
        <f>IF(ISBLANK('Data Entry'!I121), "", 'Data Entry'!I121)</f>
      </c>
      <c r="J121">
        <f>IF(ISBLANK('Data Entry'!J121), "", 'Data Entry'!J121)</f>
      </c>
      <c r="K121">
        <f>IF(ISBLANK('Data Entry'!K121), "", 'Data Entry'!K121)</f>
      </c>
      <c r="L121">
        <f>IF(ISBLANK('Data Entry'!L121), "", 'Data Entry'!L121)</f>
      </c>
      <c r="M121">
        <f>IF(ISBLANK('Data Entry'!M121), "", 'Data Entry'!M121)</f>
      </c>
      <c r="N121">
        <f>IF(ISBLANK('Data Entry'!N121), "", 'Data Entry'!N121)</f>
      </c>
      <c r="O121">
        <f>IF(ISBLANK('Data Entry'!O121), "", 'Data Entry'!O121)</f>
      </c>
      <c r="P121">
        <f>IF(ISBLANK('Data Entry'!P121), "", 'Data Entry'!P121)</f>
      </c>
      <c r="Q121">
        <f>IF(ISBLANK('Data Entry'!Q121), "", 'Data Entry'!Q121)</f>
      </c>
      <c r="R121">
        <f>IF(ISBLANK('Data Entry'!R121), "", 'Data Entry'!R121)</f>
      </c>
      <c r="S121">
        <f>IF(ISBLANK('Data Entry'!S121), "", 'Data Entry'!S121)</f>
      </c>
      <c r="T121">
        <f>IF(ISBLANK('Data Entry'!T121), "", 'Data Entry'!T121)</f>
      </c>
      <c r="U121">
        <f>IF(ISBLANK('Data Entry'!U121), "", 'Data Entry'!U121)</f>
      </c>
      <c r="V121">
        <f>IF(ISBLANK('Data Entry'!V121), "", 'Data Entry'!V121)</f>
      </c>
      <c r="W121">
        <f>IF(ISBLANK('Data Entry'!W121), "", 'Data Entry'!W121)</f>
      </c>
      <c r="X121">
        <f>IF(ISBLANK('Data Entry'!X121), "", 'Data Entry'!X121)</f>
      </c>
      <c r="Y121">
        <f>IF(ISBLANK('Data Entry'!Y121), "", 'Data Entry'!Y121)</f>
      </c>
      <c r="Z121">
        <f>IF(ISBLANK('Data Entry'!Z121), "", 'Data Entry'!Z121)</f>
      </c>
      <c r="AA121">
        <f>IF(ISBLANK('Data Entry'![121), "", 'Data Entry'![121)</f>
      </c>
      <c r="AB121">
        <f>IF(ISBLANK('Data Entry'!\121), "", 'Data Entry'!\121)</f>
      </c>
      <c r="AC121">
        <f>IF(ISBLANK('Data Entry'!]121), "", 'Data Entry'!]121)</f>
      </c>
      <c r="AD121">
        <f>IF(ISBLANK('Data Entry'!^121), "", 'Data Entry'!^121)</f>
      </c>
      <c r="AE121">
        <f>IF(ISBLANK('Data Entry'!_121), "", 'Data Entry'!_121)</f>
      </c>
      <c r="AF121">
        <f>IF(ISBLANK('Data Entry'!`121), "", 'Data Entry'!`121)</f>
      </c>
      <c r="AG121">
        <f>IF(ISBLANK('Data Entry'!a121), "", 'Data Entry'!a121)</f>
      </c>
      <c r="AH121">
        <f>IF(ISBLANK('Data Entry'!b121), "", 'Data Entry'!b121)</f>
      </c>
      <c r="AI121">
        <f>IF(ISBLANK('Data Entry'!c121), "", 'Data Entry'!c121)</f>
      </c>
      <c r="AJ121">
        <f>IF(ISBLANK('Data Entry'!d121), "", 'Data Entry'!d121)</f>
      </c>
      <c r="AK121">
        <f>IF(ISBLANK('Data Entry'!e121), "", 'Data Entry'!e121)</f>
      </c>
      <c r="AL121">
        <f>IF(ISBLANK('Data Entry'!f121), "", 'Data Entry'!f121)</f>
      </c>
      <c r="AM121">
        <f>IF(ISBLANK('Data Entry'!g121), "", 'Data Entry'!g121)</f>
      </c>
      <c r="AN121">
        <f>IF(ISBLANK('Data Entry'!h121), "", 'Data Entry'!h121)</f>
      </c>
    </row>
    <row r="122" spans="1:40" x14ac:dyDescent="0.25">
      <c r="A122">
        <f>IF(ISBLANK('Data Entry'!A122), "", 'Data Entry'!A122)</f>
      </c>
      <c r="B122">
        <f>IF(ISBLANK('Data Entry'!B122), "", 'Data Entry'!B122)</f>
      </c>
      <c r="C122">
        <f>IF(ISBLANK('Data Entry'!C122), "", 'Data Entry'!C122)</f>
      </c>
      <c r="D122">
        <f>IF(ISBLANK('Data Entry'!D122), "", 'Data Entry'!D122)</f>
      </c>
      <c r="E122">
        <f>IF(ISBLANK('Data Entry'!E122), "", 'Data Entry'!E122)</f>
      </c>
      <c r="F122">
        <f>IF(ISBLANK('Data Entry'!F122), "", 'Data Entry'!F122)</f>
      </c>
      <c r="G122">
        <f>IF(ISBLANK('Data Entry'!G122), "", 'Data Entry'!G122)</f>
      </c>
      <c r="H122">
        <f>IF(ISBLANK('Data Entry'!H122), "", 'Data Entry'!H122)</f>
      </c>
      <c r="I122">
        <f>IF(ISBLANK('Data Entry'!I122), "", 'Data Entry'!I122)</f>
      </c>
      <c r="J122">
        <f>IF(ISBLANK('Data Entry'!J122), "", 'Data Entry'!J122)</f>
      </c>
      <c r="K122">
        <f>IF(ISBLANK('Data Entry'!K122), "", 'Data Entry'!K122)</f>
      </c>
      <c r="L122">
        <f>IF(ISBLANK('Data Entry'!L122), "", 'Data Entry'!L122)</f>
      </c>
      <c r="M122">
        <f>IF(ISBLANK('Data Entry'!M122), "", 'Data Entry'!M122)</f>
      </c>
      <c r="N122">
        <f>IF(ISBLANK('Data Entry'!N122), "", 'Data Entry'!N122)</f>
      </c>
      <c r="O122">
        <f>IF(ISBLANK('Data Entry'!O122), "", 'Data Entry'!O122)</f>
      </c>
      <c r="P122">
        <f>IF(ISBLANK('Data Entry'!P122), "", 'Data Entry'!P122)</f>
      </c>
      <c r="Q122">
        <f>IF(ISBLANK('Data Entry'!Q122), "", 'Data Entry'!Q122)</f>
      </c>
      <c r="R122">
        <f>IF(ISBLANK('Data Entry'!R122), "", 'Data Entry'!R122)</f>
      </c>
      <c r="S122">
        <f>IF(ISBLANK('Data Entry'!S122), "", 'Data Entry'!S122)</f>
      </c>
      <c r="T122">
        <f>IF(ISBLANK('Data Entry'!T122), "", 'Data Entry'!T122)</f>
      </c>
      <c r="U122">
        <f>IF(ISBLANK('Data Entry'!U122), "", 'Data Entry'!U122)</f>
      </c>
      <c r="V122">
        <f>IF(ISBLANK('Data Entry'!V122), "", 'Data Entry'!V122)</f>
      </c>
      <c r="W122">
        <f>IF(ISBLANK('Data Entry'!W122), "", 'Data Entry'!W122)</f>
      </c>
      <c r="X122">
        <f>IF(ISBLANK('Data Entry'!X122), "", 'Data Entry'!X122)</f>
      </c>
      <c r="Y122">
        <f>IF(ISBLANK('Data Entry'!Y122), "", 'Data Entry'!Y122)</f>
      </c>
      <c r="Z122">
        <f>IF(ISBLANK('Data Entry'!Z122), "", 'Data Entry'!Z122)</f>
      </c>
      <c r="AA122">
        <f>IF(ISBLANK('Data Entry'![122), "", 'Data Entry'![122)</f>
      </c>
      <c r="AB122">
        <f>IF(ISBLANK('Data Entry'!\122), "", 'Data Entry'!\122)</f>
      </c>
      <c r="AC122">
        <f>IF(ISBLANK('Data Entry'!]122), "", 'Data Entry'!]122)</f>
      </c>
      <c r="AD122">
        <f>IF(ISBLANK('Data Entry'!^122), "", 'Data Entry'!^122)</f>
      </c>
      <c r="AE122">
        <f>IF(ISBLANK('Data Entry'!_122), "", 'Data Entry'!_122)</f>
      </c>
      <c r="AF122">
        <f>IF(ISBLANK('Data Entry'!`122), "", 'Data Entry'!`122)</f>
      </c>
      <c r="AG122">
        <f>IF(ISBLANK('Data Entry'!a122), "", 'Data Entry'!a122)</f>
      </c>
      <c r="AH122">
        <f>IF(ISBLANK('Data Entry'!b122), "", 'Data Entry'!b122)</f>
      </c>
      <c r="AI122">
        <f>IF(ISBLANK('Data Entry'!c122), "", 'Data Entry'!c122)</f>
      </c>
      <c r="AJ122">
        <f>IF(ISBLANK('Data Entry'!d122), "", 'Data Entry'!d122)</f>
      </c>
      <c r="AK122">
        <f>IF(ISBLANK('Data Entry'!e122), "", 'Data Entry'!e122)</f>
      </c>
      <c r="AL122">
        <f>IF(ISBLANK('Data Entry'!f122), "", 'Data Entry'!f122)</f>
      </c>
      <c r="AM122">
        <f>IF(ISBLANK('Data Entry'!g122), "", 'Data Entry'!g122)</f>
      </c>
      <c r="AN122">
        <f>IF(ISBLANK('Data Entry'!h122), "", 'Data Entry'!h122)</f>
      </c>
    </row>
    <row r="123" spans="1:40" x14ac:dyDescent="0.25">
      <c r="A123">
        <f>IF(ISBLANK('Data Entry'!A123), "", 'Data Entry'!A123)</f>
      </c>
      <c r="B123">
        <f>IF(ISBLANK('Data Entry'!B123), "", 'Data Entry'!B123)</f>
      </c>
      <c r="C123">
        <f>IF(ISBLANK('Data Entry'!C123), "", 'Data Entry'!C123)</f>
      </c>
      <c r="D123">
        <f>IF(ISBLANK('Data Entry'!D123), "", 'Data Entry'!D123)</f>
      </c>
      <c r="E123">
        <f>IF(ISBLANK('Data Entry'!E123), "", 'Data Entry'!E123)</f>
      </c>
      <c r="F123">
        <f>IF(ISBLANK('Data Entry'!F123), "", 'Data Entry'!F123)</f>
      </c>
      <c r="G123">
        <f>IF(ISBLANK('Data Entry'!G123), "", 'Data Entry'!G123)</f>
      </c>
      <c r="H123">
        <f>IF(ISBLANK('Data Entry'!H123), "", 'Data Entry'!H123)</f>
      </c>
      <c r="I123">
        <f>IF(ISBLANK('Data Entry'!I123), "", 'Data Entry'!I123)</f>
      </c>
      <c r="J123">
        <f>IF(ISBLANK('Data Entry'!J123), "", 'Data Entry'!J123)</f>
      </c>
      <c r="K123">
        <f>IF(ISBLANK('Data Entry'!K123), "", 'Data Entry'!K123)</f>
      </c>
      <c r="L123">
        <f>IF(ISBLANK('Data Entry'!L123), "", 'Data Entry'!L123)</f>
      </c>
      <c r="M123">
        <f>IF(ISBLANK('Data Entry'!M123), "", 'Data Entry'!M123)</f>
      </c>
      <c r="N123">
        <f>IF(ISBLANK('Data Entry'!N123), "", 'Data Entry'!N123)</f>
      </c>
      <c r="O123">
        <f>IF(ISBLANK('Data Entry'!O123), "", 'Data Entry'!O123)</f>
      </c>
      <c r="P123">
        <f>IF(ISBLANK('Data Entry'!P123), "", 'Data Entry'!P123)</f>
      </c>
      <c r="Q123">
        <f>IF(ISBLANK('Data Entry'!Q123), "", 'Data Entry'!Q123)</f>
      </c>
      <c r="R123">
        <f>IF(ISBLANK('Data Entry'!R123), "", 'Data Entry'!R123)</f>
      </c>
      <c r="S123">
        <f>IF(ISBLANK('Data Entry'!S123), "", 'Data Entry'!S123)</f>
      </c>
      <c r="T123">
        <f>IF(ISBLANK('Data Entry'!T123), "", 'Data Entry'!T123)</f>
      </c>
      <c r="U123">
        <f>IF(ISBLANK('Data Entry'!U123), "", 'Data Entry'!U123)</f>
      </c>
      <c r="V123">
        <f>IF(ISBLANK('Data Entry'!V123), "", 'Data Entry'!V123)</f>
      </c>
      <c r="W123">
        <f>IF(ISBLANK('Data Entry'!W123), "", 'Data Entry'!W123)</f>
      </c>
      <c r="X123">
        <f>IF(ISBLANK('Data Entry'!X123), "", 'Data Entry'!X123)</f>
      </c>
      <c r="Y123">
        <f>IF(ISBLANK('Data Entry'!Y123), "", 'Data Entry'!Y123)</f>
      </c>
      <c r="Z123">
        <f>IF(ISBLANK('Data Entry'!Z123), "", 'Data Entry'!Z123)</f>
      </c>
      <c r="AA123">
        <f>IF(ISBLANK('Data Entry'![123), "", 'Data Entry'![123)</f>
      </c>
      <c r="AB123">
        <f>IF(ISBLANK('Data Entry'!\123), "", 'Data Entry'!\123)</f>
      </c>
      <c r="AC123">
        <f>IF(ISBLANK('Data Entry'!]123), "", 'Data Entry'!]123)</f>
      </c>
      <c r="AD123">
        <f>IF(ISBLANK('Data Entry'!^123), "", 'Data Entry'!^123)</f>
      </c>
      <c r="AE123">
        <f>IF(ISBLANK('Data Entry'!_123), "", 'Data Entry'!_123)</f>
      </c>
      <c r="AF123">
        <f>IF(ISBLANK('Data Entry'!`123), "", 'Data Entry'!`123)</f>
      </c>
      <c r="AG123">
        <f>IF(ISBLANK('Data Entry'!a123), "", 'Data Entry'!a123)</f>
      </c>
      <c r="AH123">
        <f>IF(ISBLANK('Data Entry'!b123), "", 'Data Entry'!b123)</f>
      </c>
      <c r="AI123">
        <f>IF(ISBLANK('Data Entry'!c123), "", 'Data Entry'!c123)</f>
      </c>
      <c r="AJ123">
        <f>IF(ISBLANK('Data Entry'!d123), "", 'Data Entry'!d123)</f>
      </c>
      <c r="AK123">
        <f>IF(ISBLANK('Data Entry'!e123), "", 'Data Entry'!e123)</f>
      </c>
      <c r="AL123">
        <f>IF(ISBLANK('Data Entry'!f123), "", 'Data Entry'!f123)</f>
      </c>
      <c r="AM123">
        <f>IF(ISBLANK('Data Entry'!g123), "", 'Data Entry'!g123)</f>
      </c>
      <c r="AN123">
        <f>IF(ISBLANK('Data Entry'!h123), "", 'Data Entry'!h123)</f>
      </c>
    </row>
    <row r="124" spans="1:40" x14ac:dyDescent="0.25">
      <c r="A124">
        <f>IF(ISBLANK('Data Entry'!A124), "", 'Data Entry'!A124)</f>
      </c>
      <c r="B124">
        <f>IF(ISBLANK('Data Entry'!B124), "", 'Data Entry'!B124)</f>
      </c>
      <c r="C124">
        <f>IF(ISBLANK('Data Entry'!C124), "", 'Data Entry'!C124)</f>
      </c>
      <c r="D124">
        <f>IF(ISBLANK('Data Entry'!D124), "", 'Data Entry'!D124)</f>
      </c>
      <c r="E124">
        <f>IF(ISBLANK('Data Entry'!E124), "", 'Data Entry'!E124)</f>
      </c>
      <c r="F124">
        <f>IF(ISBLANK('Data Entry'!F124), "", 'Data Entry'!F124)</f>
      </c>
      <c r="G124">
        <f>IF(ISBLANK('Data Entry'!G124), "", 'Data Entry'!G124)</f>
      </c>
      <c r="H124">
        <f>IF(ISBLANK('Data Entry'!H124), "", 'Data Entry'!H124)</f>
      </c>
      <c r="I124">
        <f>IF(ISBLANK('Data Entry'!I124), "", 'Data Entry'!I124)</f>
      </c>
      <c r="J124">
        <f>IF(ISBLANK('Data Entry'!J124), "", 'Data Entry'!J124)</f>
      </c>
      <c r="K124">
        <f>IF(ISBLANK('Data Entry'!K124), "", 'Data Entry'!K124)</f>
      </c>
      <c r="L124">
        <f>IF(ISBLANK('Data Entry'!L124), "", 'Data Entry'!L124)</f>
      </c>
      <c r="M124">
        <f>IF(ISBLANK('Data Entry'!M124), "", 'Data Entry'!M124)</f>
      </c>
      <c r="N124">
        <f>IF(ISBLANK('Data Entry'!N124), "", 'Data Entry'!N124)</f>
      </c>
      <c r="O124">
        <f>IF(ISBLANK('Data Entry'!O124), "", 'Data Entry'!O124)</f>
      </c>
      <c r="P124">
        <f>IF(ISBLANK('Data Entry'!P124), "", 'Data Entry'!P124)</f>
      </c>
      <c r="Q124">
        <f>IF(ISBLANK('Data Entry'!Q124), "", 'Data Entry'!Q124)</f>
      </c>
      <c r="R124">
        <f>IF(ISBLANK('Data Entry'!R124), "", 'Data Entry'!R124)</f>
      </c>
      <c r="S124">
        <f>IF(ISBLANK('Data Entry'!S124), "", 'Data Entry'!S124)</f>
      </c>
      <c r="T124">
        <f>IF(ISBLANK('Data Entry'!T124), "", 'Data Entry'!T124)</f>
      </c>
      <c r="U124">
        <f>IF(ISBLANK('Data Entry'!U124), "", 'Data Entry'!U124)</f>
      </c>
      <c r="V124">
        <f>IF(ISBLANK('Data Entry'!V124), "", 'Data Entry'!V124)</f>
      </c>
      <c r="W124">
        <f>IF(ISBLANK('Data Entry'!W124), "", 'Data Entry'!W124)</f>
      </c>
      <c r="X124">
        <f>IF(ISBLANK('Data Entry'!X124), "", 'Data Entry'!X124)</f>
      </c>
      <c r="Y124">
        <f>IF(ISBLANK('Data Entry'!Y124), "", 'Data Entry'!Y124)</f>
      </c>
      <c r="Z124">
        <f>IF(ISBLANK('Data Entry'!Z124), "", 'Data Entry'!Z124)</f>
      </c>
      <c r="AA124">
        <f>IF(ISBLANK('Data Entry'![124), "", 'Data Entry'![124)</f>
      </c>
      <c r="AB124">
        <f>IF(ISBLANK('Data Entry'!\124), "", 'Data Entry'!\124)</f>
      </c>
      <c r="AC124">
        <f>IF(ISBLANK('Data Entry'!]124), "", 'Data Entry'!]124)</f>
      </c>
      <c r="AD124">
        <f>IF(ISBLANK('Data Entry'!^124), "", 'Data Entry'!^124)</f>
      </c>
      <c r="AE124">
        <f>IF(ISBLANK('Data Entry'!_124), "", 'Data Entry'!_124)</f>
      </c>
      <c r="AF124">
        <f>IF(ISBLANK('Data Entry'!`124), "", 'Data Entry'!`124)</f>
      </c>
      <c r="AG124">
        <f>IF(ISBLANK('Data Entry'!a124), "", 'Data Entry'!a124)</f>
      </c>
      <c r="AH124">
        <f>IF(ISBLANK('Data Entry'!b124), "", 'Data Entry'!b124)</f>
      </c>
      <c r="AI124">
        <f>IF(ISBLANK('Data Entry'!c124), "", 'Data Entry'!c124)</f>
      </c>
      <c r="AJ124">
        <f>IF(ISBLANK('Data Entry'!d124), "", 'Data Entry'!d124)</f>
      </c>
      <c r="AK124">
        <f>IF(ISBLANK('Data Entry'!e124), "", 'Data Entry'!e124)</f>
      </c>
      <c r="AL124">
        <f>IF(ISBLANK('Data Entry'!f124), "", 'Data Entry'!f124)</f>
      </c>
      <c r="AM124">
        <f>IF(ISBLANK('Data Entry'!g124), "", 'Data Entry'!g124)</f>
      </c>
      <c r="AN124">
        <f>IF(ISBLANK('Data Entry'!h124), "", 'Data Entry'!h124)</f>
      </c>
    </row>
    <row r="125" spans="1:40" x14ac:dyDescent="0.25">
      <c r="A125">
        <f>IF(ISBLANK('Data Entry'!A125), "", 'Data Entry'!A125)</f>
      </c>
      <c r="B125">
        <f>IF(ISBLANK('Data Entry'!B125), "", 'Data Entry'!B125)</f>
      </c>
      <c r="C125">
        <f>IF(ISBLANK('Data Entry'!C125), "", 'Data Entry'!C125)</f>
      </c>
      <c r="D125">
        <f>IF(ISBLANK('Data Entry'!D125), "", 'Data Entry'!D125)</f>
      </c>
      <c r="E125">
        <f>IF(ISBLANK('Data Entry'!E125), "", 'Data Entry'!E125)</f>
      </c>
      <c r="F125">
        <f>IF(ISBLANK('Data Entry'!F125), "", 'Data Entry'!F125)</f>
      </c>
      <c r="G125">
        <f>IF(ISBLANK('Data Entry'!G125), "", 'Data Entry'!G125)</f>
      </c>
      <c r="H125">
        <f>IF(ISBLANK('Data Entry'!H125), "", 'Data Entry'!H125)</f>
      </c>
      <c r="I125">
        <f>IF(ISBLANK('Data Entry'!I125), "", 'Data Entry'!I125)</f>
      </c>
      <c r="J125">
        <f>IF(ISBLANK('Data Entry'!J125), "", 'Data Entry'!J125)</f>
      </c>
      <c r="K125">
        <f>IF(ISBLANK('Data Entry'!K125), "", 'Data Entry'!K125)</f>
      </c>
      <c r="L125">
        <f>IF(ISBLANK('Data Entry'!L125), "", 'Data Entry'!L125)</f>
      </c>
      <c r="M125">
        <f>IF(ISBLANK('Data Entry'!M125), "", 'Data Entry'!M125)</f>
      </c>
      <c r="N125">
        <f>IF(ISBLANK('Data Entry'!N125), "", 'Data Entry'!N125)</f>
      </c>
      <c r="O125">
        <f>IF(ISBLANK('Data Entry'!O125), "", 'Data Entry'!O125)</f>
      </c>
      <c r="P125">
        <f>IF(ISBLANK('Data Entry'!P125), "", 'Data Entry'!P125)</f>
      </c>
      <c r="Q125">
        <f>IF(ISBLANK('Data Entry'!Q125), "", 'Data Entry'!Q125)</f>
      </c>
      <c r="R125">
        <f>IF(ISBLANK('Data Entry'!R125), "", 'Data Entry'!R125)</f>
      </c>
      <c r="S125">
        <f>IF(ISBLANK('Data Entry'!S125), "", 'Data Entry'!S125)</f>
      </c>
      <c r="T125">
        <f>IF(ISBLANK('Data Entry'!T125), "", 'Data Entry'!T125)</f>
      </c>
      <c r="U125">
        <f>IF(ISBLANK('Data Entry'!U125), "", 'Data Entry'!U125)</f>
      </c>
      <c r="V125">
        <f>IF(ISBLANK('Data Entry'!V125), "", 'Data Entry'!V125)</f>
      </c>
      <c r="W125">
        <f>IF(ISBLANK('Data Entry'!W125), "", 'Data Entry'!W125)</f>
      </c>
      <c r="X125">
        <f>IF(ISBLANK('Data Entry'!X125), "", 'Data Entry'!X125)</f>
      </c>
      <c r="Y125">
        <f>IF(ISBLANK('Data Entry'!Y125), "", 'Data Entry'!Y125)</f>
      </c>
      <c r="Z125">
        <f>IF(ISBLANK('Data Entry'!Z125), "", 'Data Entry'!Z125)</f>
      </c>
      <c r="AA125">
        <f>IF(ISBLANK('Data Entry'![125), "", 'Data Entry'![125)</f>
      </c>
      <c r="AB125">
        <f>IF(ISBLANK('Data Entry'!\125), "", 'Data Entry'!\125)</f>
      </c>
      <c r="AC125">
        <f>IF(ISBLANK('Data Entry'!]125), "", 'Data Entry'!]125)</f>
      </c>
      <c r="AD125">
        <f>IF(ISBLANK('Data Entry'!^125), "", 'Data Entry'!^125)</f>
      </c>
      <c r="AE125">
        <f>IF(ISBLANK('Data Entry'!_125), "", 'Data Entry'!_125)</f>
      </c>
      <c r="AF125">
        <f>IF(ISBLANK('Data Entry'!`125), "", 'Data Entry'!`125)</f>
      </c>
      <c r="AG125">
        <f>IF(ISBLANK('Data Entry'!a125), "", 'Data Entry'!a125)</f>
      </c>
      <c r="AH125">
        <f>IF(ISBLANK('Data Entry'!b125), "", 'Data Entry'!b125)</f>
      </c>
      <c r="AI125">
        <f>IF(ISBLANK('Data Entry'!c125), "", 'Data Entry'!c125)</f>
      </c>
      <c r="AJ125">
        <f>IF(ISBLANK('Data Entry'!d125), "", 'Data Entry'!d125)</f>
      </c>
      <c r="AK125">
        <f>IF(ISBLANK('Data Entry'!e125), "", 'Data Entry'!e125)</f>
      </c>
      <c r="AL125">
        <f>IF(ISBLANK('Data Entry'!f125), "", 'Data Entry'!f125)</f>
      </c>
      <c r="AM125">
        <f>IF(ISBLANK('Data Entry'!g125), "", 'Data Entry'!g125)</f>
      </c>
      <c r="AN125">
        <f>IF(ISBLANK('Data Entry'!h125), "", 'Data Entry'!h125)</f>
      </c>
    </row>
    <row r="126" spans="1:40" x14ac:dyDescent="0.25">
      <c r="A126">
        <f>IF(ISBLANK('Data Entry'!A126), "", 'Data Entry'!A126)</f>
      </c>
      <c r="B126">
        <f>IF(ISBLANK('Data Entry'!B126), "", 'Data Entry'!B126)</f>
      </c>
      <c r="C126">
        <f>IF(ISBLANK('Data Entry'!C126), "", 'Data Entry'!C126)</f>
      </c>
      <c r="D126">
        <f>IF(ISBLANK('Data Entry'!D126), "", 'Data Entry'!D126)</f>
      </c>
      <c r="E126">
        <f>IF(ISBLANK('Data Entry'!E126), "", 'Data Entry'!E126)</f>
      </c>
      <c r="F126">
        <f>IF(ISBLANK('Data Entry'!F126), "", 'Data Entry'!F126)</f>
      </c>
      <c r="G126">
        <f>IF(ISBLANK('Data Entry'!G126), "", 'Data Entry'!G126)</f>
      </c>
      <c r="H126">
        <f>IF(ISBLANK('Data Entry'!H126), "", 'Data Entry'!H126)</f>
      </c>
      <c r="I126">
        <f>IF(ISBLANK('Data Entry'!I126), "", 'Data Entry'!I126)</f>
      </c>
      <c r="J126">
        <f>IF(ISBLANK('Data Entry'!J126), "", 'Data Entry'!J126)</f>
      </c>
      <c r="K126">
        <f>IF(ISBLANK('Data Entry'!K126), "", 'Data Entry'!K126)</f>
      </c>
      <c r="L126">
        <f>IF(ISBLANK('Data Entry'!L126), "", 'Data Entry'!L126)</f>
      </c>
      <c r="M126">
        <f>IF(ISBLANK('Data Entry'!M126), "", 'Data Entry'!M126)</f>
      </c>
      <c r="N126">
        <f>IF(ISBLANK('Data Entry'!N126), "", 'Data Entry'!N126)</f>
      </c>
      <c r="O126">
        <f>IF(ISBLANK('Data Entry'!O126), "", 'Data Entry'!O126)</f>
      </c>
      <c r="P126">
        <f>IF(ISBLANK('Data Entry'!P126), "", 'Data Entry'!P126)</f>
      </c>
      <c r="Q126">
        <f>IF(ISBLANK('Data Entry'!Q126), "", 'Data Entry'!Q126)</f>
      </c>
      <c r="R126">
        <f>IF(ISBLANK('Data Entry'!R126), "", 'Data Entry'!R126)</f>
      </c>
      <c r="S126">
        <f>IF(ISBLANK('Data Entry'!S126), "", 'Data Entry'!S126)</f>
      </c>
      <c r="T126">
        <f>IF(ISBLANK('Data Entry'!T126), "", 'Data Entry'!T126)</f>
      </c>
      <c r="U126">
        <f>IF(ISBLANK('Data Entry'!U126), "", 'Data Entry'!U126)</f>
      </c>
      <c r="V126">
        <f>IF(ISBLANK('Data Entry'!V126), "", 'Data Entry'!V126)</f>
      </c>
      <c r="W126">
        <f>IF(ISBLANK('Data Entry'!W126), "", 'Data Entry'!W126)</f>
      </c>
      <c r="X126">
        <f>IF(ISBLANK('Data Entry'!X126), "", 'Data Entry'!X126)</f>
      </c>
      <c r="Y126">
        <f>IF(ISBLANK('Data Entry'!Y126), "", 'Data Entry'!Y126)</f>
      </c>
      <c r="Z126">
        <f>IF(ISBLANK('Data Entry'!Z126), "", 'Data Entry'!Z126)</f>
      </c>
      <c r="AA126">
        <f>IF(ISBLANK('Data Entry'![126), "", 'Data Entry'![126)</f>
      </c>
      <c r="AB126">
        <f>IF(ISBLANK('Data Entry'!\126), "", 'Data Entry'!\126)</f>
      </c>
      <c r="AC126">
        <f>IF(ISBLANK('Data Entry'!]126), "", 'Data Entry'!]126)</f>
      </c>
      <c r="AD126">
        <f>IF(ISBLANK('Data Entry'!^126), "", 'Data Entry'!^126)</f>
      </c>
      <c r="AE126">
        <f>IF(ISBLANK('Data Entry'!_126), "", 'Data Entry'!_126)</f>
      </c>
      <c r="AF126">
        <f>IF(ISBLANK('Data Entry'!`126), "", 'Data Entry'!`126)</f>
      </c>
      <c r="AG126">
        <f>IF(ISBLANK('Data Entry'!a126), "", 'Data Entry'!a126)</f>
      </c>
      <c r="AH126">
        <f>IF(ISBLANK('Data Entry'!b126), "", 'Data Entry'!b126)</f>
      </c>
      <c r="AI126">
        <f>IF(ISBLANK('Data Entry'!c126), "", 'Data Entry'!c126)</f>
      </c>
      <c r="AJ126">
        <f>IF(ISBLANK('Data Entry'!d126), "", 'Data Entry'!d126)</f>
      </c>
      <c r="AK126">
        <f>IF(ISBLANK('Data Entry'!e126), "", 'Data Entry'!e126)</f>
      </c>
      <c r="AL126">
        <f>IF(ISBLANK('Data Entry'!f126), "", 'Data Entry'!f126)</f>
      </c>
      <c r="AM126">
        <f>IF(ISBLANK('Data Entry'!g126), "", 'Data Entry'!g126)</f>
      </c>
      <c r="AN126">
        <f>IF(ISBLANK('Data Entry'!h126), "", 'Data Entry'!h126)</f>
      </c>
    </row>
    <row r="127" spans="1:40" x14ac:dyDescent="0.25">
      <c r="A127">
        <f>IF(ISBLANK('Data Entry'!A127), "", 'Data Entry'!A127)</f>
      </c>
      <c r="B127">
        <f>IF(ISBLANK('Data Entry'!B127), "", 'Data Entry'!B127)</f>
      </c>
      <c r="C127">
        <f>IF(ISBLANK('Data Entry'!C127), "", 'Data Entry'!C127)</f>
      </c>
      <c r="D127">
        <f>IF(ISBLANK('Data Entry'!D127), "", 'Data Entry'!D127)</f>
      </c>
      <c r="E127">
        <f>IF(ISBLANK('Data Entry'!E127), "", 'Data Entry'!E127)</f>
      </c>
      <c r="F127">
        <f>IF(ISBLANK('Data Entry'!F127), "", 'Data Entry'!F127)</f>
      </c>
      <c r="G127">
        <f>IF(ISBLANK('Data Entry'!G127), "", 'Data Entry'!G127)</f>
      </c>
      <c r="H127">
        <f>IF(ISBLANK('Data Entry'!H127), "", 'Data Entry'!H127)</f>
      </c>
      <c r="I127">
        <f>IF(ISBLANK('Data Entry'!I127), "", 'Data Entry'!I127)</f>
      </c>
      <c r="J127">
        <f>IF(ISBLANK('Data Entry'!J127), "", 'Data Entry'!J127)</f>
      </c>
      <c r="K127">
        <f>IF(ISBLANK('Data Entry'!K127), "", 'Data Entry'!K127)</f>
      </c>
      <c r="L127">
        <f>IF(ISBLANK('Data Entry'!L127), "", 'Data Entry'!L127)</f>
      </c>
      <c r="M127">
        <f>IF(ISBLANK('Data Entry'!M127), "", 'Data Entry'!M127)</f>
      </c>
      <c r="N127">
        <f>IF(ISBLANK('Data Entry'!N127), "", 'Data Entry'!N127)</f>
      </c>
      <c r="O127">
        <f>IF(ISBLANK('Data Entry'!O127), "", 'Data Entry'!O127)</f>
      </c>
      <c r="P127">
        <f>IF(ISBLANK('Data Entry'!P127), "", 'Data Entry'!P127)</f>
      </c>
      <c r="Q127">
        <f>IF(ISBLANK('Data Entry'!Q127), "", 'Data Entry'!Q127)</f>
      </c>
      <c r="R127">
        <f>IF(ISBLANK('Data Entry'!R127), "", 'Data Entry'!R127)</f>
      </c>
      <c r="S127">
        <f>IF(ISBLANK('Data Entry'!S127), "", 'Data Entry'!S127)</f>
      </c>
      <c r="T127">
        <f>IF(ISBLANK('Data Entry'!T127), "", 'Data Entry'!T127)</f>
      </c>
      <c r="U127">
        <f>IF(ISBLANK('Data Entry'!U127), "", 'Data Entry'!U127)</f>
      </c>
      <c r="V127">
        <f>IF(ISBLANK('Data Entry'!V127), "", 'Data Entry'!V127)</f>
      </c>
      <c r="W127">
        <f>IF(ISBLANK('Data Entry'!W127), "", 'Data Entry'!W127)</f>
      </c>
      <c r="X127">
        <f>IF(ISBLANK('Data Entry'!X127), "", 'Data Entry'!X127)</f>
      </c>
      <c r="Y127">
        <f>IF(ISBLANK('Data Entry'!Y127), "", 'Data Entry'!Y127)</f>
      </c>
      <c r="Z127">
        <f>IF(ISBLANK('Data Entry'!Z127), "", 'Data Entry'!Z127)</f>
      </c>
      <c r="AA127">
        <f>IF(ISBLANK('Data Entry'![127), "", 'Data Entry'![127)</f>
      </c>
      <c r="AB127">
        <f>IF(ISBLANK('Data Entry'!\127), "", 'Data Entry'!\127)</f>
      </c>
      <c r="AC127">
        <f>IF(ISBLANK('Data Entry'!]127), "", 'Data Entry'!]127)</f>
      </c>
      <c r="AD127">
        <f>IF(ISBLANK('Data Entry'!^127), "", 'Data Entry'!^127)</f>
      </c>
      <c r="AE127">
        <f>IF(ISBLANK('Data Entry'!_127), "", 'Data Entry'!_127)</f>
      </c>
      <c r="AF127">
        <f>IF(ISBLANK('Data Entry'!`127), "", 'Data Entry'!`127)</f>
      </c>
      <c r="AG127">
        <f>IF(ISBLANK('Data Entry'!a127), "", 'Data Entry'!a127)</f>
      </c>
      <c r="AH127">
        <f>IF(ISBLANK('Data Entry'!b127), "", 'Data Entry'!b127)</f>
      </c>
      <c r="AI127">
        <f>IF(ISBLANK('Data Entry'!c127), "", 'Data Entry'!c127)</f>
      </c>
      <c r="AJ127">
        <f>IF(ISBLANK('Data Entry'!d127), "", 'Data Entry'!d127)</f>
      </c>
      <c r="AK127">
        <f>IF(ISBLANK('Data Entry'!e127), "", 'Data Entry'!e127)</f>
      </c>
      <c r="AL127">
        <f>IF(ISBLANK('Data Entry'!f127), "", 'Data Entry'!f127)</f>
      </c>
      <c r="AM127">
        <f>IF(ISBLANK('Data Entry'!g127), "", 'Data Entry'!g127)</f>
      </c>
      <c r="AN127">
        <f>IF(ISBLANK('Data Entry'!h127), "", 'Data Entry'!h127)</f>
      </c>
    </row>
    <row r="128" spans="1:40" x14ac:dyDescent="0.25">
      <c r="A128">
        <f>IF(ISBLANK('Data Entry'!A128), "", 'Data Entry'!A128)</f>
      </c>
      <c r="B128">
        <f>IF(ISBLANK('Data Entry'!B128), "", 'Data Entry'!B128)</f>
      </c>
      <c r="C128">
        <f>IF(ISBLANK('Data Entry'!C128), "", 'Data Entry'!C128)</f>
      </c>
      <c r="D128">
        <f>IF(ISBLANK('Data Entry'!D128), "", 'Data Entry'!D128)</f>
      </c>
      <c r="E128">
        <f>IF(ISBLANK('Data Entry'!E128), "", 'Data Entry'!E128)</f>
      </c>
      <c r="F128">
        <f>IF(ISBLANK('Data Entry'!F128), "", 'Data Entry'!F128)</f>
      </c>
      <c r="G128">
        <f>IF(ISBLANK('Data Entry'!G128), "", 'Data Entry'!G128)</f>
      </c>
      <c r="H128">
        <f>IF(ISBLANK('Data Entry'!H128), "", 'Data Entry'!H128)</f>
      </c>
      <c r="I128">
        <f>IF(ISBLANK('Data Entry'!I128), "", 'Data Entry'!I128)</f>
      </c>
      <c r="J128">
        <f>IF(ISBLANK('Data Entry'!J128), "", 'Data Entry'!J128)</f>
      </c>
      <c r="K128">
        <f>IF(ISBLANK('Data Entry'!K128), "", 'Data Entry'!K128)</f>
      </c>
      <c r="L128">
        <f>IF(ISBLANK('Data Entry'!L128), "", 'Data Entry'!L128)</f>
      </c>
      <c r="M128">
        <f>IF(ISBLANK('Data Entry'!M128), "", 'Data Entry'!M128)</f>
      </c>
      <c r="N128">
        <f>IF(ISBLANK('Data Entry'!N128), "", 'Data Entry'!N128)</f>
      </c>
      <c r="O128">
        <f>IF(ISBLANK('Data Entry'!O128), "", 'Data Entry'!O128)</f>
      </c>
      <c r="P128">
        <f>IF(ISBLANK('Data Entry'!P128), "", 'Data Entry'!P128)</f>
      </c>
      <c r="Q128">
        <f>IF(ISBLANK('Data Entry'!Q128), "", 'Data Entry'!Q128)</f>
      </c>
      <c r="R128">
        <f>IF(ISBLANK('Data Entry'!R128), "", 'Data Entry'!R128)</f>
      </c>
      <c r="S128">
        <f>IF(ISBLANK('Data Entry'!S128), "", 'Data Entry'!S128)</f>
      </c>
      <c r="T128">
        <f>IF(ISBLANK('Data Entry'!T128), "", 'Data Entry'!T128)</f>
      </c>
      <c r="U128">
        <f>IF(ISBLANK('Data Entry'!U128), "", 'Data Entry'!U128)</f>
      </c>
      <c r="V128">
        <f>IF(ISBLANK('Data Entry'!V128), "", 'Data Entry'!V128)</f>
      </c>
      <c r="W128">
        <f>IF(ISBLANK('Data Entry'!W128), "", 'Data Entry'!W128)</f>
      </c>
      <c r="X128">
        <f>IF(ISBLANK('Data Entry'!X128), "", 'Data Entry'!X128)</f>
      </c>
      <c r="Y128">
        <f>IF(ISBLANK('Data Entry'!Y128), "", 'Data Entry'!Y128)</f>
      </c>
      <c r="Z128">
        <f>IF(ISBLANK('Data Entry'!Z128), "", 'Data Entry'!Z128)</f>
      </c>
      <c r="AA128">
        <f>IF(ISBLANK('Data Entry'![128), "", 'Data Entry'![128)</f>
      </c>
      <c r="AB128">
        <f>IF(ISBLANK('Data Entry'!\128), "", 'Data Entry'!\128)</f>
      </c>
      <c r="AC128">
        <f>IF(ISBLANK('Data Entry'!]128), "", 'Data Entry'!]128)</f>
      </c>
      <c r="AD128">
        <f>IF(ISBLANK('Data Entry'!^128), "", 'Data Entry'!^128)</f>
      </c>
      <c r="AE128">
        <f>IF(ISBLANK('Data Entry'!_128), "", 'Data Entry'!_128)</f>
      </c>
      <c r="AF128">
        <f>IF(ISBLANK('Data Entry'!`128), "", 'Data Entry'!`128)</f>
      </c>
      <c r="AG128">
        <f>IF(ISBLANK('Data Entry'!a128), "", 'Data Entry'!a128)</f>
      </c>
      <c r="AH128">
        <f>IF(ISBLANK('Data Entry'!b128), "", 'Data Entry'!b128)</f>
      </c>
      <c r="AI128">
        <f>IF(ISBLANK('Data Entry'!c128), "", 'Data Entry'!c128)</f>
      </c>
      <c r="AJ128">
        <f>IF(ISBLANK('Data Entry'!d128), "", 'Data Entry'!d128)</f>
      </c>
      <c r="AK128">
        <f>IF(ISBLANK('Data Entry'!e128), "", 'Data Entry'!e128)</f>
      </c>
      <c r="AL128">
        <f>IF(ISBLANK('Data Entry'!f128), "", 'Data Entry'!f128)</f>
      </c>
      <c r="AM128">
        <f>IF(ISBLANK('Data Entry'!g128), "", 'Data Entry'!g128)</f>
      </c>
      <c r="AN128">
        <f>IF(ISBLANK('Data Entry'!h128), "", 'Data Entry'!h128)</f>
      </c>
    </row>
    <row r="129" spans="1:40" x14ac:dyDescent="0.25">
      <c r="A129">
        <f>IF(ISBLANK('Data Entry'!A129), "", 'Data Entry'!A129)</f>
      </c>
      <c r="B129">
        <f>IF(ISBLANK('Data Entry'!B129), "", 'Data Entry'!B129)</f>
      </c>
      <c r="C129">
        <f>IF(ISBLANK('Data Entry'!C129), "", 'Data Entry'!C129)</f>
      </c>
      <c r="D129">
        <f>IF(ISBLANK('Data Entry'!D129), "", 'Data Entry'!D129)</f>
      </c>
      <c r="E129">
        <f>IF(ISBLANK('Data Entry'!E129), "", 'Data Entry'!E129)</f>
      </c>
      <c r="F129">
        <f>IF(ISBLANK('Data Entry'!F129), "", 'Data Entry'!F129)</f>
      </c>
      <c r="G129">
        <f>IF(ISBLANK('Data Entry'!G129), "", 'Data Entry'!G129)</f>
      </c>
      <c r="H129">
        <f>IF(ISBLANK('Data Entry'!H129), "", 'Data Entry'!H129)</f>
      </c>
      <c r="I129">
        <f>IF(ISBLANK('Data Entry'!I129), "", 'Data Entry'!I129)</f>
      </c>
      <c r="J129">
        <f>IF(ISBLANK('Data Entry'!J129), "", 'Data Entry'!J129)</f>
      </c>
      <c r="K129">
        <f>IF(ISBLANK('Data Entry'!K129), "", 'Data Entry'!K129)</f>
      </c>
      <c r="L129">
        <f>IF(ISBLANK('Data Entry'!L129), "", 'Data Entry'!L129)</f>
      </c>
      <c r="M129">
        <f>IF(ISBLANK('Data Entry'!M129), "", 'Data Entry'!M129)</f>
      </c>
      <c r="N129">
        <f>IF(ISBLANK('Data Entry'!N129), "", 'Data Entry'!N129)</f>
      </c>
      <c r="O129">
        <f>IF(ISBLANK('Data Entry'!O129), "", 'Data Entry'!O129)</f>
      </c>
      <c r="P129">
        <f>IF(ISBLANK('Data Entry'!P129), "", 'Data Entry'!P129)</f>
      </c>
      <c r="Q129">
        <f>IF(ISBLANK('Data Entry'!Q129), "", 'Data Entry'!Q129)</f>
      </c>
      <c r="R129">
        <f>IF(ISBLANK('Data Entry'!R129), "", 'Data Entry'!R129)</f>
      </c>
      <c r="S129">
        <f>IF(ISBLANK('Data Entry'!S129), "", 'Data Entry'!S129)</f>
      </c>
      <c r="T129">
        <f>IF(ISBLANK('Data Entry'!T129), "", 'Data Entry'!T129)</f>
      </c>
      <c r="U129">
        <f>IF(ISBLANK('Data Entry'!U129), "", 'Data Entry'!U129)</f>
      </c>
      <c r="V129">
        <f>IF(ISBLANK('Data Entry'!V129), "", 'Data Entry'!V129)</f>
      </c>
      <c r="W129">
        <f>IF(ISBLANK('Data Entry'!W129), "", 'Data Entry'!W129)</f>
      </c>
      <c r="X129">
        <f>IF(ISBLANK('Data Entry'!X129), "", 'Data Entry'!X129)</f>
      </c>
      <c r="Y129">
        <f>IF(ISBLANK('Data Entry'!Y129), "", 'Data Entry'!Y129)</f>
      </c>
      <c r="Z129">
        <f>IF(ISBLANK('Data Entry'!Z129), "", 'Data Entry'!Z129)</f>
      </c>
      <c r="AA129">
        <f>IF(ISBLANK('Data Entry'![129), "", 'Data Entry'![129)</f>
      </c>
      <c r="AB129">
        <f>IF(ISBLANK('Data Entry'!\129), "", 'Data Entry'!\129)</f>
      </c>
      <c r="AC129">
        <f>IF(ISBLANK('Data Entry'!]129), "", 'Data Entry'!]129)</f>
      </c>
      <c r="AD129">
        <f>IF(ISBLANK('Data Entry'!^129), "", 'Data Entry'!^129)</f>
      </c>
      <c r="AE129">
        <f>IF(ISBLANK('Data Entry'!_129), "", 'Data Entry'!_129)</f>
      </c>
      <c r="AF129">
        <f>IF(ISBLANK('Data Entry'!`129), "", 'Data Entry'!`129)</f>
      </c>
      <c r="AG129">
        <f>IF(ISBLANK('Data Entry'!a129), "", 'Data Entry'!a129)</f>
      </c>
      <c r="AH129">
        <f>IF(ISBLANK('Data Entry'!b129), "", 'Data Entry'!b129)</f>
      </c>
      <c r="AI129">
        <f>IF(ISBLANK('Data Entry'!c129), "", 'Data Entry'!c129)</f>
      </c>
      <c r="AJ129">
        <f>IF(ISBLANK('Data Entry'!d129), "", 'Data Entry'!d129)</f>
      </c>
      <c r="AK129">
        <f>IF(ISBLANK('Data Entry'!e129), "", 'Data Entry'!e129)</f>
      </c>
      <c r="AL129">
        <f>IF(ISBLANK('Data Entry'!f129), "", 'Data Entry'!f129)</f>
      </c>
      <c r="AM129">
        <f>IF(ISBLANK('Data Entry'!g129), "", 'Data Entry'!g129)</f>
      </c>
      <c r="AN129">
        <f>IF(ISBLANK('Data Entry'!h129), "", 'Data Entry'!h129)</f>
      </c>
    </row>
    <row r="130" spans="1:40" x14ac:dyDescent="0.25">
      <c r="A130">
        <f>IF(ISBLANK('Data Entry'!A130), "", 'Data Entry'!A130)</f>
      </c>
      <c r="B130">
        <f>IF(ISBLANK('Data Entry'!B130), "", 'Data Entry'!B130)</f>
      </c>
      <c r="C130">
        <f>IF(ISBLANK('Data Entry'!C130), "", 'Data Entry'!C130)</f>
      </c>
      <c r="D130">
        <f>IF(ISBLANK('Data Entry'!D130), "", 'Data Entry'!D130)</f>
      </c>
      <c r="E130">
        <f>IF(ISBLANK('Data Entry'!E130), "", 'Data Entry'!E130)</f>
      </c>
      <c r="F130">
        <f>IF(ISBLANK('Data Entry'!F130), "", 'Data Entry'!F130)</f>
      </c>
      <c r="G130">
        <f>IF(ISBLANK('Data Entry'!G130), "", 'Data Entry'!G130)</f>
      </c>
      <c r="H130">
        <f>IF(ISBLANK('Data Entry'!H130), "", 'Data Entry'!H130)</f>
      </c>
      <c r="I130">
        <f>IF(ISBLANK('Data Entry'!I130), "", 'Data Entry'!I130)</f>
      </c>
      <c r="J130">
        <f>IF(ISBLANK('Data Entry'!J130), "", 'Data Entry'!J130)</f>
      </c>
      <c r="K130">
        <f>IF(ISBLANK('Data Entry'!K130), "", 'Data Entry'!K130)</f>
      </c>
      <c r="L130">
        <f>IF(ISBLANK('Data Entry'!L130), "", 'Data Entry'!L130)</f>
      </c>
      <c r="M130">
        <f>IF(ISBLANK('Data Entry'!M130), "", 'Data Entry'!M130)</f>
      </c>
      <c r="N130">
        <f>IF(ISBLANK('Data Entry'!N130), "", 'Data Entry'!N130)</f>
      </c>
      <c r="O130">
        <f>IF(ISBLANK('Data Entry'!O130), "", 'Data Entry'!O130)</f>
      </c>
      <c r="P130">
        <f>IF(ISBLANK('Data Entry'!P130), "", 'Data Entry'!P130)</f>
      </c>
      <c r="Q130">
        <f>IF(ISBLANK('Data Entry'!Q130), "", 'Data Entry'!Q130)</f>
      </c>
      <c r="R130">
        <f>IF(ISBLANK('Data Entry'!R130), "", 'Data Entry'!R130)</f>
      </c>
      <c r="S130">
        <f>IF(ISBLANK('Data Entry'!S130), "", 'Data Entry'!S130)</f>
      </c>
      <c r="T130">
        <f>IF(ISBLANK('Data Entry'!T130), "", 'Data Entry'!T130)</f>
      </c>
      <c r="U130">
        <f>IF(ISBLANK('Data Entry'!U130), "", 'Data Entry'!U130)</f>
      </c>
      <c r="V130">
        <f>IF(ISBLANK('Data Entry'!V130), "", 'Data Entry'!V130)</f>
      </c>
      <c r="W130">
        <f>IF(ISBLANK('Data Entry'!W130), "", 'Data Entry'!W130)</f>
      </c>
      <c r="X130">
        <f>IF(ISBLANK('Data Entry'!X130), "", 'Data Entry'!X130)</f>
      </c>
      <c r="Y130">
        <f>IF(ISBLANK('Data Entry'!Y130), "", 'Data Entry'!Y130)</f>
      </c>
      <c r="Z130">
        <f>IF(ISBLANK('Data Entry'!Z130), "", 'Data Entry'!Z130)</f>
      </c>
      <c r="AA130">
        <f>IF(ISBLANK('Data Entry'![130), "", 'Data Entry'![130)</f>
      </c>
      <c r="AB130">
        <f>IF(ISBLANK('Data Entry'!\130), "", 'Data Entry'!\130)</f>
      </c>
      <c r="AC130">
        <f>IF(ISBLANK('Data Entry'!]130), "", 'Data Entry'!]130)</f>
      </c>
      <c r="AD130">
        <f>IF(ISBLANK('Data Entry'!^130), "", 'Data Entry'!^130)</f>
      </c>
      <c r="AE130">
        <f>IF(ISBLANK('Data Entry'!_130), "", 'Data Entry'!_130)</f>
      </c>
      <c r="AF130">
        <f>IF(ISBLANK('Data Entry'!`130), "", 'Data Entry'!`130)</f>
      </c>
      <c r="AG130">
        <f>IF(ISBLANK('Data Entry'!a130), "", 'Data Entry'!a130)</f>
      </c>
      <c r="AH130">
        <f>IF(ISBLANK('Data Entry'!b130), "", 'Data Entry'!b130)</f>
      </c>
      <c r="AI130">
        <f>IF(ISBLANK('Data Entry'!c130), "", 'Data Entry'!c130)</f>
      </c>
      <c r="AJ130">
        <f>IF(ISBLANK('Data Entry'!d130), "", 'Data Entry'!d130)</f>
      </c>
      <c r="AK130">
        <f>IF(ISBLANK('Data Entry'!e130), "", 'Data Entry'!e130)</f>
      </c>
      <c r="AL130">
        <f>IF(ISBLANK('Data Entry'!f130), "", 'Data Entry'!f130)</f>
      </c>
      <c r="AM130">
        <f>IF(ISBLANK('Data Entry'!g130), "", 'Data Entry'!g130)</f>
      </c>
      <c r="AN130">
        <f>IF(ISBLANK('Data Entry'!h130), "", 'Data Entry'!h130)</f>
      </c>
    </row>
    <row r="131" spans="1:40" x14ac:dyDescent="0.25">
      <c r="A131">
        <f>IF(ISBLANK('Data Entry'!A131), "", 'Data Entry'!A131)</f>
      </c>
      <c r="B131">
        <f>IF(ISBLANK('Data Entry'!B131), "", 'Data Entry'!B131)</f>
      </c>
      <c r="C131">
        <f>IF(ISBLANK('Data Entry'!C131), "", 'Data Entry'!C131)</f>
      </c>
      <c r="D131">
        <f>IF(ISBLANK('Data Entry'!D131), "", 'Data Entry'!D131)</f>
      </c>
      <c r="E131">
        <f>IF(ISBLANK('Data Entry'!E131), "", 'Data Entry'!E131)</f>
      </c>
      <c r="F131">
        <f>IF(ISBLANK('Data Entry'!F131), "", 'Data Entry'!F131)</f>
      </c>
      <c r="G131">
        <f>IF(ISBLANK('Data Entry'!G131), "", 'Data Entry'!G131)</f>
      </c>
      <c r="H131">
        <f>IF(ISBLANK('Data Entry'!H131), "", 'Data Entry'!H131)</f>
      </c>
      <c r="I131">
        <f>IF(ISBLANK('Data Entry'!I131), "", 'Data Entry'!I131)</f>
      </c>
      <c r="J131">
        <f>IF(ISBLANK('Data Entry'!J131), "", 'Data Entry'!J131)</f>
      </c>
      <c r="K131">
        <f>IF(ISBLANK('Data Entry'!K131), "", 'Data Entry'!K131)</f>
      </c>
      <c r="L131">
        <f>IF(ISBLANK('Data Entry'!L131), "", 'Data Entry'!L131)</f>
      </c>
      <c r="M131">
        <f>IF(ISBLANK('Data Entry'!M131), "", 'Data Entry'!M131)</f>
      </c>
      <c r="N131">
        <f>IF(ISBLANK('Data Entry'!N131), "", 'Data Entry'!N131)</f>
      </c>
      <c r="O131">
        <f>IF(ISBLANK('Data Entry'!O131), "", 'Data Entry'!O131)</f>
      </c>
      <c r="P131">
        <f>IF(ISBLANK('Data Entry'!P131), "", 'Data Entry'!P131)</f>
      </c>
      <c r="Q131">
        <f>IF(ISBLANK('Data Entry'!Q131), "", 'Data Entry'!Q131)</f>
      </c>
      <c r="R131">
        <f>IF(ISBLANK('Data Entry'!R131), "", 'Data Entry'!R131)</f>
      </c>
      <c r="S131">
        <f>IF(ISBLANK('Data Entry'!S131), "", 'Data Entry'!S131)</f>
      </c>
      <c r="T131">
        <f>IF(ISBLANK('Data Entry'!T131), "", 'Data Entry'!T131)</f>
      </c>
      <c r="U131">
        <f>IF(ISBLANK('Data Entry'!U131), "", 'Data Entry'!U131)</f>
      </c>
      <c r="V131">
        <f>IF(ISBLANK('Data Entry'!V131), "", 'Data Entry'!V131)</f>
      </c>
      <c r="W131">
        <f>IF(ISBLANK('Data Entry'!W131), "", 'Data Entry'!W131)</f>
      </c>
      <c r="X131">
        <f>IF(ISBLANK('Data Entry'!X131), "", 'Data Entry'!X131)</f>
      </c>
      <c r="Y131">
        <f>IF(ISBLANK('Data Entry'!Y131), "", 'Data Entry'!Y131)</f>
      </c>
      <c r="Z131">
        <f>IF(ISBLANK('Data Entry'!Z131), "", 'Data Entry'!Z131)</f>
      </c>
      <c r="AA131">
        <f>IF(ISBLANK('Data Entry'![131), "", 'Data Entry'![131)</f>
      </c>
      <c r="AB131">
        <f>IF(ISBLANK('Data Entry'!\131), "", 'Data Entry'!\131)</f>
      </c>
      <c r="AC131">
        <f>IF(ISBLANK('Data Entry'!]131), "", 'Data Entry'!]131)</f>
      </c>
      <c r="AD131">
        <f>IF(ISBLANK('Data Entry'!^131), "", 'Data Entry'!^131)</f>
      </c>
      <c r="AE131">
        <f>IF(ISBLANK('Data Entry'!_131), "", 'Data Entry'!_131)</f>
      </c>
      <c r="AF131">
        <f>IF(ISBLANK('Data Entry'!`131), "", 'Data Entry'!`131)</f>
      </c>
      <c r="AG131">
        <f>IF(ISBLANK('Data Entry'!a131), "", 'Data Entry'!a131)</f>
      </c>
      <c r="AH131">
        <f>IF(ISBLANK('Data Entry'!b131), "", 'Data Entry'!b131)</f>
      </c>
      <c r="AI131">
        <f>IF(ISBLANK('Data Entry'!c131), "", 'Data Entry'!c131)</f>
      </c>
      <c r="AJ131">
        <f>IF(ISBLANK('Data Entry'!d131), "", 'Data Entry'!d131)</f>
      </c>
      <c r="AK131">
        <f>IF(ISBLANK('Data Entry'!e131), "", 'Data Entry'!e131)</f>
      </c>
      <c r="AL131">
        <f>IF(ISBLANK('Data Entry'!f131), "", 'Data Entry'!f131)</f>
      </c>
      <c r="AM131">
        <f>IF(ISBLANK('Data Entry'!g131), "", 'Data Entry'!g131)</f>
      </c>
      <c r="AN131">
        <f>IF(ISBLANK('Data Entry'!h131), "", 'Data Entry'!h131)</f>
      </c>
    </row>
    <row r="132" spans="1:40" x14ac:dyDescent="0.25">
      <c r="A132">
        <f>IF(ISBLANK('Data Entry'!A132), "", 'Data Entry'!A132)</f>
      </c>
      <c r="B132">
        <f>IF(ISBLANK('Data Entry'!B132), "", 'Data Entry'!B132)</f>
      </c>
      <c r="C132">
        <f>IF(ISBLANK('Data Entry'!C132), "", 'Data Entry'!C132)</f>
      </c>
      <c r="D132">
        <f>IF(ISBLANK('Data Entry'!D132), "", 'Data Entry'!D132)</f>
      </c>
      <c r="E132">
        <f>IF(ISBLANK('Data Entry'!E132), "", 'Data Entry'!E132)</f>
      </c>
      <c r="F132">
        <f>IF(ISBLANK('Data Entry'!F132), "", 'Data Entry'!F132)</f>
      </c>
      <c r="G132">
        <f>IF(ISBLANK('Data Entry'!G132), "", 'Data Entry'!G132)</f>
      </c>
      <c r="H132">
        <f>IF(ISBLANK('Data Entry'!H132), "", 'Data Entry'!H132)</f>
      </c>
      <c r="I132">
        <f>IF(ISBLANK('Data Entry'!I132), "", 'Data Entry'!I132)</f>
      </c>
      <c r="J132">
        <f>IF(ISBLANK('Data Entry'!J132), "", 'Data Entry'!J132)</f>
      </c>
      <c r="K132">
        <f>IF(ISBLANK('Data Entry'!K132), "", 'Data Entry'!K132)</f>
      </c>
      <c r="L132">
        <f>IF(ISBLANK('Data Entry'!L132), "", 'Data Entry'!L132)</f>
      </c>
      <c r="M132">
        <f>IF(ISBLANK('Data Entry'!M132), "", 'Data Entry'!M132)</f>
      </c>
      <c r="N132">
        <f>IF(ISBLANK('Data Entry'!N132), "", 'Data Entry'!N132)</f>
      </c>
      <c r="O132">
        <f>IF(ISBLANK('Data Entry'!O132), "", 'Data Entry'!O132)</f>
      </c>
      <c r="P132">
        <f>IF(ISBLANK('Data Entry'!P132), "", 'Data Entry'!P132)</f>
      </c>
      <c r="Q132">
        <f>IF(ISBLANK('Data Entry'!Q132), "", 'Data Entry'!Q132)</f>
      </c>
      <c r="R132">
        <f>IF(ISBLANK('Data Entry'!R132), "", 'Data Entry'!R132)</f>
      </c>
      <c r="S132">
        <f>IF(ISBLANK('Data Entry'!S132), "", 'Data Entry'!S132)</f>
      </c>
      <c r="T132">
        <f>IF(ISBLANK('Data Entry'!T132), "", 'Data Entry'!T132)</f>
      </c>
      <c r="U132">
        <f>IF(ISBLANK('Data Entry'!U132), "", 'Data Entry'!U132)</f>
      </c>
      <c r="V132">
        <f>IF(ISBLANK('Data Entry'!V132), "", 'Data Entry'!V132)</f>
      </c>
      <c r="W132">
        <f>IF(ISBLANK('Data Entry'!W132), "", 'Data Entry'!W132)</f>
      </c>
      <c r="X132">
        <f>IF(ISBLANK('Data Entry'!X132), "", 'Data Entry'!X132)</f>
      </c>
      <c r="Y132">
        <f>IF(ISBLANK('Data Entry'!Y132), "", 'Data Entry'!Y132)</f>
      </c>
      <c r="Z132">
        <f>IF(ISBLANK('Data Entry'!Z132), "", 'Data Entry'!Z132)</f>
      </c>
      <c r="AA132">
        <f>IF(ISBLANK('Data Entry'![132), "", 'Data Entry'![132)</f>
      </c>
      <c r="AB132">
        <f>IF(ISBLANK('Data Entry'!\132), "", 'Data Entry'!\132)</f>
      </c>
      <c r="AC132">
        <f>IF(ISBLANK('Data Entry'!]132), "", 'Data Entry'!]132)</f>
      </c>
      <c r="AD132">
        <f>IF(ISBLANK('Data Entry'!^132), "", 'Data Entry'!^132)</f>
      </c>
      <c r="AE132">
        <f>IF(ISBLANK('Data Entry'!_132), "", 'Data Entry'!_132)</f>
      </c>
      <c r="AF132">
        <f>IF(ISBLANK('Data Entry'!`132), "", 'Data Entry'!`132)</f>
      </c>
      <c r="AG132">
        <f>IF(ISBLANK('Data Entry'!a132), "", 'Data Entry'!a132)</f>
      </c>
      <c r="AH132">
        <f>IF(ISBLANK('Data Entry'!b132), "", 'Data Entry'!b132)</f>
      </c>
      <c r="AI132">
        <f>IF(ISBLANK('Data Entry'!c132), "", 'Data Entry'!c132)</f>
      </c>
      <c r="AJ132">
        <f>IF(ISBLANK('Data Entry'!d132), "", 'Data Entry'!d132)</f>
      </c>
      <c r="AK132">
        <f>IF(ISBLANK('Data Entry'!e132), "", 'Data Entry'!e132)</f>
      </c>
      <c r="AL132">
        <f>IF(ISBLANK('Data Entry'!f132), "", 'Data Entry'!f132)</f>
      </c>
      <c r="AM132">
        <f>IF(ISBLANK('Data Entry'!g132), "", 'Data Entry'!g132)</f>
      </c>
      <c r="AN132">
        <f>IF(ISBLANK('Data Entry'!h132), "", 'Data Entry'!h132)</f>
      </c>
    </row>
    <row r="133" spans="1:40" x14ac:dyDescent="0.25">
      <c r="A133">
        <f>IF(ISBLANK('Data Entry'!A133), "", 'Data Entry'!A133)</f>
      </c>
      <c r="B133">
        <f>IF(ISBLANK('Data Entry'!B133), "", 'Data Entry'!B133)</f>
      </c>
      <c r="C133">
        <f>IF(ISBLANK('Data Entry'!C133), "", 'Data Entry'!C133)</f>
      </c>
      <c r="D133">
        <f>IF(ISBLANK('Data Entry'!D133), "", 'Data Entry'!D133)</f>
      </c>
      <c r="E133">
        <f>IF(ISBLANK('Data Entry'!E133), "", 'Data Entry'!E133)</f>
      </c>
      <c r="F133">
        <f>IF(ISBLANK('Data Entry'!F133), "", 'Data Entry'!F133)</f>
      </c>
      <c r="G133">
        <f>IF(ISBLANK('Data Entry'!G133), "", 'Data Entry'!G133)</f>
      </c>
      <c r="H133">
        <f>IF(ISBLANK('Data Entry'!H133), "", 'Data Entry'!H133)</f>
      </c>
      <c r="I133">
        <f>IF(ISBLANK('Data Entry'!I133), "", 'Data Entry'!I133)</f>
      </c>
      <c r="J133">
        <f>IF(ISBLANK('Data Entry'!J133), "", 'Data Entry'!J133)</f>
      </c>
      <c r="K133">
        <f>IF(ISBLANK('Data Entry'!K133), "", 'Data Entry'!K133)</f>
      </c>
      <c r="L133">
        <f>IF(ISBLANK('Data Entry'!L133), "", 'Data Entry'!L133)</f>
      </c>
      <c r="M133">
        <f>IF(ISBLANK('Data Entry'!M133), "", 'Data Entry'!M133)</f>
      </c>
      <c r="N133">
        <f>IF(ISBLANK('Data Entry'!N133), "", 'Data Entry'!N133)</f>
      </c>
      <c r="O133">
        <f>IF(ISBLANK('Data Entry'!O133), "", 'Data Entry'!O133)</f>
      </c>
      <c r="P133">
        <f>IF(ISBLANK('Data Entry'!P133), "", 'Data Entry'!P133)</f>
      </c>
      <c r="Q133">
        <f>IF(ISBLANK('Data Entry'!Q133), "", 'Data Entry'!Q133)</f>
      </c>
      <c r="R133">
        <f>IF(ISBLANK('Data Entry'!R133), "", 'Data Entry'!R133)</f>
      </c>
      <c r="S133">
        <f>IF(ISBLANK('Data Entry'!S133), "", 'Data Entry'!S133)</f>
      </c>
      <c r="T133">
        <f>IF(ISBLANK('Data Entry'!T133), "", 'Data Entry'!T133)</f>
      </c>
      <c r="U133">
        <f>IF(ISBLANK('Data Entry'!U133), "", 'Data Entry'!U133)</f>
      </c>
      <c r="V133">
        <f>IF(ISBLANK('Data Entry'!V133), "", 'Data Entry'!V133)</f>
      </c>
      <c r="W133">
        <f>IF(ISBLANK('Data Entry'!W133), "", 'Data Entry'!W133)</f>
      </c>
      <c r="X133">
        <f>IF(ISBLANK('Data Entry'!X133), "", 'Data Entry'!X133)</f>
      </c>
      <c r="Y133">
        <f>IF(ISBLANK('Data Entry'!Y133), "", 'Data Entry'!Y133)</f>
      </c>
      <c r="Z133">
        <f>IF(ISBLANK('Data Entry'!Z133), "", 'Data Entry'!Z133)</f>
      </c>
      <c r="AA133">
        <f>IF(ISBLANK('Data Entry'![133), "", 'Data Entry'![133)</f>
      </c>
      <c r="AB133">
        <f>IF(ISBLANK('Data Entry'!\133), "", 'Data Entry'!\133)</f>
      </c>
      <c r="AC133">
        <f>IF(ISBLANK('Data Entry'!]133), "", 'Data Entry'!]133)</f>
      </c>
      <c r="AD133">
        <f>IF(ISBLANK('Data Entry'!^133), "", 'Data Entry'!^133)</f>
      </c>
      <c r="AE133">
        <f>IF(ISBLANK('Data Entry'!_133), "", 'Data Entry'!_133)</f>
      </c>
      <c r="AF133">
        <f>IF(ISBLANK('Data Entry'!`133), "", 'Data Entry'!`133)</f>
      </c>
      <c r="AG133">
        <f>IF(ISBLANK('Data Entry'!a133), "", 'Data Entry'!a133)</f>
      </c>
      <c r="AH133">
        <f>IF(ISBLANK('Data Entry'!b133), "", 'Data Entry'!b133)</f>
      </c>
      <c r="AI133">
        <f>IF(ISBLANK('Data Entry'!c133), "", 'Data Entry'!c133)</f>
      </c>
      <c r="AJ133">
        <f>IF(ISBLANK('Data Entry'!d133), "", 'Data Entry'!d133)</f>
      </c>
      <c r="AK133">
        <f>IF(ISBLANK('Data Entry'!e133), "", 'Data Entry'!e133)</f>
      </c>
      <c r="AL133">
        <f>IF(ISBLANK('Data Entry'!f133), "", 'Data Entry'!f133)</f>
      </c>
      <c r="AM133">
        <f>IF(ISBLANK('Data Entry'!g133), "", 'Data Entry'!g133)</f>
      </c>
      <c r="AN133">
        <f>IF(ISBLANK('Data Entry'!h133), "", 'Data Entry'!h133)</f>
      </c>
    </row>
    <row r="134" spans="1:40" x14ac:dyDescent="0.25">
      <c r="A134">
        <f>IF(ISBLANK('Data Entry'!A134), "", 'Data Entry'!A134)</f>
      </c>
      <c r="B134">
        <f>IF(ISBLANK('Data Entry'!B134), "", 'Data Entry'!B134)</f>
      </c>
      <c r="C134">
        <f>IF(ISBLANK('Data Entry'!C134), "", 'Data Entry'!C134)</f>
      </c>
      <c r="D134">
        <f>IF(ISBLANK('Data Entry'!D134), "", 'Data Entry'!D134)</f>
      </c>
      <c r="E134">
        <f>IF(ISBLANK('Data Entry'!E134), "", 'Data Entry'!E134)</f>
      </c>
      <c r="F134">
        <f>IF(ISBLANK('Data Entry'!F134), "", 'Data Entry'!F134)</f>
      </c>
      <c r="G134">
        <f>IF(ISBLANK('Data Entry'!G134), "", 'Data Entry'!G134)</f>
      </c>
      <c r="H134">
        <f>IF(ISBLANK('Data Entry'!H134), "", 'Data Entry'!H134)</f>
      </c>
      <c r="I134">
        <f>IF(ISBLANK('Data Entry'!I134), "", 'Data Entry'!I134)</f>
      </c>
      <c r="J134">
        <f>IF(ISBLANK('Data Entry'!J134), "", 'Data Entry'!J134)</f>
      </c>
      <c r="K134">
        <f>IF(ISBLANK('Data Entry'!K134), "", 'Data Entry'!K134)</f>
      </c>
      <c r="L134">
        <f>IF(ISBLANK('Data Entry'!L134), "", 'Data Entry'!L134)</f>
      </c>
      <c r="M134">
        <f>IF(ISBLANK('Data Entry'!M134), "", 'Data Entry'!M134)</f>
      </c>
      <c r="N134">
        <f>IF(ISBLANK('Data Entry'!N134), "", 'Data Entry'!N134)</f>
      </c>
      <c r="O134">
        <f>IF(ISBLANK('Data Entry'!O134), "", 'Data Entry'!O134)</f>
      </c>
      <c r="P134">
        <f>IF(ISBLANK('Data Entry'!P134), "", 'Data Entry'!P134)</f>
      </c>
      <c r="Q134">
        <f>IF(ISBLANK('Data Entry'!Q134), "", 'Data Entry'!Q134)</f>
      </c>
      <c r="R134">
        <f>IF(ISBLANK('Data Entry'!R134), "", 'Data Entry'!R134)</f>
      </c>
      <c r="S134">
        <f>IF(ISBLANK('Data Entry'!S134), "", 'Data Entry'!S134)</f>
      </c>
      <c r="T134">
        <f>IF(ISBLANK('Data Entry'!T134), "", 'Data Entry'!T134)</f>
      </c>
      <c r="U134">
        <f>IF(ISBLANK('Data Entry'!U134), "", 'Data Entry'!U134)</f>
      </c>
      <c r="V134">
        <f>IF(ISBLANK('Data Entry'!V134), "", 'Data Entry'!V134)</f>
      </c>
      <c r="W134">
        <f>IF(ISBLANK('Data Entry'!W134), "", 'Data Entry'!W134)</f>
      </c>
      <c r="X134">
        <f>IF(ISBLANK('Data Entry'!X134), "", 'Data Entry'!X134)</f>
      </c>
      <c r="Y134">
        <f>IF(ISBLANK('Data Entry'!Y134), "", 'Data Entry'!Y134)</f>
      </c>
      <c r="Z134">
        <f>IF(ISBLANK('Data Entry'!Z134), "", 'Data Entry'!Z134)</f>
      </c>
      <c r="AA134">
        <f>IF(ISBLANK('Data Entry'![134), "", 'Data Entry'![134)</f>
      </c>
      <c r="AB134">
        <f>IF(ISBLANK('Data Entry'!\134), "", 'Data Entry'!\134)</f>
      </c>
      <c r="AC134">
        <f>IF(ISBLANK('Data Entry'!]134), "", 'Data Entry'!]134)</f>
      </c>
      <c r="AD134">
        <f>IF(ISBLANK('Data Entry'!^134), "", 'Data Entry'!^134)</f>
      </c>
      <c r="AE134">
        <f>IF(ISBLANK('Data Entry'!_134), "", 'Data Entry'!_134)</f>
      </c>
      <c r="AF134">
        <f>IF(ISBLANK('Data Entry'!`134), "", 'Data Entry'!`134)</f>
      </c>
      <c r="AG134">
        <f>IF(ISBLANK('Data Entry'!a134), "", 'Data Entry'!a134)</f>
      </c>
      <c r="AH134">
        <f>IF(ISBLANK('Data Entry'!b134), "", 'Data Entry'!b134)</f>
      </c>
      <c r="AI134">
        <f>IF(ISBLANK('Data Entry'!c134), "", 'Data Entry'!c134)</f>
      </c>
      <c r="AJ134">
        <f>IF(ISBLANK('Data Entry'!d134), "", 'Data Entry'!d134)</f>
      </c>
      <c r="AK134">
        <f>IF(ISBLANK('Data Entry'!e134), "", 'Data Entry'!e134)</f>
      </c>
      <c r="AL134">
        <f>IF(ISBLANK('Data Entry'!f134), "", 'Data Entry'!f134)</f>
      </c>
      <c r="AM134">
        <f>IF(ISBLANK('Data Entry'!g134), "", 'Data Entry'!g134)</f>
      </c>
      <c r="AN134">
        <f>IF(ISBLANK('Data Entry'!h134), "", 'Data Entry'!h134)</f>
      </c>
    </row>
    <row r="135" spans="1:40" x14ac:dyDescent="0.25">
      <c r="A135">
        <f>IF(ISBLANK('Data Entry'!A135), "", 'Data Entry'!A135)</f>
      </c>
      <c r="B135">
        <f>IF(ISBLANK('Data Entry'!B135), "", 'Data Entry'!B135)</f>
      </c>
      <c r="C135">
        <f>IF(ISBLANK('Data Entry'!C135), "", 'Data Entry'!C135)</f>
      </c>
      <c r="D135">
        <f>IF(ISBLANK('Data Entry'!D135), "", 'Data Entry'!D135)</f>
      </c>
      <c r="E135">
        <f>IF(ISBLANK('Data Entry'!E135), "", 'Data Entry'!E135)</f>
      </c>
      <c r="F135">
        <f>IF(ISBLANK('Data Entry'!F135), "", 'Data Entry'!F135)</f>
      </c>
      <c r="G135">
        <f>IF(ISBLANK('Data Entry'!G135), "", 'Data Entry'!G135)</f>
      </c>
      <c r="H135">
        <f>IF(ISBLANK('Data Entry'!H135), "", 'Data Entry'!H135)</f>
      </c>
      <c r="I135">
        <f>IF(ISBLANK('Data Entry'!I135), "", 'Data Entry'!I135)</f>
      </c>
      <c r="J135">
        <f>IF(ISBLANK('Data Entry'!J135), "", 'Data Entry'!J135)</f>
      </c>
      <c r="K135">
        <f>IF(ISBLANK('Data Entry'!K135), "", 'Data Entry'!K135)</f>
      </c>
      <c r="L135">
        <f>IF(ISBLANK('Data Entry'!L135), "", 'Data Entry'!L135)</f>
      </c>
      <c r="M135">
        <f>IF(ISBLANK('Data Entry'!M135), "", 'Data Entry'!M135)</f>
      </c>
      <c r="N135">
        <f>IF(ISBLANK('Data Entry'!N135), "", 'Data Entry'!N135)</f>
      </c>
      <c r="O135">
        <f>IF(ISBLANK('Data Entry'!O135), "", 'Data Entry'!O135)</f>
      </c>
      <c r="P135">
        <f>IF(ISBLANK('Data Entry'!P135), "", 'Data Entry'!P135)</f>
      </c>
      <c r="Q135">
        <f>IF(ISBLANK('Data Entry'!Q135), "", 'Data Entry'!Q135)</f>
      </c>
      <c r="R135">
        <f>IF(ISBLANK('Data Entry'!R135), "", 'Data Entry'!R135)</f>
      </c>
      <c r="S135">
        <f>IF(ISBLANK('Data Entry'!S135), "", 'Data Entry'!S135)</f>
      </c>
      <c r="T135">
        <f>IF(ISBLANK('Data Entry'!T135), "", 'Data Entry'!T135)</f>
      </c>
      <c r="U135">
        <f>IF(ISBLANK('Data Entry'!U135), "", 'Data Entry'!U135)</f>
      </c>
      <c r="V135">
        <f>IF(ISBLANK('Data Entry'!V135), "", 'Data Entry'!V135)</f>
      </c>
      <c r="W135">
        <f>IF(ISBLANK('Data Entry'!W135), "", 'Data Entry'!W135)</f>
      </c>
      <c r="X135">
        <f>IF(ISBLANK('Data Entry'!X135), "", 'Data Entry'!X135)</f>
      </c>
      <c r="Y135">
        <f>IF(ISBLANK('Data Entry'!Y135), "", 'Data Entry'!Y135)</f>
      </c>
      <c r="Z135">
        <f>IF(ISBLANK('Data Entry'!Z135), "", 'Data Entry'!Z135)</f>
      </c>
      <c r="AA135">
        <f>IF(ISBLANK('Data Entry'![135), "", 'Data Entry'![135)</f>
      </c>
      <c r="AB135">
        <f>IF(ISBLANK('Data Entry'!\135), "", 'Data Entry'!\135)</f>
      </c>
      <c r="AC135">
        <f>IF(ISBLANK('Data Entry'!]135), "", 'Data Entry'!]135)</f>
      </c>
      <c r="AD135">
        <f>IF(ISBLANK('Data Entry'!^135), "", 'Data Entry'!^135)</f>
      </c>
      <c r="AE135">
        <f>IF(ISBLANK('Data Entry'!_135), "", 'Data Entry'!_135)</f>
      </c>
      <c r="AF135">
        <f>IF(ISBLANK('Data Entry'!`135), "", 'Data Entry'!`135)</f>
      </c>
      <c r="AG135">
        <f>IF(ISBLANK('Data Entry'!a135), "", 'Data Entry'!a135)</f>
      </c>
      <c r="AH135">
        <f>IF(ISBLANK('Data Entry'!b135), "", 'Data Entry'!b135)</f>
      </c>
      <c r="AI135">
        <f>IF(ISBLANK('Data Entry'!c135), "", 'Data Entry'!c135)</f>
      </c>
      <c r="AJ135">
        <f>IF(ISBLANK('Data Entry'!d135), "", 'Data Entry'!d135)</f>
      </c>
      <c r="AK135">
        <f>IF(ISBLANK('Data Entry'!e135), "", 'Data Entry'!e135)</f>
      </c>
      <c r="AL135">
        <f>IF(ISBLANK('Data Entry'!f135), "", 'Data Entry'!f135)</f>
      </c>
      <c r="AM135">
        <f>IF(ISBLANK('Data Entry'!g135), "", 'Data Entry'!g135)</f>
      </c>
      <c r="AN135">
        <f>IF(ISBLANK('Data Entry'!h135), "", 'Data Entry'!h135)</f>
      </c>
    </row>
    <row r="136" spans="1:40" x14ac:dyDescent="0.25">
      <c r="A136">
        <f>IF(ISBLANK('Data Entry'!A136), "", 'Data Entry'!A136)</f>
      </c>
      <c r="B136">
        <f>IF(ISBLANK('Data Entry'!B136), "", 'Data Entry'!B136)</f>
      </c>
      <c r="C136">
        <f>IF(ISBLANK('Data Entry'!C136), "", 'Data Entry'!C136)</f>
      </c>
      <c r="D136">
        <f>IF(ISBLANK('Data Entry'!D136), "", 'Data Entry'!D136)</f>
      </c>
      <c r="E136">
        <f>IF(ISBLANK('Data Entry'!E136), "", 'Data Entry'!E136)</f>
      </c>
      <c r="F136">
        <f>IF(ISBLANK('Data Entry'!F136), "", 'Data Entry'!F136)</f>
      </c>
      <c r="G136">
        <f>IF(ISBLANK('Data Entry'!G136), "", 'Data Entry'!G136)</f>
      </c>
      <c r="H136">
        <f>IF(ISBLANK('Data Entry'!H136), "", 'Data Entry'!H136)</f>
      </c>
      <c r="I136">
        <f>IF(ISBLANK('Data Entry'!I136), "", 'Data Entry'!I136)</f>
      </c>
      <c r="J136">
        <f>IF(ISBLANK('Data Entry'!J136), "", 'Data Entry'!J136)</f>
      </c>
      <c r="K136">
        <f>IF(ISBLANK('Data Entry'!K136), "", 'Data Entry'!K136)</f>
      </c>
      <c r="L136">
        <f>IF(ISBLANK('Data Entry'!L136), "", 'Data Entry'!L136)</f>
      </c>
      <c r="M136">
        <f>IF(ISBLANK('Data Entry'!M136), "", 'Data Entry'!M136)</f>
      </c>
      <c r="N136">
        <f>IF(ISBLANK('Data Entry'!N136), "", 'Data Entry'!N136)</f>
      </c>
      <c r="O136">
        <f>IF(ISBLANK('Data Entry'!O136), "", 'Data Entry'!O136)</f>
      </c>
      <c r="P136">
        <f>IF(ISBLANK('Data Entry'!P136), "", 'Data Entry'!P136)</f>
      </c>
      <c r="Q136">
        <f>IF(ISBLANK('Data Entry'!Q136), "", 'Data Entry'!Q136)</f>
      </c>
      <c r="R136">
        <f>IF(ISBLANK('Data Entry'!R136), "", 'Data Entry'!R136)</f>
      </c>
      <c r="S136">
        <f>IF(ISBLANK('Data Entry'!S136), "", 'Data Entry'!S136)</f>
      </c>
      <c r="T136">
        <f>IF(ISBLANK('Data Entry'!T136), "", 'Data Entry'!T136)</f>
      </c>
      <c r="U136">
        <f>IF(ISBLANK('Data Entry'!U136), "", 'Data Entry'!U136)</f>
      </c>
      <c r="V136">
        <f>IF(ISBLANK('Data Entry'!V136), "", 'Data Entry'!V136)</f>
      </c>
      <c r="W136">
        <f>IF(ISBLANK('Data Entry'!W136), "", 'Data Entry'!W136)</f>
      </c>
      <c r="X136">
        <f>IF(ISBLANK('Data Entry'!X136), "", 'Data Entry'!X136)</f>
      </c>
      <c r="Y136">
        <f>IF(ISBLANK('Data Entry'!Y136), "", 'Data Entry'!Y136)</f>
      </c>
      <c r="Z136">
        <f>IF(ISBLANK('Data Entry'!Z136), "", 'Data Entry'!Z136)</f>
      </c>
      <c r="AA136">
        <f>IF(ISBLANK('Data Entry'![136), "", 'Data Entry'![136)</f>
      </c>
      <c r="AB136">
        <f>IF(ISBLANK('Data Entry'!\136), "", 'Data Entry'!\136)</f>
      </c>
      <c r="AC136">
        <f>IF(ISBLANK('Data Entry'!]136), "", 'Data Entry'!]136)</f>
      </c>
      <c r="AD136">
        <f>IF(ISBLANK('Data Entry'!^136), "", 'Data Entry'!^136)</f>
      </c>
      <c r="AE136">
        <f>IF(ISBLANK('Data Entry'!_136), "", 'Data Entry'!_136)</f>
      </c>
      <c r="AF136">
        <f>IF(ISBLANK('Data Entry'!`136), "", 'Data Entry'!`136)</f>
      </c>
      <c r="AG136">
        <f>IF(ISBLANK('Data Entry'!a136), "", 'Data Entry'!a136)</f>
      </c>
      <c r="AH136">
        <f>IF(ISBLANK('Data Entry'!b136), "", 'Data Entry'!b136)</f>
      </c>
      <c r="AI136">
        <f>IF(ISBLANK('Data Entry'!c136), "", 'Data Entry'!c136)</f>
      </c>
      <c r="AJ136">
        <f>IF(ISBLANK('Data Entry'!d136), "", 'Data Entry'!d136)</f>
      </c>
      <c r="AK136">
        <f>IF(ISBLANK('Data Entry'!e136), "", 'Data Entry'!e136)</f>
      </c>
      <c r="AL136">
        <f>IF(ISBLANK('Data Entry'!f136), "", 'Data Entry'!f136)</f>
      </c>
      <c r="AM136">
        <f>IF(ISBLANK('Data Entry'!g136), "", 'Data Entry'!g136)</f>
      </c>
      <c r="AN136">
        <f>IF(ISBLANK('Data Entry'!h136), "", 'Data Entry'!h136)</f>
      </c>
    </row>
    <row r="137" spans="1:40" x14ac:dyDescent="0.25">
      <c r="A137">
        <f>IF(ISBLANK('Data Entry'!A137), "", 'Data Entry'!A137)</f>
      </c>
      <c r="B137">
        <f>IF(ISBLANK('Data Entry'!B137), "", 'Data Entry'!B137)</f>
      </c>
      <c r="C137">
        <f>IF(ISBLANK('Data Entry'!C137), "", 'Data Entry'!C137)</f>
      </c>
      <c r="D137">
        <f>IF(ISBLANK('Data Entry'!D137), "", 'Data Entry'!D137)</f>
      </c>
      <c r="E137">
        <f>IF(ISBLANK('Data Entry'!E137), "", 'Data Entry'!E137)</f>
      </c>
      <c r="F137">
        <f>IF(ISBLANK('Data Entry'!F137), "", 'Data Entry'!F137)</f>
      </c>
      <c r="G137">
        <f>IF(ISBLANK('Data Entry'!G137), "", 'Data Entry'!G137)</f>
      </c>
      <c r="H137">
        <f>IF(ISBLANK('Data Entry'!H137), "", 'Data Entry'!H137)</f>
      </c>
      <c r="I137">
        <f>IF(ISBLANK('Data Entry'!I137), "", 'Data Entry'!I137)</f>
      </c>
      <c r="J137">
        <f>IF(ISBLANK('Data Entry'!J137), "", 'Data Entry'!J137)</f>
      </c>
      <c r="K137">
        <f>IF(ISBLANK('Data Entry'!K137), "", 'Data Entry'!K137)</f>
      </c>
      <c r="L137">
        <f>IF(ISBLANK('Data Entry'!L137), "", 'Data Entry'!L137)</f>
      </c>
      <c r="M137">
        <f>IF(ISBLANK('Data Entry'!M137), "", 'Data Entry'!M137)</f>
      </c>
      <c r="N137">
        <f>IF(ISBLANK('Data Entry'!N137), "", 'Data Entry'!N137)</f>
      </c>
      <c r="O137">
        <f>IF(ISBLANK('Data Entry'!O137), "", 'Data Entry'!O137)</f>
      </c>
      <c r="P137">
        <f>IF(ISBLANK('Data Entry'!P137), "", 'Data Entry'!P137)</f>
      </c>
      <c r="Q137">
        <f>IF(ISBLANK('Data Entry'!Q137), "", 'Data Entry'!Q137)</f>
      </c>
      <c r="R137">
        <f>IF(ISBLANK('Data Entry'!R137), "", 'Data Entry'!R137)</f>
      </c>
      <c r="S137">
        <f>IF(ISBLANK('Data Entry'!S137), "", 'Data Entry'!S137)</f>
      </c>
      <c r="T137">
        <f>IF(ISBLANK('Data Entry'!T137), "", 'Data Entry'!T137)</f>
      </c>
      <c r="U137">
        <f>IF(ISBLANK('Data Entry'!U137), "", 'Data Entry'!U137)</f>
      </c>
      <c r="V137">
        <f>IF(ISBLANK('Data Entry'!V137), "", 'Data Entry'!V137)</f>
      </c>
      <c r="W137">
        <f>IF(ISBLANK('Data Entry'!W137), "", 'Data Entry'!W137)</f>
      </c>
      <c r="X137">
        <f>IF(ISBLANK('Data Entry'!X137), "", 'Data Entry'!X137)</f>
      </c>
      <c r="Y137">
        <f>IF(ISBLANK('Data Entry'!Y137), "", 'Data Entry'!Y137)</f>
      </c>
      <c r="Z137">
        <f>IF(ISBLANK('Data Entry'!Z137), "", 'Data Entry'!Z137)</f>
      </c>
      <c r="AA137">
        <f>IF(ISBLANK('Data Entry'![137), "", 'Data Entry'![137)</f>
      </c>
      <c r="AB137">
        <f>IF(ISBLANK('Data Entry'!\137), "", 'Data Entry'!\137)</f>
      </c>
      <c r="AC137">
        <f>IF(ISBLANK('Data Entry'!]137), "", 'Data Entry'!]137)</f>
      </c>
      <c r="AD137">
        <f>IF(ISBLANK('Data Entry'!^137), "", 'Data Entry'!^137)</f>
      </c>
      <c r="AE137">
        <f>IF(ISBLANK('Data Entry'!_137), "", 'Data Entry'!_137)</f>
      </c>
      <c r="AF137">
        <f>IF(ISBLANK('Data Entry'!`137), "", 'Data Entry'!`137)</f>
      </c>
      <c r="AG137">
        <f>IF(ISBLANK('Data Entry'!a137), "", 'Data Entry'!a137)</f>
      </c>
      <c r="AH137">
        <f>IF(ISBLANK('Data Entry'!b137), "", 'Data Entry'!b137)</f>
      </c>
      <c r="AI137">
        <f>IF(ISBLANK('Data Entry'!c137), "", 'Data Entry'!c137)</f>
      </c>
      <c r="AJ137">
        <f>IF(ISBLANK('Data Entry'!d137), "", 'Data Entry'!d137)</f>
      </c>
      <c r="AK137">
        <f>IF(ISBLANK('Data Entry'!e137), "", 'Data Entry'!e137)</f>
      </c>
      <c r="AL137">
        <f>IF(ISBLANK('Data Entry'!f137), "", 'Data Entry'!f137)</f>
      </c>
      <c r="AM137">
        <f>IF(ISBLANK('Data Entry'!g137), "", 'Data Entry'!g137)</f>
      </c>
      <c r="AN137">
        <f>IF(ISBLANK('Data Entry'!h137), "", 'Data Entry'!h137)</f>
      </c>
    </row>
    <row r="138" spans="1:40" x14ac:dyDescent="0.25">
      <c r="A138">
        <f>IF(ISBLANK('Data Entry'!A138), "", 'Data Entry'!A138)</f>
      </c>
      <c r="B138">
        <f>IF(ISBLANK('Data Entry'!B138), "", 'Data Entry'!B138)</f>
      </c>
      <c r="C138">
        <f>IF(ISBLANK('Data Entry'!C138), "", 'Data Entry'!C138)</f>
      </c>
      <c r="D138">
        <f>IF(ISBLANK('Data Entry'!D138), "", 'Data Entry'!D138)</f>
      </c>
      <c r="E138">
        <f>IF(ISBLANK('Data Entry'!E138), "", 'Data Entry'!E138)</f>
      </c>
      <c r="F138">
        <f>IF(ISBLANK('Data Entry'!F138), "", 'Data Entry'!F138)</f>
      </c>
      <c r="G138">
        <f>IF(ISBLANK('Data Entry'!G138), "", 'Data Entry'!G138)</f>
      </c>
      <c r="H138">
        <f>IF(ISBLANK('Data Entry'!H138), "", 'Data Entry'!H138)</f>
      </c>
      <c r="I138">
        <f>IF(ISBLANK('Data Entry'!I138), "", 'Data Entry'!I138)</f>
      </c>
      <c r="J138">
        <f>IF(ISBLANK('Data Entry'!J138), "", 'Data Entry'!J138)</f>
      </c>
      <c r="K138">
        <f>IF(ISBLANK('Data Entry'!K138), "", 'Data Entry'!K138)</f>
      </c>
      <c r="L138">
        <f>IF(ISBLANK('Data Entry'!L138), "", 'Data Entry'!L138)</f>
      </c>
      <c r="M138">
        <f>IF(ISBLANK('Data Entry'!M138), "", 'Data Entry'!M138)</f>
      </c>
      <c r="N138">
        <f>IF(ISBLANK('Data Entry'!N138), "", 'Data Entry'!N138)</f>
      </c>
      <c r="O138">
        <f>IF(ISBLANK('Data Entry'!O138), "", 'Data Entry'!O138)</f>
      </c>
      <c r="P138">
        <f>IF(ISBLANK('Data Entry'!P138), "", 'Data Entry'!P138)</f>
      </c>
      <c r="Q138">
        <f>IF(ISBLANK('Data Entry'!Q138), "", 'Data Entry'!Q138)</f>
      </c>
      <c r="R138">
        <f>IF(ISBLANK('Data Entry'!R138), "", 'Data Entry'!R138)</f>
      </c>
      <c r="S138">
        <f>IF(ISBLANK('Data Entry'!S138), "", 'Data Entry'!S138)</f>
      </c>
      <c r="T138">
        <f>IF(ISBLANK('Data Entry'!T138), "", 'Data Entry'!T138)</f>
      </c>
      <c r="U138">
        <f>IF(ISBLANK('Data Entry'!U138), "", 'Data Entry'!U138)</f>
      </c>
      <c r="V138">
        <f>IF(ISBLANK('Data Entry'!V138), "", 'Data Entry'!V138)</f>
      </c>
      <c r="W138">
        <f>IF(ISBLANK('Data Entry'!W138), "", 'Data Entry'!W138)</f>
      </c>
      <c r="X138">
        <f>IF(ISBLANK('Data Entry'!X138), "", 'Data Entry'!X138)</f>
      </c>
      <c r="Y138">
        <f>IF(ISBLANK('Data Entry'!Y138), "", 'Data Entry'!Y138)</f>
      </c>
      <c r="Z138">
        <f>IF(ISBLANK('Data Entry'!Z138), "", 'Data Entry'!Z138)</f>
      </c>
      <c r="AA138">
        <f>IF(ISBLANK('Data Entry'![138), "", 'Data Entry'![138)</f>
      </c>
      <c r="AB138">
        <f>IF(ISBLANK('Data Entry'!\138), "", 'Data Entry'!\138)</f>
      </c>
      <c r="AC138">
        <f>IF(ISBLANK('Data Entry'!]138), "", 'Data Entry'!]138)</f>
      </c>
      <c r="AD138">
        <f>IF(ISBLANK('Data Entry'!^138), "", 'Data Entry'!^138)</f>
      </c>
      <c r="AE138">
        <f>IF(ISBLANK('Data Entry'!_138), "", 'Data Entry'!_138)</f>
      </c>
      <c r="AF138">
        <f>IF(ISBLANK('Data Entry'!`138), "", 'Data Entry'!`138)</f>
      </c>
      <c r="AG138">
        <f>IF(ISBLANK('Data Entry'!a138), "", 'Data Entry'!a138)</f>
      </c>
      <c r="AH138">
        <f>IF(ISBLANK('Data Entry'!b138), "", 'Data Entry'!b138)</f>
      </c>
      <c r="AI138">
        <f>IF(ISBLANK('Data Entry'!c138), "", 'Data Entry'!c138)</f>
      </c>
      <c r="AJ138">
        <f>IF(ISBLANK('Data Entry'!d138), "", 'Data Entry'!d138)</f>
      </c>
      <c r="AK138">
        <f>IF(ISBLANK('Data Entry'!e138), "", 'Data Entry'!e138)</f>
      </c>
      <c r="AL138">
        <f>IF(ISBLANK('Data Entry'!f138), "", 'Data Entry'!f138)</f>
      </c>
      <c r="AM138">
        <f>IF(ISBLANK('Data Entry'!g138), "", 'Data Entry'!g138)</f>
      </c>
      <c r="AN138">
        <f>IF(ISBLANK('Data Entry'!h138), "", 'Data Entry'!h138)</f>
      </c>
    </row>
    <row r="139" spans="1:40" x14ac:dyDescent="0.25">
      <c r="A139">
        <f>IF(ISBLANK('Data Entry'!A139), "", 'Data Entry'!A139)</f>
      </c>
      <c r="B139">
        <f>IF(ISBLANK('Data Entry'!B139), "", 'Data Entry'!B139)</f>
      </c>
      <c r="C139">
        <f>IF(ISBLANK('Data Entry'!C139), "", 'Data Entry'!C139)</f>
      </c>
      <c r="D139">
        <f>IF(ISBLANK('Data Entry'!D139), "", 'Data Entry'!D139)</f>
      </c>
      <c r="E139">
        <f>IF(ISBLANK('Data Entry'!E139), "", 'Data Entry'!E139)</f>
      </c>
      <c r="F139">
        <f>IF(ISBLANK('Data Entry'!F139), "", 'Data Entry'!F139)</f>
      </c>
      <c r="G139">
        <f>IF(ISBLANK('Data Entry'!G139), "", 'Data Entry'!G139)</f>
      </c>
      <c r="H139">
        <f>IF(ISBLANK('Data Entry'!H139), "", 'Data Entry'!H139)</f>
      </c>
      <c r="I139">
        <f>IF(ISBLANK('Data Entry'!I139), "", 'Data Entry'!I139)</f>
      </c>
      <c r="J139">
        <f>IF(ISBLANK('Data Entry'!J139), "", 'Data Entry'!J139)</f>
      </c>
      <c r="K139">
        <f>IF(ISBLANK('Data Entry'!K139), "", 'Data Entry'!K139)</f>
      </c>
      <c r="L139">
        <f>IF(ISBLANK('Data Entry'!L139), "", 'Data Entry'!L139)</f>
      </c>
      <c r="M139">
        <f>IF(ISBLANK('Data Entry'!M139), "", 'Data Entry'!M139)</f>
      </c>
      <c r="N139">
        <f>IF(ISBLANK('Data Entry'!N139), "", 'Data Entry'!N139)</f>
      </c>
      <c r="O139">
        <f>IF(ISBLANK('Data Entry'!O139), "", 'Data Entry'!O139)</f>
      </c>
      <c r="P139">
        <f>IF(ISBLANK('Data Entry'!P139), "", 'Data Entry'!P139)</f>
      </c>
      <c r="Q139">
        <f>IF(ISBLANK('Data Entry'!Q139), "", 'Data Entry'!Q139)</f>
      </c>
      <c r="R139">
        <f>IF(ISBLANK('Data Entry'!R139), "", 'Data Entry'!R139)</f>
      </c>
      <c r="S139">
        <f>IF(ISBLANK('Data Entry'!S139), "", 'Data Entry'!S139)</f>
      </c>
      <c r="T139">
        <f>IF(ISBLANK('Data Entry'!T139), "", 'Data Entry'!T139)</f>
      </c>
      <c r="U139">
        <f>IF(ISBLANK('Data Entry'!U139), "", 'Data Entry'!U139)</f>
      </c>
      <c r="V139">
        <f>IF(ISBLANK('Data Entry'!V139), "", 'Data Entry'!V139)</f>
      </c>
      <c r="W139">
        <f>IF(ISBLANK('Data Entry'!W139), "", 'Data Entry'!W139)</f>
      </c>
      <c r="X139">
        <f>IF(ISBLANK('Data Entry'!X139), "", 'Data Entry'!X139)</f>
      </c>
      <c r="Y139">
        <f>IF(ISBLANK('Data Entry'!Y139), "", 'Data Entry'!Y139)</f>
      </c>
      <c r="Z139">
        <f>IF(ISBLANK('Data Entry'!Z139), "", 'Data Entry'!Z139)</f>
      </c>
      <c r="AA139">
        <f>IF(ISBLANK('Data Entry'![139), "", 'Data Entry'![139)</f>
      </c>
      <c r="AB139">
        <f>IF(ISBLANK('Data Entry'!\139), "", 'Data Entry'!\139)</f>
      </c>
      <c r="AC139">
        <f>IF(ISBLANK('Data Entry'!]139), "", 'Data Entry'!]139)</f>
      </c>
      <c r="AD139">
        <f>IF(ISBLANK('Data Entry'!^139), "", 'Data Entry'!^139)</f>
      </c>
      <c r="AE139">
        <f>IF(ISBLANK('Data Entry'!_139), "", 'Data Entry'!_139)</f>
      </c>
      <c r="AF139">
        <f>IF(ISBLANK('Data Entry'!`139), "", 'Data Entry'!`139)</f>
      </c>
      <c r="AG139">
        <f>IF(ISBLANK('Data Entry'!a139), "", 'Data Entry'!a139)</f>
      </c>
      <c r="AH139">
        <f>IF(ISBLANK('Data Entry'!b139), "", 'Data Entry'!b139)</f>
      </c>
      <c r="AI139">
        <f>IF(ISBLANK('Data Entry'!c139), "", 'Data Entry'!c139)</f>
      </c>
      <c r="AJ139">
        <f>IF(ISBLANK('Data Entry'!d139), "", 'Data Entry'!d139)</f>
      </c>
      <c r="AK139">
        <f>IF(ISBLANK('Data Entry'!e139), "", 'Data Entry'!e139)</f>
      </c>
      <c r="AL139">
        <f>IF(ISBLANK('Data Entry'!f139), "", 'Data Entry'!f139)</f>
      </c>
      <c r="AM139">
        <f>IF(ISBLANK('Data Entry'!g139), "", 'Data Entry'!g139)</f>
      </c>
      <c r="AN139">
        <f>IF(ISBLANK('Data Entry'!h139), "", 'Data Entry'!h139)</f>
      </c>
    </row>
    <row r="140" spans="1:40" x14ac:dyDescent="0.25">
      <c r="A140">
        <f>IF(ISBLANK('Data Entry'!A140), "", 'Data Entry'!A140)</f>
      </c>
      <c r="B140">
        <f>IF(ISBLANK('Data Entry'!B140), "", 'Data Entry'!B140)</f>
      </c>
      <c r="C140">
        <f>IF(ISBLANK('Data Entry'!C140), "", 'Data Entry'!C140)</f>
      </c>
      <c r="D140">
        <f>IF(ISBLANK('Data Entry'!D140), "", 'Data Entry'!D140)</f>
      </c>
      <c r="E140">
        <f>IF(ISBLANK('Data Entry'!E140), "", 'Data Entry'!E140)</f>
      </c>
      <c r="F140">
        <f>IF(ISBLANK('Data Entry'!F140), "", 'Data Entry'!F140)</f>
      </c>
      <c r="G140">
        <f>IF(ISBLANK('Data Entry'!G140), "", 'Data Entry'!G140)</f>
      </c>
      <c r="H140">
        <f>IF(ISBLANK('Data Entry'!H140), "", 'Data Entry'!H140)</f>
      </c>
      <c r="I140">
        <f>IF(ISBLANK('Data Entry'!I140), "", 'Data Entry'!I140)</f>
      </c>
      <c r="J140">
        <f>IF(ISBLANK('Data Entry'!J140), "", 'Data Entry'!J140)</f>
      </c>
      <c r="K140">
        <f>IF(ISBLANK('Data Entry'!K140), "", 'Data Entry'!K140)</f>
      </c>
      <c r="L140">
        <f>IF(ISBLANK('Data Entry'!L140), "", 'Data Entry'!L140)</f>
      </c>
      <c r="M140">
        <f>IF(ISBLANK('Data Entry'!M140), "", 'Data Entry'!M140)</f>
      </c>
      <c r="N140">
        <f>IF(ISBLANK('Data Entry'!N140), "", 'Data Entry'!N140)</f>
      </c>
      <c r="O140">
        <f>IF(ISBLANK('Data Entry'!O140), "", 'Data Entry'!O140)</f>
      </c>
      <c r="P140">
        <f>IF(ISBLANK('Data Entry'!P140), "", 'Data Entry'!P140)</f>
      </c>
      <c r="Q140">
        <f>IF(ISBLANK('Data Entry'!Q140), "", 'Data Entry'!Q140)</f>
      </c>
      <c r="R140">
        <f>IF(ISBLANK('Data Entry'!R140), "", 'Data Entry'!R140)</f>
      </c>
      <c r="S140">
        <f>IF(ISBLANK('Data Entry'!S140), "", 'Data Entry'!S140)</f>
      </c>
      <c r="T140">
        <f>IF(ISBLANK('Data Entry'!T140), "", 'Data Entry'!T140)</f>
      </c>
      <c r="U140">
        <f>IF(ISBLANK('Data Entry'!U140), "", 'Data Entry'!U140)</f>
      </c>
      <c r="V140">
        <f>IF(ISBLANK('Data Entry'!V140), "", 'Data Entry'!V140)</f>
      </c>
      <c r="W140">
        <f>IF(ISBLANK('Data Entry'!W140), "", 'Data Entry'!W140)</f>
      </c>
      <c r="X140">
        <f>IF(ISBLANK('Data Entry'!X140), "", 'Data Entry'!X140)</f>
      </c>
      <c r="Y140">
        <f>IF(ISBLANK('Data Entry'!Y140), "", 'Data Entry'!Y140)</f>
      </c>
      <c r="Z140">
        <f>IF(ISBLANK('Data Entry'!Z140), "", 'Data Entry'!Z140)</f>
      </c>
      <c r="AA140">
        <f>IF(ISBLANK('Data Entry'![140), "", 'Data Entry'![140)</f>
      </c>
      <c r="AB140">
        <f>IF(ISBLANK('Data Entry'!\140), "", 'Data Entry'!\140)</f>
      </c>
      <c r="AC140">
        <f>IF(ISBLANK('Data Entry'!]140), "", 'Data Entry'!]140)</f>
      </c>
      <c r="AD140">
        <f>IF(ISBLANK('Data Entry'!^140), "", 'Data Entry'!^140)</f>
      </c>
      <c r="AE140">
        <f>IF(ISBLANK('Data Entry'!_140), "", 'Data Entry'!_140)</f>
      </c>
      <c r="AF140">
        <f>IF(ISBLANK('Data Entry'!`140), "", 'Data Entry'!`140)</f>
      </c>
      <c r="AG140">
        <f>IF(ISBLANK('Data Entry'!a140), "", 'Data Entry'!a140)</f>
      </c>
      <c r="AH140">
        <f>IF(ISBLANK('Data Entry'!b140), "", 'Data Entry'!b140)</f>
      </c>
      <c r="AI140">
        <f>IF(ISBLANK('Data Entry'!c140), "", 'Data Entry'!c140)</f>
      </c>
      <c r="AJ140">
        <f>IF(ISBLANK('Data Entry'!d140), "", 'Data Entry'!d140)</f>
      </c>
      <c r="AK140">
        <f>IF(ISBLANK('Data Entry'!e140), "", 'Data Entry'!e140)</f>
      </c>
      <c r="AL140">
        <f>IF(ISBLANK('Data Entry'!f140), "", 'Data Entry'!f140)</f>
      </c>
      <c r="AM140">
        <f>IF(ISBLANK('Data Entry'!g140), "", 'Data Entry'!g140)</f>
      </c>
      <c r="AN140">
        <f>IF(ISBLANK('Data Entry'!h140), "", 'Data Entry'!h140)</f>
      </c>
    </row>
    <row r="141" spans="1:40" x14ac:dyDescent="0.25">
      <c r="A141">
        <f>IF(ISBLANK('Data Entry'!A141), "", 'Data Entry'!A141)</f>
      </c>
      <c r="B141">
        <f>IF(ISBLANK('Data Entry'!B141), "", 'Data Entry'!B141)</f>
      </c>
      <c r="C141">
        <f>IF(ISBLANK('Data Entry'!C141), "", 'Data Entry'!C141)</f>
      </c>
      <c r="D141">
        <f>IF(ISBLANK('Data Entry'!D141), "", 'Data Entry'!D141)</f>
      </c>
      <c r="E141">
        <f>IF(ISBLANK('Data Entry'!E141), "", 'Data Entry'!E141)</f>
      </c>
      <c r="F141">
        <f>IF(ISBLANK('Data Entry'!F141), "", 'Data Entry'!F141)</f>
      </c>
      <c r="G141">
        <f>IF(ISBLANK('Data Entry'!G141), "", 'Data Entry'!G141)</f>
      </c>
      <c r="H141">
        <f>IF(ISBLANK('Data Entry'!H141), "", 'Data Entry'!H141)</f>
      </c>
      <c r="I141">
        <f>IF(ISBLANK('Data Entry'!I141), "", 'Data Entry'!I141)</f>
      </c>
      <c r="J141">
        <f>IF(ISBLANK('Data Entry'!J141), "", 'Data Entry'!J141)</f>
      </c>
      <c r="K141">
        <f>IF(ISBLANK('Data Entry'!K141), "", 'Data Entry'!K141)</f>
      </c>
      <c r="L141">
        <f>IF(ISBLANK('Data Entry'!L141), "", 'Data Entry'!L141)</f>
      </c>
      <c r="M141">
        <f>IF(ISBLANK('Data Entry'!M141), "", 'Data Entry'!M141)</f>
      </c>
      <c r="N141">
        <f>IF(ISBLANK('Data Entry'!N141), "", 'Data Entry'!N141)</f>
      </c>
      <c r="O141">
        <f>IF(ISBLANK('Data Entry'!O141), "", 'Data Entry'!O141)</f>
      </c>
      <c r="P141">
        <f>IF(ISBLANK('Data Entry'!P141), "", 'Data Entry'!P141)</f>
      </c>
      <c r="Q141">
        <f>IF(ISBLANK('Data Entry'!Q141), "", 'Data Entry'!Q141)</f>
      </c>
      <c r="R141">
        <f>IF(ISBLANK('Data Entry'!R141), "", 'Data Entry'!R141)</f>
      </c>
      <c r="S141">
        <f>IF(ISBLANK('Data Entry'!S141), "", 'Data Entry'!S141)</f>
      </c>
      <c r="T141">
        <f>IF(ISBLANK('Data Entry'!T141), "", 'Data Entry'!T141)</f>
      </c>
      <c r="U141">
        <f>IF(ISBLANK('Data Entry'!U141), "", 'Data Entry'!U141)</f>
      </c>
      <c r="V141">
        <f>IF(ISBLANK('Data Entry'!V141), "", 'Data Entry'!V141)</f>
      </c>
      <c r="W141">
        <f>IF(ISBLANK('Data Entry'!W141), "", 'Data Entry'!W141)</f>
      </c>
      <c r="X141">
        <f>IF(ISBLANK('Data Entry'!X141), "", 'Data Entry'!X141)</f>
      </c>
      <c r="Y141">
        <f>IF(ISBLANK('Data Entry'!Y141), "", 'Data Entry'!Y141)</f>
      </c>
      <c r="Z141">
        <f>IF(ISBLANK('Data Entry'!Z141), "", 'Data Entry'!Z141)</f>
      </c>
      <c r="AA141">
        <f>IF(ISBLANK('Data Entry'![141), "", 'Data Entry'![141)</f>
      </c>
      <c r="AB141">
        <f>IF(ISBLANK('Data Entry'!\141), "", 'Data Entry'!\141)</f>
      </c>
      <c r="AC141">
        <f>IF(ISBLANK('Data Entry'!]141), "", 'Data Entry'!]141)</f>
      </c>
      <c r="AD141">
        <f>IF(ISBLANK('Data Entry'!^141), "", 'Data Entry'!^141)</f>
      </c>
      <c r="AE141">
        <f>IF(ISBLANK('Data Entry'!_141), "", 'Data Entry'!_141)</f>
      </c>
      <c r="AF141">
        <f>IF(ISBLANK('Data Entry'!`141), "", 'Data Entry'!`141)</f>
      </c>
      <c r="AG141">
        <f>IF(ISBLANK('Data Entry'!a141), "", 'Data Entry'!a141)</f>
      </c>
      <c r="AH141">
        <f>IF(ISBLANK('Data Entry'!b141), "", 'Data Entry'!b141)</f>
      </c>
      <c r="AI141">
        <f>IF(ISBLANK('Data Entry'!c141), "", 'Data Entry'!c141)</f>
      </c>
      <c r="AJ141">
        <f>IF(ISBLANK('Data Entry'!d141), "", 'Data Entry'!d141)</f>
      </c>
      <c r="AK141">
        <f>IF(ISBLANK('Data Entry'!e141), "", 'Data Entry'!e141)</f>
      </c>
      <c r="AL141">
        <f>IF(ISBLANK('Data Entry'!f141), "", 'Data Entry'!f141)</f>
      </c>
      <c r="AM141">
        <f>IF(ISBLANK('Data Entry'!g141), "", 'Data Entry'!g141)</f>
      </c>
      <c r="AN141">
        <f>IF(ISBLANK('Data Entry'!h141), "", 'Data Entry'!h141)</f>
      </c>
    </row>
    <row r="142" spans="1:40" x14ac:dyDescent="0.25">
      <c r="A142">
        <f>IF(ISBLANK('Data Entry'!A142), "", 'Data Entry'!A142)</f>
      </c>
      <c r="B142">
        <f>IF(ISBLANK('Data Entry'!B142), "", 'Data Entry'!B142)</f>
      </c>
      <c r="C142">
        <f>IF(ISBLANK('Data Entry'!C142), "", 'Data Entry'!C142)</f>
      </c>
      <c r="D142">
        <f>IF(ISBLANK('Data Entry'!D142), "", 'Data Entry'!D142)</f>
      </c>
      <c r="E142">
        <f>IF(ISBLANK('Data Entry'!E142), "", 'Data Entry'!E142)</f>
      </c>
      <c r="F142">
        <f>IF(ISBLANK('Data Entry'!F142), "", 'Data Entry'!F142)</f>
      </c>
      <c r="G142">
        <f>IF(ISBLANK('Data Entry'!G142), "", 'Data Entry'!G142)</f>
      </c>
      <c r="H142">
        <f>IF(ISBLANK('Data Entry'!H142), "", 'Data Entry'!H142)</f>
      </c>
      <c r="I142">
        <f>IF(ISBLANK('Data Entry'!I142), "", 'Data Entry'!I142)</f>
      </c>
      <c r="J142">
        <f>IF(ISBLANK('Data Entry'!J142), "", 'Data Entry'!J142)</f>
      </c>
      <c r="K142">
        <f>IF(ISBLANK('Data Entry'!K142), "", 'Data Entry'!K142)</f>
      </c>
      <c r="L142">
        <f>IF(ISBLANK('Data Entry'!L142), "", 'Data Entry'!L142)</f>
      </c>
      <c r="M142">
        <f>IF(ISBLANK('Data Entry'!M142), "", 'Data Entry'!M142)</f>
      </c>
      <c r="N142">
        <f>IF(ISBLANK('Data Entry'!N142), "", 'Data Entry'!N142)</f>
      </c>
      <c r="O142">
        <f>IF(ISBLANK('Data Entry'!O142), "", 'Data Entry'!O142)</f>
      </c>
      <c r="P142">
        <f>IF(ISBLANK('Data Entry'!P142), "", 'Data Entry'!P142)</f>
      </c>
      <c r="Q142">
        <f>IF(ISBLANK('Data Entry'!Q142), "", 'Data Entry'!Q142)</f>
      </c>
      <c r="R142">
        <f>IF(ISBLANK('Data Entry'!R142), "", 'Data Entry'!R142)</f>
      </c>
      <c r="S142">
        <f>IF(ISBLANK('Data Entry'!S142), "", 'Data Entry'!S142)</f>
      </c>
      <c r="T142">
        <f>IF(ISBLANK('Data Entry'!T142), "", 'Data Entry'!T142)</f>
      </c>
      <c r="U142">
        <f>IF(ISBLANK('Data Entry'!U142), "", 'Data Entry'!U142)</f>
      </c>
      <c r="V142">
        <f>IF(ISBLANK('Data Entry'!V142), "", 'Data Entry'!V142)</f>
      </c>
      <c r="W142">
        <f>IF(ISBLANK('Data Entry'!W142), "", 'Data Entry'!W142)</f>
      </c>
      <c r="X142">
        <f>IF(ISBLANK('Data Entry'!X142), "", 'Data Entry'!X142)</f>
      </c>
      <c r="Y142">
        <f>IF(ISBLANK('Data Entry'!Y142), "", 'Data Entry'!Y142)</f>
      </c>
      <c r="Z142">
        <f>IF(ISBLANK('Data Entry'!Z142), "", 'Data Entry'!Z142)</f>
      </c>
      <c r="AA142">
        <f>IF(ISBLANK('Data Entry'![142), "", 'Data Entry'![142)</f>
      </c>
      <c r="AB142">
        <f>IF(ISBLANK('Data Entry'!\142), "", 'Data Entry'!\142)</f>
      </c>
      <c r="AC142">
        <f>IF(ISBLANK('Data Entry'!]142), "", 'Data Entry'!]142)</f>
      </c>
      <c r="AD142">
        <f>IF(ISBLANK('Data Entry'!^142), "", 'Data Entry'!^142)</f>
      </c>
      <c r="AE142">
        <f>IF(ISBLANK('Data Entry'!_142), "", 'Data Entry'!_142)</f>
      </c>
      <c r="AF142">
        <f>IF(ISBLANK('Data Entry'!`142), "", 'Data Entry'!`142)</f>
      </c>
      <c r="AG142">
        <f>IF(ISBLANK('Data Entry'!a142), "", 'Data Entry'!a142)</f>
      </c>
      <c r="AH142">
        <f>IF(ISBLANK('Data Entry'!b142), "", 'Data Entry'!b142)</f>
      </c>
      <c r="AI142">
        <f>IF(ISBLANK('Data Entry'!c142), "", 'Data Entry'!c142)</f>
      </c>
      <c r="AJ142">
        <f>IF(ISBLANK('Data Entry'!d142), "", 'Data Entry'!d142)</f>
      </c>
      <c r="AK142">
        <f>IF(ISBLANK('Data Entry'!e142), "", 'Data Entry'!e142)</f>
      </c>
      <c r="AL142">
        <f>IF(ISBLANK('Data Entry'!f142), "", 'Data Entry'!f142)</f>
      </c>
      <c r="AM142">
        <f>IF(ISBLANK('Data Entry'!g142), "", 'Data Entry'!g142)</f>
      </c>
      <c r="AN142">
        <f>IF(ISBLANK('Data Entry'!h142), "", 'Data Entry'!h142)</f>
      </c>
    </row>
    <row r="143" spans="1:40" x14ac:dyDescent="0.25">
      <c r="A143">
        <f>IF(ISBLANK('Data Entry'!A143), "", 'Data Entry'!A143)</f>
      </c>
      <c r="B143">
        <f>IF(ISBLANK('Data Entry'!B143), "", 'Data Entry'!B143)</f>
      </c>
      <c r="C143">
        <f>IF(ISBLANK('Data Entry'!C143), "", 'Data Entry'!C143)</f>
      </c>
      <c r="D143">
        <f>IF(ISBLANK('Data Entry'!D143), "", 'Data Entry'!D143)</f>
      </c>
      <c r="E143">
        <f>IF(ISBLANK('Data Entry'!E143), "", 'Data Entry'!E143)</f>
      </c>
      <c r="F143">
        <f>IF(ISBLANK('Data Entry'!F143), "", 'Data Entry'!F143)</f>
      </c>
      <c r="G143">
        <f>IF(ISBLANK('Data Entry'!G143), "", 'Data Entry'!G143)</f>
      </c>
      <c r="H143">
        <f>IF(ISBLANK('Data Entry'!H143), "", 'Data Entry'!H143)</f>
      </c>
      <c r="I143">
        <f>IF(ISBLANK('Data Entry'!I143), "", 'Data Entry'!I143)</f>
      </c>
      <c r="J143">
        <f>IF(ISBLANK('Data Entry'!J143), "", 'Data Entry'!J143)</f>
      </c>
      <c r="K143">
        <f>IF(ISBLANK('Data Entry'!K143), "", 'Data Entry'!K143)</f>
      </c>
      <c r="L143">
        <f>IF(ISBLANK('Data Entry'!L143), "", 'Data Entry'!L143)</f>
      </c>
      <c r="M143">
        <f>IF(ISBLANK('Data Entry'!M143), "", 'Data Entry'!M143)</f>
      </c>
      <c r="N143">
        <f>IF(ISBLANK('Data Entry'!N143), "", 'Data Entry'!N143)</f>
      </c>
      <c r="O143">
        <f>IF(ISBLANK('Data Entry'!O143), "", 'Data Entry'!O143)</f>
      </c>
      <c r="P143">
        <f>IF(ISBLANK('Data Entry'!P143), "", 'Data Entry'!P143)</f>
      </c>
      <c r="Q143">
        <f>IF(ISBLANK('Data Entry'!Q143), "", 'Data Entry'!Q143)</f>
      </c>
      <c r="R143">
        <f>IF(ISBLANK('Data Entry'!R143), "", 'Data Entry'!R143)</f>
      </c>
      <c r="S143">
        <f>IF(ISBLANK('Data Entry'!S143), "", 'Data Entry'!S143)</f>
      </c>
      <c r="T143">
        <f>IF(ISBLANK('Data Entry'!T143), "", 'Data Entry'!T143)</f>
      </c>
      <c r="U143">
        <f>IF(ISBLANK('Data Entry'!U143), "", 'Data Entry'!U143)</f>
      </c>
      <c r="V143">
        <f>IF(ISBLANK('Data Entry'!V143), "", 'Data Entry'!V143)</f>
      </c>
      <c r="W143">
        <f>IF(ISBLANK('Data Entry'!W143), "", 'Data Entry'!W143)</f>
      </c>
      <c r="X143">
        <f>IF(ISBLANK('Data Entry'!X143), "", 'Data Entry'!X143)</f>
      </c>
      <c r="Y143">
        <f>IF(ISBLANK('Data Entry'!Y143), "", 'Data Entry'!Y143)</f>
      </c>
      <c r="Z143">
        <f>IF(ISBLANK('Data Entry'!Z143), "", 'Data Entry'!Z143)</f>
      </c>
      <c r="AA143">
        <f>IF(ISBLANK('Data Entry'![143), "", 'Data Entry'![143)</f>
      </c>
      <c r="AB143">
        <f>IF(ISBLANK('Data Entry'!\143), "", 'Data Entry'!\143)</f>
      </c>
      <c r="AC143">
        <f>IF(ISBLANK('Data Entry'!]143), "", 'Data Entry'!]143)</f>
      </c>
      <c r="AD143">
        <f>IF(ISBLANK('Data Entry'!^143), "", 'Data Entry'!^143)</f>
      </c>
      <c r="AE143">
        <f>IF(ISBLANK('Data Entry'!_143), "", 'Data Entry'!_143)</f>
      </c>
      <c r="AF143">
        <f>IF(ISBLANK('Data Entry'!`143), "", 'Data Entry'!`143)</f>
      </c>
      <c r="AG143">
        <f>IF(ISBLANK('Data Entry'!a143), "", 'Data Entry'!a143)</f>
      </c>
      <c r="AH143">
        <f>IF(ISBLANK('Data Entry'!b143), "", 'Data Entry'!b143)</f>
      </c>
      <c r="AI143">
        <f>IF(ISBLANK('Data Entry'!c143), "", 'Data Entry'!c143)</f>
      </c>
      <c r="AJ143">
        <f>IF(ISBLANK('Data Entry'!d143), "", 'Data Entry'!d143)</f>
      </c>
      <c r="AK143">
        <f>IF(ISBLANK('Data Entry'!e143), "", 'Data Entry'!e143)</f>
      </c>
      <c r="AL143">
        <f>IF(ISBLANK('Data Entry'!f143), "", 'Data Entry'!f143)</f>
      </c>
      <c r="AM143">
        <f>IF(ISBLANK('Data Entry'!g143), "", 'Data Entry'!g143)</f>
      </c>
      <c r="AN143">
        <f>IF(ISBLANK('Data Entry'!h143), "", 'Data Entry'!h143)</f>
      </c>
    </row>
    <row r="144" spans="1:40" x14ac:dyDescent="0.25">
      <c r="A144">
        <f>IF(ISBLANK('Data Entry'!A144), "", 'Data Entry'!A144)</f>
      </c>
      <c r="B144">
        <f>IF(ISBLANK('Data Entry'!B144), "", 'Data Entry'!B144)</f>
      </c>
      <c r="C144">
        <f>IF(ISBLANK('Data Entry'!C144), "", 'Data Entry'!C144)</f>
      </c>
      <c r="D144">
        <f>IF(ISBLANK('Data Entry'!D144), "", 'Data Entry'!D144)</f>
      </c>
      <c r="E144">
        <f>IF(ISBLANK('Data Entry'!E144), "", 'Data Entry'!E144)</f>
      </c>
      <c r="F144">
        <f>IF(ISBLANK('Data Entry'!F144), "", 'Data Entry'!F144)</f>
      </c>
      <c r="G144">
        <f>IF(ISBLANK('Data Entry'!G144), "", 'Data Entry'!G144)</f>
      </c>
      <c r="H144">
        <f>IF(ISBLANK('Data Entry'!H144), "", 'Data Entry'!H144)</f>
      </c>
      <c r="I144">
        <f>IF(ISBLANK('Data Entry'!I144), "", 'Data Entry'!I144)</f>
      </c>
      <c r="J144">
        <f>IF(ISBLANK('Data Entry'!J144), "", 'Data Entry'!J144)</f>
      </c>
      <c r="K144">
        <f>IF(ISBLANK('Data Entry'!K144), "", 'Data Entry'!K144)</f>
      </c>
      <c r="L144">
        <f>IF(ISBLANK('Data Entry'!L144), "", 'Data Entry'!L144)</f>
      </c>
      <c r="M144">
        <f>IF(ISBLANK('Data Entry'!M144), "", 'Data Entry'!M144)</f>
      </c>
      <c r="N144">
        <f>IF(ISBLANK('Data Entry'!N144), "", 'Data Entry'!N144)</f>
      </c>
      <c r="O144">
        <f>IF(ISBLANK('Data Entry'!O144), "", 'Data Entry'!O144)</f>
      </c>
      <c r="P144">
        <f>IF(ISBLANK('Data Entry'!P144), "", 'Data Entry'!P144)</f>
      </c>
      <c r="Q144">
        <f>IF(ISBLANK('Data Entry'!Q144), "", 'Data Entry'!Q144)</f>
      </c>
      <c r="R144">
        <f>IF(ISBLANK('Data Entry'!R144), "", 'Data Entry'!R144)</f>
      </c>
      <c r="S144">
        <f>IF(ISBLANK('Data Entry'!S144), "", 'Data Entry'!S144)</f>
      </c>
      <c r="T144">
        <f>IF(ISBLANK('Data Entry'!T144), "", 'Data Entry'!T144)</f>
      </c>
      <c r="U144">
        <f>IF(ISBLANK('Data Entry'!U144), "", 'Data Entry'!U144)</f>
      </c>
      <c r="V144">
        <f>IF(ISBLANK('Data Entry'!V144), "", 'Data Entry'!V144)</f>
      </c>
      <c r="W144">
        <f>IF(ISBLANK('Data Entry'!W144), "", 'Data Entry'!W144)</f>
      </c>
      <c r="X144">
        <f>IF(ISBLANK('Data Entry'!X144), "", 'Data Entry'!X144)</f>
      </c>
      <c r="Y144">
        <f>IF(ISBLANK('Data Entry'!Y144), "", 'Data Entry'!Y144)</f>
      </c>
      <c r="Z144">
        <f>IF(ISBLANK('Data Entry'!Z144), "", 'Data Entry'!Z144)</f>
      </c>
      <c r="AA144">
        <f>IF(ISBLANK('Data Entry'![144), "", 'Data Entry'![144)</f>
      </c>
      <c r="AB144">
        <f>IF(ISBLANK('Data Entry'!\144), "", 'Data Entry'!\144)</f>
      </c>
      <c r="AC144">
        <f>IF(ISBLANK('Data Entry'!]144), "", 'Data Entry'!]144)</f>
      </c>
      <c r="AD144">
        <f>IF(ISBLANK('Data Entry'!^144), "", 'Data Entry'!^144)</f>
      </c>
      <c r="AE144">
        <f>IF(ISBLANK('Data Entry'!_144), "", 'Data Entry'!_144)</f>
      </c>
      <c r="AF144">
        <f>IF(ISBLANK('Data Entry'!`144), "", 'Data Entry'!`144)</f>
      </c>
      <c r="AG144">
        <f>IF(ISBLANK('Data Entry'!a144), "", 'Data Entry'!a144)</f>
      </c>
      <c r="AH144">
        <f>IF(ISBLANK('Data Entry'!b144), "", 'Data Entry'!b144)</f>
      </c>
      <c r="AI144">
        <f>IF(ISBLANK('Data Entry'!c144), "", 'Data Entry'!c144)</f>
      </c>
      <c r="AJ144">
        <f>IF(ISBLANK('Data Entry'!d144), "", 'Data Entry'!d144)</f>
      </c>
      <c r="AK144">
        <f>IF(ISBLANK('Data Entry'!e144), "", 'Data Entry'!e144)</f>
      </c>
      <c r="AL144">
        <f>IF(ISBLANK('Data Entry'!f144), "", 'Data Entry'!f144)</f>
      </c>
      <c r="AM144">
        <f>IF(ISBLANK('Data Entry'!g144), "", 'Data Entry'!g144)</f>
      </c>
      <c r="AN144">
        <f>IF(ISBLANK('Data Entry'!h144), "", 'Data Entry'!h144)</f>
      </c>
    </row>
    <row r="145" spans="1:40" x14ac:dyDescent="0.25">
      <c r="A145">
        <f>IF(ISBLANK('Data Entry'!A145), "", 'Data Entry'!A145)</f>
      </c>
      <c r="B145">
        <f>IF(ISBLANK('Data Entry'!B145), "", 'Data Entry'!B145)</f>
      </c>
      <c r="C145">
        <f>IF(ISBLANK('Data Entry'!C145), "", 'Data Entry'!C145)</f>
      </c>
      <c r="D145">
        <f>IF(ISBLANK('Data Entry'!D145), "", 'Data Entry'!D145)</f>
      </c>
      <c r="E145">
        <f>IF(ISBLANK('Data Entry'!E145), "", 'Data Entry'!E145)</f>
      </c>
      <c r="F145">
        <f>IF(ISBLANK('Data Entry'!F145), "", 'Data Entry'!F145)</f>
      </c>
      <c r="G145">
        <f>IF(ISBLANK('Data Entry'!G145), "", 'Data Entry'!G145)</f>
      </c>
      <c r="H145">
        <f>IF(ISBLANK('Data Entry'!H145), "", 'Data Entry'!H145)</f>
      </c>
      <c r="I145">
        <f>IF(ISBLANK('Data Entry'!I145), "", 'Data Entry'!I145)</f>
      </c>
      <c r="J145">
        <f>IF(ISBLANK('Data Entry'!J145), "", 'Data Entry'!J145)</f>
      </c>
      <c r="K145">
        <f>IF(ISBLANK('Data Entry'!K145), "", 'Data Entry'!K145)</f>
      </c>
      <c r="L145">
        <f>IF(ISBLANK('Data Entry'!L145), "", 'Data Entry'!L145)</f>
      </c>
      <c r="M145">
        <f>IF(ISBLANK('Data Entry'!M145), "", 'Data Entry'!M145)</f>
      </c>
      <c r="N145">
        <f>IF(ISBLANK('Data Entry'!N145), "", 'Data Entry'!N145)</f>
      </c>
      <c r="O145">
        <f>IF(ISBLANK('Data Entry'!O145), "", 'Data Entry'!O145)</f>
      </c>
      <c r="P145">
        <f>IF(ISBLANK('Data Entry'!P145), "", 'Data Entry'!P145)</f>
      </c>
      <c r="Q145">
        <f>IF(ISBLANK('Data Entry'!Q145), "", 'Data Entry'!Q145)</f>
      </c>
      <c r="R145">
        <f>IF(ISBLANK('Data Entry'!R145), "", 'Data Entry'!R145)</f>
      </c>
      <c r="S145">
        <f>IF(ISBLANK('Data Entry'!S145), "", 'Data Entry'!S145)</f>
      </c>
      <c r="T145">
        <f>IF(ISBLANK('Data Entry'!T145), "", 'Data Entry'!T145)</f>
      </c>
      <c r="U145">
        <f>IF(ISBLANK('Data Entry'!U145), "", 'Data Entry'!U145)</f>
      </c>
      <c r="V145">
        <f>IF(ISBLANK('Data Entry'!V145), "", 'Data Entry'!V145)</f>
      </c>
      <c r="W145">
        <f>IF(ISBLANK('Data Entry'!W145), "", 'Data Entry'!W145)</f>
      </c>
      <c r="X145">
        <f>IF(ISBLANK('Data Entry'!X145), "", 'Data Entry'!X145)</f>
      </c>
      <c r="Y145">
        <f>IF(ISBLANK('Data Entry'!Y145), "", 'Data Entry'!Y145)</f>
      </c>
      <c r="Z145">
        <f>IF(ISBLANK('Data Entry'!Z145), "", 'Data Entry'!Z145)</f>
      </c>
      <c r="AA145">
        <f>IF(ISBLANK('Data Entry'![145), "", 'Data Entry'![145)</f>
      </c>
      <c r="AB145">
        <f>IF(ISBLANK('Data Entry'!\145), "", 'Data Entry'!\145)</f>
      </c>
      <c r="AC145">
        <f>IF(ISBLANK('Data Entry'!]145), "", 'Data Entry'!]145)</f>
      </c>
      <c r="AD145">
        <f>IF(ISBLANK('Data Entry'!^145), "", 'Data Entry'!^145)</f>
      </c>
      <c r="AE145">
        <f>IF(ISBLANK('Data Entry'!_145), "", 'Data Entry'!_145)</f>
      </c>
      <c r="AF145">
        <f>IF(ISBLANK('Data Entry'!`145), "", 'Data Entry'!`145)</f>
      </c>
      <c r="AG145">
        <f>IF(ISBLANK('Data Entry'!a145), "", 'Data Entry'!a145)</f>
      </c>
      <c r="AH145">
        <f>IF(ISBLANK('Data Entry'!b145), "", 'Data Entry'!b145)</f>
      </c>
      <c r="AI145">
        <f>IF(ISBLANK('Data Entry'!c145), "", 'Data Entry'!c145)</f>
      </c>
      <c r="AJ145">
        <f>IF(ISBLANK('Data Entry'!d145), "", 'Data Entry'!d145)</f>
      </c>
      <c r="AK145">
        <f>IF(ISBLANK('Data Entry'!e145), "", 'Data Entry'!e145)</f>
      </c>
      <c r="AL145">
        <f>IF(ISBLANK('Data Entry'!f145), "", 'Data Entry'!f145)</f>
      </c>
      <c r="AM145">
        <f>IF(ISBLANK('Data Entry'!g145), "", 'Data Entry'!g145)</f>
      </c>
      <c r="AN145">
        <f>IF(ISBLANK('Data Entry'!h145), "", 'Data Entry'!h145)</f>
      </c>
    </row>
    <row r="146" spans="1:40" x14ac:dyDescent="0.25">
      <c r="A146">
        <f>IF(ISBLANK('Data Entry'!A146), "", 'Data Entry'!A146)</f>
      </c>
      <c r="B146">
        <f>IF(ISBLANK('Data Entry'!B146), "", 'Data Entry'!B146)</f>
      </c>
      <c r="C146">
        <f>IF(ISBLANK('Data Entry'!C146), "", 'Data Entry'!C146)</f>
      </c>
      <c r="D146">
        <f>IF(ISBLANK('Data Entry'!D146), "", 'Data Entry'!D146)</f>
      </c>
      <c r="E146">
        <f>IF(ISBLANK('Data Entry'!E146), "", 'Data Entry'!E146)</f>
      </c>
      <c r="F146">
        <f>IF(ISBLANK('Data Entry'!F146), "", 'Data Entry'!F146)</f>
      </c>
      <c r="G146">
        <f>IF(ISBLANK('Data Entry'!G146), "", 'Data Entry'!G146)</f>
      </c>
      <c r="H146">
        <f>IF(ISBLANK('Data Entry'!H146), "", 'Data Entry'!H146)</f>
      </c>
      <c r="I146">
        <f>IF(ISBLANK('Data Entry'!I146), "", 'Data Entry'!I146)</f>
      </c>
      <c r="J146">
        <f>IF(ISBLANK('Data Entry'!J146), "", 'Data Entry'!J146)</f>
      </c>
      <c r="K146">
        <f>IF(ISBLANK('Data Entry'!K146), "", 'Data Entry'!K146)</f>
      </c>
      <c r="L146">
        <f>IF(ISBLANK('Data Entry'!L146), "", 'Data Entry'!L146)</f>
      </c>
      <c r="M146">
        <f>IF(ISBLANK('Data Entry'!M146), "", 'Data Entry'!M146)</f>
      </c>
      <c r="N146">
        <f>IF(ISBLANK('Data Entry'!N146), "", 'Data Entry'!N146)</f>
      </c>
      <c r="O146">
        <f>IF(ISBLANK('Data Entry'!O146), "", 'Data Entry'!O146)</f>
      </c>
      <c r="P146">
        <f>IF(ISBLANK('Data Entry'!P146), "", 'Data Entry'!P146)</f>
      </c>
      <c r="Q146">
        <f>IF(ISBLANK('Data Entry'!Q146), "", 'Data Entry'!Q146)</f>
      </c>
      <c r="R146">
        <f>IF(ISBLANK('Data Entry'!R146), "", 'Data Entry'!R146)</f>
      </c>
      <c r="S146">
        <f>IF(ISBLANK('Data Entry'!S146), "", 'Data Entry'!S146)</f>
      </c>
      <c r="T146">
        <f>IF(ISBLANK('Data Entry'!T146), "", 'Data Entry'!T146)</f>
      </c>
      <c r="U146">
        <f>IF(ISBLANK('Data Entry'!U146), "", 'Data Entry'!U146)</f>
      </c>
      <c r="V146">
        <f>IF(ISBLANK('Data Entry'!V146), "", 'Data Entry'!V146)</f>
      </c>
      <c r="W146">
        <f>IF(ISBLANK('Data Entry'!W146), "", 'Data Entry'!W146)</f>
      </c>
      <c r="X146">
        <f>IF(ISBLANK('Data Entry'!X146), "", 'Data Entry'!X146)</f>
      </c>
      <c r="Y146">
        <f>IF(ISBLANK('Data Entry'!Y146), "", 'Data Entry'!Y146)</f>
      </c>
      <c r="Z146">
        <f>IF(ISBLANK('Data Entry'!Z146), "", 'Data Entry'!Z146)</f>
      </c>
      <c r="AA146">
        <f>IF(ISBLANK('Data Entry'![146), "", 'Data Entry'![146)</f>
      </c>
      <c r="AB146">
        <f>IF(ISBLANK('Data Entry'!\146), "", 'Data Entry'!\146)</f>
      </c>
      <c r="AC146">
        <f>IF(ISBLANK('Data Entry'!]146), "", 'Data Entry'!]146)</f>
      </c>
      <c r="AD146">
        <f>IF(ISBLANK('Data Entry'!^146), "", 'Data Entry'!^146)</f>
      </c>
      <c r="AE146">
        <f>IF(ISBLANK('Data Entry'!_146), "", 'Data Entry'!_146)</f>
      </c>
      <c r="AF146">
        <f>IF(ISBLANK('Data Entry'!`146), "", 'Data Entry'!`146)</f>
      </c>
      <c r="AG146">
        <f>IF(ISBLANK('Data Entry'!a146), "", 'Data Entry'!a146)</f>
      </c>
      <c r="AH146">
        <f>IF(ISBLANK('Data Entry'!b146), "", 'Data Entry'!b146)</f>
      </c>
      <c r="AI146">
        <f>IF(ISBLANK('Data Entry'!c146), "", 'Data Entry'!c146)</f>
      </c>
      <c r="AJ146">
        <f>IF(ISBLANK('Data Entry'!d146), "", 'Data Entry'!d146)</f>
      </c>
      <c r="AK146">
        <f>IF(ISBLANK('Data Entry'!e146), "", 'Data Entry'!e146)</f>
      </c>
      <c r="AL146">
        <f>IF(ISBLANK('Data Entry'!f146), "", 'Data Entry'!f146)</f>
      </c>
      <c r="AM146">
        <f>IF(ISBLANK('Data Entry'!g146), "", 'Data Entry'!g146)</f>
      </c>
      <c r="AN146">
        <f>IF(ISBLANK('Data Entry'!h146), "", 'Data Entry'!h146)</f>
      </c>
    </row>
    <row r="147" spans="1:40" x14ac:dyDescent="0.25">
      <c r="A147">
        <f>IF(ISBLANK('Data Entry'!A147), "", 'Data Entry'!A147)</f>
      </c>
      <c r="B147">
        <f>IF(ISBLANK('Data Entry'!B147), "", 'Data Entry'!B147)</f>
      </c>
      <c r="C147">
        <f>IF(ISBLANK('Data Entry'!C147), "", 'Data Entry'!C147)</f>
      </c>
      <c r="D147">
        <f>IF(ISBLANK('Data Entry'!D147), "", 'Data Entry'!D147)</f>
      </c>
      <c r="E147">
        <f>IF(ISBLANK('Data Entry'!E147), "", 'Data Entry'!E147)</f>
      </c>
      <c r="F147">
        <f>IF(ISBLANK('Data Entry'!F147), "", 'Data Entry'!F147)</f>
      </c>
      <c r="G147">
        <f>IF(ISBLANK('Data Entry'!G147), "", 'Data Entry'!G147)</f>
      </c>
      <c r="H147">
        <f>IF(ISBLANK('Data Entry'!H147), "", 'Data Entry'!H147)</f>
      </c>
      <c r="I147">
        <f>IF(ISBLANK('Data Entry'!I147), "", 'Data Entry'!I147)</f>
      </c>
      <c r="J147">
        <f>IF(ISBLANK('Data Entry'!J147), "", 'Data Entry'!J147)</f>
      </c>
      <c r="K147">
        <f>IF(ISBLANK('Data Entry'!K147), "", 'Data Entry'!K147)</f>
      </c>
      <c r="L147">
        <f>IF(ISBLANK('Data Entry'!L147), "", 'Data Entry'!L147)</f>
      </c>
      <c r="M147">
        <f>IF(ISBLANK('Data Entry'!M147), "", 'Data Entry'!M147)</f>
      </c>
      <c r="N147">
        <f>IF(ISBLANK('Data Entry'!N147), "", 'Data Entry'!N147)</f>
      </c>
      <c r="O147">
        <f>IF(ISBLANK('Data Entry'!O147), "", 'Data Entry'!O147)</f>
      </c>
      <c r="P147">
        <f>IF(ISBLANK('Data Entry'!P147), "", 'Data Entry'!P147)</f>
      </c>
      <c r="Q147">
        <f>IF(ISBLANK('Data Entry'!Q147), "", 'Data Entry'!Q147)</f>
      </c>
      <c r="R147">
        <f>IF(ISBLANK('Data Entry'!R147), "", 'Data Entry'!R147)</f>
      </c>
      <c r="S147">
        <f>IF(ISBLANK('Data Entry'!S147), "", 'Data Entry'!S147)</f>
      </c>
      <c r="T147">
        <f>IF(ISBLANK('Data Entry'!T147), "", 'Data Entry'!T147)</f>
      </c>
      <c r="U147">
        <f>IF(ISBLANK('Data Entry'!U147), "", 'Data Entry'!U147)</f>
      </c>
      <c r="V147">
        <f>IF(ISBLANK('Data Entry'!V147), "", 'Data Entry'!V147)</f>
      </c>
      <c r="W147">
        <f>IF(ISBLANK('Data Entry'!W147), "", 'Data Entry'!W147)</f>
      </c>
      <c r="X147">
        <f>IF(ISBLANK('Data Entry'!X147), "", 'Data Entry'!X147)</f>
      </c>
      <c r="Y147">
        <f>IF(ISBLANK('Data Entry'!Y147), "", 'Data Entry'!Y147)</f>
      </c>
      <c r="Z147">
        <f>IF(ISBLANK('Data Entry'!Z147), "", 'Data Entry'!Z147)</f>
      </c>
      <c r="AA147">
        <f>IF(ISBLANK('Data Entry'![147), "", 'Data Entry'![147)</f>
      </c>
      <c r="AB147">
        <f>IF(ISBLANK('Data Entry'!\147), "", 'Data Entry'!\147)</f>
      </c>
      <c r="AC147">
        <f>IF(ISBLANK('Data Entry'!]147), "", 'Data Entry'!]147)</f>
      </c>
      <c r="AD147">
        <f>IF(ISBLANK('Data Entry'!^147), "", 'Data Entry'!^147)</f>
      </c>
      <c r="AE147">
        <f>IF(ISBLANK('Data Entry'!_147), "", 'Data Entry'!_147)</f>
      </c>
      <c r="AF147">
        <f>IF(ISBLANK('Data Entry'!`147), "", 'Data Entry'!`147)</f>
      </c>
      <c r="AG147">
        <f>IF(ISBLANK('Data Entry'!a147), "", 'Data Entry'!a147)</f>
      </c>
      <c r="AH147">
        <f>IF(ISBLANK('Data Entry'!b147), "", 'Data Entry'!b147)</f>
      </c>
      <c r="AI147">
        <f>IF(ISBLANK('Data Entry'!c147), "", 'Data Entry'!c147)</f>
      </c>
      <c r="AJ147">
        <f>IF(ISBLANK('Data Entry'!d147), "", 'Data Entry'!d147)</f>
      </c>
      <c r="AK147">
        <f>IF(ISBLANK('Data Entry'!e147), "", 'Data Entry'!e147)</f>
      </c>
      <c r="AL147">
        <f>IF(ISBLANK('Data Entry'!f147), "", 'Data Entry'!f147)</f>
      </c>
      <c r="AM147">
        <f>IF(ISBLANK('Data Entry'!g147), "", 'Data Entry'!g147)</f>
      </c>
      <c r="AN147">
        <f>IF(ISBLANK('Data Entry'!h147), "", 'Data Entry'!h147)</f>
      </c>
    </row>
    <row r="148" spans="1:40" x14ac:dyDescent="0.25">
      <c r="A148">
        <f>IF(ISBLANK('Data Entry'!A148), "", 'Data Entry'!A148)</f>
      </c>
      <c r="B148">
        <f>IF(ISBLANK('Data Entry'!B148), "", 'Data Entry'!B148)</f>
      </c>
      <c r="C148">
        <f>IF(ISBLANK('Data Entry'!C148), "", 'Data Entry'!C148)</f>
      </c>
      <c r="D148">
        <f>IF(ISBLANK('Data Entry'!D148), "", 'Data Entry'!D148)</f>
      </c>
      <c r="E148">
        <f>IF(ISBLANK('Data Entry'!E148), "", 'Data Entry'!E148)</f>
      </c>
      <c r="F148">
        <f>IF(ISBLANK('Data Entry'!F148), "", 'Data Entry'!F148)</f>
      </c>
      <c r="G148">
        <f>IF(ISBLANK('Data Entry'!G148), "", 'Data Entry'!G148)</f>
      </c>
      <c r="H148">
        <f>IF(ISBLANK('Data Entry'!H148), "", 'Data Entry'!H148)</f>
      </c>
      <c r="I148">
        <f>IF(ISBLANK('Data Entry'!I148), "", 'Data Entry'!I148)</f>
      </c>
      <c r="J148">
        <f>IF(ISBLANK('Data Entry'!J148), "", 'Data Entry'!J148)</f>
      </c>
      <c r="K148">
        <f>IF(ISBLANK('Data Entry'!K148), "", 'Data Entry'!K148)</f>
      </c>
      <c r="L148">
        <f>IF(ISBLANK('Data Entry'!L148), "", 'Data Entry'!L148)</f>
      </c>
      <c r="M148">
        <f>IF(ISBLANK('Data Entry'!M148), "", 'Data Entry'!M148)</f>
      </c>
      <c r="N148">
        <f>IF(ISBLANK('Data Entry'!N148), "", 'Data Entry'!N148)</f>
      </c>
      <c r="O148">
        <f>IF(ISBLANK('Data Entry'!O148), "", 'Data Entry'!O148)</f>
      </c>
      <c r="P148">
        <f>IF(ISBLANK('Data Entry'!P148), "", 'Data Entry'!P148)</f>
      </c>
      <c r="Q148">
        <f>IF(ISBLANK('Data Entry'!Q148), "", 'Data Entry'!Q148)</f>
      </c>
      <c r="R148">
        <f>IF(ISBLANK('Data Entry'!R148), "", 'Data Entry'!R148)</f>
      </c>
      <c r="S148">
        <f>IF(ISBLANK('Data Entry'!S148), "", 'Data Entry'!S148)</f>
      </c>
      <c r="T148">
        <f>IF(ISBLANK('Data Entry'!T148), "", 'Data Entry'!T148)</f>
      </c>
      <c r="U148">
        <f>IF(ISBLANK('Data Entry'!U148), "", 'Data Entry'!U148)</f>
      </c>
      <c r="V148">
        <f>IF(ISBLANK('Data Entry'!V148), "", 'Data Entry'!V148)</f>
      </c>
      <c r="W148">
        <f>IF(ISBLANK('Data Entry'!W148), "", 'Data Entry'!W148)</f>
      </c>
      <c r="X148">
        <f>IF(ISBLANK('Data Entry'!X148), "", 'Data Entry'!X148)</f>
      </c>
      <c r="Y148">
        <f>IF(ISBLANK('Data Entry'!Y148), "", 'Data Entry'!Y148)</f>
      </c>
      <c r="Z148">
        <f>IF(ISBLANK('Data Entry'!Z148), "", 'Data Entry'!Z148)</f>
      </c>
      <c r="AA148">
        <f>IF(ISBLANK('Data Entry'![148), "", 'Data Entry'![148)</f>
      </c>
      <c r="AB148">
        <f>IF(ISBLANK('Data Entry'!\148), "", 'Data Entry'!\148)</f>
      </c>
      <c r="AC148">
        <f>IF(ISBLANK('Data Entry'!]148), "", 'Data Entry'!]148)</f>
      </c>
      <c r="AD148">
        <f>IF(ISBLANK('Data Entry'!^148), "", 'Data Entry'!^148)</f>
      </c>
      <c r="AE148">
        <f>IF(ISBLANK('Data Entry'!_148), "", 'Data Entry'!_148)</f>
      </c>
      <c r="AF148">
        <f>IF(ISBLANK('Data Entry'!`148), "", 'Data Entry'!`148)</f>
      </c>
      <c r="AG148">
        <f>IF(ISBLANK('Data Entry'!a148), "", 'Data Entry'!a148)</f>
      </c>
      <c r="AH148">
        <f>IF(ISBLANK('Data Entry'!b148), "", 'Data Entry'!b148)</f>
      </c>
      <c r="AI148">
        <f>IF(ISBLANK('Data Entry'!c148), "", 'Data Entry'!c148)</f>
      </c>
      <c r="AJ148">
        <f>IF(ISBLANK('Data Entry'!d148), "", 'Data Entry'!d148)</f>
      </c>
      <c r="AK148">
        <f>IF(ISBLANK('Data Entry'!e148), "", 'Data Entry'!e148)</f>
      </c>
      <c r="AL148">
        <f>IF(ISBLANK('Data Entry'!f148), "", 'Data Entry'!f148)</f>
      </c>
      <c r="AM148">
        <f>IF(ISBLANK('Data Entry'!g148), "", 'Data Entry'!g148)</f>
      </c>
      <c r="AN148">
        <f>IF(ISBLANK('Data Entry'!h148), "", 'Data Entry'!h148)</f>
      </c>
    </row>
    <row r="149" spans="1:40" x14ac:dyDescent="0.25">
      <c r="A149">
        <f>IF(ISBLANK('Data Entry'!A149), "", 'Data Entry'!A149)</f>
      </c>
      <c r="B149">
        <f>IF(ISBLANK('Data Entry'!B149), "", 'Data Entry'!B149)</f>
      </c>
      <c r="C149">
        <f>IF(ISBLANK('Data Entry'!C149), "", 'Data Entry'!C149)</f>
      </c>
      <c r="D149">
        <f>IF(ISBLANK('Data Entry'!D149), "", 'Data Entry'!D149)</f>
      </c>
      <c r="E149">
        <f>IF(ISBLANK('Data Entry'!E149), "", 'Data Entry'!E149)</f>
      </c>
      <c r="F149">
        <f>IF(ISBLANK('Data Entry'!F149), "", 'Data Entry'!F149)</f>
      </c>
      <c r="G149">
        <f>IF(ISBLANK('Data Entry'!G149), "", 'Data Entry'!G149)</f>
      </c>
      <c r="H149">
        <f>IF(ISBLANK('Data Entry'!H149), "", 'Data Entry'!H149)</f>
      </c>
      <c r="I149">
        <f>IF(ISBLANK('Data Entry'!I149), "", 'Data Entry'!I149)</f>
      </c>
      <c r="J149">
        <f>IF(ISBLANK('Data Entry'!J149), "", 'Data Entry'!J149)</f>
      </c>
      <c r="K149">
        <f>IF(ISBLANK('Data Entry'!K149), "", 'Data Entry'!K149)</f>
      </c>
      <c r="L149">
        <f>IF(ISBLANK('Data Entry'!L149), "", 'Data Entry'!L149)</f>
      </c>
      <c r="M149">
        <f>IF(ISBLANK('Data Entry'!M149), "", 'Data Entry'!M149)</f>
      </c>
      <c r="N149">
        <f>IF(ISBLANK('Data Entry'!N149), "", 'Data Entry'!N149)</f>
      </c>
      <c r="O149">
        <f>IF(ISBLANK('Data Entry'!O149), "", 'Data Entry'!O149)</f>
      </c>
      <c r="P149">
        <f>IF(ISBLANK('Data Entry'!P149), "", 'Data Entry'!P149)</f>
      </c>
      <c r="Q149">
        <f>IF(ISBLANK('Data Entry'!Q149), "", 'Data Entry'!Q149)</f>
      </c>
      <c r="R149">
        <f>IF(ISBLANK('Data Entry'!R149), "", 'Data Entry'!R149)</f>
      </c>
      <c r="S149">
        <f>IF(ISBLANK('Data Entry'!S149), "", 'Data Entry'!S149)</f>
      </c>
      <c r="T149">
        <f>IF(ISBLANK('Data Entry'!T149), "", 'Data Entry'!T149)</f>
      </c>
      <c r="U149">
        <f>IF(ISBLANK('Data Entry'!U149), "", 'Data Entry'!U149)</f>
      </c>
      <c r="V149">
        <f>IF(ISBLANK('Data Entry'!V149), "", 'Data Entry'!V149)</f>
      </c>
      <c r="W149">
        <f>IF(ISBLANK('Data Entry'!W149), "", 'Data Entry'!W149)</f>
      </c>
      <c r="X149">
        <f>IF(ISBLANK('Data Entry'!X149), "", 'Data Entry'!X149)</f>
      </c>
      <c r="Y149">
        <f>IF(ISBLANK('Data Entry'!Y149), "", 'Data Entry'!Y149)</f>
      </c>
      <c r="Z149">
        <f>IF(ISBLANK('Data Entry'!Z149), "", 'Data Entry'!Z149)</f>
      </c>
      <c r="AA149">
        <f>IF(ISBLANK('Data Entry'![149), "", 'Data Entry'![149)</f>
      </c>
      <c r="AB149">
        <f>IF(ISBLANK('Data Entry'!\149), "", 'Data Entry'!\149)</f>
      </c>
      <c r="AC149">
        <f>IF(ISBLANK('Data Entry'!]149), "", 'Data Entry'!]149)</f>
      </c>
      <c r="AD149">
        <f>IF(ISBLANK('Data Entry'!^149), "", 'Data Entry'!^149)</f>
      </c>
      <c r="AE149">
        <f>IF(ISBLANK('Data Entry'!_149), "", 'Data Entry'!_149)</f>
      </c>
      <c r="AF149">
        <f>IF(ISBLANK('Data Entry'!`149), "", 'Data Entry'!`149)</f>
      </c>
      <c r="AG149">
        <f>IF(ISBLANK('Data Entry'!a149), "", 'Data Entry'!a149)</f>
      </c>
      <c r="AH149">
        <f>IF(ISBLANK('Data Entry'!b149), "", 'Data Entry'!b149)</f>
      </c>
      <c r="AI149">
        <f>IF(ISBLANK('Data Entry'!c149), "", 'Data Entry'!c149)</f>
      </c>
      <c r="AJ149">
        <f>IF(ISBLANK('Data Entry'!d149), "", 'Data Entry'!d149)</f>
      </c>
      <c r="AK149">
        <f>IF(ISBLANK('Data Entry'!e149), "", 'Data Entry'!e149)</f>
      </c>
      <c r="AL149">
        <f>IF(ISBLANK('Data Entry'!f149), "", 'Data Entry'!f149)</f>
      </c>
      <c r="AM149">
        <f>IF(ISBLANK('Data Entry'!g149), "", 'Data Entry'!g149)</f>
      </c>
      <c r="AN149">
        <f>IF(ISBLANK('Data Entry'!h149), "", 'Data Entry'!h149)</f>
      </c>
    </row>
    <row r="150" spans="1:40" x14ac:dyDescent="0.25">
      <c r="A150">
        <f>IF(ISBLANK('Data Entry'!A150), "", 'Data Entry'!A150)</f>
      </c>
      <c r="B150">
        <f>IF(ISBLANK('Data Entry'!B150), "", 'Data Entry'!B150)</f>
      </c>
      <c r="C150">
        <f>IF(ISBLANK('Data Entry'!C150), "", 'Data Entry'!C150)</f>
      </c>
      <c r="D150">
        <f>IF(ISBLANK('Data Entry'!D150), "", 'Data Entry'!D150)</f>
      </c>
      <c r="E150">
        <f>IF(ISBLANK('Data Entry'!E150), "", 'Data Entry'!E150)</f>
      </c>
      <c r="F150">
        <f>IF(ISBLANK('Data Entry'!F150), "", 'Data Entry'!F150)</f>
      </c>
      <c r="G150">
        <f>IF(ISBLANK('Data Entry'!G150), "", 'Data Entry'!G150)</f>
      </c>
      <c r="H150">
        <f>IF(ISBLANK('Data Entry'!H150), "", 'Data Entry'!H150)</f>
      </c>
      <c r="I150">
        <f>IF(ISBLANK('Data Entry'!I150), "", 'Data Entry'!I150)</f>
      </c>
      <c r="J150">
        <f>IF(ISBLANK('Data Entry'!J150), "", 'Data Entry'!J150)</f>
      </c>
      <c r="K150">
        <f>IF(ISBLANK('Data Entry'!K150), "", 'Data Entry'!K150)</f>
      </c>
      <c r="L150">
        <f>IF(ISBLANK('Data Entry'!L150), "", 'Data Entry'!L150)</f>
      </c>
      <c r="M150">
        <f>IF(ISBLANK('Data Entry'!M150), "", 'Data Entry'!M150)</f>
      </c>
      <c r="N150">
        <f>IF(ISBLANK('Data Entry'!N150), "", 'Data Entry'!N150)</f>
      </c>
      <c r="O150">
        <f>IF(ISBLANK('Data Entry'!O150), "", 'Data Entry'!O150)</f>
      </c>
      <c r="P150">
        <f>IF(ISBLANK('Data Entry'!P150), "", 'Data Entry'!P150)</f>
      </c>
      <c r="Q150">
        <f>IF(ISBLANK('Data Entry'!Q150), "", 'Data Entry'!Q150)</f>
      </c>
      <c r="R150">
        <f>IF(ISBLANK('Data Entry'!R150), "", 'Data Entry'!R150)</f>
      </c>
      <c r="S150">
        <f>IF(ISBLANK('Data Entry'!S150), "", 'Data Entry'!S150)</f>
      </c>
      <c r="T150">
        <f>IF(ISBLANK('Data Entry'!T150), "", 'Data Entry'!T150)</f>
      </c>
      <c r="U150">
        <f>IF(ISBLANK('Data Entry'!U150), "", 'Data Entry'!U150)</f>
      </c>
      <c r="V150">
        <f>IF(ISBLANK('Data Entry'!V150), "", 'Data Entry'!V150)</f>
      </c>
      <c r="W150">
        <f>IF(ISBLANK('Data Entry'!W150), "", 'Data Entry'!W150)</f>
      </c>
      <c r="X150">
        <f>IF(ISBLANK('Data Entry'!X150), "", 'Data Entry'!X150)</f>
      </c>
      <c r="Y150">
        <f>IF(ISBLANK('Data Entry'!Y150), "", 'Data Entry'!Y150)</f>
      </c>
      <c r="Z150">
        <f>IF(ISBLANK('Data Entry'!Z150), "", 'Data Entry'!Z150)</f>
      </c>
      <c r="AA150">
        <f>IF(ISBLANK('Data Entry'![150), "", 'Data Entry'![150)</f>
      </c>
      <c r="AB150">
        <f>IF(ISBLANK('Data Entry'!\150), "", 'Data Entry'!\150)</f>
      </c>
      <c r="AC150">
        <f>IF(ISBLANK('Data Entry'!]150), "", 'Data Entry'!]150)</f>
      </c>
      <c r="AD150">
        <f>IF(ISBLANK('Data Entry'!^150), "", 'Data Entry'!^150)</f>
      </c>
      <c r="AE150">
        <f>IF(ISBLANK('Data Entry'!_150), "", 'Data Entry'!_150)</f>
      </c>
      <c r="AF150">
        <f>IF(ISBLANK('Data Entry'!`150), "", 'Data Entry'!`150)</f>
      </c>
      <c r="AG150">
        <f>IF(ISBLANK('Data Entry'!a150), "", 'Data Entry'!a150)</f>
      </c>
      <c r="AH150">
        <f>IF(ISBLANK('Data Entry'!b150), "", 'Data Entry'!b150)</f>
      </c>
      <c r="AI150">
        <f>IF(ISBLANK('Data Entry'!c150), "", 'Data Entry'!c150)</f>
      </c>
      <c r="AJ150">
        <f>IF(ISBLANK('Data Entry'!d150), "", 'Data Entry'!d150)</f>
      </c>
      <c r="AK150">
        <f>IF(ISBLANK('Data Entry'!e150), "", 'Data Entry'!e150)</f>
      </c>
      <c r="AL150">
        <f>IF(ISBLANK('Data Entry'!f150), "", 'Data Entry'!f150)</f>
      </c>
      <c r="AM150">
        <f>IF(ISBLANK('Data Entry'!g150), "", 'Data Entry'!g150)</f>
      </c>
      <c r="AN150">
        <f>IF(ISBLANK('Data Entry'!h150), "", 'Data Entry'!h150)</f>
      </c>
    </row>
    <row r="151" spans="1:40" x14ac:dyDescent="0.25">
      <c r="A151">
        <f>IF(ISBLANK('Data Entry'!A151), "", 'Data Entry'!A151)</f>
      </c>
      <c r="B151">
        <f>IF(ISBLANK('Data Entry'!B151), "", 'Data Entry'!B151)</f>
      </c>
      <c r="C151">
        <f>IF(ISBLANK('Data Entry'!C151), "", 'Data Entry'!C151)</f>
      </c>
      <c r="D151">
        <f>IF(ISBLANK('Data Entry'!D151), "", 'Data Entry'!D151)</f>
      </c>
      <c r="E151">
        <f>IF(ISBLANK('Data Entry'!E151), "", 'Data Entry'!E151)</f>
      </c>
      <c r="F151">
        <f>IF(ISBLANK('Data Entry'!F151), "", 'Data Entry'!F151)</f>
      </c>
      <c r="G151">
        <f>IF(ISBLANK('Data Entry'!G151), "", 'Data Entry'!G151)</f>
      </c>
      <c r="H151">
        <f>IF(ISBLANK('Data Entry'!H151), "", 'Data Entry'!H151)</f>
      </c>
      <c r="I151">
        <f>IF(ISBLANK('Data Entry'!I151), "", 'Data Entry'!I151)</f>
      </c>
      <c r="J151">
        <f>IF(ISBLANK('Data Entry'!J151), "", 'Data Entry'!J151)</f>
      </c>
      <c r="K151">
        <f>IF(ISBLANK('Data Entry'!K151), "", 'Data Entry'!K151)</f>
      </c>
      <c r="L151">
        <f>IF(ISBLANK('Data Entry'!L151), "", 'Data Entry'!L151)</f>
      </c>
      <c r="M151">
        <f>IF(ISBLANK('Data Entry'!M151), "", 'Data Entry'!M151)</f>
      </c>
      <c r="N151">
        <f>IF(ISBLANK('Data Entry'!N151), "", 'Data Entry'!N151)</f>
      </c>
      <c r="O151">
        <f>IF(ISBLANK('Data Entry'!O151), "", 'Data Entry'!O151)</f>
      </c>
      <c r="P151">
        <f>IF(ISBLANK('Data Entry'!P151), "", 'Data Entry'!P151)</f>
      </c>
      <c r="Q151">
        <f>IF(ISBLANK('Data Entry'!Q151), "", 'Data Entry'!Q151)</f>
      </c>
      <c r="R151">
        <f>IF(ISBLANK('Data Entry'!R151), "", 'Data Entry'!R151)</f>
      </c>
      <c r="S151">
        <f>IF(ISBLANK('Data Entry'!S151), "", 'Data Entry'!S151)</f>
      </c>
      <c r="T151">
        <f>IF(ISBLANK('Data Entry'!T151), "", 'Data Entry'!T151)</f>
      </c>
      <c r="U151">
        <f>IF(ISBLANK('Data Entry'!U151), "", 'Data Entry'!U151)</f>
      </c>
      <c r="V151">
        <f>IF(ISBLANK('Data Entry'!V151), "", 'Data Entry'!V151)</f>
      </c>
      <c r="W151">
        <f>IF(ISBLANK('Data Entry'!W151), "", 'Data Entry'!W151)</f>
      </c>
      <c r="X151">
        <f>IF(ISBLANK('Data Entry'!X151), "", 'Data Entry'!X151)</f>
      </c>
      <c r="Y151">
        <f>IF(ISBLANK('Data Entry'!Y151), "", 'Data Entry'!Y151)</f>
      </c>
      <c r="Z151">
        <f>IF(ISBLANK('Data Entry'!Z151), "", 'Data Entry'!Z151)</f>
      </c>
      <c r="AA151">
        <f>IF(ISBLANK('Data Entry'![151), "", 'Data Entry'![151)</f>
      </c>
      <c r="AB151">
        <f>IF(ISBLANK('Data Entry'!\151), "", 'Data Entry'!\151)</f>
      </c>
      <c r="AC151">
        <f>IF(ISBLANK('Data Entry'!]151), "", 'Data Entry'!]151)</f>
      </c>
      <c r="AD151">
        <f>IF(ISBLANK('Data Entry'!^151), "", 'Data Entry'!^151)</f>
      </c>
      <c r="AE151">
        <f>IF(ISBLANK('Data Entry'!_151), "", 'Data Entry'!_151)</f>
      </c>
      <c r="AF151">
        <f>IF(ISBLANK('Data Entry'!`151), "", 'Data Entry'!`151)</f>
      </c>
      <c r="AG151">
        <f>IF(ISBLANK('Data Entry'!a151), "", 'Data Entry'!a151)</f>
      </c>
      <c r="AH151">
        <f>IF(ISBLANK('Data Entry'!b151), "", 'Data Entry'!b151)</f>
      </c>
      <c r="AI151">
        <f>IF(ISBLANK('Data Entry'!c151), "", 'Data Entry'!c151)</f>
      </c>
      <c r="AJ151">
        <f>IF(ISBLANK('Data Entry'!d151), "", 'Data Entry'!d151)</f>
      </c>
      <c r="AK151">
        <f>IF(ISBLANK('Data Entry'!e151), "", 'Data Entry'!e151)</f>
      </c>
      <c r="AL151">
        <f>IF(ISBLANK('Data Entry'!f151), "", 'Data Entry'!f151)</f>
      </c>
      <c r="AM151">
        <f>IF(ISBLANK('Data Entry'!g151), "", 'Data Entry'!g151)</f>
      </c>
      <c r="AN151">
        <f>IF(ISBLANK('Data Entry'!h151), "", 'Data Entry'!h151)</f>
      </c>
    </row>
    <row r="152" spans="1:40" x14ac:dyDescent="0.25">
      <c r="A152">
        <f>IF(ISBLANK('Data Entry'!A152), "", 'Data Entry'!A152)</f>
      </c>
      <c r="B152">
        <f>IF(ISBLANK('Data Entry'!B152), "", 'Data Entry'!B152)</f>
      </c>
      <c r="C152">
        <f>IF(ISBLANK('Data Entry'!C152), "", 'Data Entry'!C152)</f>
      </c>
      <c r="D152">
        <f>IF(ISBLANK('Data Entry'!D152), "", 'Data Entry'!D152)</f>
      </c>
      <c r="E152">
        <f>IF(ISBLANK('Data Entry'!E152), "", 'Data Entry'!E152)</f>
      </c>
      <c r="F152">
        <f>IF(ISBLANK('Data Entry'!F152), "", 'Data Entry'!F152)</f>
      </c>
      <c r="G152">
        <f>IF(ISBLANK('Data Entry'!G152), "", 'Data Entry'!G152)</f>
      </c>
      <c r="H152">
        <f>IF(ISBLANK('Data Entry'!H152), "", 'Data Entry'!H152)</f>
      </c>
      <c r="I152">
        <f>IF(ISBLANK('Data Entry'!I152), "", 'Data Entry'!I152)</f>
      </c>
      <c r="J152">
        <f>IF(ISBLANK('Data Entry'!J152), "", 'Data Entry'!J152)</f>
      </c>
      <c r="K152">
        <f>IF(ISBLANK('Data Entry'!K152), "", 'Data Entry'!K152)</f>
      </c>
      <c r="L152">
        <f>IF(ISBLANK('Data Entry'!L152), "", 'Data Entry'!L152)</f>
      </c>
      <c r="M152">
        <f>IF(ISBLANK('Data Entry'!M152), "", 'Data Entry'!M152)</f>
      </c>
      <c r="N152">
        <f>IF(ISBLANK('Data Entry'!N152), "", 'Data Entry'!N152)</f>
      </c>
      <c r="O152">
        <f>IF(ISBLANK('Data Entry'!O152), "", 'Data Entry'!O152)</f>
      </c>
      <c r="P152">
        <f>IF(ISBLANK('Data Entry'!P152), "", 'Data Entry'!P152)</f>
      </c>
      <c r="Q152">
        <f>IF(ISBLANK('Data Entry'!Q152), "", 'Data Entry'!Q152)</f>
      </c>
      <c r="R152">
        <f>IF(ISBLANK('Data Entry'!R152), "", 'Data Entry'!R152)</f>
      </c>
      <c r="S152">
        <f>IF(ISBLANK('Data Entry'!S152), "", 'Data Entry'!S152)</f>
      </c>
      <c r="T152">
        <f>IF(ISBLANK('Data Entry'!T152), "", 'Data Entry'!T152)</f>
      </c>
      <c r="U152">
        <f>IF(ISBLANK('Data Entry'!U152), "", 'Data Entry'!U152)</f>
      </c>
      <c r="V152">
        <f>IF(ISBLANK('Data Entry'!V152), "", 'Data Entry'!V152)</f>
      </c>
      <c r="W152">
        <f>IF(ISBLANK('Data Entry'!W152), "", 'Data Entry'!W152)</f>
      </c>
      <c r="X152">
        <f>IF(ISBLANK('Data Entry'!X152), "", 'Data Entry'!X152)</f>
      </c>
      <c r="Y152">
        <f>IF(ISBLANK('Data Entry'!Y152), "", 'Data Entry'!Y152)</f>
      </c>
      <c r="Z152">
        <f>IF(ISBLANK('Data Entry'!Z152), "", 'Data Entry'!Z152)</f>
      </c>
      <c r="AA152">
        <f>IF(ISBLANK('Data Entry'![152), "", 'Data Entry'![152)</f>
      </c>
      <c r="AB152">
        <f>IF(ISBLANK('Data Entry'!\152), "", 'Data Entry'!\152)</f>
      </c>
      <c r="AC152">
        <f>IF(ISBLANK('Data Entry'!]152), "", 'Data Entry'!]152)</f>
      </c>
      <c r="AD152">
        <f>IF(ISBLANK('Data Entry'!^152), "", 'Data Entry'!^152)</f>
      </c>
      <c r="AE152">
        <f>IF(ISBLANK('Data Entry'!_152), "", 'Data Entry'!_152)</f>
      </c>
      <c r="AF152">
        <f>IF(ISBLANK('Data Entry'!`152), "", 'Data Entry'!`152)</f>
      </c>
      <c r="AG152">
        <f>IF(ISBLANK('Data Entry'!a152), "", 'Data Entry'!a152)</f>
      </c>
      <c r="AH152">
        <f>IF(ISBLANK('Data Entry'!b152), "", 'Data Entry'!b152)</f>
      </c>
      <c r="AI152">
        <f>IF(ISBLANK('Data Entry'!c152), "", 'Data Entry'!c152)</f>
      </c>
      <c r="AJ152">
        <f>IF(ISBLANK('Data Entry'!d152), "", 'Data Entry'!d152)</f>
      </c>
      <c r="AK152">
        <f>IF(ISBLANK('Data Entry'!e152), "", 'Data Entry'!e152)</f>
      </c>
      <c r="AL152">
        <f>IF(ISBLANK('Data Entry'!f152), "", 'Data Entry'!f152)</f>
      </c>
      <c r="AM152">
        <f>IF(ISBLANK('Data Entry'!g152), "", 'Data Entry'!g152)</f>
      </c>
      <c r="AN152">
        <f>IF(ISBLANK('Data Entry'!h152), "", 'Data Entry'!h152)</f>
      </c>
    </row>
    <row r="153" spans="1:40" x14ac:dyDescent="0.25">
      <c r="A153">
        <f>IF(ISBLANK('Data Entry'!A153), "", 'Data Entry'!A153)</f>
      </c>
      <c r="B153">
        <f>IF(ISBLANK('Data Entry'!B153), "", 'Data Entry'!B153)</f>
      </c>
      <c r="C153">
        <f>IF(ISBLANK('Data Entry'!C153), "", 'Data Entry'!C153)</f>
      </c>
      <c r="D153">
        <f>IF(ISBLANK('Data Entry'!D153), "", 'Data Entry'!D153)</f>
      </c>
      <c r="E153">
        <f>IF(ISBLANK('Data Entry'!E153), "", 'Data Entry'!E153)</f>
      </c>
      <c r="F153">
        <f>IF(ISBLANK('Data Entry'!F153), "", 'Data Entry'!F153)</f>
      </c>
      <c r="G153">
        <f>IF(ISBLANK('Data Entry'!G153), "", 'Data Entry'!G153)</f>
      </c>
      <c r="H153">
        <f>IF(ISBLANK('Data Entry'!H153), "", 'Data Entry'!H153)</f>
      </c>
      <c r="I153">
        <f>IF(ISBLANK('Data Entry'!I153), "", 'Data Entry'!I153)</f>
      </c>
      <c r="J153">
        <f>IF(ISBLANK('Data Entry'!J153), "", 'Data Entry'!J153)</f>
      </c>
      <c r="K153">
        <f>IF(ISBLANK('Data Entry'!K153), "", 'Data Entry'!K153)</f>
      </c>
      <c r="L153">
        <f>IF(ISBLANK('Data Entry'!L153), "", 'Data Entry'!L153)</f>
      </c>
      <c r="M153">
        <f>IF(ISBLANK('Data Entry'!M153), "", 'Data Entry'!M153)</f>
      </c>
      <c r="N153">
        <f>IF(ISBLANK('Data Entry'!N153), "", 'Data Entry'!N153)</f>
      </c>
      <c r="O153">
        <f>IF(ISBLANK('Data Entry'!O153), "", 'Data Entry'!O153)</f>
      </c>
      <c r="P153">
        <f>IF(ISBLANK('Data Entry'!P153), "", 'Data Entry'!P153)</f>
      </c>
      <c r="Q153">
        <f>IF(ISBLANK('Data Entry'!Q153), "", 'Data Entry'!Q153)</f>
      </c>
      <c r="R153">
        <f>IF(ISBLANK('Data Entry'!R153), "", 'Data Entry'!R153)</f>
      </c>
      <c r="S153">
        <f>IF(ISBLANK('Data Entry'!S153), "", 'Data Entry'!S153)</f>
      </c>
      <c r="T153">
        <f>IF(ISBLANK('Data Entry'!T153), "", 'Data Entry'!T153)</f>
      </c>
      <c r="U153">
        <f>IF(ISBLANK('Data Entry'!U153), "", 'Data Entry'!U153)</f>
      </c>
      <c r="V153">
        <f>IF(ISBLANK('Data Entry'!V153), "", 'Data Entry'!V153)</f>
      </c>
      <c r="W153">
        <f>IF(ISBLANK('Data Entry'!W153), "", 'Data Entry'!W153)</f>
      </c>
      <c r="X153">
        <f>IF(ISBLANK('Data Entry'!X153), "", 'Data Entry'!X153)</f>
      </c>
      <c r="Y153">
        <f>IF(ISBLANK('Data Entry'!Y153), "", 'Data Entry'!Y153)</f>
      </c>
      <c r="Z153">
        <f>IF(ISBLANK('Data Entry'!Z153), "", 'Data Entry'!Z153)</f>
      </c>
      <c r="AA153">
        <f>IF(ISBLANK('Data Entry'![153), "", 'Data Entry'![153)</f>
      </c>
      <c r="AB153">
        <f>IF(ISBLANK('Data Entry'!\153), "", 'Data Entry'!\153)</f>
      </c>
      <c r="AC153">
        <f>IF(ISBLANK('Data Entry'!]153), "", 'Data Entry'!]153)</f>
      </c>
      <c r="AD153">
        <f>IF(ISBLANK('Data Entry'!^153), "", 'Data Entry'!^153)</f>
      </c>
      <c r="AE153">
        <f>IF(ISBLANK('Data Entry'!_153), "", 'Data Entry'!_153)</f>
      </c>
      <c r="AF153">
        <f>IF(ISBLANK('Data Entry'!`153), "", 'Data Entry'!`153)</f>
      </c>
      <c r="AG153">
        <f>IF(ISBLANK('Data Entry'!a153), "", 'Data Entry'!a153)</f>
      </c>
      <c r="AH153">
        <f>IF(ISBLANK('Data Entry'!b153), "", 'Data Entry'!b153)</f>
      </c>
      <c r="AI153">
        <f>IF(ISBLANK('Data Entry'!c153), "", 'Data Entry'!c153)</f>
      </c>
      <c r="AJ153">
        <f>IF(ISBLANK('Data Entry'!d153), "", 'Data Entry'!d153)</f>
      </c>
      <c r="AK153">
        <f>IF(ISBLANK('Data Entry'!e153), "", 'Data Entry'!e153)</f>
      </c>
      <c r="AL153">
        <f>IF(ISBLANK('Data Entry'!f153), "", 'Data Entry'!f153)</f>
      </c>
      <c r="AM153">
        <f>IF(ISBLANK('Data Entry'!g153), "", 'Data Entry'!g153)</f>
      </c>
      <c r="AN153">
        <f>IF(ISBLANK('Data Entry'!h153), "", 'Data Entry'!h153)</f>
      </c>
    </row>
    <row r="154" spans="1:40" x14ac:dyDescent="0.25">
      <c r="A154">
        <f>IF(ISBLANK('Data Entry'!A154), "", 'Data Entry'!A154)</f>
      </c>
      <c r="B154">
        <f>IF(ISBLANK('Data Entry'!B154), "", 'Data Entry'!B154)</f>
      </c>
      <c r="C154">
        <f>IF(ISBLANK('Data Entry'!C154), "", 'Data Entry'!C154)</f>
      </c>
      <c r="D154">
        <f>IF(ISBLANK('Data Entry'!D154), "", 'Data Entry'!D154)</f>
      </c>
      <c r="E154">
        <f>IF(ISBLANK('Data Entry'!E154), "", 'Data Entry'!E154)</f>
      </c>
      <c r="F154">
        <f>IF(ISBLANK('Data Entry'!F154), "", 'Data Entry'!F154)</f>
      </c>
      <c r="G154">
        <f>IF(ISBLANK('Data Entry'!G154), "", 'Data Entry'!G154)</f>
      </c>
      <c r="H154">
        <f>IF(ISBLANK('Data Entry'!H154), "", 'Data Entry'!H154)</f>
      </c>
      <c r="I154">
        <f>IF(ISBLANK('Data Entry'!I154), "", 'Data Entry'!I154)</f>
      </c>
      <c r="J154">
        <f>IF(ISBLANK('Data Entry'!J154), "", 'Data Entry'!J154)</f>
      </c>
      <c r="K154">
        <f>IF(ISBLANK('Data Entry'!K154), "", 'Data Entry'!K154)</f>
      </c>
      <c r="L154">
        <f>IF(ISBLANK('Data Entry'!L154), "", 'Data Entry'!L154)</f>
      </c>
      <c r="M154">
        <f>IF(ISBLANK('Data Entry'!M154), "", 'Data Entry'!M154)</f>
      </c>
      <c r="N154">
        <f>IF(ISBLANK('Data Entry'!N154), "", 'Data Entry'!N154)</f>
      </c>
      <c r="O154">
        <f>IF(ISBLANK('Data Entry'!O154), "", 'Data Entry'!O154)</f>
      </c>
      <c r="P154">
        <f>IF(ISBLANK('Data Entry'!P154), "", 'Data Entry'!P154)</f>
      </c>
      <c r="Q154">
        <f>IF(ISBLANK('Data Entry'!Q154), "", 'Data Entry'!Q154)</f>
      </c>
      <c r="R154">
        <f>IF(ISBLANK('Data Entry'!R154), "", 'Data Entry'!R154)</f>
      </c>
      <c r="S154">
        <f>IF(ISBLANK('Data Entry'!S154), "", 'Data Entry'!S154)</f>
      </c>
      <c r="T154">
        <f>IF(ISBLANK('Data Entry'!T154), "", 'Data Entry'!T154)</f>
      </c>
      <c r="U154">
        <f>IF(ISBLANK('Data Entry'!U154), "", 'Data Entry'!U154)</f>
      </c>
      <c r="V154">
        <f>IF(ISBLANK('Data Entry'!V154), "", 'Data Entry'!V154)</f>
      </c>
      <c r="W154">
        <f>IF(ISBLANK('Data Entry'!W154), "", 'Data Entry'!W154)</f>
      </c>
      <c r="X154">
        <f>IF(ISBLANK('Data Entry'!X154), "", 'Data Entry'!X154)</f>
      </c>
      <c r="Y154">
        <f>IF(ISBLANK('Data Entry'!Y154), "", 'Data Entry'!Y154)</f>
      </c>
      <c r="Z154">
        <f>IF(ISBLANK('Data Entry'!Z154), "", 'Data Entry'!Z154)</f>
      </c>
      <c r="AA154">
        <f>IF(ISBLANK('Data Entry'![154), "", 'Data Entry'![154)</f>
      </c>
      <c r="AB154">
        <f>IF(ISBLANK('Data Entry'!\154), "", 'Data Entry'!\154)</f>
      </c>
      <c r="AC154">
        <f>IF(ISBLANK('Data Entry'!]154), "", 'Data Entry'!]154)</f>
      </c>
      <c r="AD154">
        <f>IF(ISBLANK('Data Entry'!^154), "", 'Data Entry'!^154)</f>
      </c>
      <c r="AE154">
        <f>IF(ISBLANK('Data Entry'!_154), "", 'Data Entry'!_154)</f>
      </c>
      <c r="AF154">
        <f>IF(ISBLANK('Data Entry'!`154), "", 'Data Entry'!`154)</f>
      </c>
      <c r="AG154">
        <f>IF(ISBLANK('Data Entry'!a154), "", 'Data Entry'!a154)</f>
      </c>
      <c r="AH154">
        <f>IF(ISBLANK('Data Entry'!b154), "", 'Data Entry'!b154)</f>
      </c>
      <c r="AI154">
        <f>IF(ISBLANK('Data Entry'!c154), "", 'Data Entry'!c154)</f>
      </c>
      <c r="AJ154">
        <f>IF(ISBLANK('Data Entry'!d154), "", 'Data Entry'!d154)</f>
      </c>
      <c r="AK154">
        <f>IF(ISBLANK('Data Entry'!e154), "", 'Data Entry'!e154)</f>
      </c>
      <c r="AL154">
        <f>IF(ISBLANK('Data Entry'!f154), "", 'Data Entry'!f154)</f>
      </c>
      <c r="AM154">
        <f>IF(ISBLANK('Data Entry'!g154), "", 'Data Entry'!g154)</f>
      </c>
      <c r="AN154">
        <f>IF(ISBLANK('Data Entry'!h154), "", 'Data Entry'!h154)</f>
      </c>
    </row>
    <row r="155" spans="1:40" x14ac:dyDescent="0.25">
      <c r="A155">
        <f>IF(ISBLANK('Data Entry'!A155), "", 'Data Entry'!A155)</f>
      </c>
      <c r="B155">
        <f>IF(ISBLANK('Data Entry'!B155), "", 'Data Entry'!B155)</f>
      </c>
      <c r="C155">
        <f>IF(ISBLANK('Data Entry'!C155), "", 'Data Entry'!C155)</f>
      </c>
      <c r="D155">
        <f>IF(ISBLANK('Data Entry'!D155), "", 'Data Entry'!D155)</f>
      </c>
      <c r="E155">
        <f>IF(ISBLANK('Data Entry'!E155), "", 'Data Entry'!E155)</f>
      </c>
      <c r="F155">
        <f>IF(ISBLANK('Data Entry'!F155), "", 'Data Entry'!F155)</f>
      </c>
      <c r="G155">
        <f>IF(ISBLANK('Data Entry'!G155), "", 'Data Entry'!G155)</f>
      </c>
      <c r="H155">
        <f>IF(ISBLANK('Data Entry'!H155), "", 'Data Entry'!H155)</f>
      </c>
      <c r="I155">
        <f>IF(ISBLANK('Data Entry'!I155), "", 'Data Entry'!I155)</f>
      </c>
      <c r="J155">
        <f>IF(ISBLANK('Data Entry'!J155), "", 'Data Entry'!J155)</f>
      </c>
      <c r="K155">
        <f>IF(ISBLANK('Data Entry'!K155), "", 'Data Entry'!K155)</f>
      </c>
      <c r="L155">
        <f>IF(ISBLANK('Data Entry'!L155), "", 'Data Entry'!L155)</f>
      </c>
      <c r="M155">
        <f>IF(ISBLANK('Data Entry'!M155), "", 'Data Entry'!M155)</f>
      </c>
      <c r="N155">
        <f>IF(ISBLANK('Data Entry'!N155), "", 'Data Entry'!N155)</f>
      </c>
      <c r="O155">
        <f>IF(ISBLANK('Data Entry'!O155), "", 'Data Entry'!O155)</f>
      </c>
      <c r="P155">
        <f>IF(ISBLANK('Data Entry'!P155), "", 'Data Entry'!P155)</f>
      </c>
      <c r="Q155">
        <f>IF(ISBLANK('Data Entry'!Q155), "", 'Data Entry'!Q155)</f>
      </c>
      <c r="R155">
        <f>IF(ISBLANK('Data Entry'!R155), "", 'Data Entry'!R155)</f>
      </c>
      <c r="S155">
        <f>IF(ISBLANK('Data Entry'!S155), "", 'Data Entry'!S155)</f>
      </c>
      <c r="T155">
        <f>IF(ISBLANK('Data Entry'!T155), "", 'Data Entry'!T155)</f>
      </c>
      <c r="U155">
        <f>IF(ISBLANK('Data Entry'!U155), "", 'Data Entry'!U155)</f>
      </c>
      <c r="V155">
        <f>IF(ISBLANK('Data Entry'!V155), "", 'Data Entry'!V155)</f>
      </c>
      <c r="W155">
        <f>IF(ISBLANK('Data Entry'!W155), "", 'Data Entry'!W155)</f>
      </c>
      <c r="X155">
        <f>IF(ISBLANK('Data Entry'!X155), "", 'Data Entry'!X155)</f>
      </c>
      <c r="Y155">
        <f>IF(ISBLANK('Data Entry'!Y155), "", 'Data Entry'!Y155)</f>
      </c>
      <c r="Z155">
        <f>IF(ISBLANK('Data Entry'!Z155), "", 'Data Entry'!Z155)</f>
      </c>
      <c r="AA155">
        <f>IF(ISBLANK('Data Entry'![155), "", 'Data Entry'![155)</f>
      </c>
      <c r="AB155">
        <f>IF(ISBLANK('Data Entry'!\155), "", 'Data Entry'!\155)</f>
      </c>
      <c r="AC155">
        <f>IF(ISBLANK('Data Entry'!]155), "", 'Data Entry'!]155)</f>
      </c>
      <c r="AD155">
        <f>IF(ISBLANK('Data Entry'!^155), "", 'Data Entry'!^155)</f>
      </c>
      <c r="AE155">
        <f>IF(ISBLANK('Data Entry'!_155), "", 'Data Entry'!_155)</f>
      </c>
      <c r="AF155">
        <f>IF(ISBLANK('Data Entry'!`155), "", 'Data Entry'!`155)</f>
      </c>
      <c r="AG155">
        <f>IF(ISBLANK('Data Entry'!a155), "", 'Data Entry'!a155)</f>
      </c>
      <c r="AH155">
        <f>IF(ISBLANK('Data Entry'!b155), "", 'Data Entry'!b155)</f>
      </c>
      <c r="AI155">
        <f>IF(ISBLANK('Data Entry'!c155), "", 'Data Entry'!c155)</f>
      </c>
      <c r="AJ155">
        <f>IF(ISBLANK('Data Entry'!d155), "", 'Data Entry'!d155)</f>
      </c>
      <c r="AK155">
        <f>IF(ISBLANK('Data Entry'!e155), "", 'Data Entry'!e155)</f>
      </c>
      <c r="AL155">
        <f>IF(ISBLANK('Data Entry'!f155), "", 'Data Entry'!f155)</f>
      </c>
      <c r="AM155">
        <f>IF(ISBLANK('Data Entry'!g155), "", 'Data Entry'!g155)</f>
      </c>
      <c r="AN155">
        <f>IF(ISBLANK('Data Entry'!h155), "", 'Data Entry'!h155)</f>
      </c>
    </row>
    <row r="156" spans="1:40" x14ac:dyDescent="0.25">
      <c r="A156">
        <f>IF(ISBLANK('Data Entry'!A156), "", 'Data Entry'!A156)</f>
      </c>
      <c r="B156">
        <f>IF(ISBLANK('Data Entry'!B156), "", 'Data Entry'!B156)</f>
      </c>
      <c r="C156">
        <f>IF(ISBLANK('Data Entry'!C156), "", 'Data Entry'!C156)</f>
      </c>
      <c r="D156">
        <f>IF(ISBLANK('Data Entry'!D156), "", 'Data Entry'!D156)</f>
      </c>
      <c r="E156">
        <f>IF(ISBLANK('Data Entry'!E156), "", 'Data Entry'!E156)</f>
      </c>
      <c r="F156">
        <f>IF(ISBLANK('Data Entry'!F156), "", 'Data Entry'!F156)</f>
      </c>
      <c r="G156">
        <f>IF(ISBLANK('Data Entry'!G156), "", 'Data Entry'!G156)</f>
      </c>
      <c r="H156">
        <f>IF(ISBLANK('Data Entry'!H156), "", 'Data Entry'!H156)</f>
      </c>
      <c r="I156">
        <f>IF(ISBLANK('Data Entry'!I156), "", 'Data Entry'!I156)</f>
      </c>
      <c r="J156">
        <f>IF(ISBLANK('Data Entry'!J156), "", 'Data Entry'!J156)</f>
      </c>
      <c r="K156">
        <f>IF(ISBLANK('Data Entry'!K156), "", 'Data Entry'!K156)</f>
      </c>
      <c r="L156">
        <f>IF(ISBLANK('Data Entry'!L156), "", 'Data Entry'!L156)</f>
      </c>
      <c r="M156">
        <f>IF(ISBLANK('Data Entry'!M156), "", 'Data Entry'!M156)</f>
      </c>
      <c r="N156">
        <f>IF(ISBLANK('Data Entry'!N156), "", 'Data Entry'!N156)</f>
      </c>
      <c r="O156">
        <f>IF(ISBLANK('Data Entry'!O156), "", 'Data Entry'!O156)</f>
      </c>
      <c r="P156">
        <f>IF(ISBLANK('Data Entry'!P156), "", 'Data Entry'!P156)</f>
      </c>
      <c r="Q156">
        <f>IF(ISBLANK('Data Entry'!Q156), "", 'Data Entry'!Q156)</f>
      </c>
      <c r="R156">
        <f>IF(ISBLANK('Data Entry'!R156), "", 'Data Entry'!R156)</f>
      </c>
      <c r="S156">
        <f>IF(ISBLANK('Data Entry'!S156), "", 'Data Entry'!S156)</f>
      </c>
      <c r="T156">
        <f>IF(ISBLANK('Data Entry'!T156), "", 'Data Entry'!T156)</f>
      </c>
      <c r="U156">
        <f>IF(ISBLANK('Data Entry'!U156), "", 'Data Entry'!U156)</f>
      </c>
      <c r="V156">
        <f>IF(ISBLANK('Data Entry'!V156), "", 'Data Entry'!V156)</f>
      </c>
      <c r="W156">
        <f>IF(ISBLANK('Data Entry'!W156), "", 'Data Entry'!W156)</f>
      </c>
      <c r="X156">
        <f>IF(ISBLANK('Data Entry'!X156), "", 'Data Entry'!X156)</f>
      </c>
      <c r="Y156">
        <f>IF(ISBLANK('Data Entry'!Y156), "", 'Data Entry'!Y156)</f>
      </c>
      <c r="Z156">
        <f>IF(ISBLANK('Data Entry'!Z156), "", 'Data Entry'!Z156)</f>
      </c>
      <c r="AA156">
        <f>IF(ISBLANK('Data Entry'![156), "", 'Data Entry'![156)</f>
      </c>
      <c r="AB156">
        <f>IF(ISBLANK('Data Entry'!\156), "", 'Data Entry'!\156)</f>
      </c>
      <c r="AC156">
        <f>IF(ISBLANK('Data Entry'!]156), "", 'Data Entry'!]156)</f>
      </c>
      <c r="AD156">
        <f>IF(ISBLANK('Data Entry'!^156), "", 'Data Entry'!^156)</f>
      </c>
      <c r="AE156">
        <f>IF(ISBLANK('Data Entry'!_156), "", 'Data Entry'!_156)</f>
      </c>
      <c r="AF156">
        <f>IF(ISBLANK('Data Entry'!`156), "", 'Data Entry'!`156)</f>
      </c>
      <c r="AG156">
        <f>IF(ISBLANK('Data Entry'!a156), "", 'Data Entry'!a156)</f>
      </c>
      <c r="AH156">
        <f>IF(ISBLANK('Data Entry'!b156), "", 'Data Entry'!b156)</f>
      </c>
      <c r="AI156">
        <f>IF(ISBLANK('Data Entry'!c156), "", 'Data Entry'!c156)</f>
      </c>
      <c r="AJ156">
        <f>IF(ISBLANK('Data Entry'!d156), "", 'Data Entry'!d156)</f>
      </c>
      <c r="AK156">
        <f>IF(ISBLANK('Data Entry'!e156), "", 'Data Entry'!e156)</f>
      </c>
      <c r="AL156">
        <f>IF(ISBLANK('Data Entry'!f156), "", 'Data Entry'!f156)</f>
      </c>
      <c r="AM156">
        <f>IF(ISBLANK('Data Entry'!g156), "", 'Data Entry'!g156)</f>
      </c>
      <c r="AN156">
        <f>IF(ISBLANK('Data Entry'!h156), "", 'Data Entry'!h156)</f>
      </c>
    </row>
    <row r="157" spans="1:40" x14ac:dyDescent="0.25">
      <c r="A157">
        <f>IF(ISBLANK('Data Entry'!A157), "", 'Data Entry'!A157)</f>
      </c>
      <c r="B157">
        <f>IF(ISBLANK('Data Entry'!B157), "", 'Data Entry'!B157)</f>
      </c>
      <c r="C157">
        <f>IF(ISBLANK('Data Entry'!C157), "", 'Data Entry'!C157)</f>
      </c>
      <c r="D157">
        <f>IF(ISBLANK('Data Entry'!D157), "", 'Data Entry'!D157)</f>
      </c>
      <c r="E157">
        <f>IF(ISBLANK('Data Entry'!E157), "", 'Data Entry'!E157)</f>
      </c>
      <c r="F157">
        <f>IF(ISBLANK('Data Entry'!F157), "", 'Data Entry'!F157)</f>
      </c>
      <c r="G157">
        <f>IF(ISBLANK('Data Entry'!G157), "", 'Data Entry'!G157)</f>
      </c>
      <c r="H157">
        <f>IF(ISBLANK('Data Entry'!H157), "", 'Data Entry'!H157)</f>
      </c>
      <c r="I157">
        <f>IF(ISBLANK('Data Entry'!I157), "", 'Data Entry'!I157)</f>
      </c>
      <c r="J157">
        <f>IF(ISBLANK('Data Entry'!J157), "", 'Data Entry'!J157)</f>
      </c>
      <c r="K157">
        <f>IF(ISBLANK('Data Entry'!K157), "", 'Data Entry'!K157)</f>
      </c>
      <c r="L157">
        <f>IF(ISBLANK('Data Entry'!L157), "", 'Data Entry'!L157)</f>
      </c>
      <c r="M157">
        <f>IF(ISBLANK('Data Entry'!M157), "", 'Data Entry'!M157)</f>
      </c>
      <c r="N157">
        <f>IF(ISBLANK('Data Entry'!N157), "", 'Data Entry'!N157)</f>
      </c>
      <c r="O157">
        <f>IF(ISBLANK('Data Entry'!O157), "", 'Data Entry'!O157)</f>
      </c>
      <c r="P157">
        <f>IF(ISBLANK('Data Entry'!P157), "", 'Data Entry'!P157)</f>
      </c>
      <c r="Q157">
        <f>IF(ISBLANK('Data Entry'!Q157), "", 'Data Entry'!Q157)</f>
      </c>
      <c r="R157">
        <f>IF(ISBLANK('Data Entry'!R157), "", 'Data Entry'!R157)</f>
      </c>
      <c r="S157">
        <f>IF(ISBLANK('Data Entry'!S157), "", 'Data Entry'!S157)</f>
      </c>
      <c r="T157">
        <f>IF(ISBLANK('Data Entry'!T157), "", 'Data Entry'!T157)</f>
      </c>
      <c r="U157">
        <f>IF(ISBLANK('Data Entry'!U157), "", 'Data Entry'!U157)</f>
      </c>
      <c r="V157">
        <f>IF(ISBLANK('Data Entry'!V157), "", 'Data Entry'!V157)</f>
      </c>
      <c r="W157">
        <f>IF(ISBLANK('Data Entry'!W157), "", 'Data Entry'!W157)</f>
      </c>
      <c r="X157">
        <f>IF(ISBLANK('Data Entry'!X157), "", 'Data Entry'!X157)</f>
      </c>
      <c r="Y157">
        <f>IF(ISBLANK('Data Entry'!Y157), "", 'Data Entry'!Y157)</f>
      </c>
      <c r="Z157">
        <f>IF(ISBLANK('Data Entry'!Z157), "", 'Data Entry'!Z157)</f>
      </c>
      <c r="AA157">
        <f>IF(ISBLANK('Data Entry'![157), "", 'Data Entry'![157)</f>
      </c>
      <c r="AB157">
        <f>IF(ISBLANK('Data Entry'!\157), "", 'Data Entry'!\157)</f>
      </c>
      <c r="AC157">
        <f>IF(ISBLANK('Data Entry'!]157), "", 'Data Entry'!]157)</f>
      </c>
      <c r="AD157">
        <f>IF(ISBLANK('Data Entry'!^157), "", 'Data Entry'!^157)</f>
      </c>
      <c r="AE157">
        <f>IF(ISBLANK('Data Entry'!_157), "", 'Data Entry'!_157)</f>
      </c>
      <c r="AF157">
        <f>IF(ISBLANK('Data Entry'!`157), "", 'Data Entry'!`157)</f>
      </c>
      <c r="AG157">
        <f>IF(ISBLANK('Data Entry'!a157), "", 'Data Entry'!a157)</f>
      </c>
      <c r="AH157">
        <f>IF(ISBLANK('Data Entry'!b157), "", 'Data Entry'!b157)</f>
      </c>
      <c r="AI157">
        <f>IF(ISBLANK('Data Entry'!c157), "", 'Data Entry'!c157)</f>
      </c>
      <c r="AJ157">
        <f>IF(ISBLANK('Data Entry'!d157), "", 'Data Entry'!d157)</f>
      </c>
      <c r="AK157">
        <f>IF(ISBLANK('Data Entry'!e157), "", 'Data Entry'!e157)</f>
      </c>
      <c r="AL157">
        <f>IF(ISBLANK('Data Entry'!f157), "", 'Data Entry'!f157)</f>
      </c>
      <c r="AM157">
        <f>IF(ISBLANK('Data Entry'!g157), "", 'Data Entry'!g157)</f>
      </c>
      <c r="AN157">
        <f>IF(ISBLANK('Data Entry'!h157), "", 'Data Entry'!h157)</f>
      </c>
    </row>
    <row r="158" spans="1:40" x14ac:dyDescent="0.25">
      <c r="A158">
        <f>IF(ISBLANK('Data Entry'!A158), "", 'Data Entry'!A158)</f>
      </c>
      <c r="B158">
        <f>IF(ISBLANK('Data Entry'!B158), "", 'Data Entry'!B158)</f>
      </c>
      <c r="C158">
        <f>IF(ISBLANK('Data Entry'!C158), "", 'Data Entry'!C158)</f>
      </c>
      <c r="D158">
        <f>IF(ISBLANK('Data Entry'!D158), "", 'Data Entry'!D158)</f>
      </c>
      <c r="E158">
        <f>IF(ISBLANK('Data Entry'!E158), "", 'Data Entry'!E158)</f>
      </c>
      <c r="F158">
        <f>IF(ISBLANK('Data Entry'!F158), "", 'Data Entry'!F158)</f>
      </c>
      <c r="G158">
        <f>IF(ISBLANK('Data Entry'!G158), "", 'Data Entry'!G158)</f>
      </c>
      <c r="H158">
        <f>IF(ISBLANK('Data Entry'!H158), "", 'Data Entry'!H158)</f>
      </c>
      <c r="I158">
        <f>IF(ISBLANK('Data Entry'!I158), "", 'Data Entry'!I158)</f>
      </c>
      <c r="J158">
        <f>IF(ISBLANK('Data Entry'!J158), "", 'Data Entry'!J158)</f>
      </c>
      <c r="K158">
        <f>IF(ISBLANK('Data Entry'!K158), "", 'Data Entry'!K158)</f>
      </c>
      <c r="L158">
        <f>IF(ISBLANK('Data Entry'!L158), "", 'Data Entry'!L158)</f>
      </c>
      <c r="M158">
        <f>IF(ISBLANK('Data Entry'!M158), "", 'Data Entry'!M158)</f>
      </c>
      <c r="N158">
        <f>IF(ISBLANK('Data Entry'!N158), "", 'Data Entry'!N158)</f>
      </c>
      <c r="O158">
        <f>IF(ISBLANK('Data Entry'!O158), "", 'Data Entry'!O158)</f>
      </c>
      <c r="P158">
        <f>IF(ISBLANK('Data Entry'!P158), "", 'Data Entry'!P158)</f>
      </c>
      <c r="Q158">
        <f>IF(ISBLANK('Data Entry'!Q158), "", 'Data Entry'!Q158)</f>
      </c>
      <c r="R158">
        <f>IF(ISBLANK('Data Entry'!R158), "", 'Data Entry'!R158)</f>
      </c>
      <c r="S158">
        <f>IF(ISBLANK('Data Entry'!S158), "", 'Data Entry'!S158)</f>
      </c>
      <c r="T158">
        <f>IF(ISBLANK('Data Entry'!T158), "", 'Data Entry'!T158)</f>
      </c>
      <c r="U158">
        <f>IF(ISBLANK('Data Entry'!U158), "", 'Data Entry'!U158)</f>
      </c>
      <c r="V158">
        <f>IF(ISBLANK('Data Entry'!V158), "", 'Data Entry'!V158)</f>
      </c>
      <c r="W158">
        <f>IF(ISBLANK('Data Entry'!W158), "", 'Data Entry'!W158)</f>
      </c>
      <c r="X158">
        <f>IF(ISBLANK('Data Entry'!X158), "", 'Data Entry'!X158)</f>
      </c>
      <c r="Y158">
        <f>IF(ISBLANK('Data Entry'!Y158), "", 'Data Entry'!Y158)</f>
      </c>
      <c r="Z158">
        <f>IF(ISBLANK('Data Entry'!Z158), "", 'Data Entry'!Z158)</f>
      </c>
      <c r="AA158">
        <f>IF(ISBLANK('Data Entry'![158), "", 'Data Entry'![158)</f>
      </c>
      <c r="AB158">
        <f>IF(ISBLANK('Data Entry'!\158), "", 'Data Entry'!\158)</f>
      </c>
      <c r="AC158">
        <f>IF(ISBLANK('Data Entry'!]158), "", 'Data Entry'!]158)</f>
      </c>
      <c r="AD158">
        <f>IF(ISBLANK('Data Entry'!^158), "", 'Data Entry'!^158)</f>
      </c>
      <c r="AE158">
        <f>IF(ISBLANK('Data Entry'!_158), "", 'Data Entry'!_158)</f>
      </c>
      <c r="AF158">
        <f>IF(ISBLANK('Data Entry'!`158), "", 'Data Entry'!`158)</f>
      </c>
      <c r="AG158">
        <f>IF(ISBLANK('Data Entry'!a158), "", 'Data Entry'!a158)</f>
      </c>
      <c r="AH158">
        <f>IF(ISBLANK('Data Entry'!b158), "", 'Data Entry'!b158)</f>
      </c>
      <c r="AI158">
        <f>IF(ISBLANK('Data Entry'!c158), "", 'Data Entry'!c158)</f>
      </c>
      <c r="AJ158">
        <f>IF(ISBLANK('Data Entry'!d158), "", 'Data Entry'!d158)</f>
      </c>
      <c r="AK158">
        <f>IF(ISBLANK('Data Entry'!e158), "", 'Data Entry'!e158)</f>
      </c>
      <c r="AL158">
        <f>IF(ISBLANK('Data Entry'!f158), "", 'Data Entry'!f158)</f>
      </c>
      <c r="AM158">
        <f>IF(ISBLANK('Data Entry'!g158), "", 'Data Entry'!g158)</f>
      </c>
      <c r="AN158">
        <f>IF(ISBLANK('Data Entry'!h158), "", 'Data Entry'!h158)</f>
      </c>
    </row>
    <row r="159" spans="1:40" x14ac:dyDescent="0.25">
      <c r="A159">
        <f>IF(ISBLANK('Data Entry'!A159), "", 'Data Entry'!A159)</f>
      </c>
      <c r="B159">
        <f>IF(ISBLANK('Data Entry'!B159), "", 'Data Entry'!B159)</f>
      </c>
      <c r="C159">
        <f>IF(ISBLANK('Data Entry'!C159), "", 'Data Entry'!C159)</f>
      </c>
      <c r="D159">
        <f>IF(ISBLANK('Data Entry'!D159), "", 'Data Entry'!D159)</f>
      </c>
      <c r="E159">
        <f>IF(ISBLANK('Data Entry'!E159), "", 'Data Entry'!E159)</f>
      </c>
      <c r="F159">
        <f>IF(ISBLANK('Data Entry'!F159), "", 'Data Entry'!F159)</f>
      </c>
      <c r="G159">
        <f>IF(ISBLANK('Data Entry'!G159), "", 'Data Entry'!G159)</f>
      </c>
      <c r="H159">
        <f>IF(ISBLANK('Data Entry'!H159), "", 'Data Entry'!H159)</f>
      </c>
      <c r="I159">
        <f>IF(ISBLANK('Data Entry'!I159), "", 'Data Entry'!I159)</f>
      </c>
      <c r="J159">
        <f>IF(ISBLANK('Data Entry'!J159), "", 'Data Entry'!J159)</f>
      </c>
      <c r="K159">
        <f>IF(ISBLANK('Data Entry'!K159), "", 'Data Entry'!K159)</f>
      </c>
      <c r="L159">
        <f>IF(ISBLANK('Data Entry'!L159), "", 'Data Entry'!L159)</f>
      </c>
      <c r="M159">
        <f>IF(ISBLANK('Data Entry'!M159), "", 'Data Entry'!M159)</f>
      </c>
      <c r="N159">
        <f>IF(ISBLANK('Data Entry'!N159), "", 'Data Entry'!N159)</f>
      </c>
      <c r="O159">
        <f>IF(ISBLANK('Data Entry'!O159), "", 'Data Entry'!O159)</f>
      </c>
      <c r="P159">
        <f>IF(ISBLANK('Data Entry'!P159), "", 'Data Entry'!P159)</f>
      </c>
      <c r="Q159">
        <f>IF(ISBLANK('Data Entry'!Q159), "", 'Data Entry'!Q159)</f>
      </c>
      <c r="R159">
        <f>IF(ISBLANK('Data Entry'!R159), "", 'Data Entry'!R159)</f>
      </c>
      <c r="S159">
        <f>IF(ISBLANK('Data Entry'!S159), "", 'Data Entry'!S159)</f>
      </c>
      <c r="T159">
        <f>IF(ISBLANK('Data Entry'!T159), "", 'Data Entry'!T159)</f>
      </c>
      <c r="U159">
        <f>IF(ISBLANK('Data Entry'!U159), "", 'Data Entry'!U159)</f>
      </c>
      <c r="V159">
        <f>IF(ISBLANK('Data Entry'!V159), "", 'Data Entry'!V159)</f>
      </c>
      <c r="W159">
        <f>IF(ISBLANK('Data Entry'!W159), "", 'Data Entry'!W159)</f>
      </c>
      <c r="X159">
        <f>IF(ISBLANK('Data Entry'!X159), "", 'Data Entry'!X159)</f>
      </c>
      <c r="Y159">
        <f>IF(ISBLANK('Data Entry'!Y159), "", 'Data Entry'!Y159)</f>
      </c>
      <c r="Z159">
        <f>IF(ISBLANK('Data Entry'!Z159), "", 'Data Entry'!Z159)</f>
      </c>
      <c r="AA159">
        <f>IF(ISBLANK('Data Entry'![159), "", 'Data Entry'![159)</f>
      </c>
      <c r="AB159">
        <f>IF(ISBLANK('Data Entry'!\159), "", 'Data Entry'!\159)</f>
      </c>
      <c r="AC159">
        <f>IF(ISBLANK('Data Entry'!]159), "", 'Data Entry'!]159)</f>
      </c>
      <c r="AD159">
        <f>IF(ISBLANK('Data Entry'!^159), "", 'Data Entry'!^159)</f>
      </c>
      <c r="AE159">
        <f>IF(ISBLANK('Data Entry'!_159), "", 'Data Entry'!_159)</f>
      </c>
      <c r="AF159">
        <f>IF(ISBLANK('Data Entry'!`159), "", 'Data Entry'!`159)</f>
      </c>
      <c r="AG159">
        <f>IF(ISBLANK('Data Entry'!a159), "", 'Data Entry'!a159)</f>
      </c>
      <c r="AH159">
        <f>IF(ISBLANK('Data Entry'!b159), "", 'Data Entry'!b159)</f>
      </c>
      <c r="AI159">
        <f>IF(ISBLANK('Data Entry'!c159), "", 'Data Entry'!c159)</f>
      </c>
      <c r="AJ159">
        <f>IF(ISBLANK('Data Entry'!d159), "", 'Data Entry'!d159)</f>
      </c>
      <c r="AK159">
        <f>IF(ISBLANK('Data Entry'!e159), "", 'Data Entry'!e159)</f>
      </c>
      <c r="AL159">
        <f>IF(ISBLANK('Data Entry'!f159), "", 'Data Entry'!f159)</f>
      </c>
      <c r="AM159">
        <f>IF(ISBLANK('Data Entry'!g159), "", 'Data Entry'!g159)</f>
      </c>
      <c r="AN159">
        <f>IF(ISBLANK('Data Entry'!h159), "", 'Data Entry'!h159)</f>
      </c>
    </row>
    <row r="160" spans="1:40" x14ac:dyDescent="0.25">
      <c r="A160">
        <f>IF(ISBLANK('Data Entry'!A160), "", 'Data Entry'!A160)</f>
      </c>
      <c r="B160">
        <f>IF(ISBLANK('Data Entry'!B160), "", 'Data Entry'!B160)</f>
      </c>
      <c r="C160">
        <f>IF(ISBLANK('Data Entry'!C160), "", 'Data Entry'!C160)</f>
      </c>
      <c r="D160">
        <f>IF(ISBLANK('Data Entry'!D160), "", 'Data Entry'!D160)</f>
      </c>
      <c r="E160">
        <f>IF(ISBLANK('Data Entry'!E160), "", 'Data Entry'!E160)</f>
      </c>
      <c r="F160">
        <f>IF(ISBLANK('Data Entry'!F160), "", 'Data Entry'!F160)</f>
      </c>
      <c r="G160">
        <f>IF(ISBLANK('Data Entry'!G160), "", 'Data Entry'!G160)</f>
      </c>
      <c r="H160">
        <f>IF(ISBLANK('Data Entry'!H160), "", 'Data Entry'!H160)</f>
      </c>
      <c r="I160">
        <f>IF(ISBLANK('Data Entry'!I160), "", 'Data Entry'!I160)</f>
      </c>
      <c r="J160">
        <f>IF(ISBLANK('Data Entry'!J160), "", 'Data Entry'!J160)</f>
      </c>
      <c r="K160">
        <f>IF(ISBLANK('Data Entry'!K160), "", 'Data Entry'!K160)</f>
      </c>
      <c r="L160">
        <f>IF(ISBLANK('Data Entry'!L160), "", 'Data Entry'!L160)</f>
      </c>
      <c r="M160">
        <f>IF(ISBLANK('Data Entry'!M160), "", 'Data Entry'!M160)</f>
      </c>
      <c r="N160">
        <f>IF(ISBLANK('Data Entry'!N160), "", 'Data Entry'!N160)</f>
      </c>
      <c r="O160">
        <f>IF(ISBLANK('Data Entry'!O160), "", 'Data Entry'!O160)</f>
      </c>
      <c r="P160">
        <f>IF(ISBLANK('Data Entry'!P160), "", 'Data Entry'!P160)</f>
      </c>
      <c r="Q160">
        <f>IF(ISBLANK('Data Entry'!Q160), "", 'Data Entry'!Q160)</f>
      </c>
      <c r="R160">
        <f>IF(ISBLANK('Data Entry'!R160), "", 'Data Entry'!R160)</f>
      </c>
      <c r="S160">
        <f>IF(ISBLANK('Data Entry'!S160), "", 'Data Entry'!S160)</f>
      </c>
      <c r="T160">
        <f>IF(ISBLANK('Data Entry'!T160), "", 'Data Entry'!T160)</f>
      </c>
      <c r="U160">
        <f>IF(ISBLANK('Data Entry'!U160), "", 'Data Entry'!U160)</f>
      </c>
      <c r="V160">
        <f>IF(ISBLANK('Data Entry'!V160), "", 'Data Entry'!V160)</f>
      </c>
      <c r="W160">
        <f>IF(ISBLANK('Data Entry'!W160), "", 'Data Entry'!W160)</f>
      </c>
      <c r="X160">
        <f>IF(ISBLANK('Data Entry'!X160), "", 'Data Entry'!X160)</f>
      </c>
      <c r="Y160">
        <f>IF(ISBLANK('Data Entry'!Y160), "", 'Data Entry'!Y160)</f>
      </c>
      <c r="Z160">
        <f>IF(ISBLANK('Data Entry'!Z160), "", 'Data Entry'!Z160)</f>
      </c>
      <c r="AA160">
        <f>IF(ISBLANK('Data Entry'![160), "", 'Data Entry'![160)</f>
      </c>
      <c r="AB160">
        <f>IF(ISBLANK('Data Entry'!\160), "", 'Data Entry'!\160)</f>
      </c>
      <c r="AC160">
        <f>IF(ISBLANK('Data Entry'!]160), "", 'Data Entry'!]160)</f>
      </c>
      <c r="AD160">
        <f>IF(ISBLANK('Data Entry'!^160), "", 'Data Entry'!^160)</f>
      </c>
      <c r="AE160">
        <f>IF(ISBLANK('Data Entry'!_160), "", 'Data Entry'!_160)</f>
      </c>
      <c r="AF160">
        <f>IF(ISBLANK('Data Entry'!`160), "", 'Data Entry'!`160)</f>
      </c>
      <c r="AG160">
        <f>IF(ISBLANK('Data Entry'!a160), "", 'Data Entry'!a160)</f>
      </c>
      <c r="AH160">
        <f>IF(ISBLANK('Data Entry'!b160), "", 'Data Entry'!b160)</f>
      </c>
      <c r="AI160">
        <f>IF(ISBLANK('Data Entry'!c160), "", 'Data Entry'!c160)</f>
      </c>
      <c r="AJ160">
        <f>IF(ISBLANK('Data Entry'!d160), "", 'Data Entry'!d160)</f>
      </c>
      <c r="AK160">
        <f>IF(ISBLANK('Data Entry'!e160), "", 'Data Entry'!e160)</f>
      </c>
      <c r="AL160">
        <f>IF(ISBLANK('Data Entry'!f160), "", 'Data Entry'!f160)</f>
      </c>
      <c r="AM160">
        <f>IF(ISBLANK('Data Entry'!g160), "", 'Data Entry'!g160)</f>
      </c>
      <c r="AN160">
        <f>IF(ISBLANK('Data Entry'!h160), "", 'Data Entry'!h160)</f>
      </c>
    </row>
    <row r="161" spans="1:40" x14ac:dyDescent="0.25">
      <c r="A161">
        <f>IF(ISBLANK('Data Entry'!A161), "", 'Data Entry'!A161)</f>
      </c>
      <c r="B161">
        <f>IF(ISBLANK('Data Entry'!B161), "", 'Data Entry'!B161)</f>
      </c>
      <c r="C161">
        <f>IF(ISBLANK('Data Entry'!C161), "", 'Data Entry'!C161)</f>
      </c>
      <c r="D161">
        <f>IF(ISBLANK('Data Entry'!D161), "", 'Data Entry'!D161)</f>
      </c>
      <c r="E161">
        <f>IF(ISBLANK('Data Entry'!E161), "", 'Data Entry'!E161)</f>
      </c>
      <c r="F161">
        <f>IF(ISBLANK('Data Entry'!F161), "", 'Data Entry'!F161)</f>
      </c>
      <c r="G161">
        <f>IF(ISBLANK('Data Entry'!G161), "", 'Data Entry'!G161)</f>
      </c>
      <c r="H161">
        <f>IF(ISBLANK('Data Entry'!H161), "", 'Data Entry'!H161)</f>
      </c>
      <c r="I161">
        <f>IF(ISBLANK('Data Entry'!I161), "", 'Data Entry'!I161)</f>
      </c>
      <c r="J161">
        <f>IF(ISBLANK('Data Entry'!J161), "", 'Data Entry'!J161)</f>
      </c>
      <c r="K161">
        <f>IF(ISBLANK('Data Entry'!K161), "", 'Data Entry'!K161)</f>
      </c>
      <c r="L161">
        <f>IF(ISBLANK('Data Entry'!L161), "", 'Data Entry'!L161)</f>
      </c>
      <c r="M161">
        <f>IF(ISBLANK('Data Entry'!M161), "", 'Data Entry'!M161)</f>
      </c>
      <c r="N161">
        <f>IF(ISBLANK('Data Entry'!N161), "", 'Data Entry'!N161)</f>
      </c>
      <c r="O161">
        <f>IF(ISBLANK('Data Entry'!O161), "", 'Data Entry'!O161)</f>
      </c>
      <c r="P161">
        <f>IF(ISBLANK('Data Entry'!P161), "", 'Data Entry'!P161)</f>
      </c>
      <c r="Q161">
        <f>IF(ISBLANK('Data Entry'!Q161), "", 'Data Entry'!Q161)</f>
      </c>
      <c r="R161">
        <f>IF(ISBLANK('Data Entry'!R161), "", 'Data Entry'!R161)</f>
      </c>
      <c r="S161">
        <f>IF(ISBLANK('Data Entry'!S161), "", 'Data Entry'!S161)</f>
      </c>
      <c r="T161">
        <f>IF(ISBLANK('Data Entry'!T161), "", 'Data Entry'!T161)</f>
      </c>
      <c r="U161">
        <f>IF(ISBLANK('Data Entry'!U161), "", 'Data Entry'!U161)</f>
      </c>
      <c r="V161">
        <f>IF(ISBLANK('Data Entry'!V161), "", 'Data Entry'!V161)</f>
      </c>
      <c r="W161">
        <f>IF(ISBLANK('Data Entry'!W161), "", 'Data Entry'!W161)</f>
      </c>
      <c r="X161">
        <f>IF(ISBLANK('Data Entry'!X161), "", 'Data Entry'!X161)</f>
      </c>
      <c r="Y161">
        <f>IF(ISBLANK('Data Entry'!Y161), "", 'Data Entry'!Y161)</f>
      </c>
      <c r="Z161">
        <f>IF(ISBLANK('Data Entry'!Z161), "", 'Data Entry'!Z161)</f>
      </c>
      <c r="AA161">
        <f>IF(ISBLANK('Data Entry'![161), "", 'Data Entry'![161)</f>
      </c>
      <c r="AB161">
        <f>IF(ISBLANK('Data Entry'!\161), "", 'Data Entry'!\161)</f>
      </c>
      <c r="AC161">
        <f>IF(ISBLANK('Data Entry'!]161), "", 'Data Entry'!]161)</f>
      </c>
      <c r="AD161">
        <f>IF(ISBLANK('Data Entry'!^161), "", 'Data Entry'!^161)</f>
      </c>
      <c r="AE161">
        <f>IF(ISBLANK('Data Entry'!_161), "", 'Data Entry'!_161)</f>
      </c>
      <c r="AF161">
        <f>IF(ISBLANK('Data Entry'!`161), "", 'Data Entry'!`161)</f>
      </c>
      <c r="AG161">
        <f>IF(ISBLANK('Data Entry'!a161), "", 'Data Entry'!a161)</f>
      </c>
      <c r="AH161">
        <f>IF(ISBLANK('Data Entry'!b161), "", 'Data Entry'!b161)</f>
      </c>
      <c r="AI161">
        <f>IF(ISBLANK('Data Entry'!c161), "", 'Data Entry'!c161)</f>
      </c>
      <c r="AJ161">
        <f>IF(ISBLANK('Data Entry'!d161), "", 'Data Entry'!d161)</f>
      </c>
      <c r="AK161">
        <f>IF(ISBLANK('Data Entry'!e161), "", 'Data Entry'!e161)</f>
      </c>
      <c r="AL161">
        <f>IF(ISBLANK('Data Entry'!f161), "", 'Data Entry'!f161)</f>
      </c>
      <c r="AM161">
        <f>IF(ISBLANK('Data Entry'!g161), "", 'Data Entry'!g161)</f>
      </c>
      <c r="AN161">
        <f>IF(ISBLANK('Data Entry'!h161), "", 'Data Entry'!h161)</f>
      </c>
    </row>
    <row r="162" spans="1:40" x14ac:dyDescent="0.25">
      <c r="A162">
        <f>IF(ISBLANK('Data Entry'!A162), "", 'Data Entry'!A162)</f>
      </c>
      <c r="B162">
        <f>IF(ISBLANK('Data Entry'!B162), "", 'Data Entry'!B162)</f>
      </c>
      <c r="C162">
        <f>IF(ISBLANK('Data Entry'!C162), "", 'Data Entry'!C162)</f>
      </c>
      <c r="D162">
        <f>IF(ISBLANK('Data Entry'!D162), "", 'Data Entry'!D162)</f>
      </c>
      <c r="E162">
        <f>IF(ISBLANK('Data Entry'!E162), "", 'Data Entry'!E162)</f>
      </c>
      <c r="F162">
        <f>IF(ISBLANK('Data Entry'!F162), "", 'Data Entry'!F162)</f>
      </c>
      <c r="G162">
        <f>IF(ISBLANK('Data Entry'!G162), "", 'Data Entry'!G162)</f>
      </c>
      <c r="H162">
        <f>IF(ISBLANK('Data Entry'!H162), "", 'Data Entry'!H162)</f>
      </c>
      <c r="I162">
        <f>IF(ISBLANK('Data Entry'!I162), "", 'Data Entry'!I162)</f>
      </c>
      <c r="J162">
        <f>IF(ISBLANK('Data Entry'!J162), "", 'Data Entry'!J162)</f>
      </c>
      <c r="K162">
        <f>IF(ISBLANK('Data Entry'!K162), "", 'Data Entry'!K162)</f>
      </c>
      <c r="L162">
        <f>IF(ISBLANK('Data Entry'!L162), "", 'Data Entry'!L162)</f>
      </c>
      <c r="M162">
        <f>IF(ISBLANK('Data Entry'!M162), "", 'Data Entry'!M162)</f>
      </c>
      <c r="N162">
        <f>IF(ISBLANK('Data Entry'!N162), "", 'Data Entry'!N162)</f>
      </c>
      <c r="O162">
        <f>IF(ISBLANK('Data Entry'!O162), "", 'Data Entry'!O162)</f>
      </c>
      <c r="P162">
        <f>IF(ISBLANK('Data Entry'!P162), "", 'Data Entry'!P162)</f>
      </c>
      <c r="Q162">
        <f>IF(ISBLANK('Data Entry'!Q162), "", 'Data Entry'!Q162)</f>
      </c>
      <c r="R162">
        <f>IF(ISBLANK('Data Entry'!R162), "", 'Data Entry'!R162)</f>
      </c>
      <c r="S162">
        <f>IF(ISBLANK('Data Entry'!S162), "", 'Data Entry'!S162)</f>
      </c>
      <c r="T162">
        <f>IF(ISBLANK('Data Entry'!T162), "", 'Data Entry'!T162)</f>
      </c>
      <c r="U162">
        <f>IF(ISBLANK('Data Entry'!U162), "", 'Data Entry'!U162)</f>
      </c>
      <c r="V162">
        <f>IF(ISBLANK('Data Entry'!V162), "", 'Data Entry'!V162)</f>
      </c>
      <c r="W162">
        <f>IF(ISBLANK('Data Entry'!W162), "", 'Data Entry'!W162)</f>
      </c>
      <c r="X162">
        <f>IF(ISBLANK('Data Entry'!X162), "", 'Data Entry'!X162)</f>
      </c>
      <c r="Y162">
        <f>IF(ISBLANK('Data Entry'!Y162), "", 'Data Entry'!Y162)</f>
      </c>
      <c r="Z162">
        <f>IF(ISBLANK('Data Entry'!Z162), "", 'Data Entry'!Z162)</f>
      </c>
      <c r="AA162">
        <f>IF(ISBLANK('Data Entry'![162), "", 'Data Entry'![162)</f>
      </c>
      <c r="AB162">
        <f>IF(ISBLANK('Data Entry'!\162), "", 'Data Entry'!\162)</f>
      </c>
      <c r="AC162">
        <f>IF(ISBLANK('Data Entry'!]162), "", 'Data Entry'!]162)</f>
      </c>
      <c r="AD162">
        <f>IF(ISBLANK('Data Entry'!^162), "", 'Data Entry'!^162)</f>
      </c>
      <c r="AE162">
        <f>IF(ISBLANK('Data Entry'!_162), "", 'Data Entry'!_162)</f>
      </c>
      <c r="AF162">
        <f>IF(ISBLANK('Data Entry'!`162), "", 'Data Entry'!`162)</f>
      </c>
      <c r="AG162">
        <f>IF(ISBLANK('Data Entry'!a162), "", 'Data Entry'!a162)</f>
      </c>
      <c r="AH162">
        <f>IF(ISBLANK('Data Entry'!b162), "", 'Data Entry'!b162)</f>
      </c>
      <c r="AI162">
        <f>IF(ISBLANK('Data Entry'!c162), "", 'Data Entry'!c162)</f>
      </c>
      <c r="AJ162">
        <f>IF(ISBLANK('Data Entry'!d162), "", 'Data Entry'!d162)</f>
      </c>
      <c r="AK162">
        <f>IF(ISBLANK('Data Entry'!e162), "", 'Data Entry'!e162)</f>
      </c>
      <c r="AL162">
        <f>IF(ISBLANK('Data Entry'!f162), "", 'Data Entry'!f162)</f>
      </c>
      <c r="AM162">
        <f>IF(ISBLANK('Data Entry'!g162), "", 'Data Entry'!g162)</f>
      </c>
      <c r="AN162">
        <f>IF(ISBLANK('Data Entry'!h162), "", 'Data Entry'!h162)</f>
      </c>
    </row>
    <row r="163" spans="1:40" x14ac:dyDescent="0.25">
      <c r="A163">
        <f>IF(ISBLANK('Data Entry'!A163), "", 'Data Entry'!A163)</f>
      </c>
      <c r="B163">
        <f>IF(ISBLANK('Data Entry'!B163), "", 'Data Entry'!B163)</f>
      </c>
      <c r="C163">
        <f>IF(ISBLANK('Data Entry'!C163), "", 'Data Entry'!C163)</f>
      </c>
      <c r="D163">
        <f>IF(ISBLANK('Data Entry'!D163), "", 'Data Entry'!D163)</f>
      </c>
      <c r="E163">
        <f>IF(ISBLANK('Data Entry'!E163), "", 'Data Entry'!E163)</f>
      </c>
      <c r="F163">
        <f>IF(ISBLANK('Data Entry'!F163), "", 'Data Entry'!F163)</f>
      </c>
      <c r="G163">
        <f>IF(ISBLANK('Data Entry'!G163), "", 'Data Entry'!G163)</f>
      </c>
      <c r="H163">
        <f>IF(ISBLANK('Data Entry'!H163), "", 'Data Entry'!H163)</f>
      </c>
      <c r="I163">
        <f>IF(ISBLANK('Data Entry'!I163), "", 'Data Entry'!I163)</f>
      </c>
      <c r="J163">
        <f>IF(ISBLANK('Data Entry'!J163), "", 'Data Entry'!J163)</f>
      </c>
      <c r="K163">
        <f>IF(ISBLANK('Data Entry'!K163), "", 'Data Entry'!K163)</f>
      </c>
      <c r="L163">
        <f>IF(ISBLANK('Data Entry'!L163), "", 'Data Entry'!L163)</f>
      </c>
      <c r="M163">
        <f>IF(ISBLANK('Data Entry'!M163), "", 'Data Entry'!M163)</f>
      </c>
      <c r="N163">
        <f>IF(ISBLANK('Data Entry'!N163), "", 'Data Entry'!N163)</f>
      </c>
      <c r="O163">
        <f>IF(ISBLANK('Data Entry'!O163), "", 'Data Entry'!O163)</f>
      </c>
      <c r="P163">
        <f>IF(ISBLANK('Data Entry'!P163), "", 'Data Entry'!P163)</f>
      </c>
      <c r="Q163">
        <f>IF(ISBLANK('Data Entry'!Q163), "", 'Data Entry'!Q163)</f>
      </c>
      <c r="R163">
        <f>IF(ISBLANK('Data Entry'!R163), "", 'Data Entry'!R163)</f>
      </c>
      <c r="S163">
        <f>IF(ISBLANK('Data Entry'!S163), "", 'Data Entry'!S163)</f>
      </c>
      <c r="T163">
        <f>IF(ISBLANK('Data Entry'!T163), "", 'Data Entry'!T163)</f>
      </c>
      <c r="U163">
        <f>IF(ISBLANK('Data Entry'!U163), "", 'Data Entry'!U163)</f>
      </c>
      <c r="V163">
        <f>IF(ISBLANK('Data Entry'!V163), "", 'Data Entry'!V163)</f>
      </c>
      <c r="W163">
        <f>IF(ISBLANK('Data Entry'!W163), "", 'Data Entry'!W163)</f>
      </c>
      <c r="X163">
        <f>IF(ISBLANK('Data Entry'!X163), "", 'Data Entry'!X163)</f>
      </c>
      <c r="Y163">
        <f>IF(ISBLANK('Data Entry'!Y163), "", 'Data Entry'!Y163)</f>
      </c>
      <c r="Z163">
        <f>IF(ISBLANK('Data Entry'!Z163), "", 'Data Entry'!Z163)</f>
      </c>
      <c r="AA163">
        <f>IF(ISBLANK('Data Entry'![163), "", 'Data Entry'![163)</f>
      </c>
      <c r="AB163">
        <f>IF(ISBLANK('Data Entry'!\163), "", 'Data Entry'!\163)</f>
      </c>
      <c r="AC163">
        <f>IF(ISBLANK('Data Entry'!]163), "", 'Data Entry'!]163)</f>
      </c>
      <c r="AD163">
        <f>IF(ISBLANK('Data Entry'!^163), "", 'Data Entry'!^163)</f>
      </c>
      <c r="AE163">
        <f>IF(ISBLANK('Data Entry'!_163), "", 'Data Entry'!_163)</f>
      </c>
      <c r="AF163">
        <f>IF(ISBLANK('Data Entry'!`163), "", 'Data Entry'!`163)</f>
      </c>
      <c r="AG163">
        <f>IF(ISBLANK('Data Entry'!a163), "", 'Data Entry'!a163)</f>
      </c>
      <c r="AH163">
        <f>IF(ISBLANK('Data Entry'!b163), "", 'Data Entry'!b163)</f>
      </c>
      <c r="AI163">
        <f>IF(ISBLANK('Data Entry'!c163), "", 'Data Entry'!c163)</f>
      </c>
      <c r="AJ163">
        <f>IF(ISBLANK('Data Entry'!d163), "", 'Data Entry'!d163)</f>
      </c>
      <c r="AK163">
        <f>IF(ISBLANK('Data Entry'!e163), "", 'Data Entry'!e163)</f>
      </c>
      <c r="AL163">
        <f>IF(ISBLANK('Data Entry'!f163), "", 'Data Entry'!f163)</f>
      </c>
      <c r="AM163">
        <f>IF(ISBLANK('Data Entry'!g163), "", 'Data Entry'!g163)</f>
      </c>
      <c r="AN163">
        <f>IF(ISBLANK('Data Entry'!h163), "", 'Data Entry'!h163)</f>
      </c>
    </row>
    <row r="164" spans="1:40" x14ac:dyDescent="0.25">
      <c r="A164">
        <f>IF(ISBLANK('Data Entry'!A164), "", 'Data Entry'!A164)</f>
      </c>
      <c r="B164">
        <f>IF(ISBLANK('Data Entry'!B164), "", 'Data Entry'!B164)</f>
      </c>
      <c r="C164">
        <f>IF(ISBLANK('Data Entry'!C164), "", 'Data Entry'!C164)</f>
      </c>
      <c r="D164">
        <f>IF(ISBLANK('Data Entry'!D164), "", 'Data Entry'!D164)</f>
      </c>
      <c r="E164">
        <f>IF(ISBLANK('Data Entry'!E164), "", 'Data Entry'!E164)</f>
      </c>
      <c r="F164">
        <f>IF(ISBLANK('Data Entry'!F164), "", 'Data Entry'!F164)</f>
      </c>
      <c r="G164">
        <f>IF(ISBLANK('Data Entry'!G164), "", 'Data Entry'!G164)</f>
      </c>
      <c r="H164">
        <f>IF(ISBLANK('Data Entry'!H164), "", 'Data Entry'!H164)</f>
      </c>
      <c r="I164">
        <f>IF(ISBLANK('Data Entry'!I164), "", 'Data Entry'!I164)</f>
      </c>
      <c r="J164">
        <f>IF(ISBLANK('Data Entry'!J164), "", 'Data Entry'!J164)</f>
      </c>
      <c r="K164">
        <f>IF(ISBLANK('Data Entry'!K164), "", 'Data Entry'!K164)</f>
      </c>
      <c r="L164">
        <f>IF(ISBLANK('Data Entry'!L164), "", 'Data Entry'!L164)</f>
      </c>
      <c r="M164">
        <f>IF(ISBLANK('Data Entry'!M164), "", 'Data Entry'!M164)</f>
      </c>
      <c r="N164">
        <f>IF(ISBLANK('Data Entry'!N164), "", 'Data Entry'!N164)</f>
      </c>
      <c r="O164">
        <f>IF(ISBLANK('Data Entry'!O164), "", 'Data Entry'!O164)</f>
      </c>
      <c r="P164">
        <f>IF(ISBLANK('Data Entry'!P164), "", 'Data Entry'!P164)</f>
      </c>
      <c r="Q164">
        <f>IF(ISBLANK('Data Entry'!Q164), "", 'Data Entry'!Q164)</f>
      </c>
      <c r="R164">
        <f>IF(ISBLANK('Data Entry'!R164), "", 'Data Entry'!R164)</f>
      </c>
      <c r="S164">
        <f>IF(ISBLANK('Data Entry'!S164), "", 'Data Entry'!S164)</f>
      </c>
      <c r="T164">
        <f>IF(ISBLANK('Data Entry'!T164), "", 'Data Entry'!T164)</f>
      </c>
      <c r="U164">
        <f>IF(ISBLANK('Data Entry'!U164), "", 'Data Entry'!U164)</f>
      </c>
      <c r="V164">
        <f>IF(ISBLANK('Data Entry'!V164), "", 'Data Entry'!V164)</f>
      </c>
      <c r="W164">
        <f>IF(ISBLANK('Data Entry'!W164), "", 'Data Entry'!W164)</f>
      </c>
      <c r="X164">
        <f>IF(ISBLANK('Data Entry'!X164), "", 'Data Entry'!X164)</f>
      </c>
      <c r="Y164">
        <f>IF(ISBLANK('Data Entry'!Y164), "", 'Data Entry'!Y164)</f>
      </c>
      <c r="Z164">
        <f>IF(ISBLANK('Data Entry'!Z164), "", 'Data Entry'!Z164)</f>
      </c>
      <c r="AA164">
        <f>IF(ISBLANK('Data Entry'![164), "", 'Data Entry'![164)</f>
      </c>
      <c r="AB164">
        <f>IF(ISBLANK('Data Entry'!\164), "", 'Data Entry'!\164)</f>
      </c>
      <c r="AC164">
        <f>IF(ISBLANK('Data Entry'!]164), "", 'Data Entry'!]164)</f>
      </c>
      <c r="AD164">
        <f>IF(ISBLANK('Data Entry'!^164), "", 'Data Entry'!^164)</f>
      </c>
      <c r="AE164">
        <f>IF(ISBLANK('Data Entry'!_164), "", 'Data Entry'!_164)</f>
      </c>
      <c r="AF164">
        <f>IF(ISBLANK('Data Entry'!`164), "", 'Data Entry'!`164)</f>
      </c>
      <c r="AG164">
        <f>IF(ISBLANK('Data Entry'!a164), "", 'Data Entry'!a164)</f>
      </c>
      <c r="AH164">
        <f>IF(ISBLANK('Data Entry'!b164), "", 'Data Entry'!b164)</f>
      </c>
      <c r="AI164">
        <f>IF(ISBLANK('Data Entry'!c164), "", 'Data Entry'!c164)</f>
      </c>
      <c r="AJ164">
        <f>IF(ISBLANK('Data Entry'!d164), "", 'Data Entry'!d164)</f>
      </c>
      <c r="AK164">
        <f>IF(ISBLANK('Data Entry'!e164), "", 'Data Entry'!e164)</f>
      </c>
      <c r="AL164">
        <f>IF(ISBLANK('Data Entry'!f164), "", 'Data Entry'!f164)</f>
      </c>
      <c r="AM164">
        <f>IF(ISBLANK('Data Entry'!g164), "", 'Data Entry'!g164)</f>
      </c>
      <c r="AN164">
        <f>IF(ISBLANK('Data Entry'!h164), "", 'Data Entry'!h164)</f>
      </c>
    </row>
    <row r="165" spans="1:40" x14ac:dyDescent="0.25">
      <c r="A165">
        <f>IF(ISBLANK('Data Entry'!A165), "", 'Data Entry'!A165)</f>
      </c>
      <c r="B165">
        <f>IF(ISBLANK('Data Entry'!B165), "", 'Data Entry'!B165)</f>
      </c>
      <c r="C165">
        <f>IF(ISBLANK('Data Entry'!C165), "", 'Data Entry'!C165)</f>
      </c>
      <c r="D165">
        <f>IF(ISBLANK('Data Entry'!D165), "", 'Data Entry'!D165)</f>
      </c>
      <c r="E165">
        <f>IF(ISBLANK('Data Entry'!E165), "", 'Data Entry'!E165)</f>
      </c>
      <c r="F165">
        <f>IF(ISBLANK('Data Entry'!F165), "", 'Data Entry'!F165)</f>
      </c>
      <c r="G165">
        <f>IF(ISBLANK('Data Entry'!G165), "", 'Data Entry'!G165)</f>
      </c>
      <c r="H165">
        <f>IF(ISBLANK('Data Entry'!H165), "", 'Data Entry'!H165)</f>
      </c>
      <c r="I165">
        <f>IF(ISBLANK('Data Entry'!I165), "", 'Data Entry'!I165)</f>
      </c>
      <c r="J165">
        <f>IF(ISBLANK('Data Entry'!J165), "", 'Data Entry'!J165)</f>
      </c>
      <c r="K165">
        <f>IF(ISBLANK('Data Entry'!K165), "", 'Data Entry'!K165)</f>
      </c>
      <c r="L165">
        <f>IF(ISBLANK('Data Entry'!L165), "", 'Data Entry'!L165)</f>
      </c>
      <c r="M165">
        <f>IF(ISBLANK('Data Entry'!M165), "", 'Data Entry'!M165)</f>
      </c>
      <c r="N165">
        <f>IF(ISBLANK('Data Entry'!N165), "", 'Data Entry'!N165)</f>
      </c>
      <c r="O165">
        <f>IF(ISBLANK('Data Entry'!O165), "", 'Data Entry'!O165)</f>
      </c>
      <c r="P165">
        <f>IF(ISBLANK('Data Entry'!P165), "", 'Data Entry'!P165)</f>
      </c>
      <c r="Q165">
        <f>IF(ISBLANK('Data Entry'!Q165), "", 'Data Entry'!Q165)</f>
      </c>
      <c r="R165">
        <f>IF(ISBLANK('Data Entry'!R165), "", 'Data Entry'!R165)</f>
      </c>
      <c r="S165">
        <f>IF(ISBLANK('Data Entry'!S165), "", 'Data Entry'!S165)</f>
      </c>
      <c r="T165">
        <f>IF(ISBLANK('Data Entry'!T165), "", 'Data Entry'!T165)</f>
      </c>
      <c r="U165">
        <f>IF(ISBLANK('Data Entry'!U165), "", 'Data Entry'!U165)</f>
      </c>
      <c r="V165">
        <f>IF(ISBLANK('Data Entry'!V165), "", 'Data Entry'!V165)</f>
      </c>
      <c r="W165">
        <f>IF(ISBLANK('Data Entry'!W165), "", 'Data Entry'!W165)</f>
      </c>
      <c r="X165">
        <f>IF(ISBLANK('Data Entry'!X165), "", 'Data Entry'!X165)</f>
      </c>
      <c r="Y165">
        <f>IF(ISBLANK('Data Entry'!Y165), "", 'Data Entry'!Y165)</f>
      </c>
      <c r="Z165">
        <f>IF(ISBLANK('Data Entry'!Z165), "", 'Data Entry'!Z165)</f>
      </c>
      <c r="AA165">
        <f>IF(ISBLANK('Data Entry'![165), "", 'Data Entry'![165)</f>
      </c>
      <c r="AB165">
        <f>IF(ISBLANK('Data Entry'!\165), "", 'Data Entry'!\165)</f>
      </c>
      <c r="AC165">
        <f>IF(ISBLANK('Data Entry'!]165), "", 'Data Entry'!]165)</f>
      </c>
      <c r="AD165">
        <f>IF(ISBLANK('Data Entry'!^165), "", 'Data Entry'!^165)</f>
      </c>
      <c r="AE165">
        <f>IF(ISBLANK('Data Entry'!_165), "", 'Data Entry'!_165)</f>
      </c>
      <c r="AF165">
        <f>IF(ISBLANK('Data Entry'!`165), "", 'Data Entry'!`165)</f>
      </c>
      <c r="AG165">
        <f>IF(ISBLANK('Data Entry'!a165), "", 'Data Entry'!a165)</f>
      </c>
      <c r="AH165">
        <f>IF(ISBLANK('Data Entry'!b165), "", 'Data Entry'!b165)</f>
      </c>
      <c r="AI165">
        <f>IF(ISBLANK('Data Entry'!c165), "", 'Data Entry'!c165)</f>
      </c>
      <c r="AJ165">
        <f>IF(ISBLANK('Data Entry'!d165), "", 'Data Entry'!d165)</f>
      </c>
      <c r="AK165">
        <f>IF(ISBLANK('Data Entry'!e165), "", 'Data Entry'!e165)</f>
      </c>
      <c r="AL165">
        <f>IF(ISBLANK('Data Entry'!f165), "", 'Data Entry'!f165)</f>
      </c>
      <c r="AM165">
        <f>IF(ISBLANK('Data Entry'!g165), "", 'Data Entry'!g165)</f>
      </c>
      <c r="AN165">
        <f>IF(ISBLANK('Data Entry'!h165), "", 'Data Entry'!h165)</f>
      </c>
    </row>
    <row r="166" spans="1:40" x14ac:dyDescent="0.25">
      <c r="A166">
        <f>IF(ISBLANK('Data Entry'!A166), "", 'Data Entry'!A166)</f>
      </c>
      <c r="B166">
        <f>IF(ISBLANK('Data Entry'!B166), "", 'Data Entry'!B166)</f>
      </c>
      <c r="C166">
        <f>IF(ISBLANK('Data Entry'!C166), "", 'Data Entry'!C166)</f>
      </c>
      <c r="D166">
        <f>IF(ISBLANK('Data Entry'!D166), "", 'Data Entry'!D166)</f>
      </c>
      <c r="E166">
        <f>IF(ISBLANK('Data Entry'!E166), "", 'Data Entry'!E166)</f>
      </c>
      <c r="F166">
        <f>IF(ISBLANK('Data Entry'!F166), "", 'Data Entry'!F166)</f>
      </c>
      <c r="G166">
        <f>IF(ISBLANK('Data Entry'!G166), "", 'Data Entry'!G166)</f>
      </c>
      <c r="H166">
        <f>IF(ISBLANK('Data Entry'!H166), "", 'Data Entry'!H166)</f>
      </c>
      <c r="I166">
        <f>IF(ISBLANK('Data Entry'!I166), "", 'Data Entry'!I166)</f>
      </c>
      <c r="J166">
        <f>IF(ISBLANK('Data Entry'!J166), "", 'Data Entry'!J166)</f>
      </c>
      <c r="K166">
        <f>IF(ISBLANK('Data Entry'!K166), "", 'Data Entry'!K166)</f>
      </c>
      <c r="L166">
        <f>IF(ISBLANK('Data Entry'!L166), "", 'Data Entry'!L166)</f>
      </c>
      <c r="M166">
        <f>IF(ISBLANK('Data Entry'!M166), "", 'Data Entry'!M166)</f>
      </c>
      <c r="N166">
        <f>IF(ISBLANK('Data Entry'!N166), "", 'Data Entry'!N166)</f>
      </c>
      <c r="O166">
        <f>IF(ISBLANK('Data Entry'!O166), "", 'Data Entry'!O166)</f>
      </c>
      <c r="P166">
        <f>IF(ISBLANK('Data Entry'!P166), "", 'Data Entry'!P166)</f>
      </c>
      <c r="Q166">
        <f>IF(ISBLANK('Data Entry'!Q166), "", 'Data Entry'!Q166)</f>
      </c>
      <c r="R166">
        <f>IF(ISBLANK('Data Entry'!R166), "", 'Data Entry'!R166)</f>
      </c>
      <c r="S166">
        <f>IF(ISBLANK('Data Entry'!S166), "", 'Data Entry'!S166)</f>
      </c>
      <c r="T166">
        <f>IF(ISBLANK('Data Entry'!T166), "", 'Data Entry'!T166)</f>
      </c>
      <c r="U166">
        <f>IF(ISBLANK('Data Entry'!U166), "", 'Data Entry'!U166)</f>
      </c>
      <c r="V166">
        <f>IF(ISBLANK('Data Entry'!V166), "", 'Data Entry'!V166)</f>
      </c>
      <c r="W166">
        <f>IF(ISBLANK('Data Entry'!W166), "", 'Data Entry'!W166)</f>
      </c>
      <c r="X166">
        <f>IF(ISBLANK('Data Entry'!X166), "", 'Data Entry'!X166)</f>
      </c>
      <c r="Y166">
        <f>IF(ISBLANK('Data Entry'!Y166), "", 'Data Entry'!Y166)</f>
      </c>
      <c r="Z166">
        <f>IF(ISBLANK('Data Entry'!Z166), "", 'Data Entry'!Z166)</f>
      </c>
      <c r="AA166">
        <f>IF(ISBLANK('Data Entry'![166), "", 'Data Entry'![166)</f>
      </c>
      <c r="AB166">
        <f>IF(ISBLANK('Data Entry'!\166), "", 'Data Entry'!\166)</f>
      </c>
      <c r="AC166">
        <f>IF(ISBLANK('Data Entry'!]166), "", 'Data Entry'!]166)</f>
      </c>
      <c r="AD166">
        <f>IF(ISBLANK('Data Entry'!^166), "", 'Data Entry'!^166)</f>
      </c>
      <c r="AE166">
        <f>IF(ISBLANK('Data Entry'!_166), "", 'Data Entry'!_166)</f>
      </c>
      <c r="AF166">
        <f>IF(ISBLANK('Data Entry'!`166), "", 'Data Entry'!`166)</f>
      </c>
      <c r="AG166">
        <f>IF(ISBLANK('Data Entry'!a166), "", 'Data Entry'!a166)</f>
      </c>
      <c r="AH166">
        <f>IF(ISBLANK('Data Entry'!b166), "", 'Data Entry'!b166)</f>
      </c>
      <c r="AI166">
        <f>IF(ISBLANK('Data Entry'!c166), "", 'Data Entry'!c166)</f>
      </c>
      <c r="AJ166">
        <f>IF(ISBLANK('Data Entry'!d166), "", 'Data Entry'!d166)</f>
      </c>
      <c r="AK166">
        <f>IF(ISBLANK('Data Entry'!e166), "", 'Data Entry'!e166)</f>
      </c>
      <c r="AL166">
        <f>IF(ISBLANK('Data Entry'!f166), "", 'Data Entry'!f166)</f>
      </c>
      <c r="AM166">
        <f>IF(ISBLANK('Data Entry'!g166), "", 'Data Entry'!g166)</f>
      </c>
      <c r="AN166">
        <f>IF(ISBLANK('Data Entry'!h166), "", 'Data Entry'!h166)</f>
      </c>
    </row>
    <row r="167" spans="1:40" x14ac:dyDescent="0.25">
      <c r="A167">
        <f>IF(ISBLANK('Data Entry'!A167), "", 'Data Entry'!A167)</f>
      </c>
      <c r="B167">
        <f>IF(ISBLANK('Data Entry'!B167), "", 'Data Entry'!B167)</f>
      </c>
      <c r="C167">
        <f>IF(ISBLANK('Data Entry'!C167), "", 'Data Entry'!C167)</f>
      </c>
      <c r="D167">
        <f>IF(ISBLANK('Data Entry'!D167), "", 'Data Entry'!D167)</f>
      </c>
      <c r="E167">
        <f>IF(ISBLANK('Data Entry'!E167), "", 'Data Entry'!E167)</f>
      </c>
      <c r="F167">
        <f>IF(ISBLANK('Data Entry'!F167), "", 'Data Entry'!F167)</f>
      </c>
      <c r="G167">
        <f>IF(ISBLANK('Data Entry'!G167), "", 'Data Entry'!G167)</f>
      </c>
      <c r="H167">
        <f>IF(ISBLANK('Data Entry'!H167), "", 'Data Entry'!H167)</f>
      </c>
      <c r="I167">
        <f>IF(ISBLANK('Data Entry'!I167), "", 'Data Entry'!I167)</f>
      </c>
      <c r="J167">
        <f>IF(ISBLANK('Data Entry'!J167), "", 'Data Entry'!J167)</f>
      </c>
      <c r="K167">
        <f>IF(ISBLANK('Data Entry'!K167), "", 'Data Entry'!K167)</f>
      </c>
      <c r="L167">
        <f>IF(ISBLANK('Data Entry'!L167), "", 'Data Entry'!L167)</f>
      </c>
      <c r="M167">
        <f>IF(ISBLANK('Data Entry'!M167), "", 'Data Entry'!M167)</f>
      </c>
      <c r="N167">
        <f>IF(ISBLANK('Data Entry'!N167), "", 'Data Entry'!N167)</f>
      </c>
      <c r="O167">
        <f>IF(ISBLANK('Data Entry'!O167), "", 'Data Entry'!O167)</f>
      </c>
      <c r="P167">
        <f>IF(ISBLANK('Data Entry'!P167), "", 'Data Entry'!P167)</f>
      </c>
      <c r="Q167">
        <f>IF(ISBLANK('Data Entry'!Q167), "", 'Data Entry'!Q167)</f>
      </c>
      <c r="R167">
        <f>IF(ISBLANK('Data Entry'!R167), "", 'Data Entry'!R167)</f>
      </c>
      <c r="S167">
        <f>IF(ISBLANK('Data Entry'!S167), "", 'Data Entry'!S167)</f>
      </c>
      <c r="T167">
        <f>IF(ISBLANK('Data Entry'!T167), "", 'Data Entry'!T167)</f>
      </c>
      <c r="U167">
        <f>IF(ISBLANK('Data Entry'!U167), "", 'Data Entry'!U167)</f>
      </c>
      <c r="V167">
        <f>IF(ISBLANK('Data Entry'!V167), "", 'Data Entry'!V167)</f>
      </c>
      <c r="W167">
        <f>IF(ISBLANK('Data Entry'!W167), "", 'Data Entry'!W167)</f>
      </c>
      <c r="X167">
        <f>IF(ISBLANK('Data Entry'!X167), "", 'Data Entry'!X167)</f>
      </c>
      <c r="Y167">
        <f>IF(ISBLANK('Data Entry'!Y167), "", 'Data Entry'!Y167)</f>
      </c>
      <c r="Z167">
        <f>IF(ISBLANK('Data Entry'!Z167), "", 'Data Entry'!Z167)</f>
      </c>
      <c r="AA167">
        <f>IF(ISBLANK('Data Entry'![167), "", 'Data Entry'![167)</f>
      </c>
      <c r="AB167">
        <f>IF(ISBLANK('Data Entry'!\167), "", 'Data Entry'!\167)</f>
      </c>
      <c r="AC167">
        <f>IF(ISBLANK('Data Entry'!]167), "", 'Data Entry'!]167)</f>
      </c>
      <c r="AD167">
        <f>IF(ISBLANK('Data Entry'!^167), "", 'Data Entry'!^167)</f>
      </c>
      <c r="AE167">
        <f>IF(ISBLANK('Data Entry'!_167), "", 'Data Entry'!_167)</f>
      </c>
      <c r="AF167">
        <f>IF(ISBLANK('Data Entry'!`167), "", 'Data Entry'!`167)</f>
      </c>
      <c r="AG167">
        <f>IF(ISBLANK('Data Entry'!a167), "", 'Data Entry'!a167)</f>
      </c>
      <c r="AH167">
        <f>IF(ISBLANK('Data Entry'!b167), "", 'Data Entry'!b167)</f>
      </c>
      <c r="AI167">
        <f>IF(ISBLANK('Data Entry'!c167), "", 'Data Entry'!c167)</f>
      </c>
      <c r="AJ167">
        <f>IF(ISBLANK('Data Entry'!d167), "", 'Data Entry'!d167)</f>
      </c>
      <c r="AK167">
        <f>IF(ISBLANK('Data Entry'!e167), "", 'Data Entry'!e167)</f>
      </c>
      <c r="AL167">
        <f>IF(ISBLANK('Data Entry'!f167), "", 'Data Entry'!f167)</f>
      </c>
      <c r="AM167">
        <f>IF(ISBLANK('Data Entry'!g167), "", 'Data Entry'!g167)</f>
      </c>
      <c r="AN167">
        <f>IF(ISBLANK('Data Entry'!h167), "", 'Data Entry'!h167)</f>
      </c>
    </row>
    <row r="168" spans="1:40" x14ac:dyDescent="0.25">
      <c r="A168">
        <f>IF(ISBLANK('Data Entry'!A168), "", 'Data Entry'!A168)</f>
      </c>
      <c r="B168">
        <f>IF(ISBLANK('Data Entry'!B168), "", 'Data Entry'!B168)</f>
      </c>
      <c r="C168">
        <f>IF(ISBLANK('Data Entry'!C168), "", 'Data Entry'!C168)</f>
      </c>
      <c r="D168">
        <f>IF(ISBLANK('Data Entry'!D168), "", 'Data Entry'!D168)</f>
      </c>
      <c r="E168">
        <f>IF(ISBLANK('Data Entry'!E168), "", 'Data Entry'!E168)</f>
      </c>
      <c r="F168">
        <f>IF(ISBLANK('Data Entry'!F168), "", 'Data Entry'!F168)</f>
      </c>
      <c r="G168">
        <f>IF(ISBLANK('Data Entry'!G168), "", 'Data Entry'!G168)</f>
      </c>
      <c r="H168">
        <f>IF(ISBLANK('Data Entry'!H168), "", 'Data Entry'!H168)</f>
      </c>
      <c r="I168">
        <f>IF(ISBLANK('Data Entry'!I168), "", 'Data Entry'!I168)</f>
      </c>
      <c r="J168">
        <f>IF(ISBLANK('Data Entry'!J168), "", 'Data Entry'!J168)</f>
      </c>
      <c r="K168">
        <f>IF(ISBLANK('Data Entry'!K168), "", 'Data Entry'!K168)</f>
      </c>
      <c r="L168">
        <f>IF(ISBLANK('Data Entry'!L168), "", 'Data Entry'!L168)</f>
      </c>
      <c r="M168">
        <f>IF(ISBLANK('Data Entry'!M168), "", 'Data Entry'!M168)</f>
      </c>
      <c r="N168">
        <f>IF(ISBLANK('Data Entry'!N168), "", 'Data Entry'!N168)</f>
      </c>
      <c r="O168">
        <f>IF(ISBLANK('Data Entry'!O168), "", 'Data Entry'!O168)</f>
      </c>
      <c r="P168">
        <f>IF(ISBLANK('Data Entry'!P168), "", 'Data Entry'!P168)</f>
      </c>
      <c r="Q168">
        <f>IF(ISBLANK('Data Entry'!Q168), "", 'Data Entry'!Q168)</f>
      </c>
      <c r="R168">
        <f>IF(ISBLANK('Data Entry'!R168), "", 'Data Entry'!R168)</f>
      </c>
      <c r="S168">
        <f>IF(ISBLANK('Data Entry'!S168), "", 'Data Entry'!S168)</f>
      </c>
      <c r="T168">
        <f>IF(ISBLANK('Data Entry'!T168), "", 'Data Entry'!T168)</f>
      </c>
      <c r="U168">
        <f>IF(ISBLANK('Data Entry'!U168), "", 'Data Entry'!U168)</f>
      </c>
      <c r="V168">
        <f>IF(ISBLANK('Data Entry'!V168), "", 'Data Entry'!V168)</f>
      </c>
      <c r="W168">
        <f>IF(ISBLANK('Data Entry'!W168), "", 'Data Entry'!W168)</f>
      </c>
      <c r="X168">
        <f>IF(ISBLANK('Data Entry'!X168), "", 'Data Entry'!X168)</f>
      </c>
      <c r="Y168">
        <f>IF(ISBLANK('Data Entry'!Y168), "", 'Data Entry'!Y168)</f>
      </c>
      <c r="Z168">
        <f>IF(ISBLANK('Data Entry'!Z168), "", 'Data Entry'!Z168)</f>
      </c>
      <c r="AA168">
        <f>IF(ISBLANK('Data Entry'![168), "", 'Data Entry'![168)</f>
      </c>
      <c r="AB168">
        <f>IF(ISBLANK('Data Entry'!\168), "", 'Data Entry'!\168)</f>
      </c>
      <c r="AC168">
        <f>IF(ISBLANK('Data Entry'!]168), "", 'Data Entry'!]168)</f>
      </c>
      <c r="AD168">
        <f>IF(ISBLANK('Data Entry'!^168), "", 'Data Entry'!^168)</f>
      </c>
      <c r="AE168">
        <f>IF(ISBLANK('Data Entry'!_168), "", 'Data Entry'!_168)</f>
      </c>
      <c r="AF168">
        <f>IF(ISBLANK('Data Entry'!`168), "", 'Data Entry'!`168)</f>
      </c>
      <c r="AG168">
        <f>IF(ISBLANK('Data Entry'!a168), "", 'Data Entry'!a168)</f>
      </c>
      <c r="AH168">
        <f>IF(ISBLANK('Data Entry'!b168), "", 'Data Entry'!b168)</f>
      </c>
      <c r="AI168">
        <f>IF(ISBLANK('Data Entry'!c168), "", 'Data Entry'!c168)</f>
      </c>
      <c r="AJ168">
        <f>IF(ISBLANK('Data Entry'!d168), "", 'Data Entry'!d168)</f>
      </c>
      <c r="AK168">
        <f>IF(ISBLANK('Data Entry'!e168), "", 'Data Entry'!e168)</f>
      </c>
      <c r="AL168">
        <f>IF(ISBLANK('Data Entry'!f168), "", 'Data Entry'!f168)</f>
      </c>
      <c r="AM168">
        <f>IF(ISBLANK('Data Entry'!g168), "", 'Data Entry'!g168)</f>
      </c>
      <c r="AN168">
        <f>IF(ISBLANK('Data Entry'!h168), "", 'Data Entry'!h168)</f>
      </c>
    </row>
    <row r="169" spans="1:40" x14ac:dyDescent="0.25">
      <c r="A169">
        <f>IF(ISBLANK('Data Entry'!A169), "", 'Data Entry'!A169)</f>
      </c>
      <c r="B169">
        <f>IF(ISBLANK('Data Entry'!B169), "", 'Data Entry'!B169)</f>
      </c>
      <c r="C169">
        <f>IF(ISBLANK('Data Entry'!C169), "", 'Data Entry'!C169)</f>
      </c>
      <c r="D169">
        <f>IF(ISBLANK('Data Entry'!D169), "", 'Data Entry'!D169)</f>
      </c>
      <c r="E169">
        <f>IF(ISBLANK('Data Entry'!E169), "", 'Data Entry'!E169)</f>
      </c>
      <c r="F169">
        <f>IF(ISBLANK('Data Entry'!F169), "", 'Data Entry'!F169)</f>
      </c>
      <c r="G169">
        <f>IF(ISBLANK('Data Entry'!G169), "", 'Data Entry'!G169)</f>
      </c>
      <c r="H169">
        <f>IF(ISBLANK('Data Entry'!H169), "", 'Data Entry'!H169)</f>
      </c>
      <c r="I169">
        <f>IF(ISBLANK('Data Entry'!I169), "", 'Data Entry'!I169)</f>
      </c>
      <c r="J169">
        <f>IF(ISBLANK('Data Entry'!J169), "", 'Data Entry'!J169)</f>
      </c>
      <c r="K169">
        <f>IF(ISBLANK('Data Entry'!K169), "", 'Data Entry'!K169)</f>
      </c>
      <c r="L169">
        <f>IF(ISBLANK('Data Entry'!L169), "", 'Data Entry'!L169)</f>
      </c>
      <c r="M169">
        <f>IF(ISBLANK('Data Entry'!M169), "", 'Data Entry'!M169)</f>
      </c>
      <c r="N169">
        <f>IF(ISBLANK('Data Entry'!N169), "", 'Data Entry'!N169)</f>
      </c>
      <c r="O169">
        <f>IF(ISBLANK('Data Entry'!O169), "", 'Data Entry'!O169)</f>
      </c>
      <c r="P169">
        <f>IF(ISBLANK('Data Entry'!P169), "", 'Data Entry'!P169)</f>
      </c>
      <c r="Q169">
        <f>IF(ISBLANK('Data Entry'!Q169), "", 'Data Entry'!Q169)</f>
      </c>
      <c r="R169">
        <f>IF(ISBLANK('Data Entry'!R169), "", 'Data Entry'!R169)</f>
      </c>
      <c r="S169">
        <f>IF(ISBLANK('Data Entry'!S169), "", 'Data Entry'!S169)</f>
      </c>
      <c r="T169">
        <f>IF(ISBLANK('Data Entry'!T169), "", 'Data Entry'!T169)</f>
      </c>
      <c r="U169">
        <f>IF(ISBLANK('Data Entry'!U169), "", 'Data Entry'!U169)</f>
      </c>
      <c r="V169">
        <f>IF(ISBLANK('Data Entry'!V169), "", 'Data Entry'!V169)</f>
      </c>
      <c r="W169">
        <f>IF(ISBLANK('Data Entry'!W169), "", 'Data Entry'!W169)</f>
      </c>
      <c r="X169">
        <f>IF(ISBLANK('Data Entry'!X169), "", 'Data Entry'!X169)</f>
      </c>
      <c r="Y169">
        <f>IF(ISBLANK('Data Entry'!Y169), "", 'Data Entry'!Y169)</f>
      </c>
      <c r="Z169">
        <f>IF(ISBLANK('Data Entry'!Z169), "", 'Data Entry'!Z169)</f>
      </c>
      <c r="AA169">
        <f>IF(ISBLANK('Data Entry'![169), "", 'Data Entry'![169)</f>
      </c>
      <c r="AB169">
        <f>IF(ISBLANK('Data Entry'!\169), "", 'Data Entry'!\169)</f>
      </c>
      <c r="AC169">
        <f>IF(ISBLANK('Data Entry'!]169), "", 'Data Entry'!]169)</f>
      </c>
      <c r="AD169">
        <f>IF(ISBLANK('Data Entry'!^169), "", 'Data Entry'!^169)</f>
      </c>
      <c r="AE169">
        <f>IF(ISBLANK('Data Entry'!_169), "", 'Data Entry'!_169)</f>
      </c>
      <c r="AF169">
        <f>IF(ISBLANK('Data Entry'!`169), "", 'Data Entry'!`169)</f>
      </c>
      <c r="AG169">
        <f>IF(ISBLANK('Data Entry'!a169), "", 'Data Entry'!a169)</f>
      </c>
      <c r="AH169">
        <f>IF(ISBLANK('Data Entry'!b169), "", 'Data Entry'!b169)</f>
      </c>
      <c r="AI169">
        <f>IF(ISBLANK('Data Entry'!c169), "", 'Data Entry'!c169)</f>
      </c>
      <c r="AJ169">
        <f>IF(ISBLANK('Data Entry'!d169), "", 'Data Entry'!d169)</f>
      </c>
      <c r="AK169">
        <f>IF(ISBLANK('Data Entry'!e169), "", 'Data Entry'!e169)</f>
      </c>
      <c r="AL169">
        <f>IF(ISBLANK('Data Entry'!f169), "", 'Data Entry'!f169)</f>
      </c>
      <c r="AM169">
        <f>IF(ISBLANK('Data Entry'!g169), "", 'Data Entry'!g169)</f>
      </c>
      <c r="AN169">
        <f>IF(ISBLANK('Data Entry'!h169), "", 'Data Entry'!h169)</f>
      </c>
    </row>
    <row r="170" spans="1:40" x14ac:dyDescent="0.25">
      <c r="A170">
        <f>IF(ISBLANK('Data Entry'!A170), "", 'Data Entry'!A170)</f>
      </c>
      <c r="B170">
        <f>IF(ISBLANK('Data Entry'!B170), "", 'Data Entry'!B170)</f>
      </c>
      <c r="C170">
        <f>IF(ISBLANK('Data Entry'!C170), "", 'Data Entry'!C170)</f>
      </c>
      <c r="D170">
        <f>IF(ISBLANK('Data Entry'!D170), "", 'Data Entry'!D170)</f>
      </c>
      <c r="E170">
        <f>IF(ISBLANK('Data Entry'!E170), "", 'Data Entry'!E170)</f>
      </c>
      <c r="F170">
        <f>IF(ISBLANK('Data Entry'!F170), "", 'Data Entry'!F170)</f>
      </c>
      <c r="G170">
        <f>IF(ISBLANK('Data Entry'!G170), "", 'Data Entry'!G170)</f>
      </c>
      <c r="H170">
        <f>IF(ISBLANK('Data Entry'!H170), "", 'Data Entry'!H170)</f>
      </c>
      <c r="I170">
        <f>IF(ISBLANK('Data Entry'!I170), "", 'Data Entry'!I170)</f>
      </c>
      <c r="J170">
        <f>IF(ISBLANK('Data Entry'!J170), "", 'Data Entry'!J170)</f>
      </c>
      <c r="K170">
        <f>IF(ISBLANK('Data Entry'!K170), "", 'Data Entry'!K170)</f>
      </c>
      <c r="L170">
        <f>IF(ISBLANK('Data Entry'!L170), "", 'Data Entry'!L170)</f>
      </c>
      <c r="M170">
        <f>IF(ISBLANK('Data Entry'!M170), "", 'Data Entry'!M170)</f>
      </c>
      <c r="N170">
        <f>IF(ISBLANK('Data Entry'!N170), "", 'Data Entry'!N170)</f>
      </c>
      <c r="O170">
        <f>IF(ISBLANK('Data Entry'!O170), "", 'Data Entry'!O170)</f>
      </c>
      <c r="P170">
        <f>IF(ISBLANK('Data Entry'!P170), "", 'Data Entry'!P170)</f>
      </c>
      <c r="Q170">
        <f>IF(ISBLANK('Data Entry'!Q170), "", 'Data Entry'!Q170)</f>
      </c>
      <c r="R170">
        <f>IF(ISBLANK('Data Entry'!R170), "", 'Data Entry'!R170)</f>
      </c>
      <c r="S170">
        <f>IF(ISBLANK('Data Entry'!S170), "", 'Data Entry'!S170)</f>
      </c>
      <c r="T170">
        <f>IF(ISBLANK('Data Entry'!T170), "", 'Data Entry'!T170)</f>
      </c>
      <c r="U170">
        <f>IF(ISBLANK('Data Entry'!U170), "", 'Data Entry'!U170)</f>
      </c>
      <c r="V170">
        <f>IF(ISBLANK('Data Entry'!V170), "", 'Data Entry'!V170)</f>
      </c>
      <c r="W170">
        <f>IF(ISBLANK('Data Entry'!W170), "", 'Data Entry'!W170)</f>
      </c>
      <c r="X170">
        <f>IF(ISBLANK('Data Entry'!X170), "", 'Data Entry'!X170)</f>
      </c>
      <c r="Y170">
        <f>IF(ISBLANK('Data Entry'!Y170), "", 'Data Entry'!Y170)</f>
      </c>
      <c r="Z170">
        <f>IF(ISBLANK('Data Entry'!Z170), "", 'Data Entry'!Z170)</f>
      </c>
      <c r="AA170">
        <f>IF(ISBLANK('Data Entry'![170), "", 'Data Entry'![170)</f>
      </c>
      <c r="AB170">
        <f>IF(ISBLANK('Data Entry'!\170), "", 'Data Entry'!\170)</f>
      </c>
      <c r="AC170">
        <f>IF(ISBLANK('Data Entry'!]170), "", 'Data Entry'!]170)</f>
      </c>
      <c r="AD170">
        <f>IF(ISBLANK('Data Entry'!^170), "", 'Data Entry'!^170)</f>
      </c>
      <c r="AE170">
        <f>IF(ISBLANK('Data Entry'!_170), "", 'Data Entry'!_170)</f>
      </c>
      <c r="AF170">
        <f>IF(ISBLANK('Data Entry'!`170), "", 'Data Entry'!`170)</f>
      </c>
      <c r="AG170">
        <f>IF(ISBLANK('Data Entry'!a170), "", 'Data Entry'!a170)</f>
      </c>
      <c r="AH170">
        <f>IF(ISBLANK('Data Entry'!b170), "", 'Data Entry'!b170)</f>
      </c>
      <c r="AI170">
        <f>IF(ISBLANK('Data Entry'!c170), "", 'Data Entry'!c170)</f>
      </c>
      <c r="AJ170">
        <f>IF(ISBLANK('Data Entry'!d170), "", 'Data Entry'!d170)</f>
      </c>
      <c r="AK170">
        <f>IF(ISBLANK('Data Entry'!e170), "", 'Data Entry'!e170)</f>
      </c>
      <c r="AL170">
        <f>IF(ISBLANK('Data Entry'!f170), "", 'Data Entry'!f170)</f>
      </c>
      <c r="AM170">
        <f>IF(ISBLANK('Data Entry'!g170), "", 'Data Entry'!g170)</f>
      </c>
      <c r="AN170">
        <f>IF(ISBLANK('Data Entry'!h170), "", 'Data Entry'!h170)</f>
      </c>
    </row>
    <row r="171" spans="1:40" x14ac:dyDescent="0.25">
      <c r="A171">
        <f>IF(ISBLANK('Data Entry'!A171), "", 'Data Entry'!A171)</f>
      </c>
      <c r="B171">
        <f>IF(ISBLANK('Data Entry'!B171), "", 'Data Entry'!B171)</f>
      </c>
      <c r="C171">
        <f>IF(ISBLANK('Data Entry'!C171), "", 'Data Entry'!C171)</f>
      </c>
      <c r="D171">
        <f>IF(ISBLANK('Data Entry'!D171), "", 'Data Entry'!D171)</f>
      </c>
      <c r="E171">
        <f>IF(ISBLANK('Data Entry'!E171), "", 'Data Entry'!E171)</f>
      </c>
      <c r="F171">
        <f>IF(ISBLANK('Data Entry'!F171), "", 'Data Entry'!F171)</f>
      </c>
      <c r="G171">
        <f>IF(ISBLANK('Data Entry'!G171), "", 'Data Entry'!G171)</f>
      </c>
      <c r="H171">
        <f>IF(ISBLANK('Data Entry'!H171), "", 'Data Entry'!H171)</f>
      </c>
      <c r="I171">
        <f>IF(ISBLANK('Data Entry'!I171), "", 'Data Entry'!I171)</f>
      </c>
      <c r="J171">
        <f>IF(ISBLANK('Data Entry'!J171), "", 'Data Entry'!J171)</f>
      </c>
      <c r="K171">
        <f>IF(ISBLANK('Data Entry'!K171), "", 'Data Entry'!K171)</f>
      </c>
      <c r="L171">
        <f>IF(ISBLANK('Data Entry'!L171), "", 'Data Entry'!L171)</f>
      </c>
      <c r="M171">
        <f>IF(ISBLANK('Data Entry'!M171), "", 'Data Entry'!M171)</f>
      </c>
      <c r="N171">
        <f>IF(ISBLANK('Data Entry'!N171), "", 'Data Entry'!N171)</f>
      </c>
      <c r="O171">
        <f>IF(ISBLANK('Data Entry'!O171), "", 'Data Entry'!O171)</f>
      </c>
      <c r="P171">
        <f>IF(ISBLANK('Data Entry'!P171), "", 'Data Entry'!P171)</f>
      </c>
      <c r="Q171">
        <f>IF(ISBLANK('Data Entry'!Q171), "", 'Data Entry'!Q171)</f>
      </c>
      <c r="R171">
        <f>IF(ISBLANK('Data Entry'!R171), "", 'Data Entry'!R171)</f>
      </c>
      <c r="S171">
        <f>IF(ISBLANK('Data Entry'!S171), "", 'Data Entry'!S171)</f>
      </c>
      <c r="T171">
        <f>IF(ISBLANK('Data Entry'!T171), "", 'Data Entry'!T171)</f>
      </c>
      <c r="U171">
        <f>IF(ISBLANK('Data Entry'!U171), "", 'Data Entry'!U171)</f>
      </c>
      <c r="V171">
        <f>IF(ISBLANK('Data Entry'!V171), "", 'Data Entry'!V171)</f>
      </c>
      <c r="W171">
        <f>IF(ISBLANK('Data Entry'!W171), "", 'Data Entry'!W171)</f>
      </c>
      <c r="X171">
        <f>IF(ISBLANK('Data Entry'!X171), "", 'Data Entry'!X171)</f>
      </c>
      <c r="Y171">
        <f>IF(ISBLANK('Data Entry'!Y171), "", 'Data Entry'!Y171)</f>
      </c>
      <c r="Z171">
        <f>IF(ISBLANK('Data Entry'!Z171), "", 'Data Entry'!Z171)</f>
      </c>
      <c r="AA171">
        <f>IF(ISBLANK('Data Entry'![171), "", 'Data Entry'![171)</f>
      </c>
      <c r="AB171">
        <f>IF(ISBLANK('Data Entry'!\171), "", 'Data Entry'!\171)</f>
      </c>
      <c r="AC171">
        <f>IF(ISBLANK('Data Entry'!]171), "", 'Data Entry'!]171)</f>
      </c>
      <c r="AD171">
        <f>IF(ISBLANK('Data Entry'!^171), "", 'Data Entry'!^171)</f>
      </c>
      <c r="AE171">
        <f>IF(ISBLANK('Data Entry'!_171), "", 'Data Entry'!_171)</f>
      </c>
      <c r="AF171">
        <f>IF(ISBLANK('Data Entry'!`171), "", 'Data Entry'!`171)</f>
      </c>
      <c r="AG171">
        <f>IF(ISBLANK('Data Entry'!a171), "", 'Data Entry'!a171)</f>
      </c>
      <c r="AH171">
        <f>IF(ISBLANK('Data Entry'!b171), "", 'Data Entry'!b171)</f>
      </c>
      <c r="AI171">
        <f>IF(ISBLANK('Data Entry'!c171), "", 'Data Entry'!c171)</f>
      </c>
      <c r="AJ171">
        <f>IF(ISBLANK('Data Entry'!d171), "", 'Data Entry'!d171)</f>
      </c>
      <c r="AK171">
        <f>IF(ISBLANK('Data Entry'!e171), "", 'Data Entry'!e171)</f>
      </c>
      <c r="AL171">
        <f>IF(ISBLANK('Data Entry'!f171), "", 'Data Entry'!f171)</f>
      </c>
      <c r="AM171">
        <f>IF(ISBLANK('Data Entry'!g171), "", 'Data Entry'!g171)</f>
      </c>
      <c r="AN171">
        <f>IF(ISBLANK('Data Entry'!h171), "", 'Data Entry'!h171)</f>
      </c>
    </row>
    <row r="172" spans="1:40" x14ac:dyDescent="0.25">
      <c r="A172">
        <f>IF(ISBLANK('Data Entry'!A172), "", 'Data Entry'!A172)</f>
      </c>
      <c r="B172">
        <f>IF(ISBLANK('Data Entry'!B172), "", 'Data Entry'!B172)</f>
      </c>
      <c r="C172">
        <f>IF(ISBLANK('Data Entry'!C172), "", 'Data Entry'!C172)</f>
      </c>
      <c r="D172">
        <f>IF(ISBLANK('Data Entry'!D172), "", 'Data Entry'!D172)</f>
      </c>
      <c r="E172">
        <f>IF(ISBLANK('Data Entry'!E172), "", 'Data Entry'!E172)</f>
      </c>
      <c r="F172">
        <f>IF(ISBLANK('Data Entry'!F172), "", 'Data Entry'!F172)</f>
      </c>
      <c r="G172">
        <f>IF(ISBLANK('Data Entry'!G172), "", 'Data Entry'!G172)</f>
      </c>
      <c r="H172">
        <f>IF(ISBLANK('Data Entry'!H172), "", 'Data Entry'!H172)</f>
      </c>
      <c r="I172">
        <f>IF(ISBLANK('Data Entry'!I172), "", 'Data Entry'!I172)</f>
      </c>
      <c r="J172">
        <f>IF(ISBLANK('Data Entry'!J172), "", 'Data Entry'!J172)</f>
      </c>
      <c r="K172">
        <f>IF(ISBLANK('Data Entry'!K172), "", 'Data Entry'!K172)</f>
      </c>
      <c r="L172">
        <f>IF(ISBLANK('Data Entry'!L172), "", 'Data Entry'!L172)</f>
      </c>
      <c r="M172">
        <f>IF(ISBLANK('Data Entry'!M172), "", 'Data Entry'!M172)</f>
      </c>
      <c r="N172">
        <f>IF(ISBLANK('Data Entry'!N172), "", 'Data Entry'!N172)</f>
      </c>
      <c r="O172">
        <f>IF(ISBLANK('Data Entry'!O172), "", 'Data Entry'!O172)</f>
      </c>
      <c r="P172">
        <f>IF(ISBLANK('Data Entry'!P172), "", 'Data Entry'!P172)</f>
      </c>
      <c r="Q172">
        <f>IF(ISBLANK('Data Entry'!Q172), "", 'Data Entry'!Q172)</f>
      </c>
      <c r="R172">
        <f>IF(ISBLANK('Data Entry'!R172), "", 'Data Entry'!R172)</f>
      </c>
      <c r="S172">
        <f>IF(ISBLANK('Data Entry'!S172), "", 'Data Entry'!S172)</f>
      </c>
      <c r="T172">
        <f>IF(ISBLANK('Data Entry'!T172), "", 'Data Entry'!T172)</f>
      </c>
      <c r="U172">
        <f>IF(ISBLANK('Data Entry'!U172), "", 'Data Entry'!U172)</f>
      </c>
      <c r="V172">
        <f>IF(ISBLANK('Data Entry'!V172), "", 'Data Entry'!V172)</f>
      </c>
      <c r="W172">
        <f>IF(ISBLANK('Data Entry'!W172), "", 'Data Entry'!W172)</f>
      </c>
      <c r="X172">
        <f>IF(ISBLANK('Data Entry'!X172), "", 'Data Entry'!X172)</f>
      </c>
      <c r="Y172">
        <f>IF(ISBLANK('Data Entry'!Y172), "", 'Data Entry'!Y172)</f>
      </c>
      <c r="Z172">
        <f>IF(ISBLANK('Data Entry'!Z172), "", 'Data Entry'!Z172)</f>
      </c>
      <c r="AA172">
        <f>IF(ISBLANK('Data Entry'![172), "", 'Data Entry'![172)</f>
      </c>
      <c r="AB172">
        <f>IF(ISBLANK('Data Entry'!\172), "", 'Data Entry'!\172)</f>
      </c>
      <c r="AC172">
        <f>IF(ISBLANK('Data Entry'!]172), "", 'Data Entry'!]172)</f>
      </c>
      <c r="AD172">
        <f>IF(ISBLANK('Data Entry'!^172), "", 'Data Entry'!^172)</f>
      </c>
      <c r="AE172">
        <f>IF(ISBLANK('Data Entry'!_172), "", 'Data Entry'!_172)</f>
      </c>
      <c r="AF172">
        <f>IF(ISBLANK('Data Entry'!`172), "", 'Data Entry'!`172)</f>
      </c>
      <c r="AG172">
        <f>IF(ISBLANK('Data Entry'!a172), "", 'Data Entry'!a172)</f>
      </c>
      <c r="AH172">
        <f>IF(ISBLANK('Data Entry'!b172), "", 'Data Entry'!b172)</f>
      </c>
      <c r="AI172">
        <f>IF(ISBLANK('Data Entry'!c172), "", 'Data Entry'!c172)</f>
      </c>
      <c r="AJ172">
        <f>IF(ISBLANK('Data Entry'!d172), "", 'Data Entry'!d172)</f>
      </c>
      <c r="AK172">
        <f>IF(ISBLANK('Data Entry'!e172), "", 'Data Entry'!e172)</f>
      </c>
      <c r="AL172">
        <f>IF(ISBLANK('Data Entry'!f172), "", 'Data Entry'!f172)</f>
      </c>
      <c r="AM172">
        <f>IF(ISBLANK('Data Entry'!g172), "", 'Data Entry'!g172)</f>
      </c>
      <c r="AN172">
        <f>IF(ISBLANK('Data Entry'!h172), "", 'Data Entry'!h172)</f>
      </c>
    </row>
    <row r="173" spans="1:40" x14ac:dyDescent="0.25">
      <c r="A173">
        <f>IF(ISBLANK('Data Entry'!A173), "", 'Data Entry'!A173)</f>
      </c>
      <c r="B173">
        <f>IF(ISBLANK('Data Entry'!B173), "", 'Data Entry'!B173)</f>
      </c>
      <c r="C173">
        <f>IF(ISBLANK('Data Entry'!C173), "", 'Data Entry'!C173)</f>
      </c>
      <c r="D173">
        <f>IF(ISBLANK('Data Entry'!D173), "", 'Data Entry'!D173)</f>
      </c>
      <c r="E173">
        <f>IF(ISBLANK('Data Entry'!E173), "", 'Data Entry'!E173)</f>
      </c>
      <c r="F173">
        <f>IF(ISBLANK('Data Entry'!F173), "", 'Data Entry'!F173)</f>
      </c>
      <c r="G173">
        <f>IF(ISBLANK('Data Entry'!G173), "", 'Data Entry'!G173)</f>
      </c>
      <c r="H173">
        <f>IF(ISBLANK('Data Entry'!H173), "", 'Data Entry'!H173)</f>
      </c>
      <c r="I173">
        <f>IF(ISBLANK('Data Entry'!I173), "", 'Data Entry'!I173)</f>
      </c>
      <c r="J173">
        <f>IF(ISBLANK('Data Entry'!J173), "", 'Data Entry'!J173)</f>
      </c>
      <c r="K173">
        <f>IF(ISBLANK('Data Entry'!K173), "", 'Data Entry'!K173)</f>
      </c>
      <c r="L173">
        <f>IF(ISBLANK('Data Entry'!L173), "", 'Data Entry'!L173)</f>
      </c>
      <c r="M173">
        <f>IF(ISBLANK('Data Entry'!M173), "", 'Data Entry'!M173)</f>
      </c>
      <c r="N173">
        <f>IF(ISBLANK('Data Entry'!N173), "", 'Data Entry'!N173)</f>
      </c>
      <c r="O173">
        <f>IF(ISBLANK('Data Entry'!O173), "", 'Data Entry'!O173)</f>
      </c>
      <c r="P173">
        <f>IF(ISBLANK('Data Entry'!P173), "", 'Data Entry'!P173)</f>
      </c>
      <c r="Q173">
        <f>IF(ISBLANK('Data Entry'!Q173), "", 'Data Entry'!Q173)</f>
      </c>
      <c r="R173">
        <f>IF(ISBLANK('Data Entry'!R173), "", 'Data Entry'!R173)</f>
      </c>
      <c r="S173">
        <f>IF(ISBLANK('Data Entry'!S173), "", 'Data Entry'!S173)</f>
      </c>
      <c r="T173">
        <f>IF(ISBLANK('Data Entry'!T173), "", 'Data Entry'!T173)</f>
      </c>
      <c r="U173">
        <f>IF(ISBLANK('Data Entry'!U173), "", 'Data Entry'!U173)</f>
      </c>
      <c r="V173">
        <f>IF(ISBLANK('Data Entry'!V173), "", 'Data Entry'!V173)</f>
      </c>
      <c r="W173">
        <f>IF(ISBLANK('Data Entry'!W173), "", 'Data Entry'!W173)</f>
      </c>
      <c r="X173">
        <f>IF(ISBLANK('Data Entry'!X173), "", 'Data Entry'!X173)</f>
      </c>
      <c r="Y173">
        <f>IF(ISBLANK('Data Entry'!Y173), "", 'Data Entry'!Y173)</f>
      </c>
      <c r="Z173">
        <f>IF(ISBLANK('Data Entry'!Z173), "", 'Data Entry'!Z173)</f>
      </c>
      <c r="AA173">
        <f>IF(ISBLANK('Data Entry'![173), "", 'Data Entry'![173)</f>
      </c>
      <c r="AB173">
        <f>IF(ISBLANK('Data Entry'!\173), "", 'Data Entry'!\173)</f>
      </c>
      <c r="AC173">
        <f>IF(ISBLANK('Data Entry'!]173), "", 'Data Entry'!]173)</f>
      </c>
      <c r="AD173">
        <f>IF(ISBLANK('Data Entry'!^173), "", 'Data Entry'!^173)</f>
      </c>
      <c r="AE173">
        <f>IF(ISBLANK('Data Entry'!_173), "", 'Data Entry'!_173)</f>
      </c>
      <c r="AF173">
        <f>IF(ISBLANK('Data Entry'!`173), "", 'Data Entry'!`173)</f>
      </c>
      <c r="AG173">
        <f>IF(ISBLANK('Data Entry'!a173), "", 'Data Entry'!a173)</f>
      </c>
      <c r="AH173">
        <f>IF(ISBLANK('Data Entry'!b173), "", 'Data Entry'!b173)</f>
      </c>
      <c r="AI173">
        <f>IF(ISBLANK('Data Entry'!c173), "", 'Data Entry'!c173)</f>
      </c>
      <c r="AJ173">
        <f>IF(ISBLANK('Data Entry'!d173), "", 'Data Entry'!d173)</f>
      </c>
      <c r="AK173">
        <f>IF(ISBLANK('Data Entry'!e173), "", 'Data Entry'!e173)</f>
      </c>
      <c r="AL173">
        <f>IF(ISBLANK('Data Entry'!f173), "", 'Data Entry'!f173)</f>
      </c>
      <c r="AM173">
        <f>IF(ISBLANK('Data Entry'!g173), "", 'Data Entry'!g173)</f>
      </c>
      <c r="AN173">
        <f>IF(ISBLANK('Data Entry'!h173), "", 'Data Entry'!h173)</f>
      </c>
    </row>
    <row r="174" spans="1:40" x14ac:dyDescent="0.25">
      <c r="A174">
        <f>IF(ISBLANK('Data Entry'!A174), "", 'Data Entry'!A174)</f>
      </c>
      <c r="B174">
        <f>IF(ISBLANK('Data Entry'!B174), "", 'Data Entry'!B174)</f>
      </c>
      <c r="C174">
        <f>IF(ISBLANK('Data Entry'!C174), "", 'Data Entry'!C174)</f>
      </c>
      <c r="D174">
        <f>IF(ISBLANK('Data Entry'!D174), "", 'Data Entry'!D174)</f>
      </c>
      <c r="E174">
        <f>IF(ISBLANK('Data Entry'!E174), "", 'Data Entry'!E174)</f>
      </c>
      <c r="F174">
        <f>IF(ISBLANK('Data Entry'!F174), "", 'Data Entry'!F174)</f>
      </c>
      <c r="G174">
        <f>IF(ISBLANK('Data Entry'!G174), "", 'Data Entry'!G174)</f>
      </c>
      <c r="H174">
        <f>IF(ISBLANK('Data Entry'!H174), "", 'Data Entry'!H174)</f>
      </c>
      <c r="I174">
        <f>IF(ISBLANK('Data Entry'!I174), "", 'Data Entry'!I174)</f>
      </c>
      <c r="J174">
        <f>IF(ISBLANK('Data Entry'!J174), "", 'Data Entry'!J174)</f>
      </c>
      <c r="K174">
        <f>IF(ISBLANK('Data Entry'!K174), "", 'Data Entry'!K174)</f>
      </c>
      <c r="L174">
        <f>IF(ISBLANK('Data Entry'!L174), "", 'Data Entry'!L174)</f>
      </c>
      <c r="M174">
        <f>IF(ISBLANK('Data Entry'!M174), "", 'Data Entry'!M174)</f>
      </c>
      <c r="N174">
        <f>IF(ISBLANK('Data Entry'!N174), "", 'Data Entry'!N174)</f>
      </c>
      <c r="O174">
        <f>IF(ISBLANK('Data Entry'!O174), "", 'Data Entry'!O174)</f>
      </c>
      <c r="P174">
        <f>IF(ISBLANK('Data Entry'!P174), "", 'Data Entry'!P174)</f>
      </c>
      <c r="Q174">
        <f>IF(ISBLANK('Data Entry'!Q174), "", 'Data Entry'!Q174)</f>
      </c>
      <c r="R174">
        <f>IF(ISBLANK('Data Entry'!R174), "", 'Data Entry'!R174)</f>
      </c>
      <c r="S174">
        <f>IF(ISBLANK('Data Entry'!S174), "", 'Data Entry'!S174)</f>
      </c>
      <c r="T174">
        <f>IF(ISBLANK('Data Entry'!T174), "", 'Data Entry'!T174)</f>
      </c>
      <c r="U174">
        <f>IF(ISBLANK('Data Entry'!U174), "", 'Data Entry'!U174)</f>
      </c>
      <c r="V174">
        <f>IF(ISBLANK('Data Entry'!V174), "", 'Data Entry'!V174)</f>
      </c>
      <c r="W174">
        <f>IF(ISBLANK('Data Entry'!W174), "", 'Data Entry'!W174)</f>
      </c>
      <c r="X174">
        <f>IF(ISBLANK('Data Entry'!X174), "", 'Data Entry'!X174)</f>
      </c>
      <c r="Y174">
        <f>IF(ISBLANK('Data Entry'!Y174), "", 'Data Entry'!Y174)</f>
      </c>
      <c r="Z174">
        <f>IF(ISBLANK('Data Entry'!Z174), "", 'Data Entry'!Z174)</f>
      </c>
      <c r="AA174">
        <f>IF(ISBLANK('Data Entry'![174), "", 'Data Entry'![174)</f>
      </c>
      <c r="AB174">
        <f>IF(ISBLANK('Data Entry'!\174), "", 'Data Entry'!\174)</f>
      </c>
      <c r="AC174">
        <f>IF(ISBLANK('Data Entry'!]174), "", 'Data Entry'!]174)</f>
      </c>
      <c r="AD174">
        <f>IF(ISBLANK('Data Entry'!^174), "", 'Data Entry'!^174)</f>
      </c>
      <c r="AE174">
        <f>IF(ISBLANK('Data Entry'!_174), "", 'Data Entry'!_174)</f>
      </c>
      <c r="AF174">
        <f>IF(ISBLANK('Data Entry'!`174), "", 'Data Entry'!`174)</f>
      </c>
      <c r="AG174">
        <f>IF(ISBLANK('Data Entry'!a174), "", 'Data Entry'!a174)</f>
      </c>
      <c r="AH174">
        <f>IF(ISBLANK('Data Entry'!b174), "", 'Data Entry'!b174)</f>
      </c>
      <c r="AI174">
        <f>IF(ISBLANK('Data Entry'!c174), "", 'Data Entry'!c174)</f>
      </c>
      <c r="AJ174">
        <f>IF(ISBLANK('Data Entry'!d174), "", 'Data Entry'!d174)</f>
      </c>
      <c r="AK174">
        <f>IF(ISBLANK('Data Entry'!e174), "", 'Data Entry'!e174)</f>
      </c>
      <c r="AL174">
        <f>IF(ISBLANK('Data Entry'!f174), "", 'Data Entry'!f174)</f>
      </c>
      <c r="AM174">
        <f>IF(ISBLANK('Data Entry'!g174), "", 'Data Entry'!g174)</f>
      </c>
      <c r="AN174">
        <f>IF(ISBLANK('Data Entry'!h174), "", 'Data Entry'!h174)</f>
      </c>
    </row>
    <row r="175" spans="1:40" x14ac:dyDescent="0.25">
      <c r="A175">
        <f>IF(ISBLANK('Data Entry'!A175), "", 'Data Entry'!A175)</f>
      </c>
      <c r="B175">
        <f>IF(ISBLANK('Data Entry'!B175), "", 'Data Entry'!B175)</f>
      </c>
      <c r="C175">
        <f>IF(ISBLANK('Data Entry'!C175), "", 'Data Entry'!C175)</f>
      </c>
      <c r="D175">
        <f>IF(ISBLANK('Data Entry'!D175), "", 'Data Entry'!D175)</f>
      </c>
      <c r="E175">
        <f>IF(ISBLANK('Data Entry'!E175), "", 'Data Entry'!E175)</f>
      </c>
      <c r="F175">
        <f>IF(ISBLANK('Data Entry'!F175), "", 'Data Entry'!F175)</f>
      </c>
      <c r="G175">
        <f>IF(ISBLANK('Data Entry'!G175), "", 'Data Entry'!G175)</f>
      </c>
      <c r="H175">
        <f>IF(ISBLANK('Data Entry'!H175), "", 'Data Entry'!H175)</f>
      </c>
      <c r="I175">
        <f>IF(ISBLANK('Data Entry'!I175), "", 'Data Entry'!I175)</f>
      </c>
      <c r="J175">
        <f>IF(ISBLANK('Data Entry'!J175), "", 'Data Entry'!J175)</f>
      </c>
      <c r="K175">
        <f>IF(ISBLANK('Data Entry'!K175), "", 'Data Entry'!K175)</f>
      </c>
      <c r="L175">
        <f>IF(ISBLANK('Data Entry'!L175), "", 'Data Entry'!L175)</f>
      </c>
      <c r="M175">
        <f>IF(ISBLANK('Data Entry'!M175), "", 'Data Entry'!M175)</f>
      </c>
      <c r="N175">
        <f>IF(ISBLANK('Data Entry'!N175), "", 'Data Entry'!N175)</f>
      </c>
      <c r="O175">
        <f>IF(ISBLANK('Data Entry'!O175), "", 'Data Entry'!O175)</f>
      </c>
      <c r="P175">
        <f>IF(ISBLANK('Data Entry'!P175), "", 'Data Entry'!P175)</f>
      </c>
      <c r="Q175">
        <f>IF(ISBLANK('Data Entry'!Q175), "", 'Data Entry'!Q175)</f>
      </c>
      <c r="R175">
        <f>IF(ISBLANK('Data Entry'!R175), "", 'Data Entry'!R175)</f>
      </c>
      <c r="S175">
        <f>IF(ISBLANK('Data Entry'!S175), "", 'Data Entry'!S175)</f>
      </c>
      <c r="T175">
        <f>IF(ISBLANK('Data Entry'!T175), "", 'Data Entry'!T175)</f>
      </c>
      <c r="U175">
        <f>IF(ISBLANK('Data Entry'!U175), "", 'Data Entry'!U175)</f>
      </c>
      <c r="V175">
        <f>IF(ISBLANK('Data Entry'!V175), "", 'Data Entry'!V175)</f>
      </c>
      <c r="W175">
        <f>IF(ISBLANK('Data Entry'!W175), "", 'Data Entry'!W175)</f>
      </c>
      <c r="X175">
        <f>IF(ISBLANK('Data Entry'!X175), "", 'Data Entry'!X175)</f>
      </c>
      <c r="Y175">
        <f>IF(ISBLANK('Data Entry'!Y175), "", 'Data Entry'!Y175)</f>
      </c>
      <c r="Z175">
        <f>IF(ISBLANK('Data Entry'!Z175), "", 'Data Entry'!Z175)</f>
      </c>
      <c r="AA175">
        <f>IF(ISBLANK('Data Entry'![175), "", 'Data Entry'![175)</f>
      </c>
      <c r="AB175">
        <f>IF(ISBLANK('Data Entry'!\175), "", 'Data Entry'!\175)</f>
      </c>
      <c r="AC175">
        <f>IF(ISBLANK('Data Entry'!]175), "", 'Data Entry'!]175)</f>
      </c>
      <c r="AD175">
        <f>IF(ISBLANK('Data Entry'!^175), "", 'Data Entry'!^175)</f>
      </c>
      <c r="AE175">
        <f>IF(ISBLANK('Data Entry'!_175), "", 'Data Entry'!_175)</f>
      </c>
      <c r="AF175">
        <f>IF(ISBLANK('Data Entry'!`175), "", 'Data Entry'!`175)</f>
      </c>
      <c r="AG175">
        <f>IF(ISBLANK('Data Entry'!a175), "", 'Data Entry'!a175)</f>
      </c>
      <c r="AH175">
        <f>IF(ISBLANK('Data Entry'!b175), "", 'Data Entry'!b175)</f>
      </c>
      <c r="AI175">
        <f>IF(ISBLANK('Data Entry'!c175), "", 'Data Entry'!c175)</f>
      </c>
      <c r="AJ175">
        <f>IF(ISBLANK('Data Entry'!d175), "", 'Data Entry'!d175)</f>
      </c>
      <c r="AK175">
        <f>IF(ISBLANK('Data Entry'!e175), "", 'Data Entry'!e175)</f>
      </c>
      <c r="AL175">
        <f>IF(ISBLANK('Data Entry'!f175), "", 'Data Entry'!f175)</f>
      </c>
      <c r="AM175">
        <f>IF(ISBLANK('Data Entry'!g175), "", 'Data Entry'!g175)</f>
      </c>
      <c r="AN175">
        <f>IF(ISBLANK('Data Entry'!h175), "", 'Data Entry'!h175)</f>
      </c>
    </row>
    <row r="176" spans="1:40" x14ac:dyDescent="0.25">
      <c r="A176">
        <f>IF(ISBLANK('Data Entry'!A176), "", 'Data Entry'!A176)</f>
      </c>
      <c r="B176">
        <f>IF(ISBLANK('Data Entry'!B176), "", 'Data Entry'!B176)</f>
      </c>
      <c r="C176">
        <f>IF(ISBLANK('Data Entry'!C176), "", 'Data Entry'!C176)</f>
      </c>
      <c r="D176">
        <f>IF(ISBLANK('Data Entry'!D176), "", 'Data Entry'!D176)</f>
      </c>
      <c r="E176">
        <f>IF(ISBLANK('Data Entry'!E176), "", 'Data Entry'!E176)</f>
      </c>
      <c r="F176">
        <f>IF(ISBLANK('Data Entry'!F176), "", 'Data Entry'!F176)</f>
      </c>
      <c r="G176">
        <f>IF(ISBLANK('Data Entry'!G176), "", 'Data Entry'!G176)</f>
      </c>
      <c r="H176">
        <f>IF(ISBLANK('Data Entry'!H176), "", 'Data Entry'!H176)</f>
      </c>
      <c r="I176">
        <f>IF(ISBLANK('Data Entry'!I176), "", 'Data Entry'!I176)</f>
      </c>
      <c r="J176">
        <f>IF(ISBLANK('Data Entry'!J176), "", 'Data Entry'!J176)</f>
      </c>
      <c r="K176">
        <f>IF(ISBLANK('Data Entry'!K176), "", 'Data Entry'!K176)</f>
      </c>
      <c r="L176">
        <f>IF(ISBLANK('Data Entry'!L176), "", 'Data Entry'!L176)</f>
      </c>
      <c r="M176">
        <f>IF(ISBLANK('Data Entry'!M176), "", 'Data Entry'!M176)</f>
      </c>
      <c r="N176">
        <f>IF(ISBLANK('Data Entry'!N176), "", 'Data Entry'!N176)</f>
      </c>
      <c r="O176">
        <f>IF(ISBLANK('Data Entry'!O176), "", 'Data Entry'!O176)</f>
      </c>
      <c r="P176">
        <f>IF(ISBLANK('Data Entry'!P176), "", 'Data Entry'!P176)</f>
      </c>
      <c r="Q176">
        <f>IF(ISBLANK('Data Entry'!Q176), "", 'Data Entry'!Q176)</f>
      </c>
      <c r="R176">
        <f>IF(ISBLANK('Data Entry'!R176), "", 'Data Entry'!R176)</f>
      </c>
      <c r="S176">
        <f>IF(ISBLANK('Data Entry'!S176), "", 'Data Entry'!S176)</f>
      </c>
      <c r="T176">
        <f>IF(ISBLANK('Data Entry'!T176), "", 'Data Entry'!T176)</f>
      </c>
      <c r="U176">
        <f>IF(ISBLANK('Data Entry'!U176), "", 'Data Entry'!U176)</f>
      </c>
      <c r="V176">
        <f>IF(ISBLANK('Data Entry'!V176), "", 'Data Entry'!V176)</f>
      </c>
      <c r="W176">
        <f>IF(ISBLANK('Data Entry'!W176), "", 'Data Entry'!W176)</f>
      </c>
      <c r="X176">
        <f>IF(ISBLANK('Data Entry'!X176), "", 'Data Entry'!X176)</f>
      </c>
      <c r="Y176">
        <f>IF(ISBLANK('Data Entry'!Y176), "", 'Data Entry'!Y176)</f>
      </c>
      <c r="Z176">
        <f>IF(ISBLANK('Data Entry'!Z176), "", 'Data Entry'!Z176)</f>
      </c>
      <c r="AA176">
        <f>IF(ISBLANK('Data Entry'![176), "", 'Data Entry'![176)</f>
      </c>
      <c r="AB176">
        <f>IF(ISBLANK('Data Entry'!\176), "", 'Data Entry'!\176)</f>
      </c>
      <c r="AC176">
        <f>IF(ISBLANK('Data Entry'!]176), "", 'Data Entry'!]176)</f>
      </c>
      <c r="AD176">
        <f>IF(ISBLANK('Data Entry'!^176), "", 'Data Entry'!^176)</f>
      </c>
      <c r="AE176">
        <f>IF(ISBLANK('Data Entry'!_176), "", 'Data Entry'!_176)</f>
      </c>
      <c r="AF176">
        <f>IF(ISBLANK('Data Entry'!`176), "", 'Data Entry'!`176)</f>
      </c>
      <c r="AG176">
        <f>IF(ISBLANK('Data Entry'!a176), "", 'Data Entry'!a176)</f>
      </c>
      <c r="AH176">
        <f>IF(ISBLANK('Data Entry'!b176), "", 'Data Entry'!b176)</f>
      </c>
      <c r="AI176">
        <f>IF(ISBLANK('Data Entry'!c176), "", 'Data Entry'!c176)</f>
      </c>
      <c r="AJ176">
        <f>IF(ISBLANK('Data Entry'!d176), "", 'Data Entry'!d176)</f>
      </c>
      <c r="AK176">
        <f>IF(ISBLANK('Data Entry'!e176), "", 'Data Entry'!e176)</f>
      </c>
      <c r="AL176">
        <f>IF(ISBLANK('Data Entry'!f176), "", 'Data Entry'!f176)</f>
      </c>
      <c r="AM176">
        <f>IF(ISBLANK('Data Entry'!g176), "", 'Data Entry'!g176)</f>
      </c>
      <c r="AN176">
        <f>IF(ISBLANK('Data Entry'!h176), "", 'Data Entry'!h176)</f>
      </c>
    </row>
    <row r="177" spans="1:40" x14ac:dyDescent="0.25">
      <c r="A177">
        <f>IF(ISBLANK('Data Entry'!A177), "", 'Data Entry'!A177)</f>
      </c>
      <c r="B177">
        <f>IF(ISBLANK('Data Entry'!B177), "", 'Data Entry'!B177)</f>
      </c>
      <c r="C177">
        <f>IF(ISBLANK('Data Entry'!C177), "", 'Data Entry'!C177)</f>
      </c>
      <c r="D177">
        <f>IF(ISBLANK('Data Entry'!D177), "", 'Data Entry'!D177)</f>
      </c>
      <c r="E177">
        <f>IF(ISBLANK('Data Entry'!E177), "", 'Data Entry'!E177)</f>
      </c>
      <c r="F177">
        <f>IF(ISBLANK('Data Entry'!F177), "", 'Data Entry'!F177)</f>
      </c>
      <c r="G177">
        <f>IF(ISBLANK('Data Entry'!G177), "", 'Data Entry'!G177)</f>
      </c>
      <c r="H177">
        <f>IF(ISBLANK('Data Entry'!H177), "", 'Data Entry'!H177)</f>
      </c>
      <c r="I177">
        <f>IF(ISBLANK('Data Entry'!I177), "", 'Data Entry'!I177)</f>
      </c>
      <c r="J177">
        <f>IF(ISBLANK('Data Entry'!J177), "", 'Data Entry'!J177)</f>
      </c>
      <c r="K177">
        <f>IF(ISBLANK('Data Entry'!K177), "", 'Data Entry'!K177)</f>
      </c>
      <c r="L177">
        <f>IF(ISBLANK('Data Entry'!L177), "", 'Data Entry'!L177)</f>
      </c>
      <c r="M177">
        <f>IF(ISBLANK('Data Entry'!M177), "", 'Data Entry'!M177)</f>
      </c>
      <c r="N177">
        <f>IF(ISBLANK('Data Entry'!N177), "", 'Data Entry'!N177)</f>
      </c>
      <c r="O177">
        <f>IF(ISBLANK('Data Entry'!O177), "", 'Data Entry'!O177)</f>
      </c>
      <c r="P177">
        <f>IF(ISBLANK('Data Entry'!P177), "", 'Data Entry'!P177)</f>
      </c>
      <c r="Q177">
        <f>IF(ISBLANK('Data Entry'!Q177), "", 'Data Entry'!Q177)</f>
      </c>
      <c r="R177">
        <f>IF(ISBLANK('Data Entry'!R177), "", 'Data Entry'!R177)</f>
      </c>
      <c r="S177">
        <f>IF(ISBLANK('Data Entry'!S177), "", 'Data Entry'!S177)</f>
      </c>
      <c r="T177">
        <f>IF(ISBLANK('Data Entry'!T177), "", 'Data Entry'!T177)</f>
      </c>
      <c r="U177">
        <f>IF(ISBLANK('Data Entry'!U177), "", 'Data Entry'!U177)</f>
      </c>
      <c r="V177">
        <f>IF(ISBLANK('Data Entry'!V177), "", 'Data Entry'!V177)</f>
      </c>
      <c r="W177">
        <f>IF(ISBLANK('Data Entry'!W177), "", 'Data Entry'!W177)</f>
      </c>
      <c r="X177">
        <f>IF(ISBLANK('Data Entry'!X177), "", 'Data Entry'!X177)</f>
      </c>
      <c r="Y177">
        <f>IF(ISBLANK('Data Entry'!Y177), "", 'Data Entry'!Y177)</f>
      </c>
      <c r="Z177">
        <f>IF(ISBLANK('Data Entry'!Z177), "", 'Data Entry'!Z177)</f>
      </c>
      <c r="AA177">
        <f>IF(ISBLANK('Data Entry'![177), "", 'Data Entry'![177)</f>
      </c>
      <c r="AB177">
        <f>IF(ISBLANK('Data Entry'!\177), "", 'Data Entry'!\177)</f>
      </c>
      <c r="AC177">
        <f>IF(ISBLANK('Data Entry'!]177), "", 'Data Entry'!]177)</f>
      </c>
      <c r="AD177">
        <f>IF(ISBLANK('Data Entry'!^177), "", 'Data Entry'!^177)</f>
      </c>
      <c r="AE177">
        <f>IF(ISBLANK('Data Entry'!_177), "", 'Data Entry'!_177)</f>
      </c>
      <c r="AF177">
        <f>IF(ISBLANK('Data Entry'!`177), "", 'Data Entry'!`177)</f>
      </c>
      <c r="AG177">
        <f>IF(ISBLANK('Data Entry'!a177), "", 'Data Entry'!a177)</f>
      </c>
      <c r="AH177">
        <f>IF(ISBLANK('Data Entry'!b177), "", 'Data Entry'!b177)</f>
      </c>
      <c r="AI177">
        <f>IF(ISBLANK('Data Entry'!c177), "", 'Data Entry'!c177)</f>
      </c>
      <c r="AJ177">
        <f>IF(ISBLANK('Data Entry'!d177), "", 'Data Entry'!d177)</f>
      </c>
      <c r="AK177">
        <f>IF(ISBLANK('Data Entry'!e177), "", 'Data Entry'!e177)</f>
      </c>
      <c r="AL177">
        <f>IF(ISBLANK('Data Entry'!f177), "", 'Data Entry'!f177)</f>
      </c>
      <c r="AM177">
        <f>IF(ISBLANK('Data Entry'!g177), "", 'Data Entry'!g177)</f>
      </c>
      <c r="AN177">
        <f>IF(ISBLANK('Data Entry'!h177), "", 'Data Entry'!h177)</f>
      </c>
    </row>
    <row r="178" spans="1:40" x14ac:dyDescent="0.25">
      <c r="A178">
        <f>IF(ISBLANK('Data Entry'!A178), "", 'Data Entry'!A178)</f>
      </c>
      <c r="B178">
        <f>IF(ISBLANK('Data Entry'!B178), "", 'Data Entry'!B178)</f>
      </c>
      <c r="C178">
        <f>IF(ISBLANK('Data Entry'!C178), "", 'Data Entry'!C178)</f>
      </c>
      <c r="D178">
        <f>IF(ISBLANK('Data Entry'!D178), "", 'Data Entry'!D178)</f>
      </c>
      <c r="E178">
        <f>IF(ISBLANK('Data Entry'!E178), "", 'Data Entry'!E178)</f>
      </c>
      <c r="F178">
        <f>IF(ISBLANK('Data Entry'!F178), "", 'Data Entry'!F178)</f>
      </c>
      <c r="G178">
        <f>IF(ISBLANK('Data Entry'!G178), "", 'Data Entry'!G178)</f>
      </c>
      <c r="H178">
        <f>IF(ISBLANK('Data Entry'!H178), "", 'Data Entry'!H178)</f>
      </c>
      <c r="I178">
        <f>IF(ISBLANK('Data Entry'!I178), "", 'Data Entry'!I178)</f>
      </c>
      <c r="J178">
        <f>IF(ISBLANK('Data Entry'!J178), "", 'Data Entry'!J178)</f>
      </c>
      <c r="K178">
        <f>IF(ISBLANK('Data Entry'!K178), "", 'Data Entry'!K178)</f>
      </c>
      <c r="L178">
        <f>IF(ISBLANK('Data Entry'!L178), "", 'Data Entry'!L178)</f>
      </c>
      <c r="M178">
        <f>IF(ISBLANK('Data Entry'!M178), "", 'Data Entry'!M178)</f>
      </c>
      <c r="N178">
        <f>IF(ISBLANK('Data Entry'!N178), "", 'Data Entry'!N178)</f>
      </c>
      <c r="O178">
        <f>IF(ISBLANK('Data Entry'!O178), "", 'Data Entry'!O178)</f>
      </c>
      <c r="P178">
        <f>IF(ISBLANK('Data Entry'!P178), "", 'Data Entry'!P178)</f>
      </c>
      <c r="Q178">
        <f>IF(ISBLANK('Data Entry'!Q178), "", 'Data Entry'!Q178)</f>
      </c>
      <c r="R178">
        <f>IF(ISBLANK('Data Entry'!R178), "", 'Data Entry'!R178)</f>
      </c>
      <c r="S178">
        <f>IF(ISBLANK('Data Entry'!S178), "", 'Data Entry'!S178)</f>
      </c>
      <c r="T178">
        <f>IF(ISBLANK('Data Entry'!T178), "", 'Data Entry'!T178)</f>
      </c>
      <c r="U178">
        <f>IF(ISBLANK('Data Entry'!U178), "", 'Data Entry'!U178)</f>
      </c>
      <c r="V178">
        <f>IF(ISBLANK('Data Entry'!V178), "", 'Data Entry'!V178)</f>
      </c>
      <c r="W178">
        <f>IF(ISBLANK('Data Entry'!W178), "", 'Data Entry'!W178)</f>
      </c>
      <c r="X178">
        <f>IF(ISBLANK('Data Entry'!X178), "", 'Data Entry'!X178)</f>
      </c>
      <c r="Y178">
        <f>IF(ISBLANK('Data Entry'!Y178), "", 'Data Entry'!Y178)</f>
      </c>
      <c r="Z178">
        <f>IF(ISBLANK('Data Entry'!Z178), "", 'Data Entry'!Z178)</f>
      </c>
      <c r="AA178">
        <f>IF(ISBLANK('Data Entry'![178), "", 'Data Entry'![178)</f>
      </c>
      <c r="AB178">
        <f>IF(ISBLANK('Data Entry'!\178), "", 'Data Entry'!\178)</f>
      </c>
      <c r="AC178">
        <f>IF(ISBLANK('Data Entry'!]178), "", 'Data Entry'!]178)</f>
      </c>
      <c r="AD178">
        <f>IF(ISBLANK('Data Entry'!^178), "", 'Data Entry'!^178)</f>
      </c>
      <c r="AE178">
        <f>IF(ISBLANK('Data Entry'!_178), "", 'Data Entry'!_178)</f>
      </c>
      <c r="AF178">
        <f>IF(ISBLANK('Data Entry'!`178), "", 'Data Entry'!`178)</f>
      </c>
      <c r="AG178">
        <f>IF(ISBLANK('Data Entry'!a178), "", 'Data Entry'!a178)</f>
      </c>
      <c r="AH178">
        <f>IF(ISBLANK('Data Entry'!b178), "", 'Data Entry'!b178)</f>
      </c>
      <c r="AI178">
        <f>IF(ISBLANK('Data Entry'!c178), "", 'Data Entry'!c178)</f>
      </c>
      <c r="AJ178">
        <f>IF(ISBLANK('Data Entry'!d178), "", 'Data Entry'!d178)</f>
      </c>
      <c r="AK178">
        <f>IF(ISBLANK('Data Entry'!e178), "", 'Data Entry'!e178)</f>
      </c>
      <c r="AL178">
        <f>IF(ISBLANK('Data Entry'!f178), "", 'Data Entry'!f178)</f>
      </c>
      <c r="AM178">
        <f>IF(ISBLANK('Data Entry'!g178), "", 'Data Entry'!g178)</f>
      </c>
      <c r="AN178">
        <f>IF(ISBLANK('Data Entry'!h178), "", 'Data Entry'!h178)</f>
      </c>
    </row>
    <row r="179" spans="1:40" x14ac:dyDescent="0.25">
      <c r="A179">
        <f>IF(ISBLANK('Data Entry'!A179), "", 'Data Entry'!A179)</f>
      </c>
      <c r="B179">
        <f>IF(ISBLANK('Data Entry'!B179), "", 'Data Entry'!B179)</f>
      </c>
      <c r="C179">
        <f>IF(ISBLANK('Data Entry'!C179), "", 'Data Entry'!C179)</f>
      </c>
      <c r="D179">
        <f>IF(ISBLANK('Data Entry'!D179), "", 'Data Entry'!D179)</f>
      </c>
      <c r="E179">
        <f>IF(ISBLANK('Data Entry'!E179), "", 'Data Entry'!E179)</f>
      </c>
      <c r="F179">
        <f>IF(ISBLANK('Data Entry'!F179), "", 'Data Entry'!F179)</f>
      </c>
      <c r="G179">
        <f>IF(ISBLANK('Data Entry'!G179), "", 'Data Entry'!G179)</f>
      </c>
      <c r="H179">
        <f>IF(ISBLANK('Data Entry'!H179), "", 'Data Entry'!H179)</f>
      </c>
      <c r="I179">
        <f>IF(ISBLANK('Data Entry'!I179), "", 'Data Entry'!I179)</f>
      </c>
      <c r="J179">
        <f>IF(ISBLANK('Data Entry'!J179), "", 'Data Entry'!J179)</f>
      </c>
      <c r="K179">
        <f>IF(ISBLANK('Data Entry'!K179), "", 'Data Entry'!K179)</f>
      </c>
      <c r="L179">
        <f>IF(ISBLANK('Data Entry'!L179), "", 'Data Entry'!L179)</f>
      </c>
      <c r="M179">
        <f>IF(ISBLANK('Data Entry'!M179), "", 'Data Entry'!M179)</f>
      </c>
      <c r="N179">
        <f>IF(ISBLANK('Data Entry'!N179), "", 'Data Entry'!N179)</f>
      </c>
      <c r="O179">
        <f>IF(ISBLANK('Data Entry'!O179), "", 'Data Entry'!O179)</f>
      </c>
      <c r="P179">
        <f>IF(ISBLANK('Data Entry'!P179), "", 'Data Entry'!P179)</f>
      </c>
      <c r="Q179">
        <f>IF(ISBLANK('Data Entry'!Q179), "", 'Data Entry'!Q179)</f>
      </c>
      <c r="R179">
        <f>IF(ISBLANK('Data Entry'!R179), "", 'Data Entry'!R179)</f>
      </c>
      <c r="S179">
        <f>IF(ISBLANK('Data Entry'!S179), "", 'Data Entry'!S179)</f>
      </c>
      <c r="T179">
        <f>IF(ISBLANK('Data Entry'!T179), "", 'Data Entry'!T179)</f>
      </c>
      <c r="U179">
        <f>IF(ISBLANK('Data Entry'!U179), "", 'Data Entry'!U179)</f>
      </c>
      <c r="V179">
        <f>IF(ISBLANK('Data Entry'!V179), "", 'Data Entry'!V179)</f>
      </c>
      <c r="W179">
        <f>IF(ISBLANK('Data Entry'!W179), "", 'Data Entry'!W179)</f>
      </c>
      <c r="X179">
        <f>IF(ISBLANK('Data Entry'!X179), "", 'Data Entry'!X179)</f>
      </c>
      <c r="Y179">
        <f>IF(ISBLANK('Data Entry'!Y179), "", 'Data Entry'!Y179)</f>
      </c>
      <c r="Z179">
        <f>IF(ISBLANK('Data Entry'!Z179), "", 'Data Entry'!Z179)</f>
      </c>
      <c r="AA179">
        <f>IF(ISBLANK('Data Entry'![179), "", 'Data Entry'![179)</f>
      </c>
      <c r="AB179">
        <f>IF(ISBLANK('Data Entry'!\179), "", 'Data Entry'!\179)</f>
      </c>
      <c r="AC179">
        <f>IF(ISBLANK('Data Entry'!]179), "", 'Data Entry'!]179)</f>
      </c>
      <c r="AD179">
        <f>IF(ISBLANK('Data Entry'!^179), "", 'Data Entry'!^179)</f>
      </c>
      <c r="AE179">
        <f>IF(ISBLANK('Data Entry'!_179), "", 'Data Entry'!_179)</f>
      </c>
      <c r="AF179">
        <f>IF(ISBLANK('Data Entry'!`179), "", 'Data Entry'!`179)</f>
      </c>
      <c r="AG179">
        <f>IF(ISBLANK('Data Entry'!a179), "", 'Data Entry'!a179)</f>
      </c>
      <c r="AH179">
        <f>IF(ISBLANK('Data Entry'!b179), "", 'Data Entry'!b179)</f>
      </c>
      <c r="AI179">
        <f>IF(ISBLANK('Data Entry'!c179), "", 'Data Entry'!c179)</f>
      </c>
      <c r="AJ179">
        <f>IF(ISBLANK('Data Entry'!d179), "", 'Data Entry'!d179)</f>
      </c>
      <c r="AK179">
        <f>IF(ISBLANK('Data Entry'!e179), "", 'Data Entry'!e179)</f>
      </c>
      <c r="AL179">
        <f>IF(ISBLANK('Data Entry'!f179), "", 'Data Entry'!f179)</f>
      </c>
      <c r="AM179">
        <f>IF(ISBLANK('Data Entry'!g179), "", 'Data Entry'!g179)</f>
      </c>
      <c r="AN179">
        <f>IF(ISBLANK('Data Entry'!h179), "", 'Data Entry'!h179)</f>
      </c>
    </row>
    <row r="180" spans="1:40" x14ac:dyDescent="0.25">
      <c r="A180">
        <f>IF(ISBLANK('Data Entry'!A180), "", 'Data Entry'!A180)</f>
      </c>
      <c r="B180">
        <f>IF(ISBLANK('Data Entry'!B180), "", 'Data Entry'!B180)</f>
      </c>
      <c r="C180">
        <f>IF(ISBLANK('Data Entry'!C180), "", 'Data Entry'!C180)</f>
      </c>
      <c r="D180">
        <f>IF(ISBLANK('Data Entry'!D180), "", 'Data Entry'!D180)</f>
      </c>
      <c r="E180">
        <f>IF(ISBLANK('Data Entry'!E180), "", 'Data Entry'!E180)</f>
      </c>
      <c r="F180">
        <f>IF(ISBLANK('Data Entry'!F180), "", 'Data Entry'!F180)</f>
      </c>
      <c r="G180">
        <f>IF(ISBLANK('Data Entry'!G180), "", 'Data Entry'!G180)</f>
      </c>
      <c r="H180">
        <f>IF(ISBLANK('Data Entry'!H180), "", 'Data Entry'!H180)</f>
      </c>
      <c r="I180">
        <f>IF(ISBLANK('Data Entry'!I180), "", 'Data Entry'!I180)</f>
      </c>
      <c r="J180">
        <f>IF(ISBLANK('Data Entry'!J180), "", 'Data Entry'!J180)</f>
      </c>
      <c r="K180">
        <f>IF(ISBLANK('Data Entry'!K180), "", 'Data Entry'!K180)</f>
      </c>
      <c r="L180">
        <f>IF(ISBLANK('Data Entry'!L180), "", 'Data Entry'!L180)</f>
      </c>
      <c r="M180">
        <f>IF(ISBLANK('Data Entry'!M180), "", 'Data Entry'!M180)</f>
      </c>
      <c r="N180">
        <f>IF(ISBLANK('Data Entry'!N180), "", 'Data Entry'!N180)</f>
      </c>
      <c r="O180">
        <f>IF(ISBLANK('Data Entry'!O180), "", 'Data Entry'!O180)</f>
      </c>
      <c r="P180">
        <f>IF(ISBLANK('Data Entry'!P180), "", 'Data Entry'!P180)</f>
      </c>
      <c r="Q180">
        <f>IF(ISBLANK('Data Entry'!Q180), "", 'Data Entry'!Q180)</f>
      </c>
      <c r="R180">
        <f>IF(ISBLANK('Data Entry'!R180), "", 'Data Entry'!R180)</f>
      </c>
      <c r="S180">
        <f>IF(ISBLANK('Data Entry'!S180), "", 'Data Entry'!S180)</f>
      </c>
      <c r="T180">
        <f>IF(ISBLANK('Data Entry'!T180), "", 'Data Entry'!T180)</f>
      </c>
      <c r="U180">
        <f>IF(ISBLANK('Data Entry'!U180), "", 'Data Entry'!U180)</f>
      </c>
      <c r="V180">
        <f>IF(ISBLANK('Data Entry'!V180), "", 'Data Entry'!V180)</f>
      </c>
      <c r="W180">
        <f>IF(ISBLANK('Data Entry'!W180), "", 'Data Entry'!W180)</f>
      </c>
      <c r="X180">
        <f>IF(ISBLANK('Data Entry'!X180), "", 'Data Entry'!X180)</f>
      </c>
      <c r="Y180">
        <f>IF(ISBLANK('Data Entry'!Y180), "", 'Data Entry'!Y180)</f>
      </c>
      <c r="Z180">
        <f>IF(ISBLANK('Data Entry'!Z180), "", 'Data Entry'!Z180)</f>
      </c>
      <c r="AA180">
        <f>IF(ISBLANK('Data Entry'![180), "", 'Data Entry'![180)</f>
      </c>
      <c r="AB180">
        <f>IF(ISBLANK('Data Entry'!\180), "", 'Data Entry'!\180)</f>
      </c>
      <c r="AC180">
        <f>IF(ISBLANK('Data Entry'!]180), "", 'Data Entry'!]180)</f>
      </c>
      <c r="AD180">
        <f>IF(ISBLANK('Data Entry'!^180), "", 'Data Entry'!^180)</f>
      </c>
      <c r="AE180">
        <f>IF(ISBLANK('Data Entry'!_180), "", 'Data Entry'!_180)</f>
      </c>
      <c r="AF180">
        <f>IF(ISBLANK('Data Entry'!`180), "", 'Data Entry'!`180)</f>
      </c>
      <c r="AG180">
        <f>IF(ISBLANK('Data Entry'!a180), "", 'Data Entry'!a180)</f>
      </c>
      <c r="AH180">
        <f>IF(ISBLANK('Data Entry'!b180), "", 'Data Entry'!b180)</f>
      </c>
      <c r="AI180">
        <f>IF(ISBLANK('Data Entry'!c180), "", 'Data Entry'!c180)</f>
      </c>
      <c r="AJ180">
        <f>IF(ISBLANK('Data Entry'!d180), "", 'Data Entry'!d180)</f>
      </c>
      <c r="AK180">
        <f>IF(ISBLANK('Data Entry'!e180), "", 'Data Entry'!e180)</f>
      </c>
      <c r="AL180">
        <f>IF(ISBLANK('Data Entry'!f180), "", 'Data Entry'!f180)</f>
      </c>
      <c r="AM180">
        <f>IF(ISBLANK('Data Entry'!g180), "", 'Data Entry'!g180)</f>
      </c>
      <c r="AN180">
        <f>IF(ISBLANK('Data Entry'!h180), "", 'Data Entry'!h180)</f>
      </c>
    </row>
    <row r="181" spans="1:40" x14ac:dyDescent="0.25">
      <c r="A181">
        <f>IF(ISBLANK('Data Entry'!A181), "", 'Data Entry'!A181)</f>
      </c>
      <c r="B181">
        <f>IF(ISBLANK('Data Entry'!B181), "", 'Data Entry'!B181)</f>
      </c>
      <c r="C181">
        <f>IF(ISBLANK('Data Entry'!C181), "", 'Data Entry'!C181)</f>
      </c>
      <c r="D181">
        <f>IF(ISBLANK('Data Entry'!D181), "", 'Data Entry'!D181)</f>
      </c>
      <c r="E181">
        <f>IF(ISBLANK('Data Entry'!E181), "", 'Data Entry'!E181)</f>
      </c>
      <c r="F181">
        <f>IF(ISBLANK('Data Entry'!F181), "", 'Data Entry'!F181)</f>
      </c>
      <c r="G181">
        <f>IF(ISBLANK('Data Entry'!G181), "", 'Data Entry'!G181)</f>
      </c>
      <c r="H181">
        <f>IF(ISBLANK('Data Entry'!H181), "", 'Data Entry'!H181)</f>
      </c>
      <c r="I181">
        <f>IF(ISBLANK('Data Entry'!I181), "", 'Data Entry'!I181)</f>
      </c>
      <c r="J181">
        <f>IF(ISBLANK('Data Entry'!J181), "", 'Data Entry'!J181)</f>
      </c>
      <c r="K181">
        <f>IF(ISBLANK('Data Entry'!K181), "", 'Data Entry'!K181)</f>
      </c>
      <c r="L181">
        <f>IF(ISBLANK('Data Entry'!L181), "", 'Data Entry'!L181)</f>
      </c>
      <c r="M181">
        <f>IF(ISBLANK('Data Entry'!M181), "", 'Data Entry'!M181)</f>
      </c>
      <c r="N181">
        <f>IF(ISBLANK('Data Entry'!N181), "", 'Data Entry'!N181)</f>
      </c>
      <c r="O181">
        <f>IF(ISBLANK('Data Entry'!O181), "", 'Data Entry'!O181)</f>
      </c>
      <c r="P181">
        <f>IF(ISBLANK('Data Entry'!P181), "", 'Data Entry'!P181)</f>
      </c>
      <c r="Q181">
        <f>IF(ISBLANK('Data Entry'!Q181), "", 'Data Entry'!Q181)</f>
      </c>
      <c r="R181">
        <f>IF(ISBLANK('Data Entry'!R181), "", 'Data Entry'!R181)</f>
      </c>
      <c r="S181">
        <f>IF(ISBLANK('Data Entry'!S181), "", 'Data Entry'!S181)</f>
      </c>
      <c r="T181">
        <f>IF(ISBLANK('Data Entry'!T181), "", 'Data Entry'!T181)</f>
      </c>
      <c r="U181">
        <f>IF(ISBLANK('Data Entry'!U181), "", 'Data Entry'!U181)</f>
      </c>
      <c r="V181">
        <f>IF(ISBLANK('Data Entry'!V181), "", 'Data Entry'!V181)</f>
      </c>
      <c r="W181">
        <f>IF(ISBLANK('Data Entry'!W181), "", 'Data Entry'!W181)</f>
      </c>
      <c r="X181">
        <f>IF(ISBLANK('Data Entry'!X181), "", 'Data Entry'!X181)</f>
      </c>
      <c r="Y181">
        <f>IF(ISBLANK('Data Entry'!Y181), "", 'Data Entry'!Y181)</f>
      </c>
      <c r="Z181">
        <f>IF(ISBLANK('Data Entry'!Z181), "", 'Data Entry'!Z181)</f>
      </c>
      <c r="AA181">
        <f>IF(ISBLANK('Data Entry'![181), "", 'Data Entry'![181)</f>
      </c>
      <c r="AB181">
        <f>IF(ISBLANK('Data Entry'!\181), "", 'Data Entry'!\181)</f>
      </c>
      <c r="AC181">
        <f>IF(ISBLANK('Data Entry'!]181), "", 'Data Entry'!]181)</f>
      </c>
      <c r="AD181">
        <f>IF(ISBLANK('Data Entry'!^181), "", 'Data Entry'!^181)</f>
      </c>
      <c r="AE181">
        <f>IF(ISBLANK('Data Entry'!_181), "", 'Data Entry'!_181)</f>
      </c>
      <c r="AF181">
        <f>IF(ISBLANK('Data Entry'!`181), "", 'Data Entry'!`181)</f>
      </c>
      <c r="AG181">
        <f>IF(ISBLANK('Data Entry'!a181), "", 'Data Entry'!a181)</f>
      </c>
      <c r="AH181">
        <f>IF(ISBLANK('Data Entry'!b181), "", 'Data Entry'!b181)</f>
      </c>
      <c r="AI181">
        <f>IF(ISBLANK('Data Entry'!c181), "", 'Data Entry'!c181)</f>
      </c>
      <c r="AJ181">
        <f>IF(ISBLANK('Data Entry'!d181), "", 'Data Entry'!d181)</f>
      </c>
      <c r="AK181">
        <f>IF(ISBLANK('Data Entry'!e181), "", 'Data Entry'!e181)</f>
      </c>
      <c r="AL181">
        <f>IF(ISBLANK('Data Entry'!f181), "", 'Data Entry'!f181)</f>
      </c>
      <c r="AM181">
        <f>IF(ISBLANK('Data Entry'!g181), "", 'Data Entry'!g181)</f>
      </c>
      <c r="AN181">
        <f>IF(ISBLANK('Data Entry'!h181), "", 'Data Entry'!h181)</f>
      </c>
    </row>
    <row r="182" spans="1:40" x14ac:dyDescent="0.25">
      <c r="A182">
        <f>IF(ISBLANK('Data Entry'!A182), "", 'Data Entry'!A182)</f>
      </c>
      <c r="B182">
        <f>IF(ISBLANK('Data Entry'!B182), "", 'Data Entry'!B182)</f>
      </c>
      <c r="C182">
        <f>IF(ISBLANK('Data Entry'!C182), "", 'Data Entry'!C182)</f>
      </c>
      <c r="D182">
        <f>IF(ISBLANK('Data Entry'!D182), "", 'Data Entry'!D182)</f>
      </c>
      <c r="E182">
        <f>IF(ISBLANK('Data Entry'!E182), "", 'Data Entry'!E182)</f>
      </c>
      <c r="F182">
        <f>IF(ISBLANK('Data Entry'!F182), "", 'Data Entry'!F182)</f>
      </c>
      <c r="G182">
        <f>IF(ISBLANK('Data Entry'!G182), "", 'Data Entry'!G182)</f>
      </c>
      <c r="H182">
        <f>IF(ISBLANK('Data Entry'!H182), "", 'Data Entry'!H182)</f>
      </c>
      <c r="I182">
        <f>IF(ISBLANK('Data Entry'!I182), "", 'Data Entry'!I182)</f>
      </c>
      <c r="J182">
        <f>IF(ISBLANK('Data Entry'!J182), "", 'Data Entry'!J182)</f>
      </c>
      <c r="K182">
        <f>IF(ISBLANK('Data Entry'!K182), "", 'Data Entry'!K182)</f>
      </c>
      <c r="L182">
        <f>IF(ISBLANK('Data Entry'!L182), "", 'Data Entry'!L182)</f>
      </c>
      <c r="M182">
        <f>IF(ISBLANK('Data Entry'!M182), "", 'Data Entry'!M182)</f>
      </c>
      <c r="N182">
        <f>IF(ISBLANK('Data Entry'!N182), "", 'Data Entry'!N182)</f>
      </c>
      <c r="O182">
        <f>IF(ISBLANK('Data Entry'!O182), "", 'Data Entry'!O182)</f>
      </c>
      <c r="P182">
        <f>IF(ISBLANK('Data Entry'!P182), "", 'Data Entry'!P182)</f>
      </c>
      <c r="Q182">
        <f>IF(ISBLANK('Data Entry'!Q182), "", 'Data Entry'!Q182)</f>
      </c>
      <c r="R182">
        <f>IF(ISBLANK('Data Entry'!R182), "", 'Data Entry'!R182)</f>
      </c>
      <c r="S182">
        <f>IF(ISBLANK('Data Entry'!S182), "", 'Data Entry'!S182)</f>
      </c>
      <c r="T182">
        <f>IF(ISBLANK('Data Entry'!T182), "", 'Data Entry'!T182)</f>
      </c>
      <c r="U182">
        <f>IF(ISBLANK('Data Entry'!U182), "", 'Data Entry'!U182)</f>
      </c>
      <c r="V182">
        <f>IF(ISBLANK('Data Entry'!V182), "", 'Data Entry'!V182)</f>
      </c>
      <c r="W182">
        <f>IF(ISBLANK('Data Entry'!W182), "", 'Data Entry'!W182)</f>
      </c>
      <c r="X182">
        <f>IF(ISBLANK('Data Entry'!X182), "", 'Data Entry'!X182)</f>
      </c>
      <c r="Y182">
        <f>IF(ISBLANK('Data Entry'!Y182), "", 'Data Entry'!Y182)</f>
      </c>
      <c r="Z182">
        <f>IF(ISBLANK('Data Entry'!Z182), "", 'Data Entry'!Z182)</f>
      </c>
      <c r="AA182">
        <f>IF(ISBLANK('Data Entry'![182), "", 'Data Entry'![182)</f>
      </c>
      <c r="AB182">
        <f>IF(ISBLANK('Data Entry'!\182), "", 'Data Entry'!\182)</f>
      </c>
      <c r="AC182">
        <f>IF(ISBLANK('Data Entry'!]182), "", 'Data Entry'!]182)</f>
      </c>
      <c r="AD182">
        <f>IF(ISBLANK('Data Entry'!^182), "", 'Data Entry'!^182)</f>
      </c>
      <c r="AE182">
        <f>IF(ISBLANK('Data Entry'!_182), "", 'Data Entry'!_182)</f>
      </c>
      <c r="AF182">
        <f>IF(ISBLANK('Data Entry'!`182), "", 'Data Entry'!`182)</f>
      </c>
      <c r="AG182">
        <f>IF(ISBLANK('Data Entry'!a182), "", 'Data Entry'!a182)</f>
      </c>
      <c r="AH182">
        <f>IF(ISBLANK('Data Entry'!b182), "", 'Data Entry'!b182)</f>
      </c>
      <c r="AI182">
        <f>IF(ISBLANK('Data Entry'!c182), "", 'Data Entry'!c182)</f>
      </c>
      <c r="AJ182">
        <f>IF(ISBLANK('Data Entry'!d182), "", 'Data Entry'!d182)</f>
      </c>
      <c r="AK182">
        <f>IF(ISBLANK('Data Entry'!e182), "", 'Data Entry'!e182)</f>
      </c>
      <c r="AL182">
        <f>IF(ISBLANK('Data Entry'!f182), "", 'Data Entry'!f182)</f>
      </c>
      <c r="AM182">
        <f>IF(ISBLANK('Data Entry'!g182), "", 'Data Entry'!g182)</f>
      </c>
      <c r="AN182">
        <f>IF(ISBLANK('Data Entry'!h182), "", 'Data Entry'!h182)</f>
      </c>
    </row>
    <row r="183" spans="1:40" x14ac:dyDescent="0.25">
      <c r="A183">
        <f>IF(ISBLANK('Data Entry'!A183), "", 'Data Entry'!A183)</f>
      </c>
      <c r="B183">
        <f>IF(ISBLANK('Data Entry'!B183), "", 'Data Entry'!B183)</f>
      </c>
      <c r="C183">
        <f>IF(ISBLANK('Data Entry'!C183), "", 'Data Entry'!C183)</f>
      </c>
      <c r="D183">
        <f>IF(ISBLANK('Data Entry'!D183), "", 'Data Entry'!D183)</f>
      </c>
      <c r="E183">
        <f>IF(ISBLANK('Data Entry'!E183), "", 'Data Entry'!E183)</f>
      </c>
      <c r="F183">
        <f>IF(ISBLANK('Data Entry'!F183), "", 'Data Entry'!F183)</f>
      </c>
      <c r="G183">
        <f>IF(ISBLANK('Data Entry'!G183), "", 'Data Entry'!G183)</f>
      </c>
      <c r="H183">
        <f>IF(ISBLANK('Data Entry'!H183), "", 'Data Entry'!H183)</f>
      </c>
      <c r="I183">
        <f>IF(ISBLANK('Data Entry'!I183), "", 'Data Entry'!I183)</f>
      </c>
      <c r="J183">
        <f>IF(ISBLANK('Data Entry'!J183), "", 'Data Entry'!J183)</f>
      </c>
      <c r="K183">
        <f>IF(ISBLANK('Data Entry'!K183), "", 'Data Entry'!K183)</f>
      </c>
      <c r="L183">
        <f>IF(ISBLANK('Data Entry'!L183), "", 'Data Entry'!L183)</f>
      </c>
      <c r="M183">
        <f>IF(ISBLANK('Data Entry'!M183), "", 'Data Entry'!M183)</f>
      </c>
      <c r="N183">
        <f>IF(ISBLANK('Data Entry'!N183), "", 'Data Entry'!N183)</f>
      </c>
      <c r="O183">
        <f>IF(ISBLANK('Data Entry'!O183), "", 'Data Entry'!O183)</f>
      </c>
      <c r="P183">
        <f>IF(ISBLANK('Data Entry'!P183), "", 'Data Entry'!P183)</f>
      </c>
      <c r="Q183">
        <f>IF(ISBLANK('Data Entry'!Q183), "", 'Data Entry'!Q183)</f>
      </c>
      <c r="R183">
        <f>IF(ISBLANK('Data Entry'!R183), "", 'Data Entry'!R183)</f>
      </c>
      <c r="S183">
        <f>IF(ISBLANK('Data Entry'!S183), "", 'Data Entry'!S183)</f>
      </c>
      <c r="T183">
        <f>IF(ISBLANK('Data Entry'!T183), "", 'Data Entry'!T183)</f>
      </c>
      <c r="U183">
        <f>IF(ISBLANK('Data Entry'!U183), "", 'Data Entry'!U183)</f>
      </c>
      <c r="V183">
        <f>IF(ISBLANK('Data Entry'!V183), "", 'Data Entry'!V183)</f>
      </c>
      <c r="W183">
        <f>IF(ISBLANK('Data Entry'!W183), "", 'Data Entry'!W183)</f>
      </c>
      <c r="X183">
        <f>IF(ISBLANK('Data Entry'!X183), "", 'Data Entry'!X183)</f>
      </c>
      <c r="Y183">
        <f>IF(ISBLANK('Data Entry'!Y183), "", 'Data Entry'!Y183)</f>
      </c>
      <c r="Z183">
        <f>IF(ISBLANK('Data Entry'!Z183), "", 'Data Entry'!Z183)</f>
      </c>
      <c r="AA183">
        <f>IF(ISBLANK('Data Entry'![183), "", 'Data Entry'![183)</f>
      </c>
      <c r="AB183">
        <f>IF(ISBLANK('Data Entry'!\183), "", 'Data Entry'!\183)</f>
      </c>
      <c r="AC183">
        <f>IF(ISBLANK('Data Entry'!]183), "", 'Data Entry'!]183)</f>
      </c>
      <c r="AD183">
        <f>IF(ISBLANK('Data Entry'!^183), "", 'Data Entry'!^183)</f>
      </c>
      <c r="AE183">
        <f>IF(ISBLANK('Data Entry'!_183), "", 'Data Entry'!_183)</f>
      </c>
      <c r="AF183">
        <f>IF(ISBLANK('Data Entry'!`183), "", 'Data Entry'!`183)</f>
      </c>
      <c r="AG183">
        <f>IF(ISBLANK('Data Entry'!a183), "", 'Data Entry'!a183)</f>
      </c>
      <c r="AH183">
        <f>IF(ISBLANK('Data Entry'!b183), "", 'Data Entry'!b183)</f>
      </c>
      <c r="AI183">
        <f>IF(ISBLANK('Data Entry'!c183), "", 'Data Entry'!c183)</f>
      </c>
      <c r="AJ183">
        <f>IF(ISBLANK('Data Entry'!d183), "", 'Data Entry'!d183)</f>
      </c>
      <c r="AK183">
        <f>IF(ISBLANK('Data Entry'!e183), "", 'Data Entry'!e183)</f>
      </c>
      <c r="AL183">
        <f>IF(ISBLANK('Data Entry'!f183), "", 'Data Entry'!f183)</f>
      </c>
      <c r="AM183">
        <f>IF(ISBLANK('Data Entry'!g183), "", 'Data Entry'!g183)</f>
      </c>
      <c r="AN183">
        <f>IF(ISBLANK('Data Entry'!h183), "", 'Data Entry'!h183)</f>
      </c>
    </row>
    <row r="184" spans="1:40" x14ac:dyDescent="0.25">
      <c r="A184">
        <f>IF(ISBLANK('Data Entry'!A184), "", 'Data Entry'!A184)</f>
      </c>
      <c r="B184">
        <f>IF(ISBLANK('Data Entry'!B184), "", 'Data Entry'!B184)</f>
      </c>
      <c r="C184">
        <f>IF(ISBLANK('Data Entry'!C184), "", 'Data Entry'!C184)</f>
      </c>
      <c r="D184">
        <f>IF(ISBLANK('Data Entry'!D184), "", 'Data Entry'!D184)</f>
      </c>
      <c r="E184">
        <f>IF(ISBLANK('Data Entry'!E184), "", 'Data Entry'!E184)</f>
      </c>
      <c r="F184">
        <f>IF(ISBLANK('Data Entry'!F184), "", 'Data Entry'!F184)</f>
      </c>
      <c r="G184">
        <f>IF(ISBLANK('Data Entry'!G184), "", 'Data Entry'!G184)</f>
      </c>
      <c r="H184">
        <f>IF(ISBLANK('Data Entry'!H184), "", 'Data Entry'!H184)</f>
      </c>
      <c r="I184">
        <f>IF(ISBLANK('Data Entry'!I184), "", 'Data Entry'!I184)</f>
      </c>
      <c r="J184">
        <f>IF(ISBLANK('Data Entry'!J184), "", 'Data Entry'!J184)</f>
      </c>
      <c r="K184">
        <f>IF(ISBLANK('Data Entry'!K184), "", 'Data Entry'!K184)</f>
      </c>
      <c r="L184">
        <f>IF(ISBLANK('Data Entry'!L184), "", 'Data Entry'!L184)</f>
      </c>
      <c r="M184">
        <f>IF(ISBLANK('Data Entry'!M184), "", 'Data Entry'!M184)</f>
      </c>
      <c r="N184">
        <f>IF(ISBLANK('Data Entry'!N184), "", 'Data Entry'!N184)</f>
      </c>
      <c r="O184">
        <f>IF(ISBLANK('Data Entry'!O184), "", 'Data Entry'!O184)</f>
      </c>
      <c r="P184">
        <f>IF(ISBLANK('Data Entry'!P184), "", 'Data Entry'!P184)</f>
      </c>
      <c r="Q184">
        <f>IF(ISBLANK('Data Entry'!Q184), "", 'Data Entry'!Q184)</f>
      </c>
      <c r="R184">
        <f>IF(ISBLANK('Data Entry'!R184), "", 'Data Entry'!R184)</f>
      </c>
      <c r="S184">
        <f>IF(ISBLANK('Data Entry'!S184), "", 'Data Entry'!S184)</f>
      </c>
      <c r="T184">
        <f>IF(ISBLANK('Data Entry'!T184), "", 'Data Entry'!T184)</f>
      </c>
      <c r="U184">
        <f>IF(ISBLANK('Data Entry'!U184), "", 'Data Entry'!U184)</f>
      </c>
      <c r="V184">
        <f>IF(ISBLANK('Data Entry'!V184), "", 'Data Entry'!V184)</f>
      </c>
      <c r="W184">
        <f>IF(ISBLANK('Data Entry'!W184), "", 'Data Entry'!W184)</f>
      </c>
      <c r="X184">
        <f>IF(ISBLANK('Data Entry'!X184), "", 'Data Entry'!X184)</f>
      </c>
      <c r="Y184">
        <f>IF(ISBLANK('Data Entry'!Y184), "", 'Data Entry'!Y184)</f>
      </c>
      <c r="Z184">
        <f>IF(ISBLANK('Data Entry'!Z184), "", 'Data Entry'!Z184)</f>
      </c>
      <c r="AA184">
        <f>IF(ISBLANK('Data Entry'![184), "", 'Data Entry'![184)</f>
      </c>
      <c r="AB184">
        <f>IF(ISBLANK('Data Entry'!\184), "", 'Data Entry'!\184)</f>
      </c>
      <c r="AC184">
        <f>IF(ISBLANK('Data Entry'!]184), "", 'Data Entry'!]184)</f>
      </c>
      <c r="AD184">
        <f>IF(ISBLANK('Data Entry'!^184), "", 'Data Entry'!^184)</f>
      </c>
      <c r="AE184">
        <f>IF(ISBLANK('Data Entry'!_184), "", 'Data Entry'!_184)</f>
      </c>
      <c r="AF184">
        <f>IF(ISBLANK('Data Entry'!`184), "", 'Data Entry'!`184)</f>
      </c>
      <c r="AG184">
        <f>IF(ISBLANK('Data Entry'!a184), "", 'Data Entry'!a184)</f>
      </c>
      <c r="AH184">
        <f>IF(ISBLANK('Data Entry'!b184), "", 'Data Entry'!b184)</f>
      </c>
      <c r="AI184">
        <f>IF(ISBLANK('Data Entry'!c184), "", 'Data Entry'!c184)</f>
      </c>
      <c r="AJ184">
        <f>IF(ISBLANK('Data Entry'!d184), "", 'Data Entry'!d184)</f>
      </c>
      <c r="AK184">
        <f>IF(ISBLANK('Data Entry'!e184), "", 'Data Entry'!e184)</f>
      </c>
      <c r="AL184">
        <f>IF(ISBLANK('Data Entry'!f184), "", 'Data Entry'!f184)</f>
      </c>
      <c r="AM184">
        <f>IF(ISBLANK('Data Entry'!g184), "", 'Data Entry'!g184)</f>
      </c>
      <c r="AN184">
        <f>IF(ISBLANK('Data Entry'!h184), "", 'Data Entry'!h184)</f>
      </c>
    </row>
    <row r="185" spans="1:40" x14ac:dyDescent="0.25">
      <c r="A185">
        <f>IF(ISBLANK('Data Entry'!A185), "", 'Data Entry'!A185)</f>
      </c>
      <c r="B185">
        <f>IF(ISBLANK('Data Entry'!B185), "", 'Data Entry'!B185)</f>
      </c>
      <c r="C185">
        <f>IF(ISBLANK('Data Entry'!C185), "", 'Data Entry'!C185)</f>
      </c>
      <c r="D185">
        <f>IF(ISBLANK('Data Entry'!D185), "", 'Data Entry'!D185)</f>
      </c>
      <c r="E185">
        <f>IF(ISBLANK('Data Entry'!E185), "", 'Data Entry'!E185)</f>
      </c>
      <c r="F185">
        <f>IF(ISBLANK('Data Entry'!F185), "", 'Data Entry'!F185)</f>
      </c>
      <c r="G185">
        <f>IF(ISBLANK('Data Entry'!G185), "", 'Data Entry'!G185)</f>
      </c>
      <c r="H185">
        <f>IF(ISBLANK('Data Entry'!H185), "", 'Data Entry'!H185)</f>
      </c>
      <c r="I185">
        <f>IF(ISBLANK('Data Entry'!I185), "", 'Data Entry'!I185)</f>
      </c>
      <c r="J185">
        <f>IF(ISBLANK('Data Entry'!J185), "", 'Data Entry'!J185)</f>
      </c>
      <c r="K185">
        <f>IF(ISBLANK('Data Entry'!K185), "", 'Data Entry'!K185)</f>
      </c>
      <c r="L185">
        <f>IF(ISBLANK('Data Entry'!L185), "", 'Data Entry'!L185)</f>
      </c>
      <c r="M185">
        <f>IF(ISBLANK('Data Entry'!M185), "", 'Data Entry'!M185)</f>
      </c>
      <c r="N185">
        <f>IF(ISBLANK('Data Entry'!N185), "", 'Data Entry'!N185)</f>
      </c>
      <c r="O185">
        <f>IF(ISBLANK('Data Entry'!O185), "", 'Data Entry'!O185)</f>
      </c>
      <c r="P185">
        <f>IF(ISBLANK('Data Entry'!P185), "", 'Data Entry'!P185)</f>
      </c>
      <c r="Q185">
        <f>IF(ISBLANK('Data Entry'!Q185), "", 'Data Entry'!Q185)</f>
      </c>
      <c r="R185">
        <f>IF(ISBLANK('Data Entry'!R185), "", 'Data Entry'!R185)</f>
      </c>
      <c r="S185">
        <f>IF(ISBLANK('Data Entry'!S185), "", 'Data Entry'!S185)</f>
      </c>
      <c r="T185">
        <f>IF(ISBLANK('Data Entry'!T185), "", 'Data Entry'!T185)</f>
      </c>
      <c r="U185">
        <f>IF(ISBLANK('Data Entry'!U185), "", 'Data Entry'!U185)</f>
      </c>
      <c r="V185">
        <f>IF(ISBLANK('Data Entry'!V185), "", 'Data Entry'!V185)</f>
      </c>
      <c r="W185">
        <f>IF(ISBLANK('Data Entry'!W185), "", 'Data Entry'!W185)</f>
      </c>
      <c r="X185">
        <f>IF(ISBLANK('Data Entry'!X185), "", 'Data Entry'!X185)</f>
      </c>
      <c r="Y185">
        <f>IF(ISBLANK('Data Entry'!Y185), "", 'Data Entry'!Y185)</f>
      </c>
      <c r="Z185">
        <f>IF(ISBLANK('Data Entry'!Z185), "", 'Data Entry'!Z185)</f>
      </c>
      <c r="AA185">
        <f>IF(ISBLANK('Data Entry'![185), "", 'Data Entry'![185)</f>
      </c>
      <c r="AB185">
        <f>IF(ISBLANK('Data Entry'!\185), "", 'Data Entry'!\185)</f>
      </c>
      <c r="AC185">
        <f>IF(ISBLANK('Data Entry'!]185), "", 'Data Entry'!]185)</f>
      </c>
      <c r="AD185">
        <f>IF(ISBLANK('Data Entry'!^185), "", 'Data Entry'!^185)</f>
      </c>
      <c r="AE185">
        <f>IF(ISBLANK('Data Entry'!_185), "", 'Data Entry'!_185)</f>
      </c>
      <c r="AF185">
        <f>IF(ISBLANK('Data Entry'!`185), "", 'Data Entry'!`185)</f>
      </c>
      <c r="AG185">
        <f>IF(ISBLANK('Data Entry'!a185), "", 'Data Entry'!a185)</f>
      </c>
      <c r="AH185">
        <f>IF(ISBLANK('Data Entry'!b185), "", 'Data Entry'!b185)</f>
      </c>
      <c r="AI185">
        <f>IF(ISBLANK('Data Entry'!c185), "", 'Data Entry'!c185)</f>
      </c>
      <c r="AJ185">
        <f>IF(ISBLANK('Data Entry'!d185), "", 'Data Entry'!d185)</f>
      </c>
      <c r="AK185">
        <f>IF(ISBLANK('Data Entry'!e185), "", 'Data Entry'!e185)</f>
      </c>
      <c r="AL185">
        <f>IF(ISBLANK('Data Entry'!f185), "", 'Data Entry'!f185)</f>
      </c>
      <c r="AM185">
        <f>IF(ISBLANK('Data Entry'!g185), "", 'Data Entry'!g185)</f>
      </c>
      <c r="AN185">
        <f>IF(ISBLANK('Data Entry'!h185), "", 'Data Entry'!h185)</f>
      </c>
    </row>
    <row r="186" spans="1:40" x14ac:dyDescent="0.25">
      <c r="A186">
        <f>IF(ISBLANK('Data Entry'!A186), "", 'Data Entry'!A186)</f>
      </c>
      <c r="B186">
        <f>IF(ISBLANK('Data Entry'!B186), "", 'Data Entry'!B186)</f>
      </c>
      <c r="C186">
        <f>IF(ISBLANK('Data Entry'!C186), "", 'Data Entry'!C186)</f>
      </c>
      <c r="D186">
        <f>IF(ISBLANK('Data Entry'!D186), "", 'Data Entry'!D186)</f>
      </c>
      <c r="E186">
        <f>IF(ISBLANK('Data Entry'!E186), "", 'Data Entry'!E186)</f>
      </c>
      <c r="F186">
        <f>IF(ISBLANK('Data Entry'!F186), "", 'Data Entry'!F186)</f>
      </c>
      <c r="G186">
        <f>IF(ISBLANK('Data Entry'!G186), "", 'Data Entry'!G186)</f>
      </c>
      <c r="H186">
        <f>IF(ISBLANK('Data Entry'!H186), "", 'Data Entry'!H186)</f>
      </c>
      <c r="I186">
        <f>IF(ISBLANK('Data Entry'!I186), "", 'Data Entry'!I186)</f>
      </c>
      <c r="J186">
        <f>IF(ISBLANK('Data Entry'!J186), "", 'Data Entry'!J186)</f>
      </c>
      <c r="K186">
        <f>IF(ISBLANK('Data Entry'!K186), "", 'Data Entry'!K186)</f>
      </c>
      <c r="L186">
        <f>IF(ISBLANK('Data Entry'!L186), "", 'Data Entry'!L186)</f>
      </c>
      <c r="M186">
        <f>IF(ISBLANK('Data Entry'!M186), "", 'Data Entry'!M186)</f>
      </c>
      <c r="N186">
        <f>IF(ISBLANK('Data Entry'!N186), "", 'Data Entry'!N186)</f>
      </c>
      <c r="O186">
        <f>IF(ISBLANK('Data Entry'!O186), "", 'Data Entry'!O186)</f>
      </c>
      <c r="P186">
        <f>IF(ISBLANK('Data Entry'!P186), "", 'Data Entry'!P186)</f>
      </c>
      <c r="Q186">
        <f>IF(ISBLANK('Data Entry'!Q186), "", 'Data Entry'!Q186)</f>
      </c>
      <c r="R186">
        <f>IF(ISBLANK('Data Entry'!R186), "", 'Data Entry'!R186)</f>
      </c>
      <c r="S186">
        <f>IF(ISBLANK('Data Entry'!S186), "", 'Data Entry'!S186)</f>
      </c>
      <c r="T186">
        <f>IF(ISBLANK('Data Entry'!T186), "", 'Data Entry'!T186)</f>
      </c>
      <c r="U186">
        <f>IF(ISBLANK('Data Entry'!U186), "", 'Data Entry'!U186)</f>
      </c>
      <c r="V186">
        <f>IF(ISBLANK('Data Entry'!V186), "", 'Data Entry'!V186)</f>
      </c>
      <c r="W186">
        <f>IF(ISBLANK('Data Entry'!W186), "", 'Data Entry'!W186)</f>
      </c>
      <c r="X186">
        <f>IF(ISBLANK('Data Entry'!X186), "", 'Data Entry'!X186)</f>
      </c>
      <c r="Y186">
        <f>IF(ISBLANK('Data Entry'!Y186), "", 'Data Entry'!Y186)</f>
      </c>
      <c r="Z186">
        <f>IF(ISBLANK('Data Entry'!Z186), "", 'Data Entry'!Z186)</f>
      </c>
      <c r="AA186">
        <f>IF(ISBLANK('Data Entry'![186), "", 'Data Entry'![186)</f>
      </c>
      <c r="AB186">
        <f>IF(ISBLANK('Data Entry'!\186), "", 'Data Entry'!\186)</f>
      </c>
      <c r="AC186">
        <f>IF(ISBLANK('Data Entry'!]186), "", 'Data Entry'!]186)</f>
      </c>
      <c r="AD186">
        <f>IF(ISBLANK('Data Entry'!^186), "", 'Data Entry'!^186)</f>
      </c>
      <c r="AE186">
        <f>IF(ISBLANK('Data Entry'!_186), "", 'Data Entry'!_186)</f>
      </c>
      <c r="AF186">
        <f>IF(ISBLANK('Data Entry'!`186), "", 'Data Entry'!`186)</f>
      </c>
      <c r="AG186">
        <f>IF(ISBLANK('Data Entry'!a186), "", 'Data Entry'!a186)</f>
      </c>
      <c r="AH186">
        <f>IF(ISBLANK('Data Entry'!b186), "", 'Data Entry'!b186)</f>
      </c>
      <c r="AI186">
        <f>IF(ISBLANK('Data Entry'!c186), "", 'Data Entry'!c186)</f>
      </c>
      <c r="AJ186">
        <f>IF(ISBLANK('Data Entry'!d186), "", 'Data Entry'!d186)</f>
      </c>
      <c r="AK186">
        <f>IF(ISBLANK('Data Entry'!e186), "", 'Data Entry'!e186)</f>
      </c>
      <c r="AL186">
        <f>IF(ISBLANK('Data Entry'!f186), "", 'Data Entry'!f186)</f>
      </c>
      <c r="AM186">
        <f>IF(ISBLANK('Data Entry'!g186), "", 'Data Entry'!g186)</f>
      </c>
      <c r="AN186">
        <f>IF(ISBLANK('Data Entry'!h186), "", 'Data Entry'!h186)</f>
      </c>
    </row>
    <row r="187" spans="1:40" x14ac:dyDescent="0.25">
      <c r="A187">
        <f>IF(ISBLANK('Data Entry'!A187), "", 'Data Entry'!A187)</f>
      </c>
      <c r="B187">
        <f>IF(ISBLANK('Data Entry'!B187), "", 'Data Entry'!B187)</f>
      </c>
      <c r="C187">
        <f>IF(ISBLANK('Data Entry'!C187), "", 'Data Entry'!C187)</f>
      </c>
      <c r="D187">
        <f>IF(ISBLANK('Data Entry'!D187), "", 'Data Entry'!D187)</f>
      </c>
      <c r="E187">
        <f>IF(ISBLANK('Data Entry'!E187), "", 'Data Entry'!E187)</f>
      </c>
      <c r="F187">
        <f>IF(ISBLANK('Data Entry'!F187), "", 'Data Entry'!F187)</f>
      </c>
      <c r="G187">
        <f>IF(ISBLANK('Data Entry'!G187), "", 'Data Entry'!G187)</f>
      </c>
      <c r="H187">
        <f>IF(ISBLANK('Data Entry'!H187), "", 'Data Entry'!H187)</f>
      </c>
      <c r="I187">
        <f>IF(ISBLANK('Data Entry'!I187), "", 'Data Entry'!I187)</f>
      </c>
      <c r="J187">
        <f>IF(ISBLANK('Data Entry'!J187), "", 'Data Entry'!J187)</f>
      </c>
      <c r="K187">
        <f>IF(ISBLANK('Data Entry'!K187), "", 'Data Entry'!K187)</f>
      </c>
      <c r="L187">
        <f>IF(ISBLANK('Data Entry'!L187), "", 'Data Entry'!L187)</f>
      </c>
      <c r="M187">
        <f>IF(ISBLANK('Data Entry'!M187), "", 'Data Entry'!M187)</f>
      </c>
      <c r="N187">
        <f>IF(ISBLANK('Data Entry'!N187), "", 'Data Entry'!N187)</f>
      </c>
      <c r="O187">
        <f>IF(ISBLANK('Data Entry'!O187), "", 'Data Entry'!O187)</f>
      </c>
      <c r="P187">
        <f>IF(ISBLANK('Data Entry'!P187), "", 'Data Entry'!P187)</f>
      </c>
      <c r="Q187">
        <f>IF(ISBLANK('Data Entry'!Q187), "", 'Data Entry'!Q187)</f>
      </c>
      <c r="R187">
        <f>IF(ISBLANK('Data Entry'!R187), "", 'Data Entry'!R187)</f>
      </c>
      <c r="S187">
        <f>IF(ISBLANK('Data Entry'!S187), "", 'Data Entry'!S187)</f>
      </c>
      <c r="T187">
        <f>IF(ISBLANK('Data Entry'!T187), "", 'Data Entry'!T187)</f>
      </c>
      <c r="U187">
        <f>IF(ISBLANK('Data Entry'!U187), "", 'Data Entry'!U187)</f>
      </c>
      <c r="V187">
        <f>IF(ISBLANK('Data Entry'!V187), "", 'Data Entry'!V187)</f>
      </c>
      <c r="W187">
        <f>IF(ISBLANK('Data Entry'!W187), "", 'Data Entry'!W187)</f>
      </c>
      <c r="X187">
        <f>IF(ISBLANK('Data Entry'!X187), "", 'Data Entry'!X187)</f>
      </c>
      <c r="Y187">
        <f>IF(ISBLANK('Data Entry'!Y187), "", 'Data Entry'!Y187)</f>
      </c>
      <c r="Z187">
        <f>IF(ISBLANK('Data Entry'!Z187), "", 'Data Entry'!Z187)</f>
      </c>
      <c r="AA187">
        <f>IF(ISBLANK('Data Entry'![187), "", 'Data Entry'![187)</f>
      </c>
      <c r="AB187">
        <f>IF(ISBLANK('Data Entry'!\187), "", 'Data Entry'!\187)</f>
      </c>
      <c r="AC187">
        <f>IF(ISBLANK('Data Entry'!]187), "", 'Data Entry'!]187)</f>
      </c>
      <c r="AD187">
        <f>IF(ISBLANK('Data Entry'!^187), "", 'Data Entry'!^187)</f>
      </c>
      <c r="AE187">
        <f>IF(ISBLANK('Data Entry'!_187), "", 'Data Entry'!_187)</f>
      </c>
      <c r="AF187">
        <f>IF(ISBLANK('Data Entry'!`187), "", 'Data Entry'!`187)</f>
      </c>
      <c r="AG187">
        <f>IF(ISBLANK('Data Entry'!a187), "", 'Data Entry'!a187)</f>
      </c>
      <c r="AH187">
        <f>IF(ISBLANK('Data Entry'!b187), "", 'Data Entry'!b187)</f>
      </c>
      <c r="AI187">
        <f>IF(ISBLANK('Data Entry'!c187), "", 'Data Entry'!c187)</f>
      </c>
      <c r="AJ187">
        <f>IF(ISBLANK('Data Entry'!d187), "", 'Data Entry'!d187)</f>
      </c>
      <c r="AK187">
        <f>IF(ISBLANK('Data Entry'!e187), "", 'Data Entry'!e187)</f>
      </c>
      <c r="AL187">
        <f>IF(ISBLANK('Data Entry'!f187), "", 'Data Entry'!f187)</f>
      </c>
      <c r="AM187">
        <f>IF(ISBLANK('Data Entry'!g187), "", 'Data Entry'!g187)</f>
      </c>
      <c r="AN187">
        <f>IF(ISBLANK('Data Entry'!h187), "", 'Data Entry'!h187)</f>
      </c>
    </row>
    <row r="188" spans="1:40" x14ac:dyDescent="0.25">
      <c r="A188">
        <f>IF(ISBLANK('Data Entry'!A188), "", 'Data Entry'!A188)</f>
      </c>
      <c r="B188">
        <f>IF(ISBLANK('Data Entry'!B188), "", 'Data Entry'!B188)</f>
      </c>
      <c r="C188">
        <f>IF(ISBLANK('Data Entry'!C188), "", 'Data Entry'!C188)</f>
      </c>
      <c r="D188">
        <f>IF(ISBLANK('Data Entry'!D188), "", 'Data Entry'!D188)</f>
      </c>
      <c r="E188">
        <f>IF(ISBLANK('Data Entry'!E188), "", 'Data Entry'!E188)</f>
      </c>
      <c r="F188">
        <f>IF(ISBLANK('Data Entry'!F188), "", 'Data Entry'!F188)</f>
      </c>
      <c r="G188">
        <f>IF(ISBLANK('Data Entry'!G188), "", 'Data Entry'!G188)</f>
      </c>
      <c r="H188">
        <f>IF(ISBLANK('Data Entry'!H188), "", 'Data Entry'!H188)</f>
      </c>
      <c r="I188">
        <f>IF(ISBLANK('Data Entry'!I188), "", 'Data Entry'!I188)</f>
      </c>
      <c r="J188">
        <f>IF(ISBLANK('Data Entry'!J188), "", 'Data Entry'!J188)</f>
      </c>
      <c r="K188">
        <f>IF(ISBLANK('Data Entry'!K188), "", 'Data Entry'!K188)</f>
      </c>
      <c r="L188">
        <f>IF(ISBLANK('Data Entry'!L188), "", 'Data Entry'!L188)</f>
      </c>
      <c r="M188">
        <f>IF(ISBLANK('Data Entry'!M188), "", 'Data Entry'!M188)</f>
      </c>
      <c r="N188">
        <f>IF(ISBLANK('Data Entry'!N188), "", 'Data Entry'!N188)</f>
      </c>
      <c r="O188">
        <f>IF(ISBLANK('Data Entry'!O188), "", 'Data Entry'!O188)</f>
      </c>
      <c r="P188">
        <f>IF(ISBLANK('Data Entry'!P188), "", 'Data Entry'!P188)</f>
      </c>
      <c r="Q188">
        <f>IF(ISBLANK('Data Entry'!Q188), "", 'Data Entry'!Q188)</f>
      </c>
      <c r="R188">
        <f>IF(ISBLANK('Data Entry'!R188), "", 'Data Entry'!R188)</f>
      </c>
      <c r="S188">
        <f>IF(ISBLANK('Data Entry'!S188), "", 'Data Entry'!S188)</f>
      </c>
      <c r="T188">
        <f>IF(ISBLANK('Data Entry'!T188), "", 'Data Entry'!T188)</f>
      </c>
      <c r="U188">
        <f>IF(ISBLANK('Data Entry'!U188), "", 'Data Entry'!U188)</f>
      </c>
      <c r="V188">
        <f>IF(ISBLANK('Data Entry'!V188), "", 'Data Entry'!V188)</f>
      </c>
      <c r="W188">
        <f>IF(ISBLANK('Data Entry'!W188), "", 'Data Entry'!W188)</f>
      </c>
      <c r="X188">
        <f>IF(ISBLANK('Data Entry'!X188), "", 'Data Entry'!X188)</f>
      </c>
      <c r="Y188">
        <f>IF(ISBLANK('Data Entry'!Y188), "", 'Data Entry'!Y188)</f>
      </c>
      <c r="Z188">
        <f>IF(ISBLANK('Data Entry'!Z188), "", 'Data Entry'!Z188)</f>
      </c>
      <c r="AA188">
        <f>IF(ISBLANK('Data Entry'![188), "", 'Data Entry'![188)</f>
      </c>
      <c r="AB188">
        <f>IF(ISBLANK('Data Entry'!\188), "", 'Data Entry'!\188)</f>
      </c>
      <c r="AC188">
        <f>IF(ISBLANK('Data Entry'!]188), "", 'Data Entry'!]188)</f>
      </c>
      <c r="AD188">
        <f>IF(ISBLANK('Data Entry'!^188), "", 'Data Entry'!^188)</f>
      </c>
      <c r="AE188">
        <f>IF(ISBLANK('Data Entry'!_188), "", 'Data Entry'!_188)</f>
      </c>
      <c r="AF188">
        <f>IF(ISBLANK('Data Entry'!`188), "", 'Data Entry'!`188)</f>
      </c>
      <c r="AG188">
        <f>IF(ISBLANK('Data Entry'!a188), "", 'Data Entry'!a188)</f>
      </c>
      <c r="AH188">
        <f>IF(ISBLANK('Data Entry'!b188), "", 'Data Entry'!b188)</f>
      </c>
      <c r="AI188">
        <f>IF(ISBLANK('Data Entry'!c188), "", 'Data Entry'!c188)</f>
      </c>
      <c r="AJ188">
        <f>IF(ISBLANK('Data Entry'!d188), "", 'Data Entry'!d188)</f>
      </c>
      <c r="AK188">
        <f>IF(ISBLANK('Data Entry'!e188), "", 'Data Entry'!e188)</f>
      </c>
      <c r="AL188">
        <f>IF(ISBLANK('Data Entry'!f188), "", 'Data Entry'!f188)</f>
      </c>
      <c r="AM188">
        <f>IF(ISBLANK('Data Entry'!g188), "", 'Data Entry'!g188)</f>
      </c>
      <c r="AN188">
        <f>IF(ISBLANK('Data Entry'!h188), "", 'Data Entry'!h188)</f>
      </c>
    </row>
    <row r="189" spans="1:40" x14ac:dyDescent="0.25">
      <c r="A189">
        <f>IF(ISBLANK('Data Entry'!A189), "", 'Data Entry'!A189)</f>
      </c>
      <c r="B189">
        <f>IF(ISBLANK('Data Entry'!B189), "", 'Data Entry'!B189)</f>
      </c>
      <c r="C189">
        <f>IF(ISBLANK('Data Entry'!C189), "", 'Data Entry'!C189)</f>
      </c>
      <c r="D189">
        <f>IF(ISBLANK('Data Entry'!D189), "", 'Data Entry'!D189)</f>
      </c>
      <c r="E189">
        <f>IF(ISBLANK('Data Entry'!E189), "", 'Data Entry'!E189)</f>
      </c>
      <c r="F189">
        <f>IF(ISBLANK('Data Entry'!F189), "", 'Data Entry'!F189)</f>
      </c>
      <c r="G189">
        <f>IF(ISBLANK('Data Entry'!G189), "", 'Data Entry'!G189)</f>
      </c>
      <c r="H189">
        <f>IF(ISBLANK('Data Entry'!H189), "", 'Data Entry'!H189)</f>
      </c>
      <c r="I189">
        <f>IF(ISBLANK('Data Entry'!I189), "", 'Data Entry'!I189)</f>
      </c>
      <c r="J189">
        <f>IF(ISBLANK('Data Entry'!J189), "", 'Data Entry'!J189)</f>
      </c>
      <c r="K189">
        <f>IF(ISBLANK('Data Entry'!K189), "", 'Data Entry'!K189)</f>
      </c>
      <c r="L189">
        <f>IF(ISBLANK('Data Entry'!L189), "", 'Data Entry'!L189)</f>
      </c>
      <c r="M189">
        <f>IF(ISBLANK('Data Entry'!M189), "", 'Data Entry'!M189)</f>
      </c>
      <c r="N189">
        <f>IF(ISBLANK('Data Entry'!N189), "", 'Data Entry'!N189)</f>
      </c>
      <c r="O189">
        <f>IF(ISBLANK('Data Entry'!O189), "", 'Data Entry'!O189)</f>
      </c>
      <c r="P189">
        <f>IF(ISBLANK('Data Entry'!P189), "", 'Data Entry'!P189)</f>
      </c>
      <c r="Q189">
        <f>IF(ISBLANK('Data Entry'!Q189), "", 'Data Entry'!Q189)</f>
      </c>
      <c r="R189">
        <f>IF(ISBLANK('Data Entry'!R189), "", 'Data Entry'!R189)</f>
      </c>
      <c r="S189">
        <f>IF(ISBLANK('Data Entry'!S189), "", 'Data Entry'!S189)</f>
      </c>
      <c r="T189">
        <f>IF(ISBLANK('Data Entry'!T189), "", 'Data Entry'!T189)</f>
      </c>
      <c r="U189">
        <f>IF(ISBLANK('Data Entry'!U189), "", 'Data Entry'!U189)</f>
      </c>
      <c r="V189">
        <f>IF(ISBLANK('Data Entry'!V189), "", 'Data Entry'!V189)</f>
      </c>
      <c r="W189">
        <f>IF(ISBLANK('Data Entry'!W189), "", 'Data Entry'!W189)</f>
      </c>
      <c r="X189">
        <f>IF(ISBLANK('Data Entry'!X189), "", 'Data Entry'!X189)</f>
      </c>
      <c r="Y189">
        <f>IF(ISBLANK('Data Entry'!Y189), "", 'Data Entry'!Y189)</f>
      </c>
      <c r="Z189">
        <f>IF(ISBLANK('Data Entry'!Z189), "", 'Data Entry'!Z189)</f>
      </c>
      <c r="AA189">
        <f>IF(ISBLANK('Data Entry'![189), "", 'Data Entry'![189)</f>
      </c>
      <c r="AB189">
        <f>IF(ISBLANK('Data Entry'!\189), "", 'Data Entry'!\189)</f>
      </c>
      <c r="AC189">
        <f>IF(ISBLANK('Data Entry'!]189), "", 'Data Entry'!]189)</f>
      </c>
      <c r="AD189">
        <f>IF(ISBLANK('Data Entry'!^189), "", 'Data Entry'!^189)</f>
      </c>
      <c r="AE189">
        <f>IF(ISBLANK('Data Entry'!_189), "", 'Data Entry'!_189)</f>
      </c>
      <c r="AF189">
        <f>IF(ISBLANK('Data Entry'!`189), "", 'Data Entry'!`189)</f>
      </c>
      <c r="AG189">
        <f>IF(ISBLANK('Data Entry'!a189), "", 'Data Entry'!a189)</f>
      </c>
      <c r="AH189">
        <f>IF(ISBLANK('Data Entry'!b189), "", 'Data Entry'!b189)</f>
      </c>
      <c r="AI189">
        <f>IF(ISBLANK('Data Entry'!c189), "", 'Data Entry'!c189)</f>
      </c>
      <c r="AJ189">
        <f>IF(ISBLANK('Data Entry'!d189), "", 'Data Entry'!d189)</f>
      </c>
      <c r="AK189">
        <f>IF(ISBLANK('Data Entry'!e189), "", 'Data Entry'!e189)</f>
      </c>
      <c r="AL189">
        <f>IF(ISBLANK('Data Entry'!f189), "", 'Data Entry'!f189)</f>
      </c>
      <c r="AM189">
        <f>IF(ISBLANK('Data Entry'!g189), "", 'Data Entry'!g189)</f>
      </c>
      <c r="AN189">
        <f>IF(ISBLANK('Data Entry'!h189), "", 'Data Entry'!h189)</f>
      </c>
    </row>
    <row r="190" spans="1:40" x14ac:dyDescent="0.25">
      <c r="A190">
        <f>IF(ISBLANK('Data Entry'!A190), "", 'Data Entry'!A190)</f>
      </c>
      <c r="B190">
        <f>IF(ISBLANK('Data Entry'!B190), "", 'Data Entry'!B190)</f>
      </c>
      <c r="C190">
        <f>IF(ISBLANK('Data Entry'!C190), "", 'Data Entry'!C190)</f>
      </c>
      <c r="D190">
        <f>IF(ISBLANK('Data Entry'!D190), "", 'Data Entry'!D190)</f>
      </c>
      <c r="E190">
        <f>IF(ISBLANK('Data Entry'!E190), "", 'Data Entry'!E190)</f>
      </c>
      <c r="F190">
        <f>IF(ISBLANK('Data Entry'!F190), "", 'Data Entry'!F190)</f>
      </c>
      <c r="G190">
        <f>IF(ISBLANK('Data Entry'!G190), "", 'Data Entry'!G190)</f>
      </c>
      <c r="H190">
        <f>IF(ISBLANK('Data Entry'!H190), "", 'Data Entry'!H190)</f>
      </c>
      <c r="I190">
        <f>IF(ISBLANK('Data Entry'!I190), "", 'Data Entry'!I190)</f>
      </c>
      <c r="J190">
        <f>IF(ISBLANK('Data Entry'!J190), "", 'Data Entry'!J190)</f>
      </c>
      <c r="K190">
        <f>IF(ISBLANK('Data Entry'!K190), "", 'Data Entry'!K190)</f>
      </c>
      <c r="L190">
        <f>IF(ISBLANK('Data Entry'!L190), "", 'Data Entry'!L190)</f>
      </c>
      <c r="M190">
        <f>IF(ISBLANK('Data Entry'!M190), "", 'Data Entry'!M190)</f>
      </c>
      <c r="N190">
        <f>IF(ISBLANK('Data Entry'!N190), "", 'Data Entry'!N190)</f>
      </c>
      <c r="O190">
        <f>IF(ISBLANK('Data Entry'!O190), "", 'Data Entry'!O190)</f>
      </c>
      <c r="P190">
        <f>IF(ISBLANK('Data Entry'!P190), "", 'Data Entry'!P190)</f>
      </c>
      <c r="Q190">
        <f>IF(ISBLANK('Data Entry'!Q190), "", 'Data Entry'!Q190)</f>
      </c>
      <c r="R190">
        <f>IF(ISBLANK('Data Entry'!R190), "", 'Data Entry'!R190)</f>
      </c>
      <c r="S190">
        <f>IF(ISBLANK('Data Entry'!S190), "", 'Data Entry'!S190)</f>
      </c>
      <c r="T190">
        <f>IF(ISBLANK('Data Entry'!T190), "", 'Data Entry'!T190)</f>
      </c>
      <c r="U190">
        <f>IF(ISBLANK('Data Entry'!U190), "", 'Data Entry'!U190)</f>
      </c>
      <c r="V190">
        <f>IF(ISBLANK('Data Entry'!V190), "", 'Data Entry'!V190)</f>
      </c>
      <c r="W190">
        <f>IF(ISBLANK('Data Entry'!W190), "", 'Data Entry'!W190)</f>
      </c>
      <c r="X190">
        <f>IF(ISBLANK('Data Entry'!X190), "", 'Data Entry'!X190)</f>
      </c>
      <c r="Y190">
        <f>IF(ISBLANK('Data Entry'!Y190), "", 'Data Entry'!Y190)</f>
      </c>
      <c r="Z190">
        <f>IF(ISBLANK('Data Entry'!Z190), "", 'Data Entry'!Z190)</f>
      </c>
      <c r="AA190">
        <f>IF(ISBLANK('Data Entry'![190), "", 'Data Entry'![190)</f>
      </c>
      <c r="AB190">
        <f>IF(ISBLANK('Data Entry'!\190), "", 'Data Entry'!\190)</f>
      </c>
      <c r="AC190">
        <f>IF(ISBLANK('Data Entry'!]190), "", 'Data Entry'!]190)</f>
      </c>
      <c r="AD190">
        <f>IF(ISBLANK('Data Entry'!^190), "", 'Data Entry'!^190)</f>
      </c>
      <c r="AE190">
        <f>IF(ISBLANK('Data Entry'!_190), "", 'Data Entry'!_190)</f>
      </c>
      <c r="AF190">
        <f>IF(ISBLANK('Data Entry'!`190), "", 'Data Entry'!`190)</f>
      </c>
      <c r="AG190">
        <f>IF(ISBLANK('Data Entry'!a190), "", 'Data Entry'!a190)</f>
      </c>
      <c r="AH190">
        <f>IF(ISBLANK('Data Entry'!b190), "", 'Data Entry'!b190)</f>
      </c>
      <c r="AI190">
        <f>IF(ISBLANK('Data Entry'!c190), "", 'Data Entry'!c190)</f>
      </c>
      <c r="AJ190">
        <f>IF(ISBLANK('Data Entry'!d190), "", 'Data Entry'!d190)</f>
      </c>
      <c r="AK190">
        <f>IF(ISBLANK('Data Entry'!e190), "", 'Data Entry'!e190)</f>
      </c>
      <c r="AL190">
        <f>IF(ISBLANK('Data Entry'!f190), "", 'Data Entry'!f190)</f>
      </c>
      <c r="AM190">
        <f>IF(ISBLANK('Data Entry'!g190), "", 'Data Entry'!g190)</f>
      </c>
      <c r="AN190">
        <f>IF(ISBLANK('Data Entry'!h190), "", 'Data Entry'!h190)</f>
      </c>
    </row>
    <row r="191" spans="1:40" x14ac:dyDescent="0.25">
      <c r="A191">
        <f>IF(ISBLANK('Data Entry'!A191), "", 'Data Entry'!A191)</f>
      </c>
      <c r="B191">
        <f>IF(ISBLANK('Data Entry'!B191), "", 'Data Entry'!B191)</f>
      </c>
      <c r="C191">
        <f>IF(ISBLANK('Data Entry'!C191), "", 'Data Entry'!C191)</f>
      </c>
      <c r="D191">
        <f>IF(ISBLANK('Data Entry'!D191), "", 'Data Entry'!D191)</f>
      </c>
      <c r="E191">
        <f>IF(ISBLANK('Data Entry'!E191), "", 'Data Entry'!E191)</f>
      </c>
      <c r="F191">
        <f>IF(ISBLANK('Data Entry'!F191), "", 'Data Entry'!F191)</f>
      </c>
      <c r="G191">
        <f>IF(ISBLANK('Data Entry'!G191), "", 'Data Entry'!G191)</f>
      </c>
      <c r="H191">
        <f>IF(ISBLANK('Data Entry'!H191), "", 'Data Entry'!H191)</f>
      </c>
      <c r="I191">
        <f>IF(ISBLANK('Data Entry'!I191), "", 'Data Entry'!I191)</f>
      </c>
      <c r="J191">
        <f>IF(ISBLANK('Data Entry'!J191), "", 'Data Entry'!J191)</f>
      </c>
      <c r="K191">
        <f>IF(ISBLANK('Data Entry'!K191), "", 'Data Entry'!K191)</f>
      </c>
      <c r="L191">
        <f>IF(ISBLANK('Data Entry'!L191), "", 'Data Entry'!L191)</f>
      </c>
      <c r="M191">
        <f>IF(ISBLANK('Data Entry'!M191), "", 'Data Entry'!M191)</f>
      </c>
      <c r="N191">
        <f>IF(ISBLANK('Data Entry'!N191), "", 'Data Entry'!N191)</f>
      </c>
      <c r="O191">
        <f>IF(ISBLANK('Data Entry'!O191), "", 'Data Entry'!O191)</f>
      </c>
      <c r="P191">
        <f>IF(ISBLANK('Data Entry'!P191), "", 'Data Entry'!P191)</f>
      </c>
      <c r="Q191">
        <f>IF(ISBLANK('Data Entry'!Q191), "", 'Data Entry'!Q191)</f>
      </c>
      <c r="R191">
        <f>IF(ISBLANK('Data Entry'!R191), "", 'Data Entry'!R191)</f>
      </c>
      <c r="S191">
        <f>IF(ISBLANK('Data Entry'!S191), "", 'Data Entry'!S191)</f>
      </c>
      <c r="T191">
        <f>IF(ISBLANK('Data Entry'!T191), "", 'Data Entry'!T191)</f>
      </c>
      <c r="U191">
        <f>IF(ISBLANK('Data Entry'!U191), "", 'Data Entry'!U191)</f>
      </c>
      <c r="V191">
        <f>IF(ISBLANK('Data Entry'!V191), "", 'Data Entry'!V191)</f>
      </c>
      <c r="W191">
        <f>IF(ISBLANK('Data Entry'!W191), "", 'Data Entry'!W191)</f>
      </c>
      <c r="X191">
        <f>IF(ISBLANK('Data Entry'!X191), "", 'Data Entry'!X191)</f>
      </c>
      <c r="Y191">
        <f>IF(ISBLANK('Data Entry'!Y191), "", 'Data Entry'!Y191)</f>
      </c>
      <c r="Z191">
        <f>IF(ISBLANK('Data Entry'!Z191), "", 'Data Entry'!Z191)</f>
      </c>
      <c r="AA191">
        <f>IF(ISBLANK('Data Entry'![191), "", 'Data Entry'![191)</f>
      </c>
      <c r="AB191">
        <f>IF(ISBLANK('Data Entry'!\191), "", 'Data Entry'!\191)</f>
      </c>
      <c r="AC191">
        <f>IF(ISBLANK('Data Entry'!]191), "", 'Data Entry'!]191)</f>
      </c>
      <c r="AD191">
        <f>IF(ISBLANK('Data Entry'!^191), "", 'Data Entry'!^191)</f>
      </c>
      <c r="AE191">
        <f>IF(ISBLANK('Data Entry'!_191), "", 'Data Entry'!_191)</f>
      </c>
      <c r="AF191">
        <f>IF(ISBLANK('Data Entry'!`191), "", 'Data Entry'!`191)</f>
      </c>
      <c r="AG191">
        <f>IF(ISBLANK('Data Entry'!a191), "", 'Data Entry'!a191)</f>
      </c>
      <c r="AH191">
        <f>IF(ISBLANK('Data Entry'!b191), "", 'Data Entry'!b191)</f>
      </c>
      <c r="AI191">
        <f>IF(ISBLANK('Data Entry'!c191), "", 'Data Entry'!c191)</f>
      </c>
      <c r="AJ191">
        <f>IF(ISBLANK('Data Entry'!d191), "", 'Data Entry'!d191)</f>
      </c>
      <c r="AK191">
        <f>IF(ISBLANK('Data Entry'!e191), "", 'Data Entry'!e191)</f>
      </c>
      <c r="AL191">
        <f>IF(ISBLANK('Data Entry'!f191), "", 'Data Entry'!f191)</f>
      </c>
      <c r="AM191">
        <f>IF(ISBLANK('Data Entry'!g191), "", 'Data Entry'!g191)</f>
      </c>
      <c r="AN191">
        <f>IF(ISBLANK('Data Entry'!h191), "", 'Data Entry'!h191)</f>
      </c>
    </row>
    <row r="192" spans="1:40" x14ac:dyDescent="0.25">
      <c r="A192">
        <f>IF(ISBLANK('Data Entry'!A192), "", 'Data Entry'!A192)</f>
      </c>
      <c r="B192">
        <f>IF(ISBLANK('Data Entry'!B192), "", 'Data Entry'!B192)</f>
      </c>
      <c r="C192">
        <f>IF(ISBLANK('Data Entry'!C192), "", 'Data Entry'!C192)</f>
      </c>
      <c r="D192">
        <f>IF(ISBLANK('Data Entry'!D192), "", 'Data Entry'!D192)</f>
      </c>
      <c r="E192">
        <f>IF(ISBLANK('Data Entry'!E192), "", 'Data Entry'!E192)</f>
      </c>
      <c r="F192">
        <f>IF(ISBLANK('Data Entry'!F192), "", 'Data Entry'!F192)</f>
      </c>
      <c r="G192">
        <f>IF(ISBLANK('Data Entry'!G192), "", 'Data Entry'!G192)</f>
      </c>
      <c r="H192">
        <f>IF(ISBLANK('Data Entry'!H192), "", 'Data Entry'!H192)</f>
      </c>
      <c r="I192">
        <f>IF(ISBLANK('Data Entry'!I192), "", 'Data Entry'!I192)</f>
      </c>
      <c r="J192">
        <f>IF(ISBLANK('Data Entry'!J192), "", 'Data Entry'!J192)</f>
      </c>
      <c r="K192">
        <f>IF(ISBLANK('Data Entry'!K192), "", 'Data Entry'!K192)</f>
      </c>
      <c r="L192">
        <f>IF(ISBLANK('Data Entry'!L192), "", 'Data Entry'!L192)</f>
      </c>
      <c r="M192">
        <f>IF(ISBLANK('Data Entry'!M192), "", 'Data Entry'!M192)</f>
      </c>
      <c r="N192">
        <f>IF(ISBLANK('Data Entry'!N192), "", 'Data Entry'!N192)</f>
      </c>
      <c r="O192">
        <f>IF(ISBLANK('Data Entry'!O192), "", 'Data Entry'!O192)</f>
      </c>
      <c r="P192">
        <f>IF(ISBLANK('Data Entry'!P192), "", 'Data Entry'!P192)</f>
      </c>
      <c r="Q192">
        <f>IF(ISBLANK('Data Entry'!Q192), "", 'Data Entry'!Q192)</f>
      </c>
      <c r="R192">
        <f>IF(ISBLANK('Data Entry'!R192), "", 'Data Entry'!R192)</f>
      </c>
      <c r="S192">
        <f>IF(ISBLANK('Data Entry'!S192), "", 'Data Entry'!S192)</f>
      </c>
      <c r="T192">
        <f>IF(ISBLANK('Data Entry'!T192), "", 'Data Entry'!T192)</f>
      </c>
      <c r="U192">
        <f>IF(ISBLANK('Data Entry'!U192), "", 'Data Entry'!U192)</f>
      </c>
      <c r="V192">
        <f>IF(ISBLANK('Data Entry'!V192), "", 'Data Entry'!V192)</f>
      </c>
      <c r="W192">
        <f>IF(ISBLANK('Data Entry'!W192), "", 'Data Entry'!W192)</f>
      </c>
      <c r="X192">
        <f>IF(ISBLANK('Data Entry'!X192), "", 'Data Entry'!X192)</f>
      </c>
      <c r="Y192">
        <f>IF(ISBLANK('Data Entry'!Y192), "", 'Data Entry'!Y192)</f>
      </c>
      <c r="Z192">
        <f>IF(ISBLANK('Data Entry'!Z192), "", 'Data Entry'!Z192)</f>
      </c>
      <c r="AA192">
        <f>IF(ISBLANK('Data Entry'![192), "", 'Data Entry'![192)</f>
      </c>
      <c r="AB192">
        <f>IF(ISBLANK('Data Entry'!\192), "", 'Data Entry'!\192)</f>
      </c>
      <c r="AC192">
        <f>IF(ISBLANK('Data Entry'!]192), "", 'Data Entry'!]192)</f>
      </c>
      <c r="AD192">
        <f>IF(ISBLANK('Data Entry'!^192), "", 'Data Entry'!^192)</f>
      </c>
      <c r="AE192">
        <f>IF(ISBLANK('Data Entry'!_192), "", 'Data Entry'!_192)</f>
      </c>
      <c r="AF192">
        <f>IF(ISBLANK('Data Entry'!`192), "", 'Data Entry'!`192)</f>
      </c>
      <c r="AG192">
        <f>IF(ISBLANK('Data Entry'!a192), "", 'Data Entry'!a192)</f>
      </c>
      <c r="AH192">
        <f>IF(ISBLANK('Data Entry'!b192), "", 'Data Entry'!b192)</f>
      </c>
      <c r="AI192">
        <f>IF(ISBLANK('Data Entry'!c192), "", 'Data Entry'!c192)</f>
      </c>
      <c r="AJ192">
        <f>IF(ISBLANK('Data Entry'!d192), "", 'Data Entry'!d192)</f>
      </c>
      <c r="AK192">
        <f>IF(ISBLANK('Data Entry'!e192), "", 'Data Entry'!e192)</f>
      </c>
      <c r="AL192">
        <f>IF(ISBLANK('Data Entry'!f192), "", 'Data Entry'!f192)</f>
      </c>
      <c r="AM192">
        <f>IF(ISBLANK('Data Entry'!g192), "", 'Data Entry'!g192)</f>
      </c>
      <c r="AN192">
        <f>IF(ISBLANK('Data Entry'!h192), "", 'Data Entry'!h192)</f>
      </c>
    </row>
    <row r="193" spans="1:40" x14ac:dyDescent="0.25">
      <c r="A193">
        <f>IF(ISBLANK('Data Entry'!A193), "", 'Data Entry'!A193)</f>
      </c>
      <c r="B193">
        <f>IF(ISBLANK('Data Entry'!B193), "", 'Data Entry'!B193)</f>
      </c>
      <c r="C193">
        <f>IF(ISBLANK('Data Entry'!C193), "", 'Data Entry'!C193)</f>
      </c>
      <c r="D193">
        <f>IF(ISBLANK('Data Entry'!D193), "", 'Data Entry'!D193)</f>
      </c>
      <c r="E193">
        <f>IF(ISBLANK('Data Entry'!E193), "", 'Data Entry'!E193)</f>
      </c>
      <c r="F193">
        <f>IF(ISBLANK('Data Entry'!F193), "", 'Data Entry'!F193)</f>
      </c>
      <c r="G193">
        <f>IF(ISBLANK('Data Entry'!G193), "", 'Data Entry'!G193)</f>
      </c>
      <c r="H193">
        <f>IF(ISBLANK('Data Entry'!H193), "", 'Data Entry'!H193)</f>
      </c>
      <c r="I193">
        <f>IF(ISBLANK('Data Entry'!I193), "", 'Data Entry'!I193)</f>
      </c>
      <c r="J193">
        <f>IF(ISBLANK('Data Entry'!J193), "", 'Data Entry'!J193)</f>
      </c>
      <c r="K193">
        <f>IF(ISBLANK('Data Entry'!K193), "", 'Data Entry'!K193)</f>
      </c>
      <c r="L193">
        <f>IF(ISBLANK('Data Entry'!L193), "", 'Data Entry'!L193)</f>
      </c>
      <c r="M193">
        <f>IF(ISBLANK('Data Entry'!M193), "", 'Data Entry'!M193)</f>
      </c>
      <c r="N193">
        <f>IF(ISBLANK('Data Entry'!N193), "", 'Data Entry'!N193)</f>
      </c>
      <c r="O193">
        <f>IF(ISBLANK('Data Entry'!O193), "", 'Data Entry'!O193)</f>
      </c>
      <c r="P193">
        <f>IF(ISBLANK('Data Entry'!P193), "", 'Data Entry'!P193)</f>
      </c>
      <c r="Q193">
        <f>IF(ISBLANK('Data Entry'!Q193), "", 'Data Entry'!Q193)</f>
      </c>
      <c r="R193">
        <f>IF(ISBLANK('Data Entry'!R193), "", 'Data Entry'!R193)</f>
      </c>
      <c r="S193">
        <f>IF(ISBLANK('Data Entry'!S193), "", 'Data Entry'!S193)</f>
      </c>
      <c r="T193">
        <f>IF(ISBLANK('Data Entry'!T193), "", 'Data Entry'!T193)</f>
      </c>
      <c r="U193">
        <f>IF(ISBLANK('Data Entry'!U193), "", 'Data Entry'!U193)</f>
      </c>
      <c r="V193">
        <f>IF(ISBLANK('Data Entry'!V193), "", 'Data Entry'!V193)</f>
      </c>
      <c r="W193">
        <f>IF(ISBLANK('Data Entry'!W193), "", 'Data Entry'!W193)</f>
      </c>
      <c r="X193">
        <f>IF(ISBLANK('Data Entry'!X193), "", 'Data Entry'!X193)</f>
      </c>
      <c r="Y193">
        <f>IF(ISBLANK('Data Entry'!Y193), "", 'Data Entry'!Y193)</f>
      </c>
      <c r="Z193">
        <f>IF(ISBLANK('Data Entry'!Z193), "", 'Data Entry'!Z193)</f>
      </c>
      <c r="AA193">
        <f>IF(ISBLANK('Data Entry'![193), "", 'Data Entry'![193)</f>
      </c>
      <c r="AB193">
        <f>IF(ISBLANK('Data Entry'!\193), "", 'Data Entry'!\193)</f>
      </c>
      <c r="AC193">
        <f>IF(ISBLANK('Data Entry'!]193), "", 'Data Entry'!]193)</f>
      </c>
      <c r="AD193">
        <f>IF(ISBLANK('Data Entry'!^193), "", 'Data Entry'!^193)</f>
      </c>
      <c r="AE193">
        <f>IF(ISBLANK('Data Entry'!_193), "", 'Data Entry'!_193)</f>
      </c>
      <c r="AF193">
        <f>IF(ISBLANK('Data Entry'!`193), "", 'Data Entry'!`193)</f>
      </c>
      <c r="AG193">
        <f>IF(ISBLANK('Data Entry'!a193), "", 'Data Entry'!a193)</f>
      </c>
      <c r="AH193">
        <f>IF(ISBLANK('Data Entry'!b193), "", 'Data Entry'!b193)</f>
      </c>
      <c r="AI193">
        <f>IF(ISBLANK('Data Entry'!c193), "", 'Data Entry'!c193)</f>
      </c>
      <c r="AJ193">
        <f>IF(ISBLANK('Data Entry'!d193), "", 'Data Entry'!d193)</f>
      </c>
      <c r="AK193">
        <f>IF(ISBLANK('Data Entry'!e193), "", 'Data Entry'!e193)</f>
      </c>
      <c r="AL193">
        <f>IF(ISBLANK('Data Entry'!f193), "", 'Data Entry'!f193)</f>
      </c>
      <c r="AM193">
        <f>IF(ISBLANK('Data Entry'!g193), "", 'Data Entry'!g193)</f>
      </c>
      <c r="AN193">
        <f>IF(ISBLANK('Data Entry'!h193), "", 'Data Entry'!h193)</f>
      </c>
    </row>
    <row r="194" spans="1:40" x14ac:dyDescent="0.25">
      <c r="A194">
        <f>IF(ISBLANK('Data Entry'!A194), "", 'Data Entry'!A194)</f>
      </c>
      <c r="B194">
        <f>IF(ISBLANK('Data Entry'!B194), "", 'Data Entry'!B194)</f>
      </c>
      <c r="C194">
        <f>IF(ISBLANK('Data Entry'!C194), "", 'Data Entry'!C194)</f>
      </c>
      <c r="D194">
        <f>IF(ISBLANK('Data Entry'!D194), "", 'Data Entry'!D194)</f>
      </c>
      <c r="E194">
        <f>IF(ISBLANK('Data Entry'!E194), "", 'Data Entry'!E194)</f>
      </c>
      <c r="F194">
        <f>IF(ISBLANK('Data Entry'!F194), "", 'Data Entry'!F194)</f>
      </c>
      <c r="G194">
        <f>IF(ISBLANK('Data Entry'!G194), "", 'Data Entry'!G194)</f>
      </c>
      <c r="H194">
        <f>IF(ISBLANK('Data Entry'!H194), "", 'Data Entry'!H194)</f>
      </c>
      <c r="I194">
        <f>IF(ISBLANK('Data Entry'!I194), "", 'Data Entry'!I194)</f>
      </c>
      <c r="J194">
        <f>IF(ISBLANK('Data Entry'!J194), "", 'Data Entry'!J194)</f>
      </c>
      <c r="K194">
        <f>IF(ISBLANK('Data Entry'!K194), "", 'Data Entry'!K194)</f>
      </c>
      <c r="L194">
        <f>IF(ISBLANK('Data Entry'!L194), "", 'Data Entry'!L194)</f>
      </c>
      <c r="M194">
        <f>IF(ISBLANK('Data Entry'!M194), "", 'Data Entry'!M194)</f>
      </c>
      <c r="N194">
        <f>IF(ISBLANK('Data Entry'!N194), "", 'Data Entry'!N194)</f>
      </c>
      <c r="O194">
        <f>IF(ISBLANK('Data Entry'!O194), "", 'Data Entry'!O194)</f>
      </c>
      <c r="P194">
        <f>IF(ISBLANK('Data Entry'!P194), "", 'Data Entry'!P194)</f>
      </c>
      <c r="Q194">
        <f>IF(ISBLANK('Data Entry'!Q194), "", 'Data Entry'!Q194)</f>
      </c>
      <c r="R194">
        <f>IF(ISBLANK('Data Entry'!R194), "", 'Data Entry'!R194)</f>
      </c>
      <c r="S194">
        <f>IF(ISBLANK('Data Entry'!S194), "", 'Data Entry'!S194)</f>
      </c>
      <c r="T194">
        <f>IF(ISBLANK('Data Entry'!T194), "", 'Data Entry'!T194)</f>
      </c>
      <c r="U194">
        <f>IF(ISBLANK('Data Entry'!U194), "", 'Data Entry'!U194)</f>
      </c>
      <c r="V194">
        <f>IF(ISBLANK('Data Entry'!V194), "", 'Data Entry'!V194)</f>
      </c>
      <c r="W194">
        <f>IF(ISBLANK('Data Entry'!W194), "", 'Data Entry'!W194)</f>
      </c>
      <c r="X194">
        <f>IF(ISBLANK('Data Entry'!X194), "", 'Data Entry'!X194)</f>
      </c>
      <c r="Y194">
        <f>IF(ISBLANK('Data Entry'!Y194), "", 'Data Entry'!Y194)</f>
      </c>
      <c r="Z194">
        <f>IF(ISBLANK('Data Entry'!Z194), "", 'Data Entry'!Z194)</f>
      </c>
      <c r="AA194">
        <f>IF(ISBLANK('Data Entry'![194), "", 'Data Entry'![194)</f>
      </c>
      <c r="AB194">
        <f>IF(ISBLANK('Data Entry'!\194), "", 'Data Entry'!\194)</f>
      </c>
      <c r="AC194">
        <f>IF(ISBLANK('Data Entry'!]194), "", 'Data Entry'!]194)</f>
      </c>
      <c r="AD194">
        <f>IF(ISBLANK('Data Entry'!^194), "", 'Data Entry'!^194)</f>
      </c>
      <c r="AE194">
        <f>IF(ISBLANK('Data Entry'!_194), "", 'Data Entry'!_194)</f>
      </c>
      <c r="AF194">
        <f>IF(ISBLANK('Data Entry'!`194), "", 'Data Entry'!`194)</f>
      </c>
      <c r="AG194">
        <f>IF(ISBLANK('Data Entry'!a194), "", 'Data Entry'!a194)</f>
      </c>
      <c r="AH194">
        <f>IF(ISBLANK('Data Entry'!b194), "", 'Data Entry'!b194)</f>
      </c>
      <c r="AI194">
        <f>IF(ISBLANK('Data Entry'!c194), "", 'Data Entry'!c194)</f>
      </c>
      <c r="AJ194">
        <f>IF(ISBLANK('Data Entry'!d194), "", 'Data Entry'!d194)</f>
      </c>
      <c r="AK194">
        <f>IF(ISBLANK('Data Entry'!e194), "", 'Data Entry'!e194)</f>
      </c>
      <c r="AL194">
        <f>IF(ISBLANK('Data Entry'!f194), "", 'Data Entry'!f194)</f>
      </c>
      <c r="AM194">
        <f>IF(ISBLANK('Data Entry'!g194), "", 'Data Entry'!g194)</f>
      </c>
      <c r="AN194">
        <f>IF(ISBLANK('Data Entry'!h194), "", 'Data Entry'!h194)</f>
      </c>
    </row>
    <row r="195" spans="1:40" x14ac:dyDescent="0.25">
      <c r="A195">
        <f>IF(ISBLANK('Data Entry'!A195), "", 'Data Entry'!A195)</f>
      </c>
      <c r="B195">
        <f>IF(ISBLANK('Data Entry'!B195), "", 'Data Entry'!B195)</f>
      </c>
      <c r="C195">
        <f>IF(ISBLANK('Data Entry'!C195), "", 'Data Entry'!C195)</f>
      </c>
      <c r="D195">
        <f>IF(ISBLANK('Data Entry'!D195), "", 'Data Entry'!D195)</f>
      </c>
      <c r="E195">
        <f>IF(ISBLANK('Data Entry'!E195), "", 'Data Entry'!E195)</f>
      </c>
      <c r="F195">
        <f>IF(ISBLANK('Data Entry'!F195), "", 'Data Entry'!F195)</f>
      </c>
      <c r="G195">
        <f>IF(ISBLANK('Data Entry'!G195), "", 'Data Entry'!G195)</f>
      </c>
      <c r="H195">
        <f>IF(ISBLANK('Data Entry'!H195), "", 'Data Entry'!H195)</f>
      </c>
      <c r="I195">
        <f>IF(ISBLANK('Data Entry'!I195), "", 'Data Entry'!I195)</f>
      </c>
      <c r="J195">
        <f>IF(ISBLANK('Data Entry'!J195), "", 'Data Entry'!J195)</f>
      </c>
      <c r="K195">
        <f>IF(ISBLANK('Data Entry'!K195), "", 'Data Entry'!K195)</f>
      </c>
      <c r="L195">
        <f>IF(ISBLANK('Data Entry'!L195), "", 'Data Entry'!L195)</f>
      </c>
      <c r="M195">
        <f>IF(ISBLANK('Data Entry'!M195), "", 'Data Entry'!M195)</f>
      </c>
      <c r="N195">
        <f>IF(ISBLANK('Data Entry'!N195), "", 'Data Entry'!N195)</f>
      </c>
      <c r="O195">
        <f>IF(ISBLANK('Data Entry'!O195), "", 'Data Entry'!O195)</f>
      </c>
      <c r="P195">
        <f>IF(ISBLANK('Data Entry'!P195), "", 'Data Entry'!P195)</f>
      </c>
      <c r="Q195">
        <f>IF(ISBLANK('Data Entry'!Q195), "", 'Data Entry'!Q195)</f>
      </c>
      <c r="R195">
        <f>IF(ISBLANK('Data Entry'!R195), "", 'Data Entry'!R195)</f>
      </c>
      <c r="S195">
        <f>IF(ISBLANK('Data Entry'!S195), "", 'Data Entry'!S195)</f>
      </c>
      <c r="T195">
        <f>IF(ISBLANK('Data Entry'!T195), "", 'Data Entry'!T195)</f>
      </c>
      <c r="U195">
        <f>IF(ISBLANK('Data Entry'!U195), "", 'Data Entry'!U195)</f>
      </c>
      <c r="V195">
        <f>IF(ISBLANK('Data Entry'!V195), "", 'Data Entry'!V195)</f>
      </c>
      <c r="W195">
        <f>IF(ISBLANK('Data Entry'!W195), "", 'Data Entry'!W195)</f>
      </c>
      <c r="X195">
        <f>IF(ISBLANK('Data Entry'!X195), "", 'Data Entry'!X195)</f>
      </c>
      <c r="Y195">
        <f>IF(ISBLANK('Data Entry'!Y195), "", 'Data Entry'!Y195)</f>
      </c>
      <c r="Z195">
        <f>IF(ISBLANK('Data Entry'!Z195), "", 'Data Entry'!Z195)</f>
      </c>
      <c r="AA195">
        <f>IF(ISBLANK('Data Entry'![195), "", 'Data Entry'![195)</f>
      </c>
      <c r="AB195">
        <f>IF(ISBLANK('Data Entry'!\195), "", 'Data Entry'!\195)</f>
      </c>
      <c r="AC195">
        <f>IF(ISBLANK('Data Entry'!]195), "", 'Data Entry'!]195)</f>
      </c>
      <c r="AD195">
        <f>IF(ISBLANK('Data Entry'!^195), "", 'Data Entry'!^195)</f>
      </c>
      <c r="AE195">
        <f>IF(ISBLANK('Data Entry'!_195), "", 'Data Entry'!_195)</f>
      </c>
      <c r="AF195">
        <f>IF(ISBLANK('Data Entry'!`195), "", 'Data Entry'!`195)</f>
      </c>
      <c r="AG195">
        <f>IF(ISBLANK('Data Entry'!a195), "", 'Data Entry'!a195)</f>
      </c>
      <c r="AH195">
        <f>IF(ISBLANK('Data Entry'!b195), "", 'Data Entry'!b195)</f>
      </c>
      <c r="AI195">
        <f>IF(ISBLANK('Data Entry'!c195), "", 'Data Entry'!c195)</f>
      </c>
      <c r="AJ195">
        <f>IF(ISBLANK('Data Entry'!d195), "", 'Data Entry'!d195)</f>
      </c>
      <c r="AK195">
        <f>IF(ISBLANK('Data Entry'!e195), "", 'Data Entry'!e195)</f>
      </c>
      <c r="AL195">
        <f>IF(ISBLANK('Data Entry'!f195), "", 'Data Entry'!f195)</f>
      </c>
      <c r="AM195">
        <f>IF(ISBLANK('Data Entry'!g195), "", 'Data Entry'!g195)</f>
      </c>
      <c r="AN195">
        <f>IF(ISBLANK('Data Entry'!h195), "", 'Data Entry'!h195)</f>
      </c>
    </row>
    <row r="196" spans="1:40" x14ac:dyDescent="0.25">
      <c r="A196">
        <f>IF(ISBLANK('Data Entry'!A196), "", 'Data Entry'!A196)</f>
      </c>
      <c r="B196">
        <f>IF(ISBLANK('Data Entry'!B196), "", 'Data Entry'!B196)</f>
      </c>
      <c r="C196">
        <f>IF(ISBLANK('Data Entry'!C196), "", 'Data Entry'!C196)</f>
      </c>
      <c r="D196">
        <f>IF(ISBLANK('Data Entry'!D196), "", 'Data Entry'!D196)</f>
      </c>
      <c r="E196">
        <f>IF(ISBLANK('Data Entry'!E196), "", 'Data Entry'!E196)</f>
      </c>
      <c r="F196">
        <f>IF(ISBLANK('Data Entry'!F196), "", 'Data Entry'!F196)</f>
      </c>
      <c r="G196">
        <f>IF(ISBLANK('Data Entry'!G196), "", 'Data Entry'!G196)</f>
      </c>
      <c r="H196">
        <f>IF(ISBLANK('Data Entry'!H196), "", 'Data Entry'!H196)</f>
      </c>
      <c r="I196">
        <f>IF(ISBLANK('Data Entry'!I196), "", 'Data Entry'!I196)</f>
      </c>
      <c r="J196">
        <f>IF(ISBLANK('Data Entry'!J196), "", 'Data Entry'!J196)</f>
      </c>
      <c r="K196">
        <f>IF(ISBLANK('Data Entry'!K196), "", 'Data Entry'!K196)</f>
      </c>
      <c r="L196">
        <f>IF(ISBLANK('Data Entry'!L196), "", 'Data Entry'!L196)</f>
      </c>
      <c r="M196">
        <f>IF(ISBLANK('Data Entry'!M196), "", 'Data Entry'!M196)</f>
      </c>
      <c r="N196">
        <f>IF(ISBLANK('Data Entry'!N196), "", 'Data Entry'!N196)</f>
      </c>
      <c r="O196">
        <f>IF(ISBLANK('Data Entry'!O196), "", 'Data Entry'!O196)</f>
      </c>
      <c r="P196">
        <f>IF(ISBLANK('Data Entry'!P196), "", 'Data Entry'!P196)</f>
      </c>
      <c r="Q196">
        <f>IF(ISBLANK('Data Entry'!Q196), "", 'Data Entry'!Q196)</f>
      </c>
      <c r="R196">
        <f>IF(ISBLANK('Data Entry'!R196), "", 'Data Entry'!R196)</f>
      </c>
      <c r="S196">
        <f>IF(ISBLANK('Data Entry'!S196), "", 'Data Entry'!S196)</f>
      </c>
      <c r="T196">
        <f>IF(ISBLANK('Data Entry'!T196), "", 'Data Entry'!T196)</f>
      </c>
      <c r="U196">
        <f>IF(ISBLANK('Data Entry'!U196), "", 'Data Entry'!U196)</f>
      </c>
      <c r="V196">
        <f>IF(ISBLANK('Data Entry'!V196), "", 'Data Entry'!V196)</f>
      </c>
      <c r="W196">
        <f>IF(ISBLANK('Data Entry'!W196), "", 'Data Entry'!W196)</f>
      </c>
      <c r="X196">
        <f>IF(ISBLANK('Data Entry'!X196), "", 'Data Entry'!X196)</f>
      </c>
      <c r="Y196">
        <f>IF(ISBLANK('Data Entry'!Y196), "", 'Data Entry'!Y196)</f>
      </c>
      <c r="Z196">
        <f>IF(ISBLANK('Data Entry'!Z196), "", 'Data Entry'!Z196)</f>
      </c>
      <c r="AA196">
        <f>IF(ISBLANK('Data Entry'![196), "", 'Data Entry'![196)</f>
      </c>
      <c r="AB196">
        <f>IF(ISBLANK('Data Entry'!\196), "", 'Data Entry'!\196)</f>
      </c>
      <c r="AC196">
        <f>IF(ISBLANK('Data Entry'!]196), "", 'Data Entry'!]196)</f>
      </c>
      <c r="AD196">
        <f>IF(ISBLANK('Data Entry'!^196), "", 'Data Entry'!^196)</f>
      </c>
      <c r="AE196">
        <f>IF(ISBLANK('Data Entry'!_196), "", 'Data Entry'!_196)</f>
      </c>
      <c r="AF196">
        <f>IF(ISBLANK('Data Entry'!`196), "", 'Data Entry'!`196)</f>
      </c>
      <c r="AG196">
        <f>IF(ISBLANK('Data Entry'!a196), "", 'Data Entry'!a196)</f>
      </c>
      <c r="AH196">
        <f>IF(ISBLANK('Data Entry'!b196), "", 'Data Entry'!b196)</f>
      </c>
      <c r="AI196">
        <f>IF(ISBLANK('Data Entry'!c196), "", 'Data Entry'!c196)</f>
      </c>
      <c r="AJ196">
        <f>IF(ISBLANK('Data Entry'!d196), "", 'Data Entry'!d196)</f>
      </c>
      <c r="AK196">
        <f>IF(ISBLANK('Data Entry'!e196), "", 'Data Entry'!e196)</f>
      </c>
      <c r="AL196">
        <f>IF(ISBLANK('Data Entry'!f196), "", 'Data Entry'!f196)</f>
      </c>
      <c r="AM196">
        <f>IF(ISBLANK('Data Entry'!g196), "", 'Data Entry'!g196)</f>
      </c>
      <c r="AN196">
        <f>IF(ISBLANK('Data Entry'!h196), "", 'Data Entry'!h196)</f>
      </c>
    </row>
    <row r="197" spans="1:40" x14ac:dyDescent="0.25">
      <c r="A197">
        <f>IF(ISBLANK('Data Entry'!A197), "", 'Data Entry'!A197)</f>
      </c>
      <c r="B197">
        <f>IF(ISBLANK('Data Entry'!B197), "", 'Data Entry'!B197)</f>
      </c>
      <c r="C197">
        <f>IF(ISBLANK('Data Entry'!C197), "", 'Data Entry'!C197)</f>
      </c>
      <c r="D197">
        <f>IF(ISBLANK('Data Entry'!D197), "", 'Data Entry'!D197)</f>
      </c>
      <c r="E197">
        <f>IF(ISBLANK('Data Entry'!E197), "", 'Data Entry'!E197)</f>
      </c>
      <c r="F197">
        <f>IF(ISBLANK('Data Entry'!F197), "", 'Data Entry'!F197)</f>
      </c>
      <c r="G197">
        <f>IF(ISBLANK('Data Entry'!G197), "", 'Data Entry'!G197)</f>
      </c>
      <c r="H197">
        <f>IF(ISBLANK('Data Entry'!H197), "", 'Data Entry'!H197)</f>
      </c>
      <c r="I197">
        <f>IF(ISBLANK('Data Entry'!I197), "", 'Data Entry'!I197)</f>
      </c>
      <c r="J197">
        <f>IF(ISBLANK('Data Entry'!J197), "", 'Data Entry'!J197)</f>
      </c>
      <c r="K197">
        <f>IF(ISBLANK('Data Entry'!K197), "", 'Data Entry'!K197)</f>
      </c>
      <c r="L197">
        <f>IF(ISBLANK('Data Entry'!L197), "", 'Data Entry'!L197)</f>
      </c>
      <c r="M197">
        <f>IF(ISBLANK('Data Entry'!M197), "", 'Data Entry'!M197)</f>
      </c>
      <c r="N197">
        <f>IF(ISBLANK('Data Entry'!N197), "", 'Data Entry'!N197)</f>
      </c>
      <c r="O197">
        <f>IF(ISBLANK('Data Entry'!O197), "", 'Data Entry'!O197)</f>
      </c>
      <c r="P197">
        <f>IF(ISBLANK('Data Entry'!P197), "", 'Data Entry'!P197)</f>
      </c>
      <c r="Q197">
        <f>IF(ISBLANK('Data Entry'!Q197), "", 'Data Entry'!Q197)</f>
      </c>
      <c r="R197">
        <f>IF(ISBLANK('Data Entry'!R197), "", 'Data Entry'!R197)</f>
      </c>
      <c r="S197">
        <f>IF(ISBLANK('Data Entry'!S197), "", 'Data Entry'!S197)</f>
      </c>
      <c r="T197">
        <f>IF(ISBLANK('Data Entry'!T197), "", 'Data Entry'!T197)</f>
      </c>
      <c r="U197">
        <f>IF(ISBLANK('Data Entry'!U197), "", 'Data Entry'!U197)</f>
      </c>
      <c r="V197">
        <f>IF(ISBLANK('Data Entry'!V197), "", 'Data Entry'!V197)</f>
      </c>
      <c r="W197">
        <f>IF(ISBLANK('Data Entry'!W197), "", 'Data Entry'!W197)</f>
      </c>
      <c r="X197">
        <f>IF(ISBLANK('Data Entry'!X197), "", 'Data Entry'!X197)</f>
      </c>
      <c r="Y197">
        <f>IF(ISBLANK('Data Entry'!Y197), "", 'Data Entry'!Y197)</f>
      </c>
      <c r="Z197">
        <f>IF(ISBLANK('Data Entry'!Z197), "", 'Data Entry'!Z197)</f>
      </c>
      <c r="AA197">
        <f>IF(ISBLANK('Data Entry'![197), "", 'Data Entry'![197)</f>
      </c>
      <c r="AB197">
        <f>IF(ISBLANK('Data Entry'!\197), "", 'Data Entry'!\197)</f>
      </c>
      <c r="AC197">
        <f>IF(ISBLANK('Data Entry'!]197), "", 'Data Entry'!]197)</f>
      </c>
      <c r="AD197">
        <f>IF(ISBLANK('Data Entry'!^197), "", 'Data Entry'!^197)</f>
      </c>
      <c r="AE197">
        <f>IF(ISBLANK('Data Entry'!_197), "", 'Data Entry'!_197)</f>
      </c>
      <c r="AF197">
        <f>IF(ISBLANK('Data Entry'!`197), "", 'Data Entry'!`197)</f>
      </c>
      <c r="AG197">
        <f>IF(ISBLANK('Data Entry'!a197), "", 'Data Entry'!a197)</f>
      </c>
      <c r="AH197">
        <f>IF(ISBLANK('Data Entry'!b197), "", 'Data Entry'!b197)</f>
      </c>
      <c r="AI197">
        <f>IF(ISBLANK('Data Entry'!c197), "", 'Data Entry'!c197)</f>
      </c>
      <c r="AJ197">
        <f>IF(ISBLANK('Data Entry'!d197), "", 'Data Entry'!d197)</f>
      </c>
      <c r="AK197">
        <f>IF(ISBLANK('Data Entry'!e197), "", 'Data Entry'!e197)</f>
      </c>
      <c r="AL197">
        <f>IF(ISBLANK('Data Entry'!f197), "", 'Data Entry'!f197)</f>
      </c>
      <c r="AM197">
        <f>IF(ISBLANK('Data Entry'!g197), "", 'Data Entry'!g197)</f>
      </c>
      <c r="AN197">
        <f>IF(ISBLANK('Data Entry'!h197), "", 'Data Entry'!h197)</f>
      </c>
    </row>
    <row r="198" spans="1:40" x14ac:dyDescent="0.25">
      <c r="A198">
        <f>IF(ISBLANK('Data Entry'!A198), "", 'Data Entry'!A198)</f>
      </c>
      <c r="B198">
        <f>IF(ISBLANK('Data Entry'!B198), "", 'Data Entry'!B198)</f>
      </c>
      <c r="C198">
        <f>IF(ISBLANK('Data Entry'!C198), "", 'Data Entry'!C198)</f>
      </c>
      <c r="D198">
        <f>IF(ISBLANK('Data Entry'!D198), "", 'Data Entry'!D198)</f>
      </c>
      <c r="E198">
        <f>IF(ISBLANK('Data Entry'!E198), "", 'Data Entry'!E198)</f>
      </c>
      <c r="F198">
        <f>IF(ISBLANK('Data Entry'!F198), "", 'Data Entry'!F198)</f>
      </c>
      <c r="G198">
        <f>IF(ISBLANK('Data Entry'!G198), "", 'Data Entry'!G198)</f>
      </c>
      <c r="H198">
        <f>IF(ISBLANK('Data Entry'!H198), "", 'Data Entry'!H198)</f>
      </c>
      <c r="I198">
        <f>IF(ISBLANK('Data Entry'!I198), "", 'Data Entry'!I198)</f>
      </c>
      <c r="J198">
        <f>IF(ISBLANK('Data Entry'!J198), "", 'Data Entry'!J198)</f>
      </c>
      <c r="K198">
        <f>IF(ISBLANK('Data Entry'!K198), "", 'Data Entry'!K198)</f>
      </c>
      <c r="L198">
        <f>IF(ISBLANK('Data Entry'!L198), "", 'Data Entry'!L198)</f>
      </c>
      <c r="M198">
        <f>IF(ISBLANK('Data Entry'!M198), "", 'Data Entry'!M198)</f>
      </c>
      <c r="N198">
        <f>IF(ISBLANK('Data Entry'!N198), "", 'Data Entry'!N198)</f>
      </c>
      <c r="O198">
        <f>IF(ISBLANK('Data Entry'!O198), "", 'Data Entry'!O198)</f>
      </c>
      <c r="P198">
        <f>IF(ISBLANK('Data Entry'!P198), "", 'Data Entry'!P198)</f>
      </c>
      <c r="Q198">
        <f>IF(ISBLANK('Data Entry'!Q198), "", 'Data Entry'!Q198)</f>
      </c>
      <c r="R198">
        <f>IF(ISBLANK('Data Entry'!R198), "", 'Data Entry'!R198)</f>
      </c>
      <c r="S198">
        <f>IF(ISBLANK('Data Entry'!S198), "", 'Data Entry'!S198)</f>
      </c>
      <c r="T198">
        <f>IF(ISBLANK('Data Entry'!T198), "", 'Data Entry'!T198)</f>
      </c>
      <c r="U198">
        <f>IF(ISBLANK('Data Entry'!U198), "", 'Data Entry'!U198)</f>
      </c>
      <c r="V198">
        <f>IF(ISBLANK('Data Entry'!V198), "", 'Data Entry'!V198)</f>
      </c>
      <c r="W198">
        <f>IF(ISBLANK('Data Entry'!W198), "", 'Data Entry'!W198)</f>
      </c>
      <c r="X198">
        <f>IF(ISBLANK('Data Entry'!X198), "", 'Data Entry'!X198)</f>
      </c>
      <c r="Y198">
        <f>IF(ISBLANK('Data Entry'!Y198), "", 'Data Entry'!Y198)</f>
      </c>
      <c r="Z198">
        <f>IF(ISBLANK('Data Entry'!Z198), "", 'Data Entry'!Z198)</f>
      </c>
      <c r="AA198">
        <f>IF(ISBLANK('Data Entry'![198), "", 'Data Entry'![198)</f>
      </c>
      <c r="AB198">
        <f>IF(ISBLANK('Data Entry'!\198), "", 'Data Entry'!\198)</f>
      </c>
      <c r="AC198">
        <f>IF(ISBLANK('Data Entry'!]198), "", 'Data Entry'!]198)</f>
      </c>
      <c r="AD198">
        <f>IF(ISBLANK('Data Entry'!^198), "", 'Data Entry'!^198)</f>
      </c>
      <c r="AE198">
        <f>IF(ISBLANK('Data Entry'!_198), "", 'Data Entry'!_198)</f>
      </c>
      <c r="AF198">
        <f>IF(ISBLANK('Data Entry'!`198), "", 'Data Entry'!`198)</f>
      </c>
      <c r="AG198">
        <f>IF(ISBLANK('Data Entry'!a198), "", 'Data Entry'!a198)</f>
      </c>
      <c r="AH198">
        <f>IF(ISBLANK('Data Entry'!b198), "", 'Data Entry'!b198)</f>
      </c>
      <c r="AI198">
        <f>IF(ISBLANK('Data Entry'!c198), "", 'Data Entry'!c198)</f>
      </c>
      <c r="AJ198">
        <f>IF(ISBLANK('Data Entry'!d198), "", 'Data Entry'!d198)</f>
      </c>
      <c r="AK198">
        <f>IF(ISBLANK('Data Entry'!e198), "", 'Data Entry'!e198)</f>
      </c>
      <c r="AL198">
        <f>IF(ISBLANK('Data Entry'!f198), "", 'Data Entry'!f198)</f>
      </c>
      <c r="AM198">
        <f>IF(ISBLANK('Data Entry'!g198), "", 'Data Entry'!g198)</f>
      </c>
      <c r="AN198">
        <f>IF(ISBLANK('Data Entry'!h198), "", 'Data Entry'!h198)</f>
      </c>
    </row>
    <row r="199" spans="1:40" x14ac:dyDescent="0.25">
      <c r="A199">
        <f>IF(ISBLANK('Data Entry'!A199), "", 'Data Entry'!A199)</f>
      </c>
      <c r="B199">
        <f>IF(ISBLANK('Data Entry'!B199), "", 'Data Entry'!B199)</f>
      </c>
      <c r="C199">
        <f>IF(ISBLANK('Data Entry'!C199), "", 'Data Entry'!C199)</f>
      </c>
      <c r="D199">
        <f>IF(ISBLANK('Data Entry'!D199), "", 'Data Entry'!D199)</f>
      </c>
      <c r="E199">
        <f>IF(ISBLANK('Data Entry'!E199), "", 'Data Entry'!E199)</f>
      </c>
      <c r="F199">
        <f>IF(ISBLANK('Data Entry'!F199), "", 'Data Entry'!F199)</f>
      </c>
      <c r="G199">
        <f>IF(ISBLANK('Data Entry'!G199), "", 'Data Entry'!G199)</f>
      </c>
      <c r="H199">
        <f>IF(ISBLANK('Data Entry'!H199), "", 'Data Entry'!H199)</f>
      </c>
      <c r="I199">
        <f>IF(ISBLANK('Data Entry'!I199), "", 'Data Entry'!I199)</f>
      </c>
      <c r="J199">
        <f>IF(ISBLANK('Data Entry'!J199), "", 'Data Entry'!J199)</f>
      </c>
      <c r="K199">
        <f>IF(ISBLANK('Data Entry'!K199), "", 'Data Entry'!K199)</f>
      </c>
      <c r="L199">
        <f>IF(ISBLANK('Data Entry'!L199), "", 'Data Entry'!L199)</f>
      </c>
      <c r="M199">
        <f>IF(ISBLANK('Data Entry'!M199), "", 'Data Entry'!M199)</f>
      </c>
      <c r="N199">
        <f>IF(ISBLANK('Data Entry'!N199), "", 'Data Entry'!N199)</f>
      </c>
      <c r="O199">
        <f>IF(ISBLANK('Data Entry'!O199), "", 'Data Entry'!O199)</f>
      </c>
      <c r="P199">
        <f>IF(ISBLANK('Data Entry'!P199), "", 'Data Entry'!P199)</f>
      </c>
      <c r="Q199">
        <f>IF(ISBLANK('Data Entry'!Q199), "", 'Data Entry'!Q199)</f>
      </c>
      <c r="R199">
        <f>IF(ISBLANK('Data Entry'!R199), "", 'Data Entry'!R199)</f>
      </c>
      <c r="S199">
        <f>IF(ISBLANK('Data Entry'!S199), "", 'Data Entry'!S199)</f>
      </c>
      <c r="T199">
        <f>IF(ISBLANK('Data Entry'!T199), "", 'Data Entry'!T199)</f>
      </c>
      <c r="U199">
        <f>IF(ISBLANK('Data Entry'!U199), "", 'Data Entry'!U199)</f>
      </c>
      <c r="V199">
        <f>IF(ISBLANK('Data Entry'!V199), "", 'Data Entry'!V199)</f>
      </c>
      <c r="W199">
        <f>IF(ISBLANK('Data Entry'!W199), "", 'Data Entry'!W199)</f>
      </c>
      <c r="X199">
        <f>IF(ISBLANK('Data Entry'!X199), "", 'Data Entry'!X199)</f>
      </c>
      <c r="Y199">
        <f>IF(ISBLANK('Data Entry'!Y199), "", 'Data Entry'!Y199)</f>
      </c>
      <c r="Z199">
        <f>IF(ISBLANK('Data Entry'!Z199), "", 'Data Entry'!Z199)</f>
      </c>
      <c r="AA199">
        <f>IF(ISBLANK('Data Entry'![199), "", 'Data Entry'![199)</f>
      </c>
      <c r="AB199">
        <f>IF(ISBLANK('Data Entry'!\199), "", 'Data Entry'!\199)</f>
      </c>
      <c r="AC199">
        <f>IF(ISBLANK('Data Entry'!]199), "", 'Data Entry'!]199)</f>
      </c>
      <c r="AD199">
        <f>IF(ISBLANK('Data Entry'!^199), "", 'Data Entry'!^199)</f>
      </c>
      <c r="AE199">
        <f>IF(ISBLANK('Data Entry'!_199), "", 'Data Entry'!_199)</f>
      </c>
      <c r="AF199">
        <f>IF(ISBLANK('Data Entry'!`199), "", 'Data Entry'!`199)</f>
      </c>
      <c r="AG199">
        <f>IF(ISBLANK('Data Entry'!a199), "", 'Data Entry'!a199)</f>
      </c>
      <c r="AH199">
        <f>IF(ISBLANK('Data Entry'!b199), "", 'Data Entry'!b199)</f>
      </c>
      <c r="AI199">
        <f>IF(ISBLANK('Data Entry'!c199), "", 'Data Entry'!c199)</f>
      </c>
      <c r="AJ199">
        <f>IF(ISBLANK('Data Entry'!d199), "", 'Data Entry'!d199)</f>
      </c>
      <c r="AK199">
        <f>IF(ISBLANK('Data Entry'!e199), "", 'Data Entry'!e199)</f>
      </c>
      <c r="AL199">
        <f>IF(ISBLANK('Data Entry'!f199), "", 'Data Entry'!f199)</f>
      </c>
      <c r="AM199">
        <f>IF(ISBLANK('Data Entry'!g199), "", 'Data Entry'!g199)</f>
      </c>
      <c r="AN199">
        <f>IF(ISBLANK('Data Entry'!h199), "", 'Data Entry'!h199)</f>
      </c>
    </row>
    <row r="200" spans="1:40" x14ac:dyDescent="0.25">
      <c r="A200">
        <f>IF(ISBLANK('Data Entry'!A200), "", 'Data Entry'!A200)</f>
      </c>
      <c r="B200">
        <f>IF(ISBLANK('Data Entry'!B200), "", 'Data Entry'!B200)</f>
      </c>
      <c r="C200">
        <f>IF(ISBLANK('Data Entry'!C200), "", 'Data Entry'!C200)</f>
      </c>
      <c r="D200">
        <f>IF(ISBLANK('Data Entry'!D200), "", 'Data Entry'!D200)</f>
      </c>
      <c r="E200">
        <f>IF(ISBLANK('Data Entry'!E200), "", 'Data Entry'!E200)</f>
      </c>
      <c r="F200">
        <f>IF(ISBLANK('Data Entry'!F200), "", 'Data Entry'!F200)</f>
      </c>
      <c r="G200">
        <f>IF(ISBLANK('Data Entry'!G200), "", 'Data Entry'!G200)</f>
      </c>
      <c r="H200">
        <f>IF(ISBLANK('Data Entry'!H200), "", 'Data Entry'!H200)</f>
      </c>
      <c r="I200">
        <f>IF(ISBLANK('Data Entry'!I200), "", 'Data Entry'!I200)</f>
      </c>
      <c r="J200">
        <f>IF(ISBLANK('Data Entry'!J200), "", 'Data Entry'!J200)</f>
      </c>
      <c r="K200">
        <f>IF(ISBLANK('Data Entry'!K200), "", 'Data Entry'!K200)</f>
      </c>
      <c r="L200">
        <f>IF(ISBLANK('Data Entry'!L200), "", 'Data Entry'!L200)</f>
      </c>
      <c r="M200">
        <f>IF(ISBLANK('Data Entry'!M200), "", 'Data Entry'!M200)</f>
      </c>
      <c r="N200">
        <f>IF(ISBLANK('Data Entry'!N200), "", 'Data Entry'!N200)</f>
      </c>
      <c r="O200">
        <f>IF(ISBLANK('Data Entry'!O200), "", 'Data Entry'!O200)</f>
      </c>
      <c r="P200">
        <f>IF(ISBLANK('Data Entry'!P200), "", 'Data Entry'!P200)</f>
      </c>
      <c r="Q200">
        <f>IF(ISBLANK('Data Entry'!Q200), "", 'Data Entry'!Q200)</f>
      </c>
      <c r="R200">
        <f>IF(ISBLANK('Data Entry'!R200), "", 'Data Entry'!R200)</f>
      </c>
      <c r="S200">
        <f>IF(ISBLANK('Data Entry'!S200), "", 'Data Entry'!S200)</f>
      </c>
      <c r="T200">
        <f>IF(ISBLANK('Data Entry'!T200), "", 'Data Entry'!T200)</f>
      </c>
      <c r="U200">
        <f>IF(ISBLANK('Data Entry'!U200), "", 'Data Entry'!U200)</f>
      </c>
      <c r="V200">
        <f>IF(ISBLANK('Data Entry'!V200), "", 'Data Entry'!V200)</f>
      </c>
      <c r="W200">
        <f>IF(ISBLANK('Data Entry'!W200), "", 'Data Entry'!W200)</f>
      </c>
      <c r="X200">
        <f>IF(ISBLANK('Data Entry'!X200), "", 'Data Entry'!X200)</f>
      </c>
      <c r="Y200">
        <f>IF(ISBLANK('Data Entry'!Y200), "", 'Data Entry'!Y200)</f>
      </c>
      <c r="Z200">
        <f>IF(ISBLANK('Data Entry'!Z200), "", 'Data Entry'!Z200)</f>
      </c>
      <c r="AA200">
        <f>IF(ISBLANK('Data Entry'![200), "", 'Data Entry'![200)</f>
      </c>
      <c r="AB200">
        <f>IF(ISBLANK('Data Entry'!\200), "", 'Data Entry'!\200)</f>
      </c>
      <c r="AC200">
        <f>IF(ISBLANK('Data Entry'!]200), "", 'Data Entry'!]200)</f>
      </c>
      <c r="AD200">
        <f>IF(ISBLANK('Data Entry'!^200), "", 'Data Entry'!^200)</f>
      </c>
      <c r="AE200">
        <f>IF(ISBLANK('Data Entry'!_200), "", 'Data Entry'!_200)</f>
      </c>
      <c r="AF200">
        <f>IF(ISBLANK('Data Entry'!`200), "", 'Data Entry'!`200)</f>
      </c>
      <c r="AG200">
        <f>IF(ISBLANK('Data Entry'!a200), "", 'Data Entry'!a200)</f>
      </c>
      <c r="AH200">
        <f>IF(ISBLANK('Data Entry'!b200), "", 'Data Entry'!b200)</f>
      </c>
      <c r="AI200">
        <f>IF(ISBLANK('Data Entry'!c200), "", 'Data Entry'!c200)</f>
      </c>
      <c r="AJ200">
        <f>IF(ISBLANK('Data Entry'!d200), "", 'Data Entry'!d200)</f>
      </c>
      <c r="AK200">
        <f>IF(ISBLANK('Data Entry'!e200), "", 'Data Entry'!e200)</f>
      </c>
      <c r="AL200">
        <f>IF(ISBLANK('Data Entry'!f200), "", 'Data Entry'!f200)</f>
      </c>
      <c r="AM200">
        <f>IF(ISBLANK('Data Entry'!g200), "", 'Data Entry'!g200)</f>
      </c>
      <c r="AN200">
        <f>IF(ISBLANK('Data Entry'!h200), "", 'Data Entry'!h200)</f>
      </c>
    </row>
    <row r="201" spans="1:40" x14ac:dyDescent="0.25">
      <c r="A201">
        <f>IF(ISBLANK('Data Entry'!A201), "", 'Data Entry'!A201)</f>
      </c>
      <c r="B201">
        <f>IF(ISBLANK('Data Entry'!B201), "", 'Data Entry'!B201)</f>
      </c>
      <c r="C201">
        <f>IF(ISBLANK('Data Entry'!C201), "", 'Data Entry'!C201)</f>
      </c>
      <c r="D201">
        <f>IF(ISBLANK('Data Entry'!D201), "", 'Data Entry'!D201)</f>
      </c>
      <c r="E201">
        <f>IF(ISBLANK('Data Entry'!E201), "", 'Data Entry'!E201)</f>
      </c>
      <c r="F201">
        <f>IF(ISBLANK('Data Entry'!F201), "", 'Data Entry'!F201)</f>
      </c>
      <c r="G201">
        <f>IF(ISBLANK('Data Entry'!G201), "", 'Data Entry'!G201)</f>
      </c>
      <c r="H201">
        <f>IF(ISBLANK('Data Entry'!H201), "", 'Data Entry'!H201)</f>
      </c>
      <c r="I201">
        <f>IF(ISBLANK('Data Entry'!I201), "", 'Data Entry'!I201)</f>
      </c>
      <c r="J201">
        <f>IF(ISBLANK('Data Entry'!J201), "", 'Data Entry'!J201)</f>
      </c>
      <c r="K201">
        <f>IF(ISBLANK('Data Entry'!K201), "", 'Data Entry'!K201)</f>
      </c>
      <c r="L201">
        <f>IF(ISBLANK('Data Entry'!L201), "", 'Data Entry'!L201)</f>
      </c>
      <c r="M201">
        <f>IF(ISBLANK('Data Entry'!M201), "", 'Data Entry'!M201)</f>
      </c>
      <c r="N201">
        <f>IF(ISBLANK('Data Entry'!N201), "", 'Data Entry'!N201)</f>
      </c>
      <c r="O201">
        <f>IF(ISBLANK('Data Entry'!O201), "", 'Data Entry'!O201)</f>
      </c>
      <c r="P201">
        <f>IF(ISBLANK('Data Entry'!P201), "", 'Data Entry'!P201)</f>
      </c>
      <c r="Q201">
        <f>IF(ISBLANK('Data Entry'!Q201), "", 'Data Entry'!Q201)</f>
      </c>
      <c r="R201">
        <f>IF(ISBLANK('Data Entry'!R201), "", 'Data Entry'!R201)</f>
      </c>
      <c r="S201">
        <f>IF(ISBLANK('Data Entry'!S201), "", 'Data Entry'!S201)</f>
      </c>
      <c r="T201">
        <f>IF(ISBLANK('Data Entry'!T201), "", 'Data Entry'!T201)</f>
      </c>
      <c r="U201">
        <f>IF(ISBLANK('Data Entry'!U201), "", 'Data Entry'!U201)</f>
      </c>
      <c r="V201">
        <f>IF(ISBLANK('Data Entry'!V201), "", 'Data Entry'!V201)</f>
      </c>
      <c r="W201">
        <f>IF(ISBLANK('Data Entry'!W201), "", 'Data Entry'!W201)</f>
      </c>
      <c r="X201">
        <f>IF(ISBLANK('Data Entry'!X201), "", 'Data Entry'!X201)</f>
      </c>
      <c r="Y201">
        <f>IF(ISBLANK('Data Entry'!Y201), "", 'Data Entry'!Y201)</f>
      </c>
      <c r="Z201">
        <f>IF(ISBLANK('Data Entry'!Z201), "", 'Data Entry'!Z201)</f>
      </c>
      <c r="AA201">
        <f>IF(ISBLANK('Data Entry'![201), "", 'Data Entry'![201)</f>
      </c>
      <c r="AB201">
        <f>IF(ISBLANK('Data Entry'!\201), "", 'Data Entry'!\201)</f>
      </c>
      <c r="AC201">
        <f>IF(ISBLANK('Data Entry'!]201), "", 'Data Entry'!]201)</f>
      </c>
      <c r="AD201">
        <f>IF(ISBLANK('Data Entry'!^201), "", 'Data Entry'!^201)</f>
      </c>
      <c r="AE201">
        <f>IF(ISBLANK('Data Entry'!_201), "", 'Data Entry'!_201)</f>
      </c>
      <c r="AF201">
        <f>IF(ISBLANK('Data Entry'!`201), "", 'Data Entry'!`201)</f>
      </c>
      <c r="AG201">
        <f>IF(ISBLANK('Data Entry'!a201), "", 'Data Entry'!a201)</f>
      </c>
      <c r="AH201">
        <f>IF(ISBLANK('Data Entry'!b201), "", 'Data Entry'!b201)</f>
      </c>
      <c r="AI201">
        <f>IF(ISBLANK('Data Entry'!c201), "", 'Data Entry'!c201)</f>
      </c>
      <c r="AJ201">
        <f>IF(ISBLANK('Data Entry'!d201), "", 'Data Entry'!d201)</f>
      </c>
      <c r="AK201">
        <f>IF(ISBLANK('Data Entry'!e201), "", 'Data Entry'!e201)</f>
      </c>
      <c r="AL201">
        <f>IF(ISBLANK('Data Entry'!f201), "", 'Data Entry'!f201)</f>
      </c>
      <c r="AM201">
        <f>IF(ISBLANK('Data Entry'!g201), "", 'Data Entry'!g201)</f>
      </c>
      <c r="AN201">
        <f>IF(ISBLANK('Data Entry'!h201), "", 'Data Entry'!h201)</f>
      </c>
    </row>
    <row r="202" spans="1:40" x14ac:dyDescent="0.25">
      <c r="A202">
        <f>IF(ISBLANK('Data Entry'!A202), "", 'Data Entry'!A202)</f>
      </c>
      <c r="B202">
        <f>IF(ISBLANK('Data Entry'!B202), "", 'Data Entry'!B202)</f>
      </c>
      <c r="C202">
        <f>IF(ISBLANK('Data Entry'!C202), "", 'Data Entry'!C202)</f>
      </c>
      <c r="D202">
        <f>IF(ISBLANK('Data Entry'!D202), "", 'Data Entry'!D202)</f>
      </c>
      <c r="E202">
        <f>IF(ISBLANK('Data Entry'!E202), "", 'Data Entry'!E202)</f>
      </c>
      <c r="F202">
        <f>IF(ISBLANK('Data Entry'!F202), "", 'Data Entry'!F202)</f>
      </c>
      <c r="G202">
        <f>IF(ISBLANK('Data Entry'!G202), "", 'Data Entry'!G202)</f>
      </c>
      <c r="H202">
        <f>IF(ISBLANK('Data Entry'!H202), "", 'Data Entry'!H202)</f>
      </c>
      <c r="I202">
        <f>IF(ISBLANK('Data Entry'!I202), "", 'Data Entry'!I202)</f>
      </c>
      <c r="J202">
        <f>IF(ISBLANK('Data Entry'!J202), "", 'Data Entry'!J202)</f>
      </c>
      <c r="K202">
        <f>IF(ISBLANK('Data Entry'!K202), "", 'Data Entry'!K202)</f>
      </c>
      <c r="L202">
        <f>IF(ISBLANK('Data Entry'!L202), "", 'Data Entry'!L202)</f>
      </c>
      <c r="M202">
        <f>IF(ISBLANK('Data Entry'!M202), "", 'Data Entry'!M202)</f>
      </c>
      <c r="N202">
        <f>IF(ISBLANK('Data Entry'!N202), "", 'Data Entry'!N202)</f>
      </c>
      <c r="O202">
        <f>IF(ISBLANK('Data Entry'!O202), "", 'Data Entry'!O202)</f>
      </c>
      <c r="P202">
        <f>IF(ISBLANK('Data Entry'!P202), "", 'Data Entry'!P202)</f>
      </c>
      <c r="Q202">
        <f>IF(ISBLANK('Data Entry'!Q202), "", 'Data Entry'!Q202)</f>
      </c>
      <c r="R202">
        <f>IF(ISBLANK('Data Entry'!R202), "", 'Data Entry'!R202)</f>
      </c>
      <c r="S202">
        <f>IF(ISBLANK('Data Entry'!S202), "", 'Data Entry'!S202)</f>
      </c>
      <c r="T202">
        <f>IF(ISBLANK('Data Entry'!T202), "", 'Data Entry'!T202)</f>
      </c>
      <c r="U202">
        <f>IF(ISBLANK('Data Entry'!U202), "", 'Data Entry'!U202)</f>
      </c>
      <c r="V202">
        <f>IF(ISBLANK('Data Entry'!V202), "", 'Data Entry'!V202)</f>
      </c>
      <c r="W202">
        <f>IF(ISBLANK('Data Entry'!W202), "", 'Data Entry'!W202)</f>
      </c>
      <c r="X202">
        <f>IF(ISBLANK('Data Entry'!X202), "", 'Data Entry'!X202)</f>
      </c>
      <c r="Y202">
        <f>IF(ISBLANK('Data Entry'!Y202), "", 'Data Entry'!Y202)</f>
      </c>
      <c r="Z202">
        <f>IF(ISBLANK('Data Entry'!Z202), "", 'Data Entry'!Z202)</f>
      </c>
      <c r="AA202">
        <f>IF(ISBLANK('Data Entry'![202), "", 'Data Entry'![202)</f>
      </c>
      <c r="AB202">
        <f>IF(ISBLANK('Data Entry'!\202), "", 'Data Entry'!\202)</f>
      </c>
      <c r="AC202">
        <f>IF(ISBLANK('Data Entry'!]202), "", 'Data Entry'!]202)</f>
      </c>
      <c r="AD202">
        <f>IF(ISBLANK('Data Entry'!^202), "", 'Data Entry'!^202)</f>
      </c>
      <c r="AE202">
        <f>IF(ISBLANK('Data Entry'!_202), "", 'Data Entry'!_202)</f>
      </c>
      <c r="AF202">
        <f>IF(ISBLANK('Data Entry'!`202), "", 'Data Entry'!`202)</f>
      </c>
      <c r="AG202">
        <f>IF(ISBLANK('Data Entry'!a202), "", 'Data Entry'!a202)</f>
      </c>
      <c r="AH202">
        <f>IF(ISBLANK('Data Entry'!b202), "", 'Data Entry'!b202)</f>
      </c>
      <c r="AI202">
        <f>IF(ISBLANK('Data Entry'!c202), "", 'Data Entry'!c202)</f>
      </c>
      <c r="AJ202">
        <f>IF(ISBLANK('Data Entry'!d202), "", 'Data Entry'!d202)</f>
      </c>
      <c r="AK202">
        <f>IF(ISBLANK('Data Entry'!e202), "", 'Data Entry'!e202)</f>
      </c>
      <c r="AL202">
        <f>IF(ISBLANK('Data Entry'!f202), "", 'Data Entry'!f202)</f>
      </c>
      <c r="AM202">
        <f>IF(ISBLANK('Data Entry'!g202), "", 'Data Entry'!g202)</f>
      </c>
      <c r="AN202">
        <f>IF(ISBLANK('Data Entry'!h202), "", 'Data Entry'!h202)</f>
      </c>
    </row>
    <row r="203" spans="1:40" x14ac:dyDescent="0.25">
      <c r="A203">
        <f>IF(ISBLANK('Data Entry'!A203), "", 'Data Entry'!A203)</f>
      </c>
      <c r="B203">
        <f>IF(ISBLANK('Data Entry'!B203), "", 'Data Entry'!B203)</f>
      </c>
      <c r="C203">
        <f>IF(ISBLANK('Data Entry'!C203), "", 'Data Entry'!C203)</f>
      </c>
      <c r="D203">
        <f>IF(ISBLANK('Data Entry'!D203), "", 'Data Entry'!D203)</f>
      </c>
      <c r="E203">
        <f>IF(ISBLANK('Data Entry'!E203), "", 'Data Entry'!E203)</f>
      </c>
      <c r="F203">
        <f>IF(ISBLANK('Data Entry'!F203), "", 'Data Entry'!F203)</f>
      </c>
      <c r="G203">
        <f>IF(ISBLANK('Data Entry'!G203), "", 'Data Entry'!G203)</f>
      </c>
      <c r="H203">
        <f>IF(ISBLANK('Data Entry'!H203), "", 'Data Entry'!H203)</f>
      </c>
      <c r="I203">
        <f>IF(ISBLANK('Data Entry'!I203), "", 'Data Entry'!I203)</f>
      </c>
      <c r="J203">
        <f>IF(ISBLANK('Data Entry'!J203), "", 'Data Entry'!J203)</f>
      </c>
      <c r="K203">
        <f>IF(ISBLANK('Data Entry'!K203), "", 'Data Entry'!K203)</f>
      </c>
      <c r="L203">
        <f>IF(ISBLANK('Data Entry'!L203), "", 'Data Entry'!L203)</f>
      </c>
      <c r="M203">
        <f>IF(ISBLANK('Data Entry'!M203), "", 'Data Entry'!M203)</f>
      </c>
      <c r="N203">
        <f>IF(ISBLANK('Data Entry'!N203), "", 'Data Entry'!N203)</f>
      </c>
      <c r="O203">
        <f>IF(ISBLANK('Data Entry'!O203), "", 'Data Entry'!O203)</f>
      </c>
      <c r="P203">
        <f>IF(ISBLANK('Data Entry'!P203), "", 'Data Entry'!P203)</f>
      </c>
      <c r="Q203">
        <f>IF(ISBLANK('Data Entry'!Q203), "", 'Data Entry'!Q203)</f>
      </c>
      <c r="R203">
        <f>IF(ISBLANK('Data Entry'!R203), "", 'Data Entry'!R203)</f>
      </c>
      <c r="S203">
        <f>IF(ISBLANK('Data Entry'!S203), "", 'Data Entry'!S203)</f>
      </c>
      <c r="T203">
        <f>IF(ISBLANK('Data Entry'!T203), "", 'Data Entry'!T203)</f>
      </c>
      <c r="U203">
        <f>IF(ISBLANK('Data Entry'!U203), "", 'Data Entry'!U203)</f>
      </c>
      <c r="V203">
        <f>IF(ISBLANK('Data Entry'!V203), "", 'Data Entry'!V203)</f>
      </c>
      <c r="W203">
        <f>IF(ISBLANK('Data Entry'!W203), "", 'Data Entry'!W203)</f>
      </c>
      <c r="X203">
        <f>IF(ISBLANK('Data Entry'!X203), "", 'Data Entry'!X203)</f>
      </c>
      <c r="Y203">
        <f>IF(ISBLANK('Data Entry'!Y203), "", 'Data Entry'!Y203)</f>
      </c>
      <c r="Z203">
        <f>IF(ISBLANK('Data Entry'!Z203), "", 'Data Entry'!Z203)</f>
      </c>
      <c r="AA203">
        <f>IF(ISBLANK('Data Entry'![203), "", 'Data Entry'![203)</f>
      </c>
      <c r="AB203">
        <f>IF(ISBLANK('Data Entry'!\203), "", 'Data Entry'!\203)</f>
      </c>
      <c r="AC203">
        <f>IF(ISBLANK('Data Entry'!]203), "", 'Data Entry'!]203)</f>
      </c>
      <c r="AD203">
        <f>IF(ISBLANK('Data Entry'!^203), "", 'Data Entry'!^203)</f>
      </c>
      <c r="AE203">
        <f>IF(ISBLANK('Data Entry'!_203), "", 'Data Entry'!_203)</f>
      </c>
      <c r="AF203">
        <f>IF(ISBLANK('Data Entry'!`203), "", 'Data Entry'!`203)</f>
      </c>
      <c r="AG203">
        <f>IF(ISBLANK('Data Entry'!a203), "", 'Data Entry'!a203)</f>
      </c>
      <c r="AH203">
        <f>IF(ISBLANK('Data Entry'!b203), "", 'Data Entry'!b203)</f>
      </c>
      <c r="AI203">
        <f>IF(ISBLANK('Data Entry'!c203), "", 'Data Entry'!c203)</f>
      </c>
      <c r="AJ203">
        <f>IF(ISBLANK('Data Entry'!d203), "", 'Data Entry'!d203)</f>
      </c>
      <c r="AK203">
        <f>IF(ISBLANK('Data Entry'!e203), "", 'Data Entry'!e203)</f>
      </c>
      <c r="AL203">
        <f>IF(ISBLANK('Data Entry'!f203), "", 'Data Entry'!f203)</f>
      </c>
      <c r="AM203">
        <f>IF(ISBLANK('Data Entry'!g203), "", 'Data Entry'!g203)</f>
      </c>
      <c r="AN203">
        <f>IF(ISBLANK('Data Entry'!h203), "", 'Data Entry'!h203)</f>
      </c>
    </row>
    <row r="204" spans="1:40" x14ac:dyDescent="0.25">
      <c r="A204">
        <f>IF(ISBLANK('Data Entry'!A204), "", 'Data Entry'!A204)</f>
      </c>
      <c r="B204">
        <f>IF(ISBLANK('Data Entry'!B204), "", 'Data Entry'!B204)</f>
      </c>
      <c r="C204">
        <f>IF(ISBLANK('Data Entry'!C204), "", 'Data Entry'!C204)</f>
      </c>
      <c r="D204">
        <f>IF(ISBLANK('Data Entry'!D204), "", 'Data Entry'!D204)</f>
      </c>
      <c r="E204">
        <f>IF(ISBLANK('Data Entry'!E204), "", 'Data Entry'!E204)</f>
      </c>
      <c r="F204">
        <f>IF(ISBLANK('Data Entry'!F204), "", 'Data Entry'!F204)</f>
      </c>
      <c r="G204">
        <f>IF(ISBLANK('Data Entry'!G204), "", 'Data Entry'!G204)</f>
      </c>
      <c r="H204">
        <f>IF(ISBLANK('Data Entry'!H204), "", 'Data Entry'!H204)</f>
      </c>
      <c r="I204">
        <f>IF(ISBLANK('Data Entry'!I204), "", 'Data Entry'!I204)</f>
      </c>
      <c r="J204">
        <f>IF(ISBLANK('Data Entry'!J204), "", 'Data Entry'!J204)</f>
      </c>
      <c r="K204">
        <f>IF(ISBLANK('Data Entry'!K204), "", 'Data Entry'!K204)</f>
      </c>
      <c r="L204">
        <f>IF(ISBLANK('Data Entry'!L204), "", 'Data Entry'!L204)</f>
      </c>
      <c r="M204">
        <f>IF(ISBLANK('Data Entry'!M204), "", 'Data Entry'!M204)</f>
      </c>
      <c r="N204">
        <f>IF(ISBLANK('Data Entry'!N204), "", 'Data Entry'!N204)</f>
      </c>
      <c r="O204">
        <f>IF(ISBLANK('Data Entry'!O204), "", 'Data Entry'!O204)</f>
      </c>
      <c r="P204">
        <f>IF(ISBLANK('Data Entry'!P204), "", 'Data Entry'!P204)</f>
      </c>
      <c r="Q204">
        <f>IF(ISBLANK('Data Entry'!Q204), "", 'Data Entry'!Q204)</f>
      </c>
      <c r="R204">
        <f>IF(ISBLANK('Data Entry'!R204), "", 'Data Entry'!R204)</f>
      </c>
      <c r="S204">
        <f>IF(ISBLANK('Data Entry'!S204), "", 'Data Entry'!S204)</f>
      </c>
      <c r="T204">
        <f>IF(ISBLANK('Data Entry'!T204), "", 'Data Entry'!T204)</f>
      </c>
      <c r="U204">
        <f>IF(ISBLANK('Data Entry'!U204), "", 'Data Entry'!U204)</f>
      </c>
      <c r="V204">
        <f>IF(ISBLANK('Data Entry'!V204), "", 'Data Entry'!V204)</f>
      </c>
      <c r="W204">
        <f>IF(ISBLANK('Data Entry'!W204), "", 'Data Entry'!W204)</f>
      </c>
      <c r="X204">
        <f>IF(ISBLANK('Data Entry'!X204), "", 'Data Entry'!X204)</f>
      </c>
      <c r="Y204">
        <f>IF(ISBLANK('Data Entry'!Y204), "", 'Data Entry'!Y204)</f>
      </c>
      <c r="Z204">
        <f>IF(ISBLANK('Data Entry'!Z204), "", 'Data Entry'!Z204)</f>
      </c>
      <c r="AA204">
        <f>IF(ISBLANK('Data Entry'![204), "", 'Data Entry'![204)</f>
      </c>
      <c r="AB204">
        <f>IF(ISBLANK('Data Entry'!\204), "", 'Data Entry'!\204)</f>
      </c>
      <c r="AC204">
        <f>IF(ISBLANK('Data Entry'!]204), "", 'Data Entry'!]204)</f>
      </c>
      <c r="AD204">
        <f>IF(ISBLANK('Data Entry'!^204), "", 'Data Entry'!^204)</f>
      </c>
      <c r="AE204">
        <f>IF(ISBLANK('Data Entry'!_204), "", 'Data Entry'!_204)</f>
      </c>
      <c r="AF204">
        <f>IF(ISBLANK('Data Entry'!`204), "", 'Data Entry'!`204)</f>
      </c>
      <c r="AG204">
        <f>IF(ISBLANK('Data Entry'!a204), "", 'Data Entry'!a204)</f>
      </c>
      <c r="AH204">
        <f>IF(ISBLANK('Data Entry'!b204), "", 'Data Entry'!b204)</f>
      </c>
      <c r="AI204">
        <f>IF(ISBLANK('Data Entry'!c204), "", 'Data Entry'!c204)</f>
      </c>
      <c r="AJ204">
        <f>IF(ISBLANK('Data Entry'!d204), "", 'Data Entry'!d204)</f>
      </c>
      <c r="AK204">
        <f>IF(ISBLANK('Data Entry'!e204), "", 'Data Entry'!e204)</f>
      </c>
      <c r="AL204">
        <f>IF(ISBLANK('Data Entry'!f204), "", 'Data Entry'!f204)</f>
      </c>
      <c r="AM204">
        <f>IF(ISBLANK('Data Entry'!g204), "", 'Data Entry'!g204)</f>
      </c>
      <c r="AN204">
        <f>IF(ISBLANK('Data Entry'!h204), "", 'Data Entry'!h204)</f>
      </c>
    </row>
    <row r="205" spans="1:40" x14ac:dyDescent="0.25">
      <c r="A205">
        <f>IF(ISBLANK('Data Entry'!A205), "", 'Data Entry'!A205)</f>
      </c>
      <c r="B205">
        <f>IF(ISBLANK('Data Entry'!B205), "", 'Data Entry'!B205)</f>
      </c>
      <c r="C205">
        <f>IF(ISBLANK('Data Entry'!C205), "", 'Data Entry'!C205)</f>
      </c>
      <c r="D205">
        <f>IF(ISBLANK('Data Entry'!D205), "", 'Data Entry'!D205)</f>
      </c>
      <c r="E205">
        <f>IF(ISBLANK('Data Entry'!E205), "", 'Data Entry'!E205)</f>
      </c>
      <c r="F205">
        <f>IF(ISBLANK('Data Entry'!F205), "", 'Data Entry'!F205)</f>
      </c>
      <c r="G205">
        <f>IF(ISBLANK('Data Entry'!G205), "", 'Data Entry'!G205)</f>
      </c>
      <c r="H205">
        <f>IF(ISBLANK('Data Entry'!H205), "", 'Data Entry'!H205)</f>
      </c>
      <c r="I205">
        <f>IF(ISBLANK('Data Entry'!I205), "", 'Data Entry'!I205)</f>
      </c>
      <c r="J205">
        <f>IF(ISBLANK('Data Entry'!J205), "", 'Data Entry'!J205)</f>
      </c>
      <c r="K205">
        <f>IF(ISBLANK('Data Entry'!K205), "", 'Data Entry'!K205)</f>
      </c>
      <c r="L205">
        <f>IF(ISBLANK('Data Entry'!L205), "", 'Data Entry'!L205)</f>
      </c>
      <c r="M205">
        <f>IF(ISBLANK('Data Entry'!M205), "", 'Data Entry'!M205)</f>
      </c>
      <c r="N205">
        <f>IF(ISBLANK('Data Entry'!N205), "", 'Data Entry'!N205)</f>
      </c>
      <c r="O205">
        <f>IF(ISBLANK('Data Entry'!O205), "", 'Data Entry'!O205)</f>
      </c>
      <c r="P205">
        <f>IF(ISBLANK('Data Entry'!P205), "", 'Data Entry'!P205)</f>
      </c>
      <c r="Q205">
        <f>IF(ISBLANK('Data Entry'!Q205), "", 'Data Entry'!Q205)</f>
      </c>
      <c r="R205">
        <f>IF(ISBLANK('Data Entry'!R205), "", 'Data Entry'!R205)</f>
      </c>
      <c r="S205">
        <f>IF(ISBLANK('Data Entry'!S205), "", 'Data Entry'!S205)</f>
      </c>
      <c r="T205">
        <f>IF(ISBLANK('Data Entry'!T205), "", 'Data Entry'!T205)</f>
      </c>
      <c r="U205">
        <f>IF(ISBLANK('Data Entry'!U205), "", 'Data Entry'!U205)</f>
      </c>
      <c r="V205">
        <f>IF(ISBLANK('Data Entry'!V205), "", 'Data Entry'!V205)</f>
      </c>
      <c r="W205">
        <f>IF(ISBLANK('Data Entry'!W205), "", 'Data Entry'!W205)</f>
      </c>
      <c r="X205">
        <f>IF(ISBLANK('Data Entry'!X205), "", 'Data Entry'!X205)</f>
      </c>
      <c r="Y205">
        <f>IF(ISBLANK('Data Entry'!Y205), "", 'Data Entry'!Y205)</f>
      </c>
      <c r="Z205">
        <f>IF(ISBLANK('Data Entry'!Z205), "", 'Data Entry'!Z205)</f>
      </c>
      <c r="AA205">
        <f>IF(ISBLANK('Data Entry'![205), "", 'Data Entry'![205)</f>
      </c>
      <c r="AB205">
        <f>IF(ISBLANK('Data Entry'!\205), "", 'Data Entry'!\205)</f>
      </c>
      <c r="AC205">
        <f>IF(ISBLANK('Data Entry'!]205), "", 'Data Entry'!]205)</f>
      </c>
      <c r="AD205">
        <f>IF(ISBLANK('Data Entry'!^205), "", 'Data Entry'!^205)</f>
      </c>
      <c r="AE205">
        <f>IF(ISBLANK('Data Entry'!_205), "", 'Data Entry'!_205)</f>
      </c>
      <c r="AF205">
        <f>IF(ISBLANK('Data Entry'!`205), "", 'Data Entry'!`205)</f>
      </c>
      <c r="AG205">
        <f>IF(ISBLANK('Data Entry'!a205), "", 'Data Entry'!a205)</f>
      </c>
      <c r="AH205">
        <f>IF(ISBLANK('Data Entry'!b205), "", 'Data Entry'!b205)</f>
      </c>
      <c r="AI205">
        <f>IF(ISBLANK('Data Entry'!c205), "", 'Data Entry'!c205)</f>
      </c>
      <c r="AJ205">
        <f>IF(ISBLANK('Data Entry'!d205), "", 'Data Entry'!d205)</f>
      </c>
      <c r="AK205">
        <f>IF(ISBLANK('Data Entry'!e205), "", 'Data Entry'!e205)</f>
      </c>
      <c r="AL205">
        <f>IF(ISBLANK('Data Entry'!f205), "", 'Data Entry'!f205)</f>
      </c>
      <c r="AM205">
        <f>IF(ISBLANK('Data Entry'!g205), "", 'Data Entry'!g205)</f>
      </c>
      <c r="AN205">
        <f>IF(ISBLANK('Data Entry'!h205), "", 'Data Entry'!h205)</f>
      </c>
    </row>
    <row r="206" spans="1:40" x14ac:dyDescent="0.25">
      <c r="A206">
        <f>IF(ISBLANK('Data Entry'!A206), "", 'Data Entry'!A206)</f>
      </c>
      <c r="B206">
        <f>IF(ISBLANK('Data Entry'!B206), "", 'Data Entry'!B206)</f>
      </c>
      <c r="C206">
        <f>IF(ISBLANK('Data Entry'!C206), "", 'Data Entry'!C206)</f>
      </c>
      <c r="D206">
        <f>IF(ISBLANK('Data Entry'!D206), "", 'Data Entry'!D206)</f>
      </c>
      <c r="E206">
        <f>IF(ISBLANK('Data Entry'!E206), "", 'Data Entry'!E206)</f>
      </c>
      <c r="F206">
        <f>IF(ISBLANK('Data Entry'!F206), "", 'Data Entry'!F206)</f>
      </c>
      <c r="G206">
        <f>IF(ISBLANK('Data Entry'!G206), "", 'Data Entry'!G206)</f>
      </c>
      <c r="H206">
        <f>IF(ISBLANK('Data Entry'!H206), "", 'Data Entry'!H206)</f>
      </c>
      <c r="I206">
        <f>IF(ISBLANK('Data Entry'!I206), "", 'Data Entry'!I206)</f>
      </c>
      <c r="J206">
        <f>IF(ISBLANK('Data Entry'!J206), "", 'Data Entry'!J206)</f>
      </c>
      <c r="K206">
        <f>IF(ISBLANK('Data Entry'!K206), "", 'Data Entry'!K206)</f>
      </c>
      <c r="L206">
        <f>IF(ISBLANK('Data Entry'!L206), "", 'Data Entry'!L206)</f>
      </c>
      <c r="M206">
        <f>IF(ISBLANK('Data Entry'!M206), "", 'Data Entry'!M206)</f>
      </c>
      <c r="N206">
        <f>IF(ISBLANK('Data Entry'!N206), "", 'Data Entry'!N206)</f>
      </c>
      <c r="O206">
        <f>IF(ISBLANK('Data Entry'!O206), "", 'Data Entry'!O206)</f>
      </c>
      <c r="P206">
        <f>IF(ISBLANK('Data Entry'!P206), "", 'Data Entry'!P206)</f>
      </c>
      <c r="Q206">
        <f>IF(ISBLANK('Data Entry'!Q206), "", 'Data Entry'!Q206)</f>
      </c>
      <c r="R206">
        <f>IF(ISBLANK('Data Entry'!R206), "", 'Data Entry'!R206)</f>
      </c>
      <c r="S206">
        <f>IF(ISBLANK('Data Entry'!S206), "", 'Data Entry'!S206)</f>
      </c>
      <c r="T206">
        <f>IF(ISBLANK('Data Entry'!T206), "", 'Data Entry'!T206)</f>
      </c>
      <c r="U206">
        <f>IF(ISBLANK('Data Entry'!U206), "", 'Data Entry'!U206)</f>
      </c>
      <c r="V206">
        <f>IF(ISBLANK('Data Entry'!V206), "", 'Data Entry'!V206)</f>
      </c>
      <c r="W206">
        <f>IF(ISBLANK('Data Entry'!W206), "", 'Data Entry'!W206)</f>
      </c>
      <c r="X206">
        <f>IF(ISBLANK('Data Entry'!X206), "", 'Data Entry'!X206)</f>
      </c>
      <c r="Y206">
        <f>IF(ISBLANK('Data Entry'!Y206), "", 'Data Entry'!Y206)</f>
      </c>
      <c r="Z206">
        <f>IF(ISBLANK('Data Entry'!Z206), "", 'Data Entry'!Z206)</f>
      </c>
      <c r="AA206">
        <f>IF(ISBLANK('Data Entry'![206), "", 'Data Entry'![206)</f>
      </c>
      <c r="AB206">
        <f>IF(ISBLANK('Data Entry'!\206), "", 'Data Entry'!\206)</f>
      </c>
      <c r="AC206">
        <f>IF(ISBLANK('Data Entry'!]206), "", 'Data Entry'!]206)</f>
      </c>
      <c r="AD206">
        <f>IF(ISBLANK('Data Entry'!^206), "", 'Data Entry'!^206)</f>
      </c>
      <c r="AE206">
        <f>IF(ISBLANK('Data Entry'!_206), "", 'Data Entry'!_206)</f>
      </c>
      <c r="AF206">
        <f>IF(ISBLANK('Data Entry'!`206), "", 'Data Entry'!`206)</f>
      </c>
      <c r="AG206">
        <f>IF(ISBLANK('Data Entry'!a206), "", 'Data Entry'!a206)</f>
      </c>
      <c r="AH206">
        <f>IF(ISBLANK('Data Entry'!b206), "", 'Data Entry'!b206)</f>
      </c>
      <c r="AI206">
        <f>IF(ISBLANK('Data Entry'!c206), "", 'Data Entry'!c206)</f>
      </c>
      <c r="AJ206">
        <f>IF(ISBLANK('Data Entry'!d206), "", 'Data Entry'!d206)</f>
      </c>
      <c r="AK206">
        <f>IF(ISBLANK('Data Entry'!e206), "", 'Data Entry'!e206)</f>
      </c>
      <c r="AL206">
        <f>IF(ISBLANK('Data Entry'!f206), "", 'Data Entry'!f206)</f>
      </c>
      <c r="AM206">
        <f>IF(ISBLANK('Data Entry'!g206), "", 'Data Entry'!g206)</f>
      </c>
      <c r="AN206">
        <f>IF(ISBLANK('Data Entry'!h206), "", 'Data Entry'!h206)</f>
      </c>
    </row>
    <row r="207" spans="1:40" x14ac:dyDescent="0.25">
      <c r="A207">
        <f>IF(ISBLANK('Data Entry'!A207), "", 'Data Entry'!A207)</f>
      </c>
      <c r="B207">
        <f>IF(ISBLANK('Data Entry'!B207), "", 'Data Entry'!B207)</f>
      </c>
      <c r="C207">
        <f>IF(ISBLANK('Data Entry'!C207), "", 'Data Entry'!C207)</f>
      </c>
      <c r="D207">
        <f>IF(ISBLANK('Data Entry'!D207), "", 'Data Entry'!D207)</f>
      </c>
      <c r="E207">
        <f>IF(ISBLANK('Data Entry'!E207), "", 'Data Entry'!E207)</f>
      </c>
      <c r="F207">
        <f>IF(ISBLANK('Data Entry'!F207), "", 'Data Entry'!F207)</f>
      </c>
      <c r="G207">
        <f>IF(ISBLANK('Data Entry'!G207), "", 'Data Entry'!G207)</f>
      </c>
      <c r="H207">
        <f>IF(ISBLANK('Data Entry'!H207), "", 'Data Entry'!H207)</f>
      </c>
      <c r="I207">
        <f>IF(ISBLANK('Data Entry'!I207), "", 'Data Entry'!I207)</f>
      </c>
      <c r="J207">
        <f>IF(ISBLANK('Data Entry'!J207), "", 'Data Entry'!J207)</f>
      </c>
      <c r="K207">
        <f>IF(ISBLANK('Data Entry'!K207), "", 'Data Entry'!K207)</f>
      </c>
      <c r="L207">
        <f>IF(ISBLANK('Data Entry'!L207), "", 'Data Entry'!L207)</f>
      </c>
      <c r="M207">
        <f>IF(ISBLANK('Data Entry'!M207), "", 'Data Entry'!M207)</f>
      </c>
      <c r="N207">
        <f>IF(ISBLANK('Data Entry'!N207), "", 'Data Entry'!N207)</f>
      </c>
      <c r="O207">
        <f>IF(ISBLANK('Data Entry'!O207), "", 'Data Entry'!O207)</f>
      </c>
      <c r="P207">
        <f>IF(ISBLANK('Data Entry'!P207), "", 'Data Entry'!P207)</f>
      </c>
      <c r="Q207">
        <f>IF(ISBLANK('Data Entry'!Q207), "", 'Data Entry'!Q207)</f>
      </c>
      <c r="R207">
        <f>IF(ISBLANK('Data Entry'!R207), "", 'Data Entry'!R207)</f>
      </c>
      <c r="S207">
        <f>IF(ISBLANK('Data Entry'!S207), "", 'Data Entry'!S207)</f>
      </c>
      <c r="T207">
        <f>IF(ISBLANK('Data Entry'!T207), "", 'Data Entry'!T207)</f>
      </c>
      <c r="U207">
        <f>IF(ISBLANK('Data Entry'!U207), "", 'Data Entry'!U207)</f>
      </c>
      <c r="V207">
        <f>IF(ISBLANK('Data Entry'!V207), "", 'Data Entry'!V207)</f>
      </c>
      <c r="W207">
        <f>IF(ISBLANK('Data Entry'!W207), "", 'Data Entry'!W207)</f>
      </c>
      <c r="X207">
        <f>IF(ISBLANK('Data Entry'!X207), "", 'Data Entry'!X207)</f>
      </c>
      <c r="Y207">
        <f>IF(ISBLANK('Data Entry'!Y207), "", 'Data Entry'!Y207)</f>
      </c>
      <c r="Z207">
        <f>IF(ISBLANK('Data Entry'!Z207), "", 'Data Entry'!Z207)</f>
      </c>
      <c r="AA207">
        <f>IF(ISBLANK('Data Entry'![207), "", 'Data Entry'![207)</f>
      </c>
      <c r="AB207">
        <f>IF(ISBLANK('Data Entry'!\207), "", 'Data Entry'!\207)</f>
      </c>
      <c r="AC207">
        <f>IF(ISBLANK('Data Entry'!]207), "", 'Data Entry'!]207)</f>
      </c>
      <c r="AD207">
        <f>IF(ISBLANK('Data Entry'!^207), "", 'Data Entry'!^207)</f>
      </c>
      <c r="AE207">
        <f>IF(ISBLANK('Data Entry'!_207), "", 'Data Entry'!_207)</f>
      </c>
      <c r="AF207">
        <f>IF(ISBLANK('Data Entry'!`207), "", 'Data Entry'!`207)</f>
      </c>
      <c r="AG207">
        <f>IF(ISBLANK('Data Entry'!a207), "", 'Data Entry'!a207)</f>
      </c>
      <c r="AH207">
        <f>IF(ISBLANK('Data Entry'!b207), "", 'Data Entry'!b207)</f>
      </c>
      <c r="AI207">
        <f>IF(ISBLANK('Data Entry'!c207), "", 'Data Entry'!c207)</f>
      </c>
      <c r="AJ207">
        <f>IF(ISBLANK('Data Entry'!d207), "", 'Data Entry'!d207)</f>
      </c>
      <c r="AK207">
        <f>IF(ISBLANK('Data Entry'!e207), "", 'Data Entry'!e207)</f>
      </c>
      <c r="AL207">
        <f>IF(ISBLANK('Data Entry'!f207), "", 'Data Entry'!f207)</f>
      </c>
      <c r="AM207">
        <f>IF(ISBLANK('Data Entry'!g207), "", 'Data Entry'!g207)</f>
      </c>
      <c r="AN207">
        <f>IF(ISBLANK('Data Entry'!h207), "", 'Data Entry'!h207)</f>
      </c>
    </row>
    <row r="208" spans="1:40" x14ac:dyDescent="0.25">
      <c r="A208">
        <f>IF(ISBLANK('Data Entry'!A208), "", 'Data Entry'!A208)</f>
      </c>
      <c r="B208">
        <f>IF(ISBLANK('Data Entry'!B208), "", 'Data Entry'!B208)</f>
      </c>
      <c r="C208">
        <f>IF(ISBLANK('Data Entry'!C208), "", 'Data Entry'!C208)</f>
      </c>
      <c r="D208">
        <f>IF(ISBLANK('Data Entry'!D208), "", 'Data Entry'!D208)</f>
      </c>
      <c r="E208">
        <f>IF(ISBLANK('Data Entry'!E208), "", 'Data Entry'!E208)</f>
      </c>
      <c r="F208">
        <f>IF(ISBLANK('Data Entry'!F208), "", 'Data Entry'!F208)</f>
      </c>
      <c r="G208">
        <f>IF(ISBLANK('Data Entry'!G208), "", 'Data Entry'!G208)</f>
      </c>
      <c r="H208">
        <f>IF(ISBLANK('Data Entry'!H208), "", 'Data Entry'!H208)</f>
      </c>
      <c r="I208">
        <f>IF(ISBLANK('Data Entry'!I208), "", 'Data Entry'!I208)</f>
      </c>
      <c r="J208">
        <f>IF(ISBLANK('Data Entry'!J208), "", 'Data Entry'!J208)</f>
      </c>
      <c r="K208">
        <f>IF(ISBLANK('Data Entry'!K208), "", 'Data Entry'!K208)</f>
      </c>
      <c r="L208">
        <f>IF(ISBLANK('Data Entry'!L208), "", 'Data Entry'!L208)</f>
      </c>
      <c r="M208">
        <f>IF(ISBLANK('Data Entry'!M208), "", 'Data Entry'!M208)</f>
      </c>
      <c r="N208">
        <f>IF(ISBLANK('Data Entry'!N208), "", 'Data Entry'!N208)</f>
      </c>
      <c r="O208">
        <f>IF(ISBLANK('Data Entry'!O208), "", 'Data Entry'!O208)</f>
      </c>
      <c r="P208">
        <f>IF(ISBLANK('Data Entry'!P208), "", 'Data Entry'!P208)</f>
      </c>
      <c r="Q208">
        <f>IF(ISBLANK('Data Entry'!Q208), "", 'Data Entry'!Q208)</f>
      </c>
      <c r="R208">
        <f>IF(ISBLANK('Data Entry'!R208), "", 'Data Entry'!R208)</f>
      </c>
      <c r="S208">
        <f>IF(ISBLANK('Data Entry'!S208), "", 'Data Entry'!S208)</f>
      </c>
      <c r="T208">
        <f>IF(ISBLANK('Data Entry'!T208), "", 'Data Entry'!T208)</f>
      </c>
      <c r="U208">
        <f>IF(ISBLANK('Data Entry'!U208), "", 'Data Entry'!U208)</f>
      </c>
      <c r="V208">
        <f>IF(ISBLANK('Data Entry'!V208), "", 'Data Entry'!V208)</f>
      </c>
      <c r="W208">
        <f>IF(ISBLANK('Data Entry'!W208), "", 'Data Entry'!W208)</f>
      </c>
      <c r="X208">
        <f>IF(ISBLANK('Data Entry'!X208), "", 'Data Entry'!X208)</f>
      </c>
      <c r="Y208">
        <f>IF(ISBLANK('Data Entry'!Y208), "", 'Data Entry'!Y208)</f>
      </c>
      <c r="Z208">
        <f>IF(ISBLANK('Data Entry'!Z208), "", 'Data Entry'!Z208)</f>
      </c>
      <c r="AA208">
        <f>IF(ISBLANK('Data Entry'![208), "", 'Data Entry'![208)</f>
      </c>
      <c r="AB208">
        <f>IF(ISBLANK('Data Entry'!\208), "", 'Data Entry'!\208)</f>
      </c>
      <c r="AC208">
        <f>IF(ISBLANK('Data Entry'!]208), "", 'Data Entry'!]208)</f>
      </c>
      <c r="AD208">
        <f>IF(ISBLANK('Data Entry'!^208), "", 'Data Entry'!^208)</f>
      </c>
      <c r="AE208">
        <f>IF(ISBLANK('Data Entry'!_208), "", 'Data Entry'!_208)</f>
      </c>
      <c r="AF208">
        <f>IF(ISBLANK('Data Entry'!`208), "", 'Data Entry'!`208)</f>
      </c>
      <c r="AG208">
        <f>IF(ISBLANK('Data Entry'!a208), "", 'Data Entry'!a208)</f>
      </c>
      <c r="AH208">
        <f>IF(ISBLANK('Data Entry'!b208), "", 'Data Entry'!b208)</f>
      </c>
      <c r="AI208">
        <f>IF(ISBLANK('Data Entry'!c208), "", 'Data Entry'!c208)</f>
      </c>
      <c r="AJ208">
        <f>IF(ISBLANK('Data Entry'!d208), "", 'Data Entry'!d208)</f>
      </c>
      <c r="AK208">
        <f>IF(ISBLANK('Data Entry'!e208), "", 'Data Entry'!e208)</f>
      </c>
      <c r="AL208">
        <f>IF(ISBLANK('Data Entry'!f208), "", 'Data Entry'!f208)</f>
      </c>
      <c r="AM208">
        <f>IF(ISBLANK('Data Entry'!g208), "", 'Data Entry'!g208)</f>
      </c>
      <c r="AN208">
        <f>IF(ISBLANK('Data Entry'!h208), "", 'Data Entry'!h208)</f>
      </c>
    </row>
    <row r="209" spans="1:40" x14ac:dyDescent="0.25">
      <c r="A209">
        <f>IF(ISBLANK('Data Entry'!A209), "", 'Data Entry'!A209)</f>
      </c>
      <c r="B209">
        <f>IF(ISBLANK('Data Entry'!B209), "", 'Data Entry'!B209)</f>
      </c>
      <c r="C209">
        <f>IF(ISBLANK('Data Entry'!C209), "", 'Data Entry'!C209)</f>
      </c>
      <c r="D209">
        <f>IF(ISBLANK('Data Entry'!D209), "", 'Data Entry'!D209)</f>
      </c>
      <c r="E209">
        <f>IF(ISBLANK('Data Entry'!E209), "", 'Data Entry'!E209)</f>
      </c>
      <c r="F209">
        <f>IF(ISBLANK('Data Entry'!F209), "", 'Data Entry'!F209)</f>
      </c>
      <c r="G209">
        <f>IF(ISBLANK('Data Entry'!G209), "", 'Data Entry'!G209)</f>
      </c>
      <c r="H209">
        <f>IF(ISBLANK('Data Entry'!H209), "", 'Data Entry'!H209)</f>
      </c>
      <c r="I209">
        <f>IF(ISBLANK('Data Entry'!I209), "", 'Data Entry'!I209)</f>
      </c>
      <c r="J209">
        <f>IF(ISBLANK('Data Entry'!J209), "", 'Data Entry'!J209)</f>
      </c>
      <c r="K209">
        <f>IF(ISBLANK('Data Entry'!K209), "", 'Data Entry'!K209)</f>
      </c>
      <c r="L209">
        <f>IF(ISBLANK('Data Entry'!L209), "", 'Data Entry'!L209)</f>
      </c>
      <c r="M209">
        <f>IF(ISBLANK('Data Entry'!M209), "", 'Data Entry'!M209)</f>
      </c>
      <c r="N209">
        <f>IF(ISBLANK('Data Entry'!N209), "", 'Data Entry'!N209)</f>
      </c>
      <c r="O209">
        <f>IF(ISBLANK('Data Entry'!O209), "", 'Data Entry'!O209)</f>
      </c>
      <c r="P209">
        <f>IF(ISBLANK('Data Entry'!P209), "", 'Data Entry'!P209)</f>
      </c>
      <c r="Q209">
        <f>IF(ISBLANK('Data Entry'!Q209), "", 'Data Entry'!Q209)</f>
      </c>
      <c r="R209">
        <f>IF(ISBLANK('Data Entry'!R209), "", 'Data Entry'!R209)</f>
      </c>
      <c r="S209">
        <f>IF(ISBLANK('Data Entry'!S209), "", 'Data Entry'!S209)</f>
      </c>
      <c r="T209">
        <f>IF(ISBLANK('Data Entry'!T209), "", 'Data Entry'!T209)</f>
      </c>
      <c r="U209">
        <f>IF(ISBLANK('Data Entry'!U209), "", 'Data Entry'!U209)</f>
      </c>
      <c r="V209">
        <f>IF(ISBLANK('Data Entry'!V209), "", 'Data Entry'!V209)</f>
      </c>
      <c r="W209">
        <f>IF(ISBLANK('Data Entry'!W209), "", 'Data Entry'!W209)</f>
      </c>
      <c r="X209">
        <f>IF(ISBLANK('Data Entry'!X209), "", 'Data Entry'!X209)</f>
      </c>
      <c r="Y209">
        <f>IF(ISBLANK('Data Entry'!Y209), "", 'Data Entry'!Y209)</f>
      </c>
      <c r="Z209">
        <f>IF(ISBLANK('Data Entry'!Z209), "", 'Data Entry'!Z209)</f>
      </c>
      <c r="AA209">
        <f>IF(ISBLANK('Data Entry'![209), "", 'Data Entry'![209)</f>
      </c>
      <c r="AB209">
        <f>IF(ISBLANK('Data Entry'!\209), "", 'Data Entry'!\209)</f>
      </c>
      <c r="AC209">
        <f>IF(ISBLANK('Data Entry'!]209), "", 'Data Entry'!]209)</f>
      </c>
      <c r="AD209">
        <f>IF(ISBLANK('Data Entry'!^209), "", 'Data Entry'!^209)</f>
      </c>
      <c r="AE209">
        <f>IF(ISBLANK('Data Entry'!_209), "", 'Data Entry'!_209)</f>
      </c>
      <c r="AF209">
        <f>IF(ISBLANK('Data Entry'!`209), "", 'Data Entry'!`209)</f>
      </c>
      <c r="AG209">
        <f>IF(ISBLANK('Data Entry'!a209), "", 'Data Entry'!a209)</f>
      </c>
      <c r="AH209">
        <f>IF(ISBLANK('Data Entry'!b209), "", 'Data Entry'!b209)</f>
      </c>
      <c r="AI209">
        <f>IF(ISBLANK('Data Entry'!c209), "", 'Data Entry'!c209)</f>
      </c>
      <c r="AJ209">
        <f>IF(ISBLANK('Data Entry'!d209), "", 'Data Entry'!d209)</f>
      </c>
      <c r="AK209">
        <f>IF(ISBLANK('Data Entry'!e209), "", 'Data Entry'!e209)</f>
      </c>
      <c r="AL209">
        <f>IF(ISBLANK('Data Entry'!f209), "", 'Data Entry'!f209)</f>
      </c>
      <c r="AM209">
        <f>IF(ISBLANK('Data Entry'!g209), "", 'Data Entry'!g209)</f>
      </c>
      <c r="AN209">
        <f>IF(ISBLANK('Data Entry'!h209), "", 'Data Entry'!h209)</f>
      </c>
    </row>
    <row r="210" spans="1:40" x14ac:dyDescent="0.25">
      <c r="A210">
        <f>IF(ISBLANK('Data Entry'!A210), "", 'Data Entry'!A210)</f>
      </c>
      <c r="B210">
        <f>IF(ISBLANK('Data Entry'!B210), "", 'Data Entry'!B210)</f>
      </c>
      <c r="C210">
        <f>IF(ISBLANK('Data Entry'!C210), "", 'Data Entry'!C210)</f>
      </c>
      <c r="D210">
        <f>IF(ISBLANK('Data Entry'!D210), "", 'Data Entry'!D210)</f>
      </c>
      <c r="E210">
        <f>IF(ISBLANK('Data Entry'!E210), "", 'Data Entry'!E210)</f>
      </c>
      <c r="F210">
        <f>IF(ISBLANK('Data Entry'!F210), "", 'Data Entry'!F210)</f>
      </c>
      <c r="G210">
        <f>IF(ISBLANK('Data Entry'!G210), "", 'Data Entry'!G210)</f>
      </c>
      <c r="H210">
        <f>IF(ISBLANK('Data Entry'!H210), "", 'Data Entry'!H210)</f>
      </c>
      <c r="I210">
        <f>IF(ISBLANK('Data Entry'!I210), "", 'Data Entry'!I210)</f>
      </c>
      <c r="J210">
        <f>IF(ISBLANK('Data Entry'!J210), "", 'Data Entry'!J210)</f>
      </c>
      <c r="K210">
        <f>IF(ISBLANK('Data Entry'!K210), "", 'Data Entry'!K210)</f>
      </c>
      <c r="L210">
        <f>IF(ISBLANK('Data Entry'!L210), "", 'Data Entry'!L210)</f>
      </c>
      <c r="M210">
        <f>IF(ISBLANK('Data Entry'!M210), "", 'Data Entry'!M210)</f>
      </c>
      <c r="N210">
        <f>IF(ISBLANK('Data Entry'!N210), "", 'Data Entry'!N210)</f>
      </c>
      <c r="O210">
        <f>IF(ISBLANK('Data Entry'!O210), "", 'Data Entry'!O210)</f>
      </c>
      <c r="P210">
        <f>IF(ISBLANK('Data Entry'!P210), "", 'Data Entry'!P210)</f>
      </c>
      <c r="Q210">
        <f>IF(ISBLANK('Data Entry'!Q210), "", 'Data Entry'!Q210)</f>
      </c>
      <c r="R210">
        <f>IF(ISBLANK('Data Entry'!R210), "", 'Data Entry'!R210)</f>
      </c>
      <c r="S210">
        <f>IF(ISBLANK('Data Entry'!S210), "", 'Data Entry'!S210)</f>
      </c>
      <c r="T210">
        <f>IF(ISBLANK('Data Entry'!T210), "", 'Data Entry'!T210)</f>
      </c>
      <c r="U210">
        <f>IF(ISBLANK('Data Entry'!U210), "", 'Data Entry'!U210)</f>
      </c>
      <c r="V210">
        <f>IF(ISBLANK('Data Entry'!V210), "", 'Data Entry'!V210)</f>
      </c>
      <c r="W210">
        <f>IF(ISBLANK('Data Entry'!W210), "", 'Data Entry'!W210)</f>
      </c>
      <c r="X210">
        <f>IF(ISBLANK('Data Entry'!X210), "", 'Data Entry'!X210)</f>
      </c>
      <c r="Y210">
        <f>IF(ISBLANK('Data Entry'!Y210), "", 'Data Entry'!Y210)</f>
      </c>
      <c r="Z210">
        <f>IF(ISBLANK('Data Entry'!Z210), "", 'Data Entry'!Z210)</f>
      </c>
      <c r="AA210">
        <f>IF(ISBLANK('Data Entry'![210), "", 'Data Entry'![210)</f>
      </c>
      <c r="AB210">
        <f>IF(ISBLANK('Data Entry'!\210), "", 'Data Entry'!\210)</f>
      </c>
      <c r="AC210">
        <f>IF(ISBLANK('Data Entry'!]210), "", 'Data Entry'!]210)</f>
      </c>
      <c r="AD210">
        <f>IF(ISBLANK('Data Entry'!^210), "", 'Data Entry'!^210)</f>
      </c>
      <c r="AE210">
        <f>IF(ISBLANK('Data Entry'!_210), "", 'Data Entry'!_210)</f>
      </c>
      <c r="AF210">
        <f>IF(ISBLANK('Data Entry'!`210), "", 'Data Entry'!`210)</f>
      </c>
      <c r="AG210">
        <f>IF(ISBLANK('Data Entry'!a210), "", 'Data Entry'!a210)</f>
      </c>
      <c r="AH210">
        <f>IF(ISBLANK('Data Entry'!b210), "", 'Data Entry'!b210)</f>
      </c>
      <c r="AI210">
        <f>IF(ISBLANK('Data Entry'!c210), "", 'Data Entry'!c210)</f>
      </c>
      <c r="AJ210">
        <f>IF(ISBLANK('Data Entry'!d210), "", 'Data Entry'!d210)</f>
      </c>
      <c r="AK210">
        <f>IF(ISBLANK('Data Entry'!e210), "", 'Data Entry'!e210)</f>
      </c>
      <c r="AL210">
        <f>IF(ISBLANK('Data Entry'!f210), "", 'Data Entry'!f210)</f>
      </c>
      <c r="AM210">
        <f>IF(ISBLANK('Data Entry'!g210), "", 'Data Entry'!g210)</f>
      </c>
      <c r="AN210">
        <f>IF(ISBLANK('Data Entry'!h210), "", 'Data Entry'!h210)</f>
      </c>
    </row>
    <row r="211" spans="1:40" x14ac:dyDescent="0.25">
      <c r="A211">
        <f>IF(ISBLANK('Data Entry'!A211), "", 'Data Entry'!A211)</f>
      </c>
      <c r="B211">
        <f>IF(ISBLANK('Data Entry'!B211), "", 'Data Entry'!B211)</f>
      </c>
      <c r="C211">
        <f>IF(ISBLANK('Data Entry'!C211), "", 'Data Entry'!C211)</f>
      </c>
      <c r="D211">
        <f>IF(ISBLANK('Data Entry'!D211), "", 'Data Entry'!D211)</f>
      </c>
      <c r="E211">
        <f>IF(ISBLANK('Data Entry'!E211), "", 'Data Entry'!E211)</f>
      </c>
      <c r="F211">
        <f>IF(ISBLANK('Data Entry'!F211), "", 'Data Entry'!F211)</f>
      </c>
      <c r="G211">
        <f>IF(ISBLANK('Data Entry'!G211), "", 'Data Entry'!G211)</f>
      </c>
      <c r="H211">
        <f>IF(ISBLANK('Data Entry'!H211), "", 'Data Entry'!H211)</f>
      </c>
      <c r="I211">
        <f>IF(ISBLANK('Data Entry'!I211), "", 'Data Entry'!I211)</f>
      </c>
      <c r="J211">
        <f>IF(ISBLANK('Data Entry'!J211), "", 'Data Entry'!J211)</f>
      </c>
      <c r="K211">
        <f>IF(ISBLANK('Data Entry'!K211), "", 'Data Entry'!K211)</f>
      </c>
      <c r="L211">
        <f>IF(ISBLANK('Data Entry'!L211), "", 'Data Entry'!L211)</f>
      </c>
      <c r="M211">
        <f>IF(ISBLANK('Data Entry'!M211), "", 'Data Entry'!M211)</f>
      </c>
      <c r="N211">
        <f>IF(ISBLANK('Data Entry'!N211), "", 'Data Entry'!N211)</f>
      </c>
      <c r="O211">
        <f>IF(ISBLANK('Data Entry'!O211), "", 'Data Entry'!O211)</f>
      </c>
      <c r="P211">
        <f>IF(ISBLANK('Data Entry'!P211), "", 'Data Entry'!P211)</f>
      </c>
      <c r="Q211">
        <f>IF(ISBLANK('Data Entry'!Q211), "", 'Data Entry'!Q211)</f>
      </c>
      <c r="R211">
        <f>IF(ISBLANK('Data Entry'!R211), "", 'Data Entry'!R211)</f>
      </c>
      <c r="S211">
        <f>IF(ISBLANK('Data Entry'!S211), "", 'Data Entry'!S211)</f>
      </c>
      <c r="T211">
        <f>IF(ISBLANK('Data Entry'!T211), "", 'Data Entry'!T211)</f>
      </c>
      <c r="U211">
        <f>IF(ISBLANK('Data Entry'!U211), "", 'Data Entry'!U211)</f>
      </c>
      <c r="V211">
        <f>IF(ISBLANK('Data Entry'!V211), "", 'Data Entry'!V211)</f>
      </c>
      <c r="W211">
        <f>IF(ISBLANK('Data Entry'!W211), "", 'Data Entry'!W211)</f>
      </c>
      <c r="X211">
        <f>IF(ISBLANK('Data Entry'!X211), "", 'Data Entry'!X211)</f>
      </c>
      <c r="Y211">
        <f>IF(ISBLANK('Data Entry'!Y211), "", 'Data Entry'!Y211)</f>
      </c>
      <c r="Z211">
        <f>IF(ISBLANK('Data Entry'!Z211), "", 'Data Entry'!Z211)</f>
      </c>
      <c r="AA211">
        <f>IF(ISBLANK('Data Entry'![211), "", 'Data Entry'![211)</f>
      </c>
      <c r="AB211">
        <f>IF(ISBLANK('Data Entry'!\211), "", 'Data Entry'!\211)</f>
      </c>
      <c r="AC211">
        <f>IF(ISBLANK('Data Entry'!]211), "", 'Data Entry'!]211)</f>
      </c>
      <c r="AD211">
        <f>IF(ISBLANK('Data Entry'!^211), "", 'Data Entry'!^211)</f>
      </c>
      <c r="AE211">
        <f>IF(ISBLANK('Data Entry'!_211), "", 'Data Entry'!_211)</f>
      </c>
      <c r="AF211">
        <f>IF(ISBLANK('Data Entry'!`211), "", 'Data Entry'!`211)</f>
      </c>
      <c r="AG211">
        <f>IF(ISBLANK('Data Entry'!a211), "", 'Data Entry'!a211)</f>
      </c>
      <c r="AH211">
        <f>IF(ISBLANK('Data Entry'!b211), "", 'Data Entry'!b211)</f>
      </c>
      <c r="AI211">
        <f>IF(ISBLANK('Data Entry'!c211), "", 'Data Entry'!c211)</f>
      </c>
      <c r="AJ211">
        <f>IF(ISBLANK('Data Entry'!d211), "", 'Data Entry'!d211)</f>
      </c>
      <c r="AK211">
        <f>IF(ISBLANK('Data Entry'!e211), "", 'Data Entry'!e211)</f>
      </c>
      <c r="AL211">
        <f>IF(ISBLANK('Data Entry'!f211), "", 'Data Entry'!f211)</f>
      </c>
      <c r="AM211">
        <f>IF(ISBLANK('Data Entry'!g211), "", 'Data Entry'!g211)</f>
      </c>
      <c r="AN211">
        <f>IF(ISBLANK('Data Entry'!h211), "", 'Data Entry'!h211)</f>
      </c>
    </row>
    <row r="212" spans="1:40" x14ac:dyDescent="0.25">
      <c r="A212">
        <f>IF(ISBLANK('Data Entry'!A212), "", 'Data Entry'!A212)</f>
      </c>
      <c r="B212">
        <f>IF(ISBLANK('Data Entry'!B212), "", 'Data Entry'!B212)</f>
      </c>
      <c r="C212">
        <f>IF(ISBLANK('Data Entry'!C212), "", 'Data Entry'!C212)</f>
      </c>
      <c r="D212">
        <f>IF(ISBLANK('Data Entry'!D212), "", 'Data Entry'!D212)</f>
      </c>
      <c r="E212">
        <f>IF(ISBLANK('Data Entry'!E212), "", 'Data Entry'!E212)</f>
      </c>
      <c r="F212">
        <f>IF(ISBLANK('Data Entry'!F212), "", 'Data Entry'!F212)</f>
      </c>
      <c r="G212">
        <f>IF(ISBLANK('Data Entry'!G212), "", 'Data Entry'!G212)</f>
      </c>
      <c r="H212">
        <f>IF(ISBLANK('Data Entry'!H212), "", 'Data Entry'!H212)</f>
      </c>
      <c r="I212">
        <f>IF(ISBLANK('Data Entry'!I212), "", 'Data Entry'!I212)</f>
      </c>
      <c r="J212">
        <f>IF(ISBLANK('Data Entry'!J212), "", 'Data Entry'!J212)</f>
      </c>
      <c r="K212">
        <f>IF(ISBLANK('Data Entry'!K212), "", 'Data Entry'!K212)</f>
      </c>
      <c r="L212">
        <f>IF(ISBLANK('Data Entry'!L212), "", 'Data Entry'!L212)</f>
      </c>
      <c r="M212">
        <f>IF(ISBLANK('Data Entry'!M212), "", 'Data Entry'!M212)</f>
      </c>
      <c r="N212">
        <f>IF(ISBLANK('Data Entry'!N212), "", 'Data Entry'!N212)</f>
      </c>
      <c r="O212">
        <f>IF(ISBLANK('Data Entry'!O212), "", 'Data Entry'!O212)</f>
      </c>
      <c r="P212">
        <f>IF(ISBLANK('Data Entry'!P212), "", 'Data Entry'!P212)</f>
      </c>
      <c r="Q212">
        <f>IF(ISBLANK('Data Entry'!Q212), "", 'Data Entry'!Q212)</f>
      </c>
      <c r="R212">
        <f>IF(ISBLANK('Data Entry'!R212), "", 'Data Entry'!R212)</f>
      </c>
      <c r="S212">
        <f>IF(ISBLANK('Data Entry'!S212), "", 'Data Entry'!S212)</f>
      </c>
      <c r="T212">
        <f>IF(ISBLANK('Data Entry'!T212), "", 'Data Entry'!T212)</f>
      </c>
      <c r="U212">
        <f>IF(ISBLANK('Data Entry'!U212), "", 'Data Entry'!U212)</f>
      </c>
      <c r="V212">
        <f>IF(ISBLANK('Data Entry'!V212), "", 'Data Entry'!V212)</f>
      </c>
      <c r="W212">
        <f>IF(ISBLANK('Data Entry'!W212), "", 'Data Entry'!W212)</f>
      </c>
      <c r="X212">
        <f>IF(ISBLANK('Data Entry'!X212), "", 'Data Entry'!X212)</f>
      </c>
      <c r="Y212">
        <f>IF(ISBLANK('Data Entry'!Y212), "", 'Data Entry'!Y212)</f>
      </c>
      <c r="Z212">
        <f>IF(ISBLANK('Data Entry'!Z212), "", 'Data Entry'!Z212)</f>
      </c>
      <c r="AA212">
        <f>IF(ISBLANK('Data Entry'![212), "", 'Data Entry'![212)</f>
      </c>
      <c r="AB212">
        <f>IF(ISBLANK('Data Entry'!\212), "", 'Data Entry'!\212)</f>
      </c>
      <c r="AC212">
        <f>IF(ISBLANK('Data Entry'!]212), "", 'Data Entry'!]212)</f>
      </c>
      <c r="AD212">
        <f>IF(ISBLANK('Data Entry'!^212), "", 'Data Entry'!^212)</f>
      </c>
      <c r="AE212">
        <f>IF(ISBLANK('Data Entry'!_212), "", 'Data Entry'!_212)</f>
      </c>
      <c r="AF212">
        <f>IF(ISBLANK('Data Entry'!`212), "", 'Data Entry'!`212)</f>
      </c>
      <c r="AG212">
        <f>IF(ISBLANK('Data Entry'!a212), "", 'Data Entry'!a212)</f>
      </c>
      <c r="AH212">
        <f>IF(ISBLANK('Data Entry'!b212), "", 'Data Entry'!b212)</f>
      </c>
      <c r="AI212">
        <f>IF(ISBLANK('Data Entry'!c212), "", 'Data Entry'!c212)</f>
      </c>
      <c r="AJ212">
        <f>IF(ISBLANK('Data Entry'!d212), "", 'Data Entry'!d212)</f>
      </c>
      <c r="AK212">
        <f>IF(ISBLANK('Data Entry'!e212), "", 'Data Entry'!e212)</f>
      </c>
      <c r="AL212">
        <f>IF(ISBLANK('Data Entry'!f212), "", 'Data Entry'!f212)</f>
      </c>
      <c r="AM212">
        <f>IF(ISBLANK('Data Entry'!g212), "", 'Data Entry'!g212)</f>
      </c>
      <c r="AN212">
        <f>IF(ISBLANK('Data Entry'!h212), "", 'Data Entry'!h212)</f>
      </c>
    </row>
    <row r="213" spans="1:40" x14ac:dyDescent="0.25">
      <c r="A213">
        <f>IF(ISBLANK('Data Entry'!A213), "", 'Data Entry'!A213)</f>
      </c>
      <c r="B213">
        <f>IF(ISBLANK('Data Entry'!B213), "", 'Data Entry'!B213)</f>
      </c>
      <c r="C213">
        <f>IF(ISBLANK('Data Entry'!C213), "", 'Data Entry'!C213)</f>
      </c>
      <c r="D213">
        <f>IF(ISBLANK('Data Entry'!D213), "", 'Data Entry'!D213)</f>
      </c>
      <c r="E213">
        <f>IF(ISBLANK('Data Entry'!E213), "", 'Data Entry'!E213)</f>
      </c>
      <c r="F213">
        <f>IF(ISBLANK('Data Entry'!F213), "", 'Data Entry'!F213)</f>
      </c>
      <c r="G213">
        <f>IF(ISBLANK('Data Entry'!G213), "", 'Data Entry'!G213)</f>
      </c>
      <c r="H213">
        <f>IF(ISBLANK('Data Entry'!H213), "", 'Data Entry'!H213)</f>
      </c>
      <c r="I213">
        <f>IF(ISBLANK('Data Entry'!I213), "", 'Data Entry'!I213)</f>
      </c>
      <c r="J213">
        <f>IF(ISBLANK('Data Entry'!J213), "", 'Data Entry'!J213)</f>
      </c>
      <c r="K213">
        <f>IF(ISBLANK('Data Entry'!K213), "", 'Data Entry'!K213)</f>
      </c>
      <c r="L213">
        <f>IF(ISBLANK('Data Entry'!L213), "", 'Data Entry'!L213)</f>
      </c>
      <c r="M213">
        <f>IF(ISBLANK('Data Entry'!M213), "", 'Data Entry'!M213)</f>
      </c>
      <c r="N213">
        <f>IF(ISBLANK('Data Entry'!N213), "", 'Data Entry'!N213)</f>
      </c>
      <c r="O213">
        <f>IF(ISBLANK('Data Entry'!O213), "", 'Data Entry'!O213)</f>
      </c>
      <c r="P213">
        <f>IF(ISBLANK('Data Entry'!P213), "", 'Data Entry'!P213)</f>
      </c>
      <c r="Q213">
        <f>IF(ISBLANK('Data Entry'!Q213), "", 'Data Entry'!Q213)</f>
      </c>
      <c r="R213">
        <f>IF(ISBLANK('Data Entry'!R213), "", 'Data Entry'!R213)</f>
      </c>
      <c r="S213">
        <f>IF(ISBLANK('Data Entry'!S213), "", 'Data Entry'!S213)</f>
      </c>
      <c r="T213">
        <f>IF(ISBLANK('Data Entry'!T213), "", 'Data Entry'!T213)</f>
      </c>
      <c r="U213">
        <f>IF(ISBLANK('Data Entry'!U213), "", 'Data Entry'!U213)</f>
      </c>
      <c r="V213">
        <f>IF(ISBLANK('Data Entry'!V213), "", 'Data Entry'!V213)</f>
      </c>
      <c r="W213">
        <f>IF(ISBLANK('Data Entry'!W213), "", 'Data Entry'!W213)</f>
      </c>
      <c r="X213">
        <f>IF(ISBLANK('Data Entry'!X213), "", 'Data Entry'!X213)</f>
      </c>
      <c r="Y213">
        <f>IF(ISBLANK('Data Entry'!Y213), "", 'Data Entry'!Y213)</f>
      </c>
      <c r="Z213">
        <f>IF(ISBLANK('Data Entry'!Z213), "", 'Data Entry'!Z213)</f>
      </c>
      <c r="AA213">
        <f>IF(ISBLANK('Data Entry'![213), "", 'Data Entry'![213)</f>
      </c>
      <c r="AB213">
        <f>IF(ISBLANK('Data Entry'!\213), "", 'Data Entry'!\213)</f>
      </c>
      <c r="AC213">
        <f>IF(ISBLANK('Data Entry'!]213), "", 'Data Entry'!]213)</f>
      </c>
      <c r="AD213">
        <f>IF(ISBLANK('Data Entry'!^213), "", 'Data Entry'!^213)</f>
      </c>
      <c r="AE213">
        <f>IF(ISBLANK('Data Entry'!_213), "", 'Data Entry'!_213)</f>
      </c>
      <c r="AF213">
        <f>IF(ISBLANK('Data Entry'!`213), "", 'Data Entry'!`213)</f>
      </c>
      <c r="AG213">
        <f>IF(ISBLANK('Data Entry'!a213), "", 'Data Entry'!a213)</f>
      </c>
      <c r="AH213">
        <f>IF(ISBLANK('Data Entry'!b213), "", 'Data Entry'!b213)</f>
      </c>
      <c r="AI213">
        <f>IF(ISBLANK('Data Entry'!c213), "", 'Data Entry'!c213)</f>
      </c>
      <c r="AJ213">
        <f>IF(ISBLANK('Data Entry'!d213), "", 'Data Entry'!d213)</f>
      </c>
      <c r="AK213">
        <f>IF(ISBLANK('Data Entry'!e213), "", 'Data Entry'!e213)</f>
      </c>
      <c r="AL213">
        <f>IF(ISBLANK('Data Entry'!f213), "", 'Data Entry'!f213)</f>
      </c>
      <c r="AM213">
        <f>IF(ISBLANK('Data Entry'!g213), "", 'Data Entry'!g213)</f>
      </c>
      <c r="AN213">
        <f>IF(ISBLANK('Data Entry'!h213), "", 'Data Entry'!h213)</f>
      </c>
    </row>
    <row r="214" spans="1:40" x14ac:dyDescent="0.25">
      <c r="A214">
        <f>IF(ISBLANK('Data Entry'!A214), "", 'Data Entry'!A214)</f>
      </c>
      <c r="B214">
        <f>IF(ISBLANK('Data Entry'!B214), "", 'Data Entry'!B214)</f>
      </c>
      <c r="C214">
        <f>IF(ISBLANK('Data Entry'!C214), "", 'Data Entry'!C214)</f>
      </c>
      <c r="D214">
        <f>IF(ISBLANK('Data Entry'!D214), "", 'Data Entry'!D214)</f>
      </c>
      <c r="E214">
        <f>IF(ISBLANK('Data Entry'!E214), "", 'Data Entry'!E214)</f>
      </c>
      <c r="F214">
        <f>IF(ISBLANK('Data Entry'!F214), "", 'Data Entry'!F214)</f>
      </c>
      <c r="G214">
        <f>IF(ISBLANK('Data Entry'!G214), "", 'Data Entry'!G214)</f>
      </c>
      <c r="H214">
        <f>IF(ISBLANK('Data Entry'!H214), "", 'Data Entry'!H214)</f>
      </c>
      <c r="I214">
        <f>IF(ISBLANK('Data Entry'!I214), "", 'Data Entry'!I214)</f>
      </c>
      <c r="J214">
        <f>IF(ISBLANK('Data Entry'!J214), "", 'Data Entry'!J214)</f>
      </c>
      <c r="K214">
        <f>IF(ISBLANK('Data Entry'!K214), "", 'Data Entry'!K214)</f>
      </c>
      <c r="L214">
        <f>IF(ISBLANK('Data Entry'!L214), "", 'Data Entry'!L214)</f>
      </c>
      <c r="M214">
        <f>IF(ISBLANK('Data Entry'!M214), "", 'Data Entry'!M214)</f>
      </c>
      <c r="N214">
        <f>IF(ISBLANK('Data Entry'!N214), "", 'Data Entry'!N214)</f>
      </c>
      <c r="O214">
        <f>IF(ISBLANK('Data Entry'!O214), "", 'Data Entry'!O214)</f>
      </c>
      <c r="P214">
        <f>IF(ISBLANK('Data Entry'!P214), "", 'Data Entry'!P214)</f>
      </c>
      <c r="Q214">
        <f>IF(ISBLANK('Data Entry'!Q214), "", 'Data Entry'!Q214)</f>
      </c>
      <c r="R214">
        <f>IF(ISBLANK('Data Entry'!R214), "", 'Data Entry'!R214)</f>
      </c>
      <c r="S214">
        <f>IF(ISBLANK('Data Entry'!S214), "", 'Data Entry'!S214)</f>
      </c>
      <c r="T214">
        <f>IF(ISBLANK('Data Entry'!T214), "", 'Data Entry'!T214)</f>
      </c>
      <c r="U214">
        <f>IF(ISBLANK('Data Entry'!U214), "", 'Data Entry'!U214)</f>
      </c>
      <c r="V214">
        <f>IF(ISBLANK('Data Entry'!V214), "", 'Data Entry'!V214)</f>
      </c>
      <c r="W214">
        <f>IF(ISBLANK('Data Entry'!W214), "", 'Data Entry'!W214)</f>
      </c>
      <c r="X214">
        <f>IF(ISBLANK('Data Entry'!X214), "", 'Data Entry'!X214)</f>
      </c>
      <c r="Y214">
        <f>IF(ISBLANK('Data Entry'!Y214), "", 'Data Entry'!Y214)</f>
      </c>
      <c r="Z214">
        <f>IF(ISBLANK('Data Entry'!Z214), "", 'Data Entry'!Z214)</f>
      </c>
      <c r="AA214">
        <f>IF(ISBLANK('Data Entry'![214), "", 'Data Entry'![214)</f>
      </c>
      <c r="AB214">
        <f>IF(ISBLANK('Data Entry'!\214), "", 'Data Entry'!\214)</f>
      </c>
      <c r="AC214">
        <f>IF(ISBLANK('Data Entry'!]214), "", 'Data Entry'!]214)</f>
      </c>
      <c r="AD214">
        <f>IF(ISBLANK('Data Entry'!^214), "", 'Data Entry'!^214)</f>
      </c>
      <c r="AE214">
        <f>IF(ISBLANK('Data Entry'!_214), "", 'Data Entry'!_214)</f>
      </c>
      <c r="AF214">
        <f>IF(ISBLANK('Data Entry'!`214), "", 'Data Entry'!`214)</f>
      </c>
      <c r="AG214">
        <f>IF(ISBLANK('Data Entry'!a214), "", 'Data Entry'!a214)</f>
      </c>
      <c r="AH214">
        <f>IF(ISBLANK('Data Entry'!b214), "", 'Data Entry'!b214)</f>
      </c>
      <c r="AI214">
        <f>IF(ISBLANK('Data Entry'!c214), "", 'Data Entry'!c214)</f>
      </c>
      <c r="AJ214">
        <f>IF(ISBLANK('Data Entry'!d214), "", 'Data Entry'!d214)</f>
      </c>
      <c r="AK214">
        <f>IF(ISBLANK('Data Entry'!e214), "", 'Data Entry'!e214)</f>
      </c>
      <c r="AL214">
        <f>IF(ISBLANK('Data Entry'!f214), "", 'Data Entry'!f214)</f>
      </c>
      <c r="AM214">
        <f>IF(ISBLANK('Data Entry'!g214), "", 'Data Entry'!g214)</f>
      </c>
      <c r="AN214">
        <f>IF(ISBLANK('Data Entry'!h214), "", 'Data Entry'!h214)</f>
      </c>
    </row>
    <row r="215" spans="1:40" x14ac:dyDescent="0.25">
      <c r="A215">
        <f>IF(ISBLANK('Data Entry'!A215), "", 'Data Entry'!A215)</f>
      </c>
      <c r="B215">
        <f>IF(ISBLANK('Data Entry'!B215), "", 'Data Entry'!B215)</f>
      </c>
      <c r="C215">
        <f>IF(ISBLANK('Data Entry'!C215), "", 'Data Entry'!C215)</f>
      </c>
      <c r="D215">
        <f>IF(ISBLANK('Data Entry'!D215), "", 'Data Entry'!D215)</f>
      </c>
      <c r="E215">
        <f>IF(ISBLANK('Data Entry'!E215), "", 'Data Entry'!E215)</f>
      </c>
      <c r="F215">
        <f>IF(ISBLANK('Data Entry'!F215), "", 'Data Entry'!F215)</f>
      </c>
      <c r="G215">
        <f>IF(ISBLANK('Data Entry'!G215), "", 'Data Entry'!G215)</f>
      </c>
      <c r="H215">
        <f>IF(ISBLANK('Data Entry'!H215), "", 'Data Entry'!H215)</f>
      </c>
      <c r="I215">
        <f>IF(ISBLANK('Data Entry'!I215), "", 'Data Entry'!I215)</f>
      </c>
      <c r="J215">
        <f>IF(ISBLANK('Data Entry'!J215), "", 'Data Entry'!J215)</f>
      </c>
      <c r="K215">
        <f>IF(ISBLANK('Data Entry'!K215), "", 'Data Entry'!K215)</f>
      </c>
      <c r="L215">
        <f>IF(ISBLANK('Data Entry'!L215), "", 'Data Entry'!L215)</f>
      </c>
      <c r="M215">
        <f>IF(ISBLANK('Data Entry'!M215), "", 'Data Entry'!M215)</f>
      </c>
      <c r="N215">
        <f>IF(ISBLANK('Data Entry'!N215), "", 'Data Entry'!N215)</f>
      </c>
      <c r="O215">
        <f>IF(ISBLANK('Data Entry'!O215), "", 'Data Entry'!O215)</f>
      </c>
      <c r="P215">
        <f>IF(ISBLANK('Data Entry'!P215), "", 'Data Entry'!P215)</f>
      </c>
      <c r="Q215">
        <f>IF(ISBLANK('Data Entry'!Q215), "", 'Data Entry'!Q215)</f>
      </c>
      <c r="R215">
        <f>IF(ISBLANK('Data Entry'!R215), "", 'Data Entry'!R215)</f>
      </c>
      <c r="S215">
        <f>IF(ISBLANK('Data Entry'!S215), "", 'Data Entry'!S215)</f>
      </c>
      <c r="T215">
        <f>IF(ISBLANK('Data Entry'!T215), "", 'Data Entry'!T215)</f>
      </c>
      <c r="U215">
        <f>IF(ISBLANK('Data Entry'!U215), "", 'Data Entry'!U215)</f>
      </c>
      <c r="V215">
        <f>IF(ISBLANK('Data Entry'!V215), "", 'Data Entry'!V215)</f>
      </c>
      <c r="W215">
        <f>IF(ISBLANK('Data Entry'!W215), "", 'Data Entry'!W215)</f>
      </c>
      <c r="X215">
        <f>IF(ISBLANK('Data Entry'!X215), "", 'Data Entry'!X215)</f>
      </c>
      <c r="Y215">
        <f>IF(ISBLANK('Data Entry'!Y215), "", 'Data Entry'!Y215)</f>
      </c>
      <c r="Z215">
        <f>IF(ISBLANK('Data Entry'!Z215), "", 'Data Entry'!Z215)</f>
      </c>
      <c r="AA215">
        <f>IF(ISBLANK('Data Entry'![215), "", 'Data Entry'![215)</f>
      </c>
      <c r="AB215">
        <f>IF(ISBLANK('Data Entry'!\215), "", 'Data Entry'!\215)</f>
      </c>
      <c r="AC215">
        <f>IF(ISBLANK('Data Entry'!]215), "", 'Data Entry'!]215)</f>
      </c>
      <c r="AD215">
        <f>IF(ISBLANK('Data Entry'!^215), "", 'Data Entry'!^215)</f>
      </c>
      <c r="AE215">
        <f>IF(ISBLANK('Data Entry'!_215), "", 'Data Entry'!_215)</f>
      </c>
      <c r="AF215">
        <f>IF(ISBLANK('Data Entry'!`215), "", 'Data Entry'!`215)</f>
      </c>
      <c r="AG215">
        <f>IF(ISBLANK('Data Entry'!a215), "", 'Data Entry'!a215)</f>
      </c>
      <c r="AH215">
        <f>IF(ISBLANK('Data Entry'!b215), "", 'Data Entry'!b215)</f>
      </c>
      <c r="AI215">
        <f>IF(ISBLANK('Data Entry'!c215), "", 'Data Entry'!c215)</f>
      </c>
      <c r="AJ215">
        <f>IF(ISBLANK('Data Entry'!d215), "", 'Data Entry'!d215)</f>
      </c>
      <c r="AK215">
        <f>IF(ISBLANK('Data Entry'!e215), "", 'Data Entry'!e215)</f>
      </c>
      <c r="AL215">
        <f>IF(ISBLANK('Data Entry'!f215), "", 'Data Entry'!f215)</f>
      </c>
      <c r="AM215">
        <f>IF(ISBLANK('Data Entry'!g215), "", 'Data Entry'!g215)</f>
      </c>
      <c r="AN215">
        <f>IF(ISBLANK('Data Entry'!h215), "", 'Data Entry'!h215)</f>
      </c>
    </row>
    <row r="216" spans="1:40" x14ac:dyDescent="0.25">
      <c r="A216">
        <f>IF(ISBLANK('Data Entry'!A216), "", 'Data Entry'!A216)</f>
      </c>
      <c r="B216">
        <f>IF(ISBLANK('Data Entry'!B216), "", 'Data Entry'!B216)</f>
      </c>
      <c r="C216">
        <f>IF(ISBLANK('Data Entry'!C216), "", 'Data Entry'!C216)</f>
      </c>
      <c r="D216">
        <f>IF(ISBLANK('Data Entry'!D216), "", 'Data Entry'!D216)</f>
      </c>
      <c r="E216">
        <f>IF(ISBLANK('Data Entry'!E216), "", 'Data Entry'!E216)</f>
      </c>
      <c r="F216">
        <f>IF(ISBLANK('Data Entry'!F216), "", 'Data Entry'!F216)</f>
      </c>
      <c r="G216">
        <f>IF(ISBLANK('Data Entry'!G216), "", 'Data Entry'!G216)</f>
      </c>
      <c r="H216">
        <f>IF(ISBLANK('Data Entry'!H216), "", 'Data Entry'!H216)</f>
      </c>
      <c r="I216">
        <f>IF(ISBLANK('Data Entry'!I216), "", 'Data Entry'!I216)</f>
      </c>
      <c r="J216">
        <f>IF(ISBLANK('Data Entry'!J216), "", 'Data Entry'!J216)</f>
      </c>
      <c r="K216">
        <f>IF(ISBLANK('Data Entry'!K216), "", 'Data Entry'!K216)</f>
      </c>
      <c r="L216">
        <f>IF(ISBLANK('Data Entry'!L216), "", 'Data Entry'!L216)</f>
      </c>
      <c r="M216">
        <f>IF(ISBLANK('Data Entry'!M216), "", 'Data Entry'!M216)</f>
      </c>
      <c r="N216">
        <f>IF(ISBLANK('Data Entry'!N216), "", 'Data Entry'!N216)</f>
      </c>
      <c r="O216">
        <f>IF(ISBLANK('Data Entry'!O216), "", 'Data Entry'!O216)</f>
      </c>
      <c r="P216">
        <f>IF(ISBLANK('Data Entry'!P216), "", 'Data Entry'!P216)</f>
      </c>
      <c r="Q216">
        <f>IF(ISBLANK('Data Entry'!Q216), "", 'Data Entry'!Q216)</f>
      </c>
      <c r="R216">
        <f>IF(ISBLANK('Data Entry'!R216), "", 'Data Entry'!R216)</f>
      </c>
      <c r="S216">
        <f>IF(ISBLANK('Data Entry'!S216), "", 'Data Entry'!S216)</f>
      </c>
      <c r="T216">
        <f>IF(ISBLANK('Data Entry'!T216), "", 'Data Entry'!T216)</f>
      </c>
      <c r="U216">
        <f>IF(ISBLANK('Data Entry'!U216), "", 'Data Entry'!U216)</f>
      </c>
      <c r="V216">
        <f>IF(ISBLANK('Data Entry'!V216), "", 'Data Entry'!V216)</f>
      </c>
      <c r="W216">
        <f>IF(ISBLANK('Data Entry'!W216), "", 'Data Entry'!W216)</f>
      </c>
      <c r="X216">
        <f>IF(ISBLANK('Data Entry'!X216), "", 'Data Entry'!X216)</f>
      </c>
      <c r="Y216">
        <f>IF(ISBLANK('Data Entry'!Y216), "", 'Data Entry'!Y216)</f>
      </c>
      <c r="Z216">
        <f>IF(ISBLANK('Data Entry'!Z216), "", 'Data Entry'!Z216)</f>
      </c>
      <c r="AA216">
        <f>IF(ISBLANK('Data Entry'![216), "", 'Data Entry'![216)</f>
      </c>
      <c r="AB216">
        <f>IF(ISBLANK('Data Entry'!\216), "", 'Data Entry'!\216)</f>
      </c>
      <c r="AC216">
        <f>IF(ISBLANK('Data Entry'!]216), "", 'Data Entry'!]216)</f>
      </c>
      <c r="AD216">
        <f>IF(ISBLANK('Data Entry'!^216), "", 'Data Entry'!^216)</f>
      </c>
      <c r="AE216">
        <f>IF(ISBLANK('Data Entry'!_216), "", 'Data Entry'!_216)</f>
      </c>
      <c r="AF216">
        <f>IF(ISBLANK('Data Entry'!`216), "", 'Data Entry'!`216)</f>
      </c>
      <c r="AG216">
        <f>IF(ISBLANK('Data Entry'!a216), "", 'Data Entry'!a216)</f>
      </c>
      <c r="AH216">
        <f>IF(ISBLANK('Data Entry'!b216), "", 'Data Entry'!b216)</f>
      </c>
      <c r="AI216">
        <f>IF(ISBLANK('Data Entry'!c216), "", 'Data Entry'!c216)</f>
      </c>
      <c r="AJ216">
        <f>IF(ISBLANK('Data Entry'!d216), "", 'Data Entry'!d216)</f>
      </c>
      <c r="AK216">
        <f>IF(ISBLANK('Data Entry'!e216), "", 'Data Entry'!e216)</f>
      </c>
      <c r="AL216">
        <f>IF(ISBLANK('Data Entry'!f216), "", 'Data Entry'!f216)</f>
      </c>
      <c r="AM216">
        <f>IF(ISBLANK('Data Entry'!g216), "", 'Data Entry'!g216)</f>
      </c>
      <c r="AN216">
        <f>IF(ISBLANK('Data Entry'!h216), "", 'Data Entry'!h216)</f>
      </c>
    </row>
    <row r="217" spans="1:40" x14ac:dyDescent="0.25">
      <c r="A217">
        <f>IF(ISBLANK('Data Entry'!A217), "", 'Data Entry'!A217)</f>
      </c>
      <c r="B217">
        <f>IF(ISBLANK('Data Entry'!B217), "", 'Data Entry'!B217)</f>
      </c>
      <c r="C217">
        <f>IF(ISBLANK('Data Entry'!C217), "", 'Data Entry'!C217)</f>
      </c>
      <c r="D217">
        <f>IF(ISBLANK('Data Entry'!D217), "", 'Data Entry'!D217)</f>
      </c>
      <c r="E217">
        <f>IF(ISBLANK('Data Entry'!E217), "", 'Data Entry'!E217)</f>
      </c>
      <c r="F217">
        <f>IF(ISBLANK('Data Entry'!F217), "", 'Data Entry'!F217)</f>
      </c>
      <c r="G217">
        <f>IF(ISBLANK('Data Entry'!G217), "", 'Data Entry'!G217)</f>
      </c>
      <c r="H217">
        <f>IF(ISBLANK('Data Entry'!H217), "", 'Data Entry'!H217)</f>
      </c>
      <c r="I217">
        <f>IF(ISBLANK('Data Entry'!I217), "", 'Data Entry'!I217)</f>
      </c>
      <c r="J217">
        <f>IF(ISBLANK('Data Entry'!J217), "", 'Data Entry'!J217)</f>
      </c>
      <c r="K217">
        <f>IF(ISBLANK('Data Entry'!K217), "", 'Data Entry'!K217)</f>
      </c>
      <c r="L217">
        <f>IF(ISBLANK('Data Entry'!L217), "", 'Data Entry'!L217)</f>
      </c>
      <c r="M217">
        <f>IF(ISBLANK('Data Entry'!M217), "", 'Data Entry'!M217)</f>
      </c>
      <c r="N217">
        <f>IF(ISBLANK('Data Entry'!N217), "", 'Data Entry'!N217)</f>
      </c>
      <c r="O217">
        <f>IF(ISBLANK('Data Entry'!O217), "", 'Data Entry'!O217)</f>
      </c>
      <c r="P217">
        <f>IF(ISBLANK('Data Entry'!P217), "", 'Data Entry'!P217)</f>
      </c>
      <c r="Q217">
        <f>IF(ISBLANK('Data Entry'!Q217), "", 'Data Entry'!Q217)</f>
      </c>
      <c r="R217">
        <f>IF(ISBLANK('Data Entry'!R217), "", 'Data Entry'!R217)</f>
      </c>
      <c r="S217">
        <f>IF(ISBLANK('Data Entry'!S217), "", 'Data Entry'!S217)</f>
      </c>
      <c r="T217">
        <f>IF(ISBLANK('Data Entry'!T217), "", 'Data Entry'!T217)</f>
      </c>
      <c r="U217">
        <f>IF(ISBLANK('Data Entry'!U217), "", 'Data Entry'!U217)</f>
      </c>
      <c r="V217">
        <f>IF(ISBLANK('Data Entry'!V217), "", 'Data Entry'!V217)</f>
      </c>
      <c r="W217">
        <f>IF(ISBLANK('Data Entry'!W217), "", 'Data Entry'!W217)</f>
      </c>
      <c r="X217">
        <f>IF(ISBLANK('Data Entry'!X217), "", 'Data Entry'!X217)</f>
      </c>
      <c r="Y217">
        <f>IF(ISBLANK('Data Entry'!Y217), "", 'Data Entry'!Y217)</f>
      </c>
      <c r="Z217">
        <f>IF(ISBLANK('Data Entry'!Z217), "", 'Data Entry'!Z217)</f>
      </c>
      <c r="AA217">
        <f>IF(ISBLANK('Data Entry'![217), "", 'Data Entry'![217)</f>
      </c>
      <c r="AB217">
        <f>IF(ISBLANK('Data Entry'!\217), "", 'Data Entry'!\217)</f>
      </c>
      <c r="AC217">
        <f>IF(ISBLANK('Data Entry'!]217), "", 'Data Entry'!]217)</f>
      </c>
      <c r="AD217">
        <f>IF(ISBLANK('Data Entry'!^217), "", 'Data Entry'!^217)</f>
      </c>
      <c r="AE217">
        <f>IF(ISBLANK('Data Entry'!_217), "", 'Data Entry'!_217)</f>
      </c>
      <c r="AF217">
        <f>IF(ISBLANK('Data Entry'!`217), "", 'Data Entry'!`217)</f>
      </c>
      <c r="AG217">
        <f>IF(ISBLANK('Data Entry'!a217), "", 'Data Entry'!a217)</f>
      </c>
      <c r="AH217">
        <f>IF(ISBLANK('Data Entry'!b217), "", 'Data Entry'!b217)</f>
      </c>
      <c r="AI217">
        <f>IF(ISBLANK('Data Entry'!c217), "", 'Data Entry'!c217)</f>
      </c>
      <c r="AJ217">
        <f>IF(ISBLANK('Data Entry'!d217), "", 'Data Entry'!d217)</f>
      </c>
      <c r="AK217">
        <f>IF(ISBLANK('Data Entry'!e217), "", 'Data Entry'!e217)</f>
      </c>
      <c r="AL217">
        <f>IF(ISBLANK('Data Entry'!f217), "", 'Data Entry'!f217)</f>
      </c>
      <c r="AM217">
        <f>IF(ISBLANK('Data Entry'!g217), "", 'Data Entry'!g217)</f>
      </c>
      <c r="AN217">
        <f>IF(ISBLANK('Data Entry'!h217), "", 'Data Entry'!h217)</f>
      </c>
    </row>
    <row r="218" spans="1:40" x14ac:dyDescent="0.25">
      <c r="A218">
        <f>IF(ISBLANK('Data Entry'!A218), "", 'Data Entry'!A218)</f>
      </c>
      <c r="B218">
        <f>IF(ISBLANK('Data Entry'!B218), "", 'Data Entry'!B218)</f>
      </c>
      <c r="C218">
        <f>IF(ISBLANK('Data Entry'!C218), "", 'Data Entry'!C218)</f>
      </c>
      <c r="D218">
        <f>IF(ISBLANK('Data Entry'!D218), "", 'Data Entry'!D218)</f>
      </c>
      <c r="E218">
        <f>IF(ISBLANK('Data Entry'!E218), "", 'Data Entry'!E218)</f>
      </c>
      <c r="F218">
        <f>IF(ISBLANK('Data Entry'!F218), "", 'Data Entry'!F218)</f>
      </c>
      <c r="G218">
        <f>IF(ISBLANK('Data Entry'!G218), "", 'Data Entry'!G218)</f>
      </c>
      <c r="H218">
        <f>IF(ISBLANK('Data Entry'!H218), "", 'Data Entry'!H218)</f>
      </c>
      <c r="I218">
        <f>IF(ISBLANK('Data Entry'!I218), "", 'Data Entry'!I218)</f>
      </c>
      <c r="J218">
        <f>IF(ISBLANK('Data Entry'!J218), "", 'Data Entry'!J218)</f>
      </c>
      <c r="K218">
        <f>IF(ISBLANK('Data Entry'!K218), "", 'Data Entry'!K218)</f>
      </c>
      <c r="L218">
        <f>IF(ISBLANK('Data Entry'!L218), "", 'Data Entry'!L218)</f>
      </c>
      <c r="M218">
        <f>IF(ISBLANK('Data Entry'!M218), "", 'Data Entry'!M218)</f>
      </c>
      <c r="N218">
        <f>IF(ISBLANK('Data Entry'!N218), "", 'Data Entry'!N218)</f>
      </c>
      <c r="O218">
        <f>IF(ISBLANK('Data Entry'!O218), "", 'Data Entry'!O218)</f>
      </c>
      <c r="P218">
        <f>IF(ISBLANK('Data Entry'!P218), "", 'Data Entry'!P218)</f>
      </c>
      <c r="Q218">
        <f>IF(ISBLANK('Data Entry'!Q218), "", 'Data Entry'!Q218)</f>
      </c>
      <c r="R218">
        <f>IF(ISBLANK('Data Entry'!R218), "", 'Data Entry'!R218)</f>
      </c>
      <c r="S218">
        <f>IF(ISBLANK('Data Entry'!S218), "", 'Data Entry'!S218)</f>
      </c>
      <c r="T218">
        <f>IF(ISBLANK('Data Entry'!T218), "", 'Data Entry'!T218)</f>
      </c>
      <c r="U218">
        <f>IF(ISBLANK('Data Entry'!U218), "", 'Data Entry'!U218)</f>
      </c>
      <c r="V218">
        <f>IF(ISBLANK('Data Entry'!V218), "", 'Data Entry'!V218)</f>
      </c>
      <c r="W218">
        <f>IF(ISBLANK('Data Entry'!W218), "", 'Data Entry'!W218)</f>
      </c>
      <c r="X218">
        <f>IF(ISBLANK('Data Entry'!X218), "", 'Data Entry'!X218)</f>
      </c>
      <c r="Y218">
        <f>IF(ISBLANK('Data Entry'!Y218), "", 'Data Entry'!Y218)</f>
      </c>
      <c r="Z218">
        <f>IF(ISBLANK('Data Entry'!Z218), "", 'Data Entry'!Z218)</f>
      </c>
      <c r="AA218">
        <f>IF(ISBLANK('Data Entry'![218), "", 'Data Entry'![218)</f>
      </c>
      <c r="AB218">
        <f>IF(ISBLANK('Data Entry'!\218), "", 'Data Entry'!\218)</f>
      </c>
      <c r="AC218">
        <f>IF(ISBLANK('Data Entry'!]218), "", 'Data Entry'!]218)</f>
      </c>
      <c r="AD218">
        <f>IF(ISBLANK('Data Entry'!^218), "", 'Data Entry'!^218)</f>
      </c>
      <c r="AE218">
        <f>IF(ISBLANK('Data Entry'!_218), "", 'Data Entry'!_218)</f>
      </c>
      <c r="AF218">
        <f>IF(ISBLANK('Data Entry'!`218), "", 'Data Entry'!`218)</f>
      </c>
      <c r="AG218">
        <f>IF(ISBLANK('Data Entry'!a218), "", 'Data Entry'!a218)</f>
      </c>
      <c r="AH218">
        <f>IF(ISBLANK('Data Entry'!b218), "", 'Data Entry'!b218)</f>
      </c>
      <c r="AI218">
        <f>IF(ISBLANK('Data Entry'!c218), "", 'Data Entry'!c218)</f>
      </c>
      <c r="AJ218">
        <f>IF(ISBLANK('Data Entry'!d218), "", 'Data Entry'!d218)</f>
      </c>
      <c r="AK218">
        <f>IF(ISBLANK('Data Entry'!e218), "", 'Data Entry'!e218)</f>
      </c>
      <c r="AL218">
        <f>IF(ISBLANK('Data Entry'!f218), "", 'Data Entry'!f218)</f>
      </c>
      <c r="AM218">
        <f>IF(ISBLANK('Data Entry'!g218), "", 'Data Entry'!g218)</f>
      </c>
      <c r="AN218">
        <f>IF(ISBLANK('Data Entry'!h218), "", 'Data Entry'!h218)</f>
      </c>
    </row>
    <row r="219" spans="1:40" x14ac:dyDescent="0.25">
      <c r="A219">
        <f>IF(ISBLANK('Data Entry'!A219), "", 'Data Entry'!A219)</f>
      </c>
      <c r="B219">
        <f>IF(ISBLANK('Data Entry'!B219), "", 'Data Entry'!B219)</f>
      </c>
      <c r="C219">
        <f>IF(ISBLANK('Data Entry'!C219), "", 'Data Entry'!C219)</f>
      </c>
      <c r="D219">
        <f>IF(ISBLANK('Data Entry'!D219), "", 'Data Entry'!D219)</f>
      </c>
      <c r="E219">
        <f>IF(ISBLANK('Data Entry'!E219), "", 'Data Entry'!E219)</f>
      </c>
      <c r="F219">
        <f>IF(ISBLANK('Data Entry'!F219), "", 'Data Entry'!F219)</f>
      </c>
      <c r="G219">
        <f>IF(ISBLANK('Data Entry'!G219), "", 'Data Entry'!G219)</f>
      </c>
      <c r="H219">
        <f>IF(ISBLANK('Data Entry'!H219), "", 'Data Entry'!H219)</f>
      </c>
      <c r="I219">
        <f>IF(ISBLANK('Data Entry'!I219), "", 'Data Entry'!I219)</f>
      </c>
      <c r="J219">
        <f>IF(ISBLANK('Data Entry'!J219), "", 'Data Entry'!J219)</f>
      </c>
      <c r="K219">
        <f>IF(ISBLANK('Data Entry'!K219), "", 'Data Entry'!K219)</f>
      </c>
      <c r="L219">
        <f>IF(ISBLANK('Data Entry'!L219), "", 'Data Entry'!L219)</f>
      </c>
      <c r="M219">
        <f>IF(ISBLANK('Data Entry'!M219), "", 'Data Entry'!M219)</f>
      </c>
      <c r="N219">
        <f>IF(ISBLANK('Data Entry'!N219), "", 'Data Entry'!N219)</f>
      </c>
      <c r="O219">
        <f>IF(ISBLANK('Data Entry'!O219), "", 'Data Entry'!O219)</f>
      </c>
      <c r="P219">
        <f>IF(ISBLANK('Data Entry'!P219), "", 'Data Entry'!P219)</f>
      </c>
      <c r="Q219">
        <f>IF(ISBLANK('Data Entry'!Q219), "", 'Data Entry'!Q219)</f>
      </c>
      <c r="R219">
        <f>IF(ISBLANK('Data Entry'!R219), "", 'Data Entry'!R219)</f>
      </c>
      <c r="S219">
        <f>IF(ISBLANK('Data Entry'!S219), "", 'Data Entry'!S219)</f>
      </c>
      <c r="T219">
        <f>IF(ISBLANK('Data Entry'!T219), "", 'Data Entry'!T219)</f>
      </c>
      <c r="U219">
        <f>IF(ISBLANK('Data Entry'!U219), "", 'Data Entry'!U219)</f>
      </c>
      <c r="V219">
        <f>IF(ISBLANK('Data Entry'!V219), "", 'Data Entry'!V219)</f>
      </c>
      <c r="W219">
        <f>IF(ISBLANK('Data Entry'!W219), "", 'Data Entry'!W219)</f>
      </c>
      <c r="X219">
        <f>IF(ISBLANK('Data Entry'!X219), "", 'Data Entry'!X219)</f>
      </c>
      <c r="Y219">
        <f>IF(ISBLANK('Data Entry'!Y219), "", 'Data Entry'!Y219)</f>
      </c>
      <c r="Z219">
        <f>IF(ISBLANK('Data Entry'!Z219), "", 'Data Entry'!Z219)</f>
      </c>
      <c r="AA219">
        <f>IF(ISBLANK('Data Entry'![219), "", 'Data Entry'![219)</f>
      </c>
      <c r="AB219">
        <f>IF(ISBLANK('Data Entry'!\219), "", 'Data Entry'!\219)</f>
      </c>
      <c r="AC219">
        <f>IF(ISBLANK('Data Entry'!]219), "", 'Data Entry'!]219)</f>
      </c>
      <c r="AD219">
        <f>IF(ISBLANK('Data Entry'!^219), "", 'Data Entry'!^219)</f>
      </c>
      <c r="AE219">
        <f>IF(ISBLANK('Data Entry'!_219), "", 'Data Entry'!_219)</f>
      </c>
      <c r="AF219">
        <f>IF(ISBLANK('Data Entry'!`219), "", 'Data Entry'!`219)</f>
      </c>
      <c r="AG219">
        <f>IF(ISBLANK('Data Entry'!a219), "", 'Data Entry'!a219)</f>
      </c>
      <c r="AH219">
        <f>IF(ISBLANK('Data Entry'!b219), "", 'Data Entry'!b219)</f>
      </c>
      <c r="AI219">
        <f>IF(ISBLANK('Data Entry'!c219), "", 'Data Entry'!c219)</f>
      </c>
      <c r="AJ219">
        <f>IF(ISBLANK('Data Entry'!d219), "", 'Data Entry'!d219)</f>
      </c>
      <c r="AK219">
        <f>IF(ISBLANK('Data Entry'!e219), "", 'Data Entry'!e219)</f>
      </c>
      <c r="AL219">
        <f>IF(ISBLANK('Data Entry'!f219), "", 'Data Entry'!f219)</f>
      </c>
      <c r="AM219">
        <f>IF(ISBLANK('Data Entry'!g219), "", 'Data Entry'!g219)</f>
      </c>
      <c r="AN219">
        <f>IF(ISBLANK('Data Entry'!h219), "", 'Data Entry'!h219)</f>
      </c>
    </row>
    <row r="220" spans="1:40" x14ac:dyDescent="0.25">
      <c r="A220">
        <f>IF(ISBLANK('Data Entry'!A220), "", 'Data Entry'!A220)</f>
      </c>
      <c r="B220">
        <f>IF(ISBLANK('Data Entry'!B220), "", 'Data Entry'!B220)</f>
      </c>
      <c r="C220">
        <f>IF(ISBLANK('Data Entry'!C220), "", 'Data Entry'!C220)</f>
      </c>
      <c r="D220">
        <f>IF(ISBLANK('Data Entry'!D220), "", 'Data Entry'!D220)</f>
      </c>
      <c r="E220">
        <f>IF(ISBLANK('Data Entry'!E220), "", 'Data Entry'!E220)</f>
      </c>
      <c r="F220">
        <f>IF(ISBLANK('Data Entry'!F220), "", 'Data Entry'!F220)</f>
      </c>
      <c r="G220">
        <f>IF(ISBLANK('Data Entry'!G220), "", 'Data Entry'!G220)</f>
      </c>
      <c r="H220">
        <f>IF(ISBLANK('Data Entry'!H220), "", 'Data Entry'!H220)</f>
      </c>
      <c r="I220">
        <f>IF(ISBLANK('Data Entry'!I220), "", 'Data Entry'!I220)</f>
      </c>
      <c r="J220">
        <f>IF(ISBLANK('Data Entry'!J220), "", 'Data Entry'!J220)</f>
      </c>
      <c r="K220">
        <f>IF(ISBLANK('Data Entry'!K220), "", 'Data Entry'!K220)</f>
      </c>
      <c r="L220">
        <f>IF(ISBLANK('Data Entry'!L220), "", 'Data Entry'!L220)</f>
      </c>
      <c r="M220">
        <f>IF(ISBLANK('Data Entry'!M220), "", 'Data Entry'!M220)</f>
      </c>
      <c r="N220">
        <f>IF(ISBLANK('Data Entry'!N220), "", 'Data Entry'!N220)</f>
      </c>
      <c r="O220">
        <f>IF(ISBLANK('Data Entry'!O220), "", 'Data Entry'!O220)</f>
      </c>
      <c r="P220">
        <f>IF(ISBLANK('Data Entry'!P220), "", 'Data Entry'!P220)</f>
      </c>
      <c r="Q220">
        <f>IF(ISBLANK('Data Entry'!Q220), "", 'Data Entry'!Q220)</f>
      </c>
      <c r="R220">
        <f>IF(ISBLANK('Data Entry'!R220), "", 'Data Entry'!R220)</f>
      </c>
      <c r="S220">
        <f>IF(ISBLANK('Data Entry'!S220), "", 'Data Entry'!S220)</f>
      </c>
      <c r="T220">
        <f>IF(ISBLANK('Data Entry'!T220), "", 'Data Entry'!T220)</f>
      </c>
      <c r="U220">
        <f>IF(ISBLANK('Data Entry'!U220), "", 'Data Entry'!U220)</f>
      </c>
      <c r="V220">
        <f>IF(ISBLANK('Data Entry'!V220), "", 'Data Entry'!V220)</f>
      </c>
      <c r="W220">
        <f>IF(ISBLANK('Data Entry'!W220), "", 'Data Entry'!W220)</f>
      </c>
      <c r="X220">
        <f>IF(ISBLANK('Data Entry'!X220), "", 'Data Entry'!X220)</f>
      </c>
      <c r="Y220">
        <f>IF(ISBLANK('Data Entry'!Y220), "", 'Data Entry'!Y220)</f>
      </c>
      <c r="Z220">
        <f>IF(ISBLANK('Data Entry'!Z220), "", 'Data Entry'!Z220)</f>
      </c>
      <c r="AA220">
        <f>IF(ISBLANK('Data Entry'![220), "", 'Data Entry'![220)</f>
      </c>
      <c r="AB220">
        <f>IF(ISBLANK('Data Entry'!\220), "", 'Data Entry'!\220)</f>
      </c>
      <c r="AC220">
        <f>IF(ISBLANK('Data Entry'!]220), "", 'Data Entry'!]220)</f>
      </c>
      <c r="AD220">
        <f>IF(ISBLANK('Data Entry'!^220), "", 'Data Entry'!^220)</f>
      </c>
      <c r="AE220">
        <f>IF(ISBLANK('Data Entry'!_220), "", 'Data Entry'!_220)</f>
      </c>
      <c r="AF220">
        <f>IF(ISBLANK('Data Entry'!`220), "", 'Data Entry'!`220)</f>
      </c>
      <c r="AG220">
        <f>IF(ISBLANK('Data Entry'!a220), "", 'Data Entry'!a220)</f>
      </c>
      <c r="AH220">
        <f>IF(ISBLANK('Data Entry'!b220), "", 'Data Entry'!b220)</f>
      </c>
      <c r="AI220">
        <f>IF(ISBLANK('Data Entry'!c220), "", 'Data Entry'!c220)</f>
      </c>
      <c r="AJ220">
        <f>IF(ISBLANK('Data Entry'!d220), "", 'Data Entry'!d220)</f>
      </c>
      <c r="AK220">
        <f>IF(ISBLANK('Data Entry'!e220), "", 'Data Entry'!e220)</f>
      </c>
      <c r="AL220">
        <f>IF(ISBLANK('Data Entry'!f220), "", 'Data Entry'!f220)</f>
      </c>
      <c r="AM220">
        <f>IF(ISBLANK('Data Entry'!g220), "", 'Data Entry'!g220)</f>
      </c>
      <c r="AN220">
        <f>IF(ISBLANK('Data Entry'!h220), "", 'Data Entry'!h220)</f>
      </c>
    </row>
    <row r="221" spans="1:40" x14ac:dyDescent="0.25">
      <c r="A221">
        <f>IF(ISBLANK('Data Entry'!A221), "", 'Data Entry'!A221)</f>
      </c>
      <c r="B221">
        <f>IF(ISBLANK('Data Entry'!B221), "", 'Data Entry'!B221)</f>
      </c>
      <c r="C221">
        <f>IF(ISBLANK('Data Entry'!C221), "", 'Data Entry'!C221)</f>
      </c>
      <c r="D221">
        <f>IF(ISBLANK('Data Entry'!D221), "", 'Data Entry'!D221)</f>
      </c>
      <c r="E221">
        <f>IF(ISBLANK('Data Entry'!E221), "", 'Data Entry'!E221)</f>
      </c>
      <c r="F221">
        <f>IF(ISBLANK('Data Entry'!F221), "", 'Data Entry'!F221)</f>
      </c>
      <c r="G221">
        <f>IF(ISBLANK('Data Entry'!G221), "", 'Data Entry'!G221)</f>
      </c>
      <c r="H221">
        <f>IF(ISBLANK('Data Entry'!H221), "", 'Data Entry'!H221)</f>
      </c>
      <c r="I221">
        <f>IF(ISBLANK('Data Entry'!I221), "", 'Data Entry'!I221)</f>
      </c>
      <c r="J221">
        <f>IF(ISBLANK('Data Entry'!J221), "", 'Data Entry'!J221)</f>
      </c>
      <c r="K221">
        <f>IF(ISBLANK('Data Entry'!K221), "", 'Data Entry'!K221)</f>
      </c>
      <c r="L221">
        <f>IF(ISBLANK('Data Entry'!L221), "", 'Data Entry'!L221)</f>
      </c>
      <c r="M221">
        <f>IF(ISBLANK('Data Entry'!M221), "", 'Data Entry'!M221)</f>
      </c>
      <c r="N221">
        <f>IF(ISBLANK('Data Entry'!N221), "", 'Data Entry'!N221)</f>
      </c>
      <c r="O221">
        <f>IF(ISBLANK('Data Entry'!O221), "", 'Data Entry'!O221)</f>
      </c>
      <c r="P221">
        <f>IF(ISBLANK('Data Entry'!P221), "", 'Data Entry'!P221)</f>
      </c>
      <c r="Q221">
        <f>IF(ISBLANK('Data Entry'!Q221), "", 'Data Entry'!Q221)</f>
      </c>
      <c r="R221">
        <f>IF(ISBLANK('Data Entry'!R221), "", 'Data Entry'!R221)</f>
      </c>
      <c r="S221">
        <f>IF(ISBLANK('Data Entry'!S221), "", 'Data Entry'!S221)</f>
      </c>
      <c r="T221">
        <f>IF(ISBLANK('Data Entry'!T221), "", 'Data Entry'!T221)</f>
      </c>
      <c r="U221">
        <f>IF(ISBLANK('Data Entry'!U221), "", 'Data Entry'!U221)</f>
      </c>
      <c r="V221">
        <f>IF(ISBLANK('Data Entry'!V221), "", 'Data Entry'!V221)</f>
      </c>
      <c r="W221">
        <f>IF(ISBLANK('Data Entry'!W221), "", 'Data Entry'!W221)</f>
      </c>
      <c r="X221">
        <f>IF(ISBLANK('Data Entry'!X221), "", 'Data Entry'!X221)</f>
      </c>
      <c r="Y221">
        <f>IF(ISBLANK('Data Entry'!Y221), "", 'Data Entry'!Y221)</f>
      </c>
      <c r="Z221">
        <f>IF(ISBLANK('Data Entry'!Z221), "", 'Data Entry'!Z221)</f>
      </c>
      <c r="AA221">
        <f>IF(ISBLANK('Data Entry'![221), "", 'Data Entry'![221)</f>
      </c>
      <c r="AB221">
        <f>IF(ISBLANK('Data Entry'!\221), "", 'Data Entry'!\221)</f>
      </c>
      <c r="AC221">
        <f>IF(ISBLANK('Data Entry'!]221), "", 'Data Entry'!]221)</f>
      </c>
      <c r="AD221">
        <f>IF(ISBLANK('Data Entry'!^221), "", 'Data Entry'!^221)</f>
      </c>
      <c r="AE221">
        <f>IF(ISBLANK('Data Entry'!_221), "", 'Data Entry'!_221)</f>
      </c>
      <c r="AF221">
        <f>IF(ISBLANK('Data Entry'!`221), "", 'Data Entry'!`221)</f>
      </c>
      <c r="AG221">
        <f>IF(ISBLANK('Data Entry'!a221), "", 'Data Entry'!a221)</f>
      </c>
      <c r="AH221">
        <f>IF(ISBLANK('Data Entry'!b221), "", 'Data Entry'!b221)</f>
      </c>
      <c r="AI221">
        <f>IF(ISBLANK('Data Entry'!c221), "", 'Data Entry'!c221)</f>
      </c>
      <c r="AJ221">
        <f>IF(ISBLANK('Data Entry'!d221), "", 'Data Entry'!d221)</f>
      </c>
      <c r="AK221">
        <f>IF(ISBLANK('Data Entry'!e221), "", 'Data Entry'!e221)</f>
      </c>
      <c r="AL221">
        <f>IF(ISBLANK('Data Entry'!f221), "", 'Data Entry'!f221)</f>
      </c>
      <c r="AM221">
        <f>IF(ISBLANK('Data Entry'!g221), "", 'Data Entry'!g221)</f>
      </c>
      <c r="AN221">
        <f>IF(ISBLANK('Data Entry'!h221), "", 'Data Entry'!h221)</f>
      </c>
    </row>
    <row r="222" spans="1:40" x14ac:dyDescent="0.25">
      <c r="A222">
        <f>IF(ISBLANK('Data Entry'!A222), "", 'Data Entry'!A222)</f>
      </c>
      <c r="B222">
        <f>IF(ISBLANK('Data Entry'!B222), "", 'Data Entry'!B222)</f>
      </c>
      <c r="C222">
        <f>IF(ISBLANK('Data Entry'!C222), "", 'Data Entry'!C222)</f>
      </c>
      <c r="D222">
        <f>IF(ISBLANK('Data Entry'!D222), "", 'Data Entry'!D222)</f>
      </c>
      <c r="E222">
        <f>IF(ISBLANK('Data Entry'!E222), "", 'Data Entry'!E222)</f>
      </c>
      <c r="F222">
        <f>IF(ISBLANK('Data Entry'!F222), "", 'Data Entry'!F222)</f>
      </c>
      <c r="G222">
        <f>IF(ISBLANK('Data Entry'!G222), "", 'Data Entry'!G222)</f>
      </c>
      <c r="H222">
        <f>IF(ISBLANK('Data Entry'!H222), "", 'Data Entry'!H222)</f>
      </c>
      <c r="I222">
        <f>IF(ISBLANK('Data Entry'!I222), "", 'Data Entry'!I222)</f>
      </c>
      <c r="J222">
        <f>IF(ISBLANK('Data Entry'!J222), "", 'Data Entry'!J222)</f>
      </c>
      <c r="K222">
        <f>IF(ISBLANK('Data Entry'!K222), "", 'Data Entry'!K222)</f>
      </c>
      <c r="L222">
        <f>IF(ISBLANK('Data Entry'!L222), "", 'Data Entry'!L222)</f>
      </c>
      <c r="M222">
        <f>IF(ISBLANK('Data Entry'!M222), "", 'Data Entry'!M222)</f>
      </c>
      <c r="N222">
        <f>IF(ISBLANK('Data Entry'!N222), "", 'Data Entry'!N222)</f>
      </c>
      <c r="O222">
        <f>IF(ISBLANK('Data Entry'!O222), "", 'Data Entry'!O222)</f>
      </c>
      <c r="P222">
        <f>IF(ISBLANK('Data Entry'!P222), "", 'Data Entry'!P222)</f>
      </c>
      <c r="Q222">
        <f>IF(ISBLANK('Data Entry'!Q222), "", 'Data Entry'!Q222)</f>
      </c>
      <c r="R222">
        <f>IF(ISBLANK('Data Entry'!R222), "", 'Data Entry'!R222)</f>
      </c>
      <c r="S222">
        <f>IF(ISBLANK('Data Entry'!S222), "", 'Data Entry'!S222)</f>
      </c>
      <c r="T222">
        <f>IF(ISBLANK('Data Entry'!T222), "", 'Data Entry'!T222)</f>
      </c>
      <c r="U222">
        <f>IF(ISBLANK('Data Entry'!U222), "", 'Data Entry'!U222)</f>
      </c>
      <c r="V222">
        <f>IF(ISBLANK('Data Entry'!V222), "", 'Data Entry'!V222)</f>
      </c>
      <c r="W222">
        <f>IF(ISBLANK('Data Entry'!W222), "", 'Data Entry'!W222)</f>
      </c>
      <c r="X222">
        <f>IF(ISBLANK('Data Entry'!X222), "", 'Data Entry'!X222)</f>
      </c>
      <c r="Y222">
        <f>IF(ISBLANK('Data Entry'!Y222), "", 'Data Entry'!Y222)</f>
      </c>
      <c r="Z222">
        <f>IF(ISBLANK('Data Entry'!Z222), "", 'Data Entry'!Z222)</f>
      </c>
      <c r="AA222">
        <f>IF(ISBLANK('Data Entry'![222), "", 'Data Entry'![222)</f>
      </c>
      <c r="AB222">
        <f>IF(ISBLANK('Data Entry'!\222), "", 'Data Entry'!\222)</f>
      </c>
      <c r="AC222">
        <f>IF(ISBLANK('Data Entry'!]222), "", 'Data Entry'!]222)</f>
      </c>
      <c r="AD222">
        <f>IF(ISBLANK('Data Entry'!^222), "", 'Data Entry'!^222)</f>
      </c>
      <c r="AE222">
        <f>IF(ISBLANK('Data Entry'!_222), "", 'Data Entry'!_222)</f>
      </c>
      <c r="AF222">
        <f>IF(ISBLANK('Data Entry'!`222), "", 'Data Entry'!`222)</f>
      </c>
      <c r="AG222">
        <f>IF(ISBLANK('Data Entry'!a222), "", 'Data Entry'!a222)</f>
      </c>
      <c r="AH222">
        <f>IF(ISBLANK('Data Entry'!b222), "", 'Data Entry'!b222)</f>
      </c>
      <c r="AI222">
        <f>IF(ISBLANK('Data Entry'!c222), "", 'Data Entry'!c222)</f>
      </c>
      <c r="AJ222">
        <f>IF(ISBLANK('Data Entry'!d222), "", 'Data Entry'!d222)</f>
      </c>
      <c r="AK222">
        <f>IF(ISBLANK('Data Entry'!e222), "", 'Data Entry'!e222)</f>
      </c>
      <c r="AL222">
        <f>IF(ISBLANK('Data Entry'!f222), "", 'Data Entry'!f222)</f>
      </c>
      <c r="AM222">
        <f>IF(ISBLANK('Data Entry'!g222), "", 'Data Entry'!g222)</f>
      </c>
      <c r="AN222">
        <f>IF(ISBLANK('Data Entry'!h222), "", 'Data Entry'!h222)</f>
      </c>
    </row>
    <row r="223" spans="1:40" x14ac:dyDescent="0.25">
      <c r="A223">
        <f>IF(ISBLANK('Data Entry'!A223), "", 'Data Entry'!A223)</f>
      </c>
      <c r="B223">
        <f>IF(ISBLANK('Data Entry'!B223), "", 'Data Entry'!B223)</f>
      </c>
      <c r="C223">
        <f>IF(ISBLANK('Data Entry'!C223), "", 'Data Entry'!C223)</f>
      </c>
      <c r="D223">
        <f>IF(ISBLANK('Data Entry'!D223), "", 'Data Entry'!D223)</f>
      </c>
      <c r="E223">
        <f>IF(ISBLANK('Data Entry'!E223), "", 'Data Entry'!E223)</f>
      </c>
      <c r="F223">
        <f>IF(ISBLANK('Data Entry'!F223), "", 'Data Entry'!F223)</f>
      </c>
      <c r="G223">
        <f>IF(ISBLANK('Data Entry'!G223), "", 'Data Entry'!G223)</f>
      </c>
      <c r="H223">
        <f>IF(ISBLANK('Data Entry'!H223), "", 'Data Entry'!H223)</f>
      </c>
      <c r="I223">
        <f>IF(ISBLANK('Data Entry'!I223), "", 'Data Entry'!I223)</f>
      </c>
      <c r="J223">
        <f>IF(ISBLANK('Data Entry'!J223), "", 'Data Entry'!J223)</f>
      </c>
      <c r="K223">
        <f>IF(ISBLANK('Data Entry'!K223), "", 'Data Entry'!K223)</f>
      </c>
      <c r="L223">
        <f>IF(ISBLANK('Data Entry'!L223), "", 'Data Entry'!L223)</f>
      </c>
      <c r="M223">
        <f>IF(ISBLANK('Data Entry'!M223), "", 'Data Entry'!M223)</f>
      </c>
      <c r="N223">
        <f>IF(ISBLANK('Data Entry'!N223), "", 'Data Entry'!N223)</f>
      </c>
      <c r="O223">
        <f>IF(ISBLANK('Data Entry'!O223), "", 'Data Entry'!O223)</f>
      </c>
      <c r="P223">
        <f>IF(ISBLANK('Data Entry'!P223), "", 'Data Entry'!P223)</f>
      </c>
      <c r="Q223">
        <f>IF(ISBLANK('Data Entry'!Q223), "", 'Data Entry'!Q223)</f>
      </c>
      <c r="R223">
        <f>IF(ISBLANK('Data Entry'!R223), "", 'Data Entry'!R223)</f>
      </c>
      <c r="S223">
        <f>IF(ISBLANK('Data Entry'!S223), "", 'Data Entry'!S223)</f>
      </c>
      <c r="T223">
        <f>IF(ISBLANK('Data Entry'!T223), "", 'Data Entry'!T223)</f>
      </c>
      <c r="U223">
        <f>IF(ISBLANK('Data Entry'!U223), "", 'Data Entry'!U223)</f>
      </c>
      <c r="V223">
        <f>IF(ISBLANK('Data Entry'!V223), "", 'Data Entry'!V223)</f>
      </c>
      <c r="W223">
        <f>IF(ISBLANK('Data Entry'!W223), "", 'Data Entry'!W223)</f>
      </c>
      <c r="X223">
        <f>IF(ISBLANK('Data Entry'!X223), "", 'Data Entry'!X223)</f>
      </c>
      <c r="Y223">
        <f>IF(ISBLANK('Data Entry'!Y223), "", 'Data Entry'!Y223)</f>
      </c>
      <c r="Z223">
        <f>IF(ISBLANK('Data Entry'!Z223), "", 'Data Entry'!Z223)</f>
      </c>
      <c r="AA223">
        <f>IF(ISBLANK('Data Entry'![223), "", 'Data Entry'![223)</f>
      </c>
      <c r="AB223">
        <f>IF(ISBLANK('Data Entry'!\223), "", 'Data Entry'!\223)</f>
      </c>
      <c r="AC223">
        <f>IF(ISBLANK('Data Entry'!]223), "", 'Data Entry'!]223)</f>
      </c>
      <c r="AD223">
        <f>IF(ISBLANK('Data Entry'!^223), "", 'Data Entry'!^223)</f>
      </c>
      <c r="AE223">
        <f>IF(ISBLANK('Data Entry'!_223), "", 'Data Entry'!_223)</f>
      </c>
      <c r="AF223">
        <f>IF(ISBLANK('Data Entry'!`223), "", 'Data Entry'!`223)</f>
      </c>
      <c r="AG223">
        <f>IF(ISBLANK('Data Entry'!a223), "", 'Data Entry'!a223)</f>
      </c>
      <c r="AH223">
        <f>IF(ISBLANK('Data Entry'!b223), "", 'Data Entry'!b223)</f>
      </c>
      <c r="AI223">
        <f>IF(ISBLANK('Data Entry'!c223), "", 'Data Entry'!c223)</f>
      </c>
      <c r="AJ223">
        <f>IF(ISBLANK('Data Entry'!d223), "", 'Data Entry'!d223)</f>
      </c>
      <c r="AK223">
        <f>IF(ISBLANK('Data Entry'!e223), "", 'Data Entry'!e223)</f>
      </c>
      <c r="AL223">
        <f>IF(ISBLANK('Data Entry'!f223), "", 'Data Entry'!f223)</f>
      </c>
      <c r="AM223">
        <f>IF(ISBLANK('Data Entry'!g223), "", 'Data Entry'!g223)</f>
      </c>
      <c r="AN223">
        <f>IF(ISBLANK('Data Entry'!h223), "", 'Data Entry'!h223)</f>
      </c>
    </row>
    <row r="224" spans="1:40" x14ac:dyDescent="0.25">
      <c r="A224">
        <f>IF(ISBLANK('Data Entry'!A224), "", 'Data Entry'!A224)</f>
      </c>
      <c r="B224">
        <f>IF(ISBLANK('Data Entry'!B224), "", 'Data Entry'!B224)</f>
      </c>
      <c r="C224">
        <f>IF(ISBLANK('Data Entry'!C224), "", 'Data Entry'!C224)</f>
      </c>
      <c r="D224">
        <f>IF(ISBLANK('Data Entry'!D224), "", 'Data Entry'!D224)</f>
      </c>
      <c r="E224">
        <f>IF(ISBLANK('Data Entry'!E224), "", 'Data Entry'!E224)</f>
      </c>
      <c r="F224">
        <f>IF(ISBLANK('Data Entry'!F224), "", 'Data Entry'!F224)</f>
      </c>
      <c r="G224">
        <f>IF(ISBLANK('Data Entry'!G224), "", 'Data Entry'!G224)</f>
      </c>
      <c r="H224">
        <f>IF(ISBLANK('Data Entry'!H224), "", 'Data Entry'!H224)</f>
      </c>
      <c r="I224">
        <f>IF(ISBLANK('Data Entry'!I224), "", 'Data Entry'!I224)</f>
      </c>
      <c r="J224">
        <f>IF(ISBLANK('Data Entry'!J224), "", 'Data Entry'!J224)</f>
      </c>
      <c r="K224">
        <f>IF(ISBLANK('Data Entry'!K224), "", 'Data Entry'!K224)</f>
      </c>
      <c r="L224">
        <f>IF(ISBLANK('Data Entry'!L224), "", 'Data Entry'!L224)</f>
      </c>
      <c r="M224">
        <f>IF(ISBLANK('Data Entry'!M224), "", 'Data Entry'!M224)</f>
      </c>
      <c r="N224">
        <f>IF(ISBLANK('Data Entry'!N224), "", 'Data Entry'!N224)</f>
      </c>
      <c r="O224">
        <f>IF(ISBLANK('Data Entry'!O224), "", 'Data Entry'!O224)</f>
      </c>
      <c r="P224">
        <f>IF(ISBLANK('Data Entry'!P224), "", 'Data Entry'!P224)</f>
      </c>
      <c r="Q224">
        <f>IF(ISBLANK('Data Entry'!Q224), "", 'Data Entry'!Q224)</f>
      </c>
      <c r="R224">
        <f>IF(ISBLANK('Data Entry'!R224), "", 'Data Entry'!R224)</f>
      </c>
      <c r="S224">
        <f>IF(ISBLANK('Data Entry'!S224), "", 'Data Entry'!S224)</f>
      </c>
      <c r="T224">
        <f>IF(ISBLANK('Data Entry'!T224), "", 'Data Entry'!T224)</f>
      </c>
      <c r="U224">
        <f>IF(ISBLANK('Data Entry'!U224), "", 'Data Entry'!U224)</f>
      </c>
      <c r="V224">
        <f>IF(ISBLANK('Data Entry'!V224), "", 'Data Entry'!V224)</f>
      </c>
      <c r="W224">
        <f>IF(ISBLANK('Data Entry'!W224), "", 'Data Entry'!W224)</f>
      </c>
      <c r="X224">
        <f>IF(ISBLANK('Data Entry'!X224), "", 'Data Entry'!X224)</f>
      </c>
      <c r="Y224">
        <f>IF(ISBLANK('Data Entry'!Y224), "", 'Data Entry'!Y224)</f>
      </c>
      <c r="Z224">
        <f>IF(ISBLANK('Data Entry'!Z224), "", 'Data Entry'!Z224)</f>
      </c>
      <c r="AA224">
        <f>IF(ISBLANK('Data Entry'![224), "", 'Data Entry'![224)</f>
      </c>
      <c r="AB224">
        <f>IF(ISBLANK('Data Entry'!\224), "", 'Data Entry'!\224)</f>
      </c>
      <c r="AC224">
        <f>IF(ISBLANK('Data Entry'!]224), "", 'Data Entry'!]224)</f>
      </c>
      <c r="AD224">
        <f>IF(ISBLANK('Data Entry'!^224), "", 'Data Entry'!^224)</f>
      </c>
      <c r="AE224">
        <f>IF(ISBLANK('Data Entry'!_224), "", 'Data Entry'!_224)</f>
      </c>
      <c r="AF224">
        <f>IF(ISBLANK('Data Entry'!`224), "", 'Data Entry'!`224)</f>
      </c>
      <c r="AG224">
        <f>IF(ISBLANK('Data Entry'!a224), "", 'Data Entry'!a224)</f>
      </c>
      <c r="AH224">
        <f>IF(ISBLANK('Data Entry'!b224), "", 'Data Entry'!b224)</f>
      </c>
      <c r="AI224">
        <f>IF(ISBLANK('Data Entry'!c224), "", 'Data Entry'!c224)</f>
      </c>
      <c r="AJ224">
        <f>IF(ISBLANK('Data Entry'!d224), "", 'Data Entry'!d224)</f>
      </c>
      <c r="AK224">
        <f>IF(ISBLANK('Data Entry'!e224), "", 'Data Entry'!e224)</f>
      </c>
      <c r="AL224">
        <f>IF(ISBLANK('Data Entry'!f224), "", 'Data Entry'!f224)</f>
      </c>
      <c r="AM224">
        <f>IF(ISBLANK('Data Entry'!g224), "", 'Data Entry'!g224)</f>
      </c>
      <c r="AN224">
        <f>IF(ISBLANK('Data Entry'!h224), "", 'Data Entry'!h224)</f>
      </c>
    </row>
    <row r="225" spans="1:40" x14ac:dyDescent="0.25">
      <c r="A225">
        <f>IF(ISBLANK('Data Entry'!A225), "", 'Data Entry'!A225)</f>
      </c>
      <c r="B225">
        <f>IF(ISBLANK('Data Entry'!B225), "", 'Data Entry'!B225)</f>
      </c>
      <c r="C225">
        <f>IF(ISBLANK('Data Entry'!C225), "", 'Data Entry'!C225)</f>
      </c>
      <c r="D225">
        <f>IF(ISBLANK('Data Entry'!D225), "", 'Data Entry'!D225)</f>
      </c>
      <c r="E225">
        <f>IF(ISBLANK('Data Entry'!E225), "", 'Data Entry'!E225)</f>
      </c>
      <c r="F225">
        <f>IF(ISBLANK('Data Entry'!F225), "", 'Data Entry'!F225)</f>
      </c>
      <c r="G225">
        <f>IF(ISBLANK('Data Entry'!G225), "", 'Data Entry'!G225)</f>
      </c>
      <c r="H225">
        <f>IF(ISBLANK('Data Entry'!H225), "", 'Data Entry'!H225)</f>
      </c>
      <c r="I225">
        <f>IF(ISBLANK('Data Entry'!I225), "", 'Data Entry'!I225)</f>
      </c>
      <c r="J225">
        <f>IF(ISBLANK('Data Entry'!J225), "", 'Data Entry'!J225)</f>
      </c>
      <c r="K225">
        <f>IF(ISBLANK('Data Entry'!K225), "", 'Data Entry'!K225)</f>
      </c>
      <c r="L225">
        <f>IF(ISBLANK('Data Entry'!L225), "", 'Data Entry'!L225)</f>
      </c>
      <c r="M225">
        <f>IF(ISBLANK('Data Entry'!M225), "", 'Data Entry'!M225)</f>
      </c>
      <c r="N225">
        <f>IF(ISBLANK('Data Entry'!N225), "", 'Data Entry'!N225)</f>
      </c>
      <c r="O225">
        <f>IF(ISBLANK('Data Entry'!O225), "", 'Data Entry'!O225)</f>
      </c>
      <c r="P225">
        <f>IF(ISBLANK('Data Entry'!P225), "", 'Data Entry'!P225)</f>
      </c>
      <c r="Q225">
        <f>IF(ISBLANK('Data Entry'!Q225), "", 'Data Entry'!Q225)</f>
      </c>
      <c r="R225">
        <f>IF(ISBLANK('Data Entry'!R225), "", 'Data Entry'!R225)</f>
      </c>
      <c r="S225">
        <f>IF(ISBLANK('Data Entry'!S225), "", 'Data Entry'!S225)</f>
      </c>
      <c r="T225">
        <f>IF(ISBLANK('Data Entry'!T225), "", 'Data Entry'!T225)</f>
      </c>
      <c r="U225">
        <f>IF(ISBLANK('Data Entry'!U225), "", 'Data Entry'!U225)</f>
      </c>
      <c r="V225">
        <f>IF(ISBLANK('Data Entry'!V225), "", 'Data Entry'!V225)</f>
      </c>
      <c r="W225">
        <f>IF(ISBLANK('Data Entry'!W225), "", 'Data Entry'!W225)</f>
      </c>
      <c r="X225">
        <f>IF(ISBLANK('Data Entry'!X225), "", 'Data Entry'!X225)</f>
      </c>
      <c r="Y225">
        <f>IF(ISBLANK('Data Entry'!Y225), "", 'Data Entry'!Y225)</f>
      </c>
      <c r="Z225">
        <f>IF(ISBLANK('Data Entry'!Z225), "", 'Data Entry'!Z225)</f>
      </c>
      <c r="AA225">
        <f>IF(ISBLANK('Data Entry'![225), "", 'Data Entry'![225)</f>
      </c>
      <c r="AB225">
        <f>IF(ISBLANK('Data Entry'!\225), "", 'Data Entry'!\225)</f>
      </c>
      <c r="AC225">
        <f>IF(ISBLANK('Data Entry'!]225), "", 'Data Entry'!]225)</f>
      </c>
      <c r="AD225">
        <f>IF(ISBLANK('Data Entry'!^225), "", 'Data Entry'!^225)</f>
      </c>
      <c r="AE225">
        <f>IF(ISBLANK('Data Entry'!_225), "", 'Data Entry'!_225)</f>
      </c>
      <c r="AF225">
        <f>IF(ISBLANK('Data Entry'!`225), "", 'Data Entry'!`225)</f>
      </c>
      <c r="AG225">
        <f>IF(ISBLANK('Data Entry'!a225), "", 'Data Entry'!a225)</f>
      </c>
      <c r="AH225">
        <f>IF(ISBLANK('Data Entry'!b225), "", 'Data Entry'!b225)</f>
      </c>
      <c r="AI225">
        <f>IF(ISBLANK('Data Entry'!c225), "", 'Data Entry'!c225)</f>
      </c>
      <c r="AJ225">
        <f>IF(ISBLANK('Data Entry'!d225), "", 'Data Entry'!d225)</f>
      </c>
      <c r="AK225">
        <f>IF(ISBLANK('Data Entry'!e225), "", 'Data Entry'!e225)</f>
      </c>
      <c r="AL225">
        <f>IF(ISBLANK('Data Entry'!f225), "", 'Data Entry'!f225)</f>
      </c>
      <c r="AM225">
        <f>IF(ISBLANK('Data Entry'!g225), "", 'Data Entry'!g225)</f>
      </c>
      <c r="AN225">
        <f>IF(ISBLANK('Data Entry'!h225), "", 'Data Entry'!h225)</f>
      </c>
    </row>
    <row r="226" spans="1:40" x14ac:dyDescent="0.25">
      <c r="A226">
        <f>IF(ISBLANK('Data Entry'!A226), "", 'Data Entry'!A226)</f>
      </c>
      <c r="B226">
        <f>IF(ISBLANK('Data Entry'!B226), "", 'Data Entry'!B226)</f>
      </c>
      <c r="C226">
        <f>IF(ISBLANK('Data Entry'!C226), "", 'Data Entry'!C226)</f>
      </c>
      <c r="D226">
        <f>IF(ISBLANK('Data Entry'!D226), "", 'Data Entry'!D226)</f>
      </c>
      <c r="E226">
        <f>IF(ISBLANK('Data Entry'!E226), "", 'Data Entry'!E226)</f>
      </c>
      <c r="F226">
        <f>IF(ISBLANK('Data Entry'!F226), "", 'Data Entry'!F226)</f>
      </c>
      <c r="G226">
        <f>IF(ISBLANK('Data Entry'!G226), "", 'Data Entry'!G226)</f>
      </c>
      <c r="H226">
        <f>IF(ISBLANK('Data Entry'!H226), "", 'Data Entry'!H226)</f>
      </c>
      <c r="I226">
        <f>IF(ISBLANK('Data Entry'!I226), "", 'Data Entry'!I226)</f>
      </c>
      <c r="J226">
        <f>IF(ISBLANK('Data Entry'!J226), "", 'Data Entry'!J226)</f>
      </c>
      <c r="K226">
        <f>IF(ISBLANK('Data Entry'!K226), "", 'Data Entry'!K226)</f>
      </c>
      <c r="L226">
        <f>IF(ISBLANK('Data Entry'!L226), "", 'Data Entry'!L226)</f>
      </c>
      <c r="M226">
        <f>IF(ISBLANK('Data Entry'!M226), "", 'Data Entry'!M226)</f>
      </c>
      <c r="N226">
        <f>IF(ISBLANK('Data Entry'!N226), "", 'Data Entry'!N226)</f>
      </c>
      <c r="O226">
        <f>IF(ISBLANK('Data Entry'!O226), "", 'Data Entry'!O226)</f>
      </c>
      <c r="P226">
        <f>IF(ISBLANK('Data Entry'!P226), "", 'Data Entry'!P226)</f>
      </c>
      <c r="Q226">
        <f>IF(ISBLANK('Data Entry'!Q226), "", 'Data Entry'!Q226)</f>
      </c>
      <c r="R226">
        <f>IF(ISBLANK('Data Entry'!R226), "", 'Data Entry'!R226)</f>
      </c>
      <c r="S226">
        <f>IF(ISBLANK('Data Entry'!S226), "", 'Data Entry'!S226)</f>
      </c>
      <c r="T226">
        <f>IF(ISBLANK('Data Entry'!T226), "", 'Data Entry'!T226)</f>
      </c>
      <c r="U226">
        <f>IF(ISBLANK('Data Entry'!U226), "", 'Data Entry'!U226)</f>
      </c>
      <c r="V226">
        <f>IF(ISBLANK('Data Entry'!V226), "", 'Data Entry'!V226)</f>
      </c>
      <c r="W226">
        <f>IF(ISBLANK('Data Entry'!W226), "", 'Data Entry'!W226)</f>
      </c>
      <c r="X226">
        <f>IF(ISBLANK('Data Entry'!X226), "", 'Data Entry'!X226)</f>
      </c>
      <c r="Y226">
        <f>IF(ISBLANK('Data Entry'!Y226), "", 'Data Entry'!Y226)</f>
      </c>
      <c r="Z226">
        <f>IF(ISBLANK('Data Entry'!Z226), "", 'Data Entry'!Z226)</f>
      </c>
      <c r="AA226">
        <f>IF(ISBLANK('Data Entry'![226), "", 'Data Entry'![226)</f>
      </c>
      <c r="AB226">
        <f>IF(ISBLANK('Data Entry'!\226), "", 'Data Entry'!\226)</f>
      </c>
      <c r="AC226">
        <f>IF(ISBLANK('Data Entry'!]226), "", 'Data Entry'!]226)</f>
      </c>
      <c r="AD226">
        <f>IF(ISBLANK('Data Entry'!^226), "", 'Data Entry'!^226)</f>
      </c>
      <c r="AE226">
        <f>IF(ISBLANK('Data Entry'!_226), "", 'Data Entry'!_226)</f>
      </c>
      <c r="AF226">
        <f>IF(ISBLANK('Data Entry'!`226), "", 'Data Entry'!`226)</f>
      </c>
      <c r="AG226">
        <f>IF(ISBLANK('Data Entry'!a226), "", 'Data Entry'!a226)</f>
      </c>
      <c r="AH226">
        <f>IF(ISBLANK('Data Entry'!b226), "", 'Data Entry'!b226)</f>
      </c>
      <c r="AI226">
        <f>IF(ISBLANK('Data Entry'!c226), "", 'Data Entry'!c226)</f>
      </c>
      <c r="AJ226">
        <f>IF(ISBLANK('Data Entry'!d226), "", 'Data Entry'!d226)</f>
      </c>
      <c r="AK226">
        <f>IF(ISBLANK('Data Entry'!e226), "", 'Data Entry'!e226)</f>
      </c>
      <c r="AL226">
        <f>IF(ISBLANK('Data Entry'!f226), "", 'Data Entry'!f226)</f>
      </c>
      <c r="AM226">
        <f>IF(ISBLANK('Data Entry'!g226), "", 'Data Entry'!g226)</f>
      </c>
      <c r="AN226">
        <f>IF(ISBLANK('Data Entry'!h226), "", 'Data Entry'!h226)</f>
      </c>
    </row>
    <row r="227" spans="1:40" x14ac:dyDescent="0.25">
      <c r="A227">
        <f>IF(ISBLANK('Data Entry'!A227), "", 'Data Entry'!A227)</f>
      </c>
      <c r="B227">
        <f>IF(ISBLANK('Data Entry'!B227), "", 'Data Entry'!B227)</f>
      </c>
      <c r="C227">
        <f>IF(ISBLANK('Data Entry'!C227), "", 'Data Entry'!C227)</f>
      </c>
      <c r="D227">
        <f>IF(ISBLANK('Data Entry'!D227), "", 'Data Entry'!D227)</f>
      </c>
      <c r="E227">
        <f>IF(ISBLANK('Data Entry'!E227), "", 'Data Entry'!E227)</f>
      </c>
      <c r="F227">
        <f>IF(ISBLANK('Data Entry'!F227), "", 'Data Entry'!F227)</f>
      </c>
      <c r="G227">
        <f>IF(ISBLANK('Data Entry'!G227), "", 'Data Entry'!G227)</f>
      </c>
      <c r="H227">
        <f>IF(ISBLANK('Data Entry'!H227), "", 'Data Entry'!H227)</f>
      </c>
      <c r="I227">
        <f>IF(ISBLANK('Data Entry'!I227), "", 'Data Entry'!I227)</f>
      </c>
      <c r="J227">
        <f>IF(ISBLANK('Data Entry'!J227), "", 'Data Entry'!J227)</f>
      </c>
      <c r="K227">
        <f>IF(ISBLANK('Data Entry'!K227), "", 'Data Entry'!K227)</f>
      </c>
      <c r="L227">
        <f>IF(ISBLANK('Data Entry'!L227), "", 'Data Entry'!L227)</f>
      </c>
      <c r="M227">
        <f>IF(ISBLANK('Data Entry'!M227), "", 'Data Entry'!M227)</f>
      </c>
      <c r="N227">
        <f>IF(ISBLANK('Data Entry'!N227), "", 'Data Entry'!N227)</f>
      </c>
      <c r="O227">
        <f>IF(ISBLANK('Data Entry'!O227), "", 'Data Entry'!O227)</f>
      </c>
      <c r="P227">
        <f>IF(ISBLANK('Data Entry'!P227), "", 'Data Entry'!P227)</f>
      </c>
      <c r="Q227">
        <f>IF(ISBLANK('Data Entry'!Q227), "", 'Data Entry'!Q227)</f>
      </c>
      <c r="R227">
        <f>IF(ISBLANK('Data Entry'!R227), "", 'Data Entry'!R227)</f>
      </c>
      <c r="S227">
        <f>IF(ISBLANK('Data Entry'!S227), "", 'Data Entry'!S227)</f>
      </c>
      <c r="T227">
        <f>IF(ISBLANK('Data Entry'!T227), "", 'Data Entry'!T227)</f>
      </c>
      <c r="U227">
        <f>IF(ISBLANK('Data Entry'!U227), "", 'Data Entry'!U227)</f>
      </c>
      <c r="V227">
        <f>IF(ISBLANK('Data Entry'!V227), "", 'Data Entry'!V227)</f>
      </c>
      <c r="W227">
        <f>IF(ISBLANK('Data Entry'!W227), "", 'Data Entry'!W227)</f>
      </c>
      <c r="X227">
        <f>IF(ISBLANK('Data Entry'!X227), "", 'Data Entry'!X227)</f>
      </c>
      <c r="Y227">
        <f>IF(ISBLANK('Data Entry'!Y227), "", 'Data Entry'!Y227)</f>
      </c>
      <c r="Z227">
        <f>IF(ISBLANK('Data Entry'!Z227), "", 'Data Entry'!Z227)</f>
      </c>
      <c r="AA227">
        <f>IF(ISBLANK('Data Entry'![227), "", 'Data Entry'![227)</f>
      </c>
      <c r="AB227">
        <f>IF(ISBLANK('Data Entry'!\227), "", 'Data Entry'!\227)</f>
      </c>
      <c r="AC227">
        <f>IF(ISBLANK('Data Entry'!]227), "", 'Data Entry'!]227)</f>
      </c>
      <c r="AD227">
        <f>IF(ISBLANK('Data Entry'!^227), "", 'Data Entry'!^227)</f>
      </c>
      <c r="AE227">
        <f>IF(ISBLANK('Data Entry'!_227), "", 'Data Entry'!_227)</f>
      </c>
      <c r="AF227">
        <f>IF(ISBLANK('Data Entry'!`227), "", 'Data Entry'!`227)</f>
      </c>
      <c r="AG227">
        <f>IF(ISBLANK('Data Entry'!a227), "", 'Data Entry'!a227)</f>
      </c>
      <c r="AH227">
        <f>IF(ISBLANK('Data Entry'!b227), "", 'Data Entry'!b227)</f>
      </c>
      <c r="AI227">
        <f>IF(ISBLANK('Data Entry'!c227), "", 'Data Entry'!c227)</f>
      </c>
      <c r="AJ227">
        <f>IF(ISBLANK('Data Entry'!d227), "", 'Data Entry'!d227)</f>
      </c>
      <c r="AK227">
        <f>IF(ISBLANK('Data Entry'!e227), "", 'Data Entry'!e227)</f>
      </c>
      <c r="AL227">
        <f>IF(ISBLANK('Data Entry'!f227), "", 'Data Entry'!f227)</f>
      </c>
      <c r="AM227">
        <f>IF(ISBLANK('Data Entry'!g227), "", 'Data Entry'!g227)</f>
      </c>
      <c r="AN227">
        <f>IF(ISBLANK('Data Entry'!h227), "", 'Data Entry'!h227)</f>
      </c>
    </row>
    <row r="228" spans="1:40" x14ac:dyDescent="0.25">
      <c r="A228">
        <f>IF(ISBLANK('Data Entry'!A228), "", 'Data Entry'!A228)</f>
      </c>
      <c r="B228">
        <f>IF(ISBLANK('Data Entry'!B228), "", 'Data Entry'!B228)</f>
      </c>
      <c r="C228">
        <f>IF(ISBLANK('Data Entry'!C228), "", 'Data Entry'!C228)</f>
      </c>
      <c r="D228">
        <f>IF(ISBLANK('Data Entry'!D228), "", 'Data Entry'!D228)</f>
      </c>
      <c r="E228">
        <f>IF(ISBLANK('Data Entry'!E228), "", 'Data Entry'!E228)</f>
      </c>
      <c r="F228">
        <f>IF(ISBLANK('Data Entry'!F228), "", 'Data Entry'!F228)</f>
      </c>
      <c r="G228">
        <f>IF(ISBLANK('Data Entry'!G228), "", 'Data Entry'!G228)</f>
      </c>
      <c r="H228">
        <f>IF(ISBLANK('Data Entry'!H228), "", 'Data Entry'!H228)</f>
      </c>
      <c r="I228">
        <f>IF(ISBLANK('Data Entry'!I228), "", 'Data Entry'!I228)</f>
      </c>
      <c r="J228">
        <f>IF(ISBLANK('Data Entry'!J228), "", 'Data Entry'!J228)</f>
      </c>
      <c r="K228">
        <f>IF(ISBLANK('Data Entry'!K228), "", 'Data Entry'!K228)</f>
      </c>
      <c r="L228">
        <f>IF(ISBLANK('Data Entry'!L228), "", 'Data Entry'!L228)</f>
      </c>
      <c r="M228">
        <f>IF(ISBLANK('Data Entry'!M228), "", 'Data Entry'!M228)</f>
      </c>
      <c r="N228">
        <f>IF(ISBLANK('Data Entry'!N228), "", 'Data Entry'!N228)</f>
      </c>
      <c r="O228">
        <f>IF(ISBLANK('Data Entry'!O228), "", 'Data Entry'!O228)</f>
      </c>
      <c r="P228">
        <f>IF(ISBLANK('Data Entry'!P228), "", 'Data Entry'!P228)</f>
      </c>
      <c r="Q228">
        <f>IF(ISBLANK('Data Entry'!Q228), "", 'Data Entry'!Q228)</f>
      </c>
      <c r="R228">
        <f>IF(ISBLANK('Data Entry'!R228), "", 'Data Entry'!R228)</f>
      </c>
      <c r="S228">
        <f>IF(ISBLANK('Data Entry'!S228), "", 'Data Entry'!S228)</f>
      </c>
      <c r="T228">
        <f>IF(ISBLANK('Data Entry'!T228), "", 'Data Entry'!T228)</f>
      </c>
      <c r="U228">
        <f>IF(ISBLANK('Data Entry'!U228), "", 'Data Entry'!U228)</f>
      </c>
      <c r="V228">
        <f>IF(ISBLANK('Data Entry'!V228), "", 'Data Entry'!V228)</f>
      </c>
      <c r="W228">
        <f>IF(ISBLANK('Data Entry'!W228), "", 'Data Entry'!W228)</f>
      </c>
      <c r="X228">
        <f>IF(ISBLANK('Data Entry'!X228), "", 'Data Entry'!X228)</f>
      </c>
      <c r="Y228">
        <f>IF(ISBLANK('Data Entry'!Y228), "", 'Data Entry'!Y228)</f>
      </c>
      <c r="Z228">
        <f>IF(ISBLANK('Data Entry'!Z228), "", 'Data Entry'!Z228)</f>
      </c>
      <c r="AA228">
        <f>IF(ISBLANK('Data Entry'![228), "", 'Data Entry'![228)</f>
      </c>
      <c r="AB228">
        <f>IF(ISBLANK('Data Entry'!\228), "", 'Data Entry'!\228)</f>
      </c>
      <c r="AC228">
        <f>IF(ISBLANK('Data Entry'!]228), "", 'Data Entry'!]228)</f>
      </c>
      <c r="AD228">
        <f>IF(ISBLANK('Data Entry'!^228), "", 'Data Entry'!^228)</f>
      </c>
      <c r="AE228">
        <f>IF(ISBLANK('Data Entry'!_228), "", 'Data Entry'!_228)</f>
      </c>
      <c r="AF228">
        <f>IF(ISBLANK('Data Entry'!`228), "", 'Data Entry'!`228)</f>
      </c>
      <c r="AG228">
        <f>IF(ISBLANK('Data Entry'!a228), "", 'Data Entry'!a228)</f>
      </c>
      <c r="AH228">
        <f>IF(ISBLANK('Data Entry'!b228), "", 'Data Entry'!b228)</f>
      </c>
      <c r="AI228">
        <f>IF(ISBLANK('Data Entry'!c228), "", 'Data Entry'!c228)</f>
      </c>
      <c r="AJ228">
        <f>IF(ISBLANK('Data Entry'!d228), "", 'Data Entry'!d228)</f>
      </c>
      <c r="AK228">
        <f>IF(ISBLANK('Data Entry'!e228), "", 'Data Entry'!e228)</f>
      </c>
      <c r="AL228">
        <f>IF(ISBLANK('Data Entry'!f228), "", 'Data Entry'!f228)</f>
      </c>
      <c r="AM228">
        <f>IF(ISBLANK('Data Entry'!g228), "", 'Data Entry'!g228)</f>
      </c>
      <c r="AN228">
        <f>IF(ISBLANK('Data Entry'!h228), "", 'Data Entry'!h228)</f>
      </c>
    </row>
    <row r="229" spans="1:40" x14ac:dyDescent="0.25">
      <c r="A229">
        <f>IF(ISBLANK('Data Entry'!A229), "", 'Data Entry'!A229)</f>
      </c>
      <c r="B229">
        <f>IF(ISBLANK('Data Entry'!B229), "", 'Data Entry'!B229)</f>
      </c>
      <c r="C229">
        <f>IF(ISBLANK('Data Entry'!C229), "", 'Data Entry'!C229)</f>
      </c>
      <c r="D229">
        <f>IF(ISBLANK('Data Entry'!D229), "", 'Data Entry'!D229)</f>
      </c>
      <c r="E229">
        <f>IF(ISBLANK('Data Entry'!E229), "", 'Data Entry'!E229)</f>
      </c>
      <c r="F229">
        <f>IF(ISBLANK('Data Entry'!F229), "", 'Data Entry'!F229)</f>
      </c>
      <c r="G229">
        <f>IF(ISBLANK('Data Entry'!G229), "", 'Data Entry'!G229)</f>
      </c>
      <c r="H229">
        <f>IF(ISBLANK('Data Entry'!H229), "", 'Data Entry'!H229)</f>
      </c>
      <c r="I229">
        <f>IF(ISBLANK('Data Entry'!I229), "", 'Data Entry'!I229)</f>
      </c>
      <c r="J229">
        <f>IF(ISBLANK('Data Entry'!J229), "", 'Data Entry'!J229)</f>
      </c>
      <c r="K229">
        <f>IF(ISBLANK('Data Entry'!K229), "", 'Data Entry'!K229)</f>
      </c>
      <c r="L229">
        <f>IF(ISBLANK('Data Entry'!L229), "", 'Data Entry'!L229)</f>
      </c>
      <c r="M229">
        <f>IF(ISBLANK('Data Entry'!M229), "", 'Data Entry'!M229)</f>
      </c>
      <c r="N229">
        <f>IF(ISBLANK('Data Entry'!N229), "", 'Data Entry'!N229)</f>
      </c>
      <c r="O229">
        <f>IF(ISBLANK('Data Entry'!O229), "", 'Data Entry'!O229)</f>
      </c>
      <c r="P229">
        <f>IF(ISBLANK('Data Entry'!P229), "", 'Data Entry'!P229)</f>
      </c>
      <c r="Q229">
        <f>IF(ISBLANK('Data Entry'!Q229), "", 'Data Entry'!Q229)</f>
      </c>
      <c r="R229">
        <f>IF(ISBLANK('Data Entry'!R229), "", 'Data Entry'!R229)</f>
      </c>
      <c r="S229">
        <f>IF(ISBLANK('Data Entry'!S229), "", 'Data Entry'!S229)</f>
      </c>
      <c r="T229">
        <f>IF(ISBLANK('Data Entry'!T229), "", 'Data Entry'!T229)</f>
      </c>
      <c r="U229">
        <f>IF(ISBLANK('Data Entry'!U229), "", 'Data Entry'!U229)</f>
      </c>
      <c r="V229">
        <f>IF(ISBLANK('Data Entry'!V229), "", 'Data Entry'!V229)</f>
      </c>
      <c r="W229">
        <f>IF(ISBLANK('Data Entry'!W229), "", 'Data Entry'!W229)</f>
      </c>
      <c r="X229">
        <f>IF(ISBLANK('Data Entry'!X229), "", 'Data Entry'!X229)</f>
      </c>
      <c r="Y229">
        <f>IF(ISBLANK('Data Entry'!Y229), "", 'Data Entry'!Y229)</f>
      </c>
      <c r="Z229">
        <f>IF(ISBLANK('Data Entry'!Z229), "", 'Data Entry'!Z229)</f>
      </c>
      <c r="AA229">
        <f>IF(ISBLANK('Data Entry'![229), "", 'Data Entry'![229)</f>
      </c>
      <c r="AB229">
        <f>IF(ISBLANK('Data Entry'!\229), "", 'Data Entry'!\229)</f>
      </c>
      <c r="AC229">
        <f>IF(ISBLANK('Data Entry'!]229), "", 'Data Entry'!]229)</f>
      </c>
      <c r="AD229">
        <f>IF(ISBLANK('Data Entry'!^229), "", 'Data Entry'!^229)</f>
      </c>
      <c r="AE229">
        <f>IF(ISBLANK('Data Entry'!_229), "", 'Data Entry'!_229)</f>
      </c>
      <c r="AF229">
        <f>IF(ISBLANK('Data Entry'!`229), "", 'Data Entry'!`229)</f>
      </c>
      <c r="AG229">
        <f>IF(ISBLANK('Data Entry'!a229), "", 'Data Entry'!a229)</f>
      </c>
      <c r="AH229">
        <f>IF(ISBLANK('Data Entry'!b229), "", 'Data Entry'!b229)</f>
      </c>
      <c r="AI229">
        <f>IF(ISBLANK('Data Entry'!c229), "", 'Data Entry'!c229)</f>
      </c>
      <c r="AJ229">
        <f>IF(ISBLANK('Data Entry'!d229), "", 'Data Entry'!d229)</f>
      </c>
      <c r="AK229">
        <f>IF(ISBLANK('Data Entry'!e229), "", 'Data Entry'!e229)</f>
      </c>
      <c r="AL229">
        <f>IF(ISBLANK('Data Entry'!f229), "", 'Data Entry'!f229)</f>
      </c>
      <c r="AM229">
        <f>IF(ISBLANK('Data Entry'!g229), "", 'Data Entry'!g229)</f>
      </c>
      <c r="AN229">
        <f>IF(ISBLANK('Data Entry'!h229), "", 'Data Entry'!h229)</f>
      </c>
    </row>
    <row r="230" spans="1:40" x14ac:dyDescent="0.25">
      <c r="A230">
        <f>IF(ISBLANK('Data Entry'!A230), "", 'Data Entry'!A230)</f>
      </c>
      <c r="B230">
        <f>IF(ISBLANK('Data Entry'!B230), "", 'Data Entry'!B230)</f>
      </c>
      <c r="C230">
        <f>IF(ISBLANK('Data Entry'!C230), "", 'Data Entry'!C230)</f>
      </c>
      <c r="D230">
        <f>IF(ISBLANK('Data Entry'!D230), "", 'Data Entry'!D230)</f>
      </c>
      <c r="E230">
        <f>IF(ISBLANK('Data Entry'!E230), "", 'Data Entry'!E230)</f>
      </c>
      <c r="F230">
        <f>IF(ISBLANK('Data Entry'!F230), "", 'Data Entry'!F230)</f>
      </c>
      <c r="G230">
        <f>IF(ISBLANK('Data Entry'!G230), "", 'Data Entry'!G230)</f>
      </c>
      <c r="H230">
        <f>IF(ISBLANK('Data Entry'!H230), "", 'Data Entry'!H230)</f>
      </c>
      <c r="I230">
        <f>IF(ISBLANK('Data Entry'!I230), "", 'Data Entry'!I230)</f>
      </c>
      <c r="J230">
        <f>IF(ISBLANK('Data Entry'!J230), "", 'Data Entry'!J230)</f>
      </c>
      <c r="K230">
        <f>IF(ISBLANK('Data Entry'!K230), "", 'Data Entry'!K230)</f>
      </c>
      <c r="L230">
        <f>IF(ISBLANK('Data Entry'!L230), "", 'Data Entry'!L230)</f>
      </c>
      <c r="M230">
        <f>IF(ISBLANK('Data Entry'!M230), "", 'Data Entry'!M230)</f>
      </c>
      <c r="N230">
        <f>IF(ISBLANK('Data Entry'!N230), "", 'Data Entry'!N230)</f>
      </c>
      <c r="O230">
        <f>IF(ISBLANK('Data Entry'!O230), "", 'Data Entry'!O230)</f>
      </c>
      <c r="P230">
        <f>IF(ISBLANK('Data Entry'!P230), "", 'Data Entry'!P230)</f>
      </c>
      <c r="Q230">
        <f>IF(ISBLANK('Data Entry'!Q230), "", 'Data Entry'!Q230)</f>
      </c>
      <c r="R230">
        <f>IF(ISBLANK('Data Entry'!R230), "", 'Data Entry'!R230)</f>
      </c>
      <c r="S230">
        <f>IF(ISBLANK('Data Entry'!S230), "", 'Data Entry'!S230)</f>
      </c>
      <c r="T230">
        <f>IF(ISBLANK('Data Entry'!T230), "", 'Data Entry'!T230)</f>
      </c>
      <c r="U230">
        <f>IF(ISBLANK('Data Entry'!U230), "", 'Data Entry'!U230)</f>
      </c>
      <c r="V230">
        <f>IF(ISBLANK('Data Entry'!V230), "", 'Data Entry'!V230)</f>
      </c>
      <c r="W230">
        <f>IF(ISBLANK('Data Entry'!W230), "", 'Data Entry'!W230)</f>
      </c>
      <c r="X230">
        <f>IF(ISBLANK('Data Entry'!X230), "", 'Data Entry'!X230)</f>
      </c>
      <c r="Y230">
        <f>IF(ISBLANK('Data Entry'!Y230), "", 'Data Entry'!Y230)</f>
      </c>
      <c r="Z230">
        <f>IF(ISBLANK('Data Entry'!Z230), "", 'Data Entry'!Z230)</f>
      </c>
      <c r="AA230">
        <f>IF(ISBLANK('Data Entry'![230), "", 'Data Entry'![230)</f>
      </c>
      <c r="AB230">
        <f>IF(ISBLANK('Data Entry'!\230), "", 'Data Entry'!\230)</f>
      </c>
      <c r="AC230">
        <f>IF(ISBLANK('Data Entry'!]230), "", 'Data Entry'!]230)</f>
      </c>
      <c r="AD230">
        <f>IF(ISBLANK('Data Entry'!^230), "", 'Data Entry'!^230)</f>
      </c>
      <c r="AE230">
        <f>IF(ISBLANK('Data Entry'!_230), "", 'Data Entry'!_230)</f>
      </c>
      <c r="AF230">
        <f>IF(ISBLANK('Data Entry'!`230), "", 'Data Entry'!`230)</f>
      </c>
      <c r="AG230">
        <f>IF(ISBLANK('Data Entry'!a230), "", 'Data Entry'!a230)</f>
      </c>
      <c r="AH230">
        <f>IF(ISBLANK('Data Entry'!b230), "", 'Data Entry'!b230)</f>
      </c>
      <c r="AI230">
        <f>IF(ISBLANK('Data Entry'!c230), "", 'Data Entry'!c230)</f>
      </c>
      <c r="AJ230">
        <f>IF(ISBLANK('Data Entry'!d230), "", 'Data Entry'!d230)</f>
      </c>
      <c r="AK230">
        <f>IF(ISBLANK('Data Entry'!e230), "", 'Data Entry'!e230)</f>
      </c>
      <c r="AL230">
        <f>IF(ISBLANK('Data Entry'!f230), "", 'Data Entry'!f230)</f>
      </c>
      <c r="AM230">
        <f>IF(ISBLANK('Data Entry'!g230), "", 'Data Entry'!g230)</f>
      </c>
      <c r="AN230">
        <f>IF(ISBLANK('Data Entry'!h230), "", 'Data Entry'!h230)</f>
      </c>
    </row>
    <row r="231" spans="1:40" x14ac:dyDescent="0.25">
      <c r="A231">
        <f>IF(ISBLANK('Data Entry'!A231), "", 'Data Entry'!A231)</f>
      </c>
      <c r="B231">
        <f>IF(ISBLANK('Data Entry'!B231), "", 'Data Entry'!B231)</f>
      </c>
      <c r="C231">
        <f>IF(ISBLANK('Data Entry'!C231), "", 'Data Entry'!C231)</f>
      </c>
      <c r="D231">
        <f>IF(ISBLANK('Data Entry'!D231), "", 'Data Entry'!D231)</f>
      </c>
      <c r="E231">
        <f>IF(ISBLANK('Data Entry'!E231), "", 'Data Entry'!E231)</f>
      </c>
      <c r="F231">
        <f>IF(ISBLANK('Data Entry'!F231), "", 'Data Entry'!F231)</f>
      </c>
      <c r="G231">
        <f>IF(ISBLANK('Data Entry'!G231), "", 'Data Entry'!G231)</f>
      </c>
      <c r="H231">
        <f>IF(ISBLANK('Data Entry'!H231), "", 'Data Entry'!H231)</f>
      </c>
      <c r="I231">
        <f>IF(ISBLANK('Data Entry'!I231), "", 'Data Entry'!I231)</f>
      </c>
      <c r="J231">
        <f>IF(ISBLANK('Data Entry'!J231), "", 'Data Entry'!J231)</f>
      </c>
      <c r="K231">
        <f>IF(ISBLANK('Data Entry'!K231), "", 'Data Entry'!K231)</f>
      </c>
      <c r="L231">
        <f>IF(ISBLANK('Data Entry'!L231), "", 'Data Entry'!L231)</f>
      </c>
      <c r="M231">
        <f>IF(ISBLANK('Data Entry'!M231), "", 'Data Entry'!M231)</f>
      </c>
      <c r="N231">
        <f>IF(ISBLANK('Data Entry'!N231), "", 'Data Entry'!N231)</f>
      </c>
      <c r="O231">
        <f>IF(ISBLANK('Data Entry'!O231), "", 'Data Entry'!O231)</f>
      </c>
      <c r="P231">
        <f>IF(ISBLANK('Data Entry'!P231), "", 'Data Entry'!P231)</f>
      </c>
      <c r="Q231">
        <f>IF(ISBLANK('Data Entry'!Q231), "", 'Data Entry'!Q231)</f>
      </c>
      <c r="R231">
        <f>IF(ISBLANK('Data Entry'!R231), "", 'Data Entry'!R231)</f>
      </c>
      <c r="S231">
        <f>IF(ISBLANK('Data Entry'!S231), "", 'Data Entry'!S231)</f>
      </c>
      <c r="T231">
        <f>IF(ISBLANK('Data Entry'!T231), "", 'Data Entry'!T231)</f>
      </c>
      <c r="U231">
        <f>IF(ISBLANK('Data Entry'!U231), "", 'Data Entry'!U231)</f>
      </c>
      <c r="V231">
        <f>IF(ISBLANK('Data Entry'!V231), "", 'Data Entry'!V231)</f>
      </c>
      <c r="W231">
        <f>IF(ISBLANK('Data Entry'!W231), "", 'Data Entry'!W231)</f>
      </c>
      <c r="X231">
        <f>IF(ISBLANK('Data Entry'!X231), "", 'Data Entry'!X231)</f>
      </c>
      <c r="Y231">
        <f>IF(ISBLANK('Data Entry'!Y231), "", 'Data Entry'!Y231)</f>
      </c>
      <c r="Z231">
        <f>IF(ISBLANK('Data Entry'!Z231), "", 'Data Entry'!Z231)</f>
      </c>
      <c r="AA231">
        <f>IF(ISBLANK('Data Entry'![231), "", 'Data Entry'![231)</f>
      </c>
      <c r="AB231">
        <f>IF(ISBLANK('Data Entry'!\231), "", 'Data Entry'!\231)</f>
      </c>
      <c r="AC231">
        <f>IF(ISBLANK('Data Entry'!]231), "", 'Data Entry'!]231)</f>
      </c>
      <c r="AD231">
        <f>IF(ISBLANK('Data Entry'!^231), "", 'Data Entry'!^231)</f>
      </c>
      <c r="AE231">
        <f>IF(ISBLANK('Data Entry'!_231), "", 'Data Entry'!_231)</f>
      </c>
      <c r="AF231">
        <f>IF(ISBLANK('Data Entry'!`231), "", 'Data Entry'!`231)</f>
      </c>
      <c r="AG231">
        <f>IF(ISBLANK('Data Entry'!a231), "", 'Data Entry'!a231)</f>
      </c>
      <c r="AH231">
        <f>IF(ISBLANK('Data Entry'!b231), "", 'Data Entry'!b231)</f>
      </c>
      <c r="AI231">
        <f>IF(ISBLANK('Data Entry'!c231), "", 'Data Entry'!c231)</f>
      </c>
      <c r="AJ231">
        <f>IF(ISBLANK('Data Entry'!d231), "", 'Data Entry'!d231)</f>
      </c>
      <c r="AK231">
        <f>IF(ISBLANK('Data Entry'!e231), "", 'Data Entry'!e231)</f>
      </c>
      <c r="AL231">
        <f>IF(ISBLANK('Data Entry'!f231), "", 'Data Entry'!f231)</f>
      </c>
      <c r="AM231">
        <f>IF(ISBLANK('Data Entry'!g231), "", 'Data Entry'!g231)</f>
      </c>
      <c r="AN231">
        <f>IF(ISBLANK('Data Entry'!h231), "", 'Data Entry'!h231)</f>
      </c>
    </row>
    <row r="232" spans="1:40" x14ac:dyDescent="0.25">
      <c r="A232">
        <f>IF(ISBLANK('Data Entry'!A232), "", 'Data Entry'!A232)</f>
      </c>
      <c r="B232">
        <f>IF(ISBLANK('Data Entry'!B232), "", 'Data Entry'!B232)</f>
      </c>
      <c r="C232">
        <f>IF(ISBLANK('Data Entry'!C232), "", 'Data Entry'!C232)</f>
      </c>
      <c r="D232">
        <f>IF(ISBLANK('Data Entry'!D232), "", 'Data Entry'!D232)</f>
      </c>
      <c r="E232">
        <f>IF(ISBLANK('Data Entry'!E232), "", 'Data Entry'!E232)</f>
      </c>
      <c r="F232">
        <f>IF(ISBLANK('Data Entry'!F232), "", 'Data Entry'!F232)</f>
      </c>
      <c r="G232">
        <f>IF(ISBLANK('Data Entry'!G232), "", 'Data Entry'!G232)</f>
      </c>
      <c r="H232">
        <f>IF(ISBLANK('Data Entry'!H232), "", 'Data Entry'!H232)</f>
      </c>
      <c r="I232">
        <f>IF(ISBLANK('Data Entry'!I232), "", 'Data Entry'!I232)</f>
      </c>
      <c r="J232">
        <f>IF(ISBLANK('Data Entry'!J232), "", 'Data Entry'!J232)</f>
      </c>
      <c r="K232">
        <f>IF(ISBLANK('Data Entry'!K232), "", 'Data Entry'!K232)</f>
      </c>
      <c r="L232">
        <f>IF(ISBLANK('Data Entry'!L232), "", 'Data Entry'!L232)</f>
      </c>
      <c r="M232">
        <f>IF(ISBLANK('Data Entry'!M232), "", 'Data Entry'!M232)</f>
      </c>
      <c r="N232">
        <f>IF(ISBLANK('Data Entry'!N232), "", 'Data Entry'!N232)</f>
      </c>
      <c r="O232">
        <f>IF(ISBLANK('Data Entry'!O232), "", 'Data Entry'!O232)</f>
      </c>
      <c r="P232">
        <f>IF(ISBLANK('Data Entry'!P232), "", 'Data Entry'!P232)</f>
      </c>
      <c r="Q232">
        <f>IF(ISBLANK('Data Entry'!Q232), "", 'Data Entry'!Q232)</f>
      </c>
      <c r="R232">
        <f>IF(ISBLANK('Data Entry'!R232), "", 'Data Entry'!R232)</f>
      </c>
      <c r="S232">
        <f>IF(ISBLANK('Data Entry'!S232), "", 'Data Entry'!S232)</f>
      </c>
      <c r="T232">
        <f>IF(ISBLANK('Data Entry'!T232), "", 'Data Entry'!T232)</f>
      </c>
      <c r="U232">
        <f>IF(ISBLANK('Data Entry'!U232), "", 'Data Entry'!U232)</f>
      </c>
      <c r="V232">
        <f>IF(ISBLANK('Data Entry'!V232), "", 'Data Entry'!V232)</f>
      </c>
      <c r="W232">
        <f>IF(ISBLANK('Data Entry'!W232), "", 'Data Entry'!W232)</f>
      </c>
      <c r="X232">
        <f>IF(ISBLANK('Data Entry'!X232), "", 'Data Entry'!X232)</f>
      </c>
      <c r="Y232">
        <f>IF(ISBLANK('Data Entry'!Y232), "", 'Data Entry'!Y232)</f>
      </c>
      <c r="Z232">
        <f>IF(ISBLANK('Data Entry'!Z232), "", 'Data Entry'!Z232)</f>
      </c>
      <c r="AA232">
        <f>IF(ISBLANK('Data Entry'![232), "", 'Data Entry'![232)</f>
      </c>
      <c r="AB232">
        <f>IF(ISBLANK('Data Entry'!\232), "", 'Data Entry'!\232)</f>
      </c>
      <c r="AC232">
        <f>IF(ISBLANK('Data Entry'!]232), "", 'Data Entry'!]232)</f>
      </c>
      <c r="AD232">
        <f>IF(ISBLANK('Data Entry'!^232), "", 'Data Entry'!^232)</f>
      </c>
      <c r="AE232">
        <f>IF(ISBLANK('Data Entry'!_232), "", 'Data Entry'!_232)</f>
      </c>
      <c r="AF232">
        <f>IF(ISBLANK('Data Entry'!`232), "", 'Data Entry'!`232)</f>
      </c>
      <c r="AG232">
        <f>IF(ISBLANK('Data Entry'!a232), "", 'Data Entry'!a232)</f>
      </c>
      <c r="AH232">
        <f>IF(ISBLANK('Data Entry'!b232), "", 'Data Entry'!b232)</f>
      </c>
      <c r="AI232">
        <f>IF(ISBLANK('Data Entry'!c232), "", 'Data Entry'!c232)</f>
      </c>
      <c r="AJ232">
        <f>IF(ISBLANK('Data Entry'!d232), "", 'Data Entry'!d232)</f>
      </c>
      <c r="AK232">
        <f>IF(ISBLANK('Data Entry'!e232), "", 'Data Entry'!e232)</f>
      </c>
      <c r="AL232">
        <f>IF(ISBLANK('Data Entry'!f232), "", 'Data Entry'!f232)</f>
      </c>
      <c r="AM232">
        <f>IF(ISBLANK('Data Entry'!g232), "", 'Data Entry'!g232)</f>
      </c>
      <c r="AN232">
        <f>IF(ISBLANK('Data Entry'!h232), "", 'Data Entry'!h232)</f>
      </c>
    </row>
    <row r="233" spans="1:40" x14ac:dyDescent="0.25">
      <c r="A233">
        <f>IF(ISBLANK('Data Entry'!A233), "", 'Data Entry'!A233)</f>
      </c>
      <c r="B233">
        <f>IF(ISBLANK('Data Entry'!B233), "", 'Data Entry'!B233)</f>
      </c>
      <c r="C233">
        <f>IF(ISBLANK('Data Entry'!C233), "", 'Data Entry'!C233)</f>
      </c>
      <c r="D233">
        <f>IF(ISBLANK('Data Entry'!D233), "", 'Data Entry'!D233)</f>
      </c>
      <c r="E233">
        <f>IF(ISBLANK('Data Entry'!E233), "", 'Data Entry'!E233)</f>
      </c>
      <c r="F233">
        <f>IF(ISBLANK('Data Entry'!F233), "", 'Data Entry'!F233)</f>
      </c>
      <c r="G233">
        <f>IF(ISBLANK('Data Entry'!G233), "", 'Data Entry'!G233)</f>
      </c>
      <c r="H233">
        <f>IF(ISBLANK('Data Entry'!H233), "", 'Data Entry'!H233)</f>
      </c>
      <c r="I233">
        <f>IF(ISBLANK('Data Entry'!I233), "", 'Data Entry'!I233)</f>
      </c>
      <c r="J233">
        <f>IF(ISBLANK('Data Entry'!J233), "", 'Data Entry'!J233)</f>
      </c>
      <c r="K233">
        <f>IF(ISBLANK('Data Entry'!K233), "", 'Data Entry'!K233)</f>
      </c>
      <c r="L233">
        <f>IF(ISBLANK('Data Entry'!L233), "", 'Data Entry'!L233)</f>
      </c>
      <c r="M233">
        <f>IF(ISBLANK('Data Entry'!M233), "", 'Data Entry'!M233)</f>
      </c>
      <c r="N233">
        <f>IF(ISBLANK('Data Entry'!N233), "", 'Data Entry'!N233)</f>
      </c>
      <c r="O233">
        <f>IF(ISBLANK('Data Entry'!O233), "", 'Data Entry'!O233)</f>
      </c>
      <c r="P233">
        <f>IF(ISBLANK('Data Entry'!P233), "", 'Data Entry'!P233)</f>
      </c>
      <c r="Q233">
        <f>IF(ISBLANK('Data Entry'!Q233), "", 'Data Entry'!Q233)</f>
      </c>
      <c r="R233">
        <f>IF(ISBLANK('Data Entry'!R233), "", 'Data Entry'!R233)</f>
      </c>
      <c r="S233">
        <f>IF(ISBLANK('Data Entry'!S233), "", 'Data Entry'!S233)</f>
      </c>
      <c r="T233">
        <f>IF(ISBLANK('Data Entry'!T233), "", 'Data Entry'!T233)</f>
      </c>
      <c r="U233">
        <f>IF(ISBLANK('Data Entry'!U233), "", 'Data Entry'!U233)</f>
      </c>
      <c r="V233">
        <f>IF(ISBLANK('Data Entry'!V233), "", 'Data Entry'!V233)</f>
      </c>
      <c r="W233">
        <f>IF(ISBLANK('Data Entry'!W233), "", 'Data Entry'!W233)</f>
      </c>
      <c r="X233">
        <f>IF(ISBLANK('Data Entry'!X233), "", 'Data Entry'!X233)</f>
      </c>
      <c r="Y233">
        <f>IF(ISBLANK('Data Entry'!Y233), "", 'Data Entry'!Y233)</f>
      </c>
      <c r="Z233">
        <f>IF(ISBLANK('Data Entry'!Z233), "", 'Data Entry'!Z233)</f>
      </c>
      <c r="AA233">
        <f>IF(ISBLANK('Data Entry'![233), "", 'Data Entry'![233)</f>
      </c>
      <c r="AB233">
        <f>IF(ISBLANK('Data Entry'!\233), "", 'Data Entry'!\233)</f>
      </c>
      <c r="AC233">
        <f>IF(ISBLANK('Data Entry'!]233), "", 'Data Entry'!]233)</f>
      </c>
      <c r="AD233">
        <f>IF(ISBLANK('Data Entry'!^233), "", 'Data Entry'!^233)</f>
      </c>
      <c r="AE233">
        <f>IF(ISBLANK('Data Entry'!_233), "", 'Data Entry'!_233)</f>
      </c>
      <c r="AF233">
        <f>IF(ISBLANK('Data Entry'!`233), "", 'Data Entry'!`233)</f>
      </c>
      <c r="AG233">
        <f>IF(ISBLANK('Data Entry'!a233), "", 'Data Entry'!a233)</f>
      </c>
      <c r="AH233">
        <f>IF(ISBLANK('Data Entry'!b233), "", 'Data Entry'!b233)</f>
      </c>
      <c r="AI233">
        <f>IF(ISBLANK('Data Entry'!c233), "", 'Data Entry'!c233)</f>
      </c>
      <c r="AJ233">
        <f>IF(ISBLANK('Data Entry'!d233), "", 'Data Entry'!d233)</f>
      </c>
      <c r="AK233">
        <f>IF(ISBLANK('Data Entry'!e233), "", 'Data Entry'!e233)</f>
      </c>
      <c r="AL233">
        <f>IF(ISBLANK('Data Entry'!f233), "", 'Data Entry'!f233)</f>
      </c>
      <c r="AM233">
        <f>IF(ISBLANK('Data Entry'!g233), "", 'Data Entry'!g233)</f>
      </c>
      <c r="AN233">
        <f>IF(ISBLANK('Data Entry'!h233), "", 'Data Entry'!h233)</f>
      </c>
    </row>
    <row r="234" spans="1:40" x14ac:dyDescent="0.25">
      <c r="A234">
        <f>IF(ISBLANK('Data Entry'!A234), "", 'Data Entry'!A234)</f>
      </c>
      <c r="B234">
        <f>IF(ISBLANK('Data Entry'!B234), "", 'Data Entry'!B234)</f>
      </c>
      <c r="C234">
        <f>IF(ISBLANK('Data Entry'!C234), "", 'Data Entry'!C234)</f>
      </c>
      <c r="D234">
        <f>IF(ISBLANK('Data Entry'!D234), "", 'Data Entry'!D234)</f>
      </c>
      <c r="E234">
        <f>IF(ISBLANK('Data Entry'!E234), "", 'Data Entry'!E234)</f>
      </c>
      <c r="F234">
        <f>IF(ISBLANK('Data Entry'!F234), "", 'Data Entry'!F234)</f>
      </c>
      <c r="G234">
        <f>IF(ISBLANK('Data Entry'!G234), "", 'Data Entry'!G234)</f>
      </c>
      <c r="H234">
        <f>IF(ISBLANK('Data Entry'!H234), "", 'Data Entry'!H234)</f>
      </c>
      <c r="I234">
        <f>IF(ISBLANK('Data Entry'!I234), "", 'Data Entry'!I234)</f>
      </c>
      <c r="J234">
        <f>IF(ISBLANK('Data Entry'!J234), "", 'Data Entry'!J234)</f>
      </c>
      <c r="K234">
        <f>IF(ISBLANK('Data Entry'!K234), "", 'Data Entry'!K234)</f>
      </c>
      <c r="L234">
        <f>IF(ISBLANK('Data Entry'!L234), "", 'Data Entry'!L234)</f>
      </c>
      <c r="M234">
        <f>IF(ISBLANK('Data Entry'!M234), "", 'Data Entry'!M234)</f>
      </c>
      <c r="N234">
        <f>IF(ISBLANK('Data Entry'!N234), "", 'Data Entry'!N234)</f>
      </c>
      <c r="O234">
        <f>IF(ISBLANK('Data Entry'!O234), "", 'Data Entry'!O234)</f>
      </c>
      <c r="P234">
        <f>IF(ISBLANK('Data Entry'!P234), "", 'Data Entry'!P234)</f>
      </c>
      <c r="Q234">
        <f>IF(ISBLANK('Data Entry'!Q234), "", 'Data Entry'!Q234)</f>
      </c>
      <c r="R234">
        <f>IF(ISBLANK('Data Entry'!R234), "", 'Data Entry'!R234)</f>
      </c>
      <c r="S234">
        <f>IF(ISBLANK('Data Entry'!S234), "", 'Data Entry'!S234)</f>
      </c>
      <c r="T234">
        <f>IF(ISBLANK('Data Entry'!T234), "", 'Data Entry'!T234)</f>
      </c>
      <c r="U234">
        <f>IF(ISBLANK('Data Entry'!U234), "", 'Data Entry'!U234)</f>
      </c>
      <c r="V234">
        <f>IF(ISBLANK('Data Entry'!V234), "", 'Data Entry'!V234)</f>
      </c>
      <c r="W234">
        <f>IF(ISBLANK('Data Entry'!W234), "", 'Data Entry'!W234)</f>
      </c>
      <c r="X234">
        <f>IF(ISBLANK('Data Entry'!X234), "", 'Data Entry'!X234)</f>
      </c>
      <c r="Y234">
        <f>IF(ISBLANK('Data Entry'!Y234), "", 'Data Entry'!Y234)</f>
      </c>
      <c r="Z234">
        <f>IF(ISBLANK('Data Entry'!Z234), "", 'Data Entry'!Z234)</f>
      </c>
      <c r="AA234">
        <f>IF(ISBLANK('Data Entry'![234), "", 'Data Entry'![234)</f>
      </c>
      <c r="AB234">
        <f>IF(ISBLANK('Data Entry'!\234), "", 'Data Entry'!\234)</f>
      </c>
      <c r="AC234">
        <f>IF(ISBLANK('Data Entry'!]234), "", 'Data Entry'!]234)</f>
      </c>
      <c r="AD234">
        <f>IF(ISBLANK('Data Entry'!^234), "", 'Data Entry'!^234)</f>
      </c>
      <c r="AE234">
        <f>IF(ISBLANK('Data Entry'!_234), "", 'Data Entry'!_234)</f>
      </c>
      <c r="AF234">
        <f>IF(ISBLANK('Data Entry'!`234), "", 'Data Entry'!`234)</f>
      </c>
      <c r="AG234">
        <f>IF(ISBLANK('Data Entry'!a234), "", 'Data Entry'!a234)</f>
      </c>
      <c r="AH234">
        <f>IF(ISBLANK('Data Entry'!b234), "", 'Data Entry'!b234)</f>
      </c>
      <c r="AI234">
        <f>IF(ISBLANK('Data Entry'!c234), "", 'Data Entry'!c234)</f>
      </c>
      <c r="AJ234">
        <f>IF(ISBLANK('Data Entry'!d234), "", 'Data Entry'!d234)</f>
      </c>
      <c r="AK234">
        <f>IF(ISBLANK('Data Entry'!e234), "", 'Data Entry'!e234)</f>
      </c>
      <c r="AL234">
        <f>IF(ISBLANK('Data Entry'!f234), "", 'Data Entry'!f234)</f>
      </c>
      <c r="AM234">
        <f>IF(ISBLANK('Data Entry'!g234), "", 'Data Entry'!g234)</f>
      </c>
      <c r="AN234">
        <f>IF(ISBLANK('Data Entry'!h234), "", 'Data Entry'!h234)</f>
      </c>
    </row>
    <row r="235" spans="1:40" x14ac:dyDescent="0.25">
      <c r="A235">
        <f>IF(ISBLANK('Data Entry'!A235), "", 'Data Entry'!A235)</f>
      </c>
      <c r="B235">
        <f>IF(ISBLANK('Data Entry'!B235), "", 'Data Entry'!B235)</f>
      </c>
      <c r="C235">
        <f>IF(ISBLANK('Data Entry'!C235), "", 'Data Entry'!C235)</f>
      </c>
      <c r="D235">
        <f>IF(ISBLANK('Data Entry'!D235), "", 'Data Entry'!D235)</f>
      </c>
      <c r="E235">
        <f>IF(ISBLANK('Data Entry'!E235), "", 'Data Entry'!E235)</f>
      </c>
      <c r="F235">
        <f>IF(ISBLANK('Data Entry'!F235), "", 'Data Entry'!F235)</f>
      </c>
      <c r="G235">
        <f>IF(ISBLANK('Data Entry'!G235), "", 'Data Entry'!G235)</f>
      </c>
      <c r="H235">
        <f>IF(ISBLANK('Data Entry'!H235), "", 'Data Entry'!H235)</f>
      </c>
      <c r="I235">
        <f>IF(ISBLANK('Data Entry'!I235), "", 'Data Entry'!I235)</f>
      </c>
      <c r="J235">
        <f>IF(ISBLANK('Data Entry'!J235), "", 'Data Entry'!J235)</f>
      </c>
      <c r="K235">
        <f>IF(ISBLANK('Data Entry'!K235), "", 'Data Entry'!K235)</f>
      </c>
      <c r="L235">
        <f>IF(ISBLANK('Data Entry'!L235), "", 'Data Entry'!L235)</f>
      </c>
      <c r="M235">
        <f>IF(ISBLANK('Data Entry'!M235), "", 'Data Entry'!M235)</f>
      </c>
      <c r="N235">
        <f>IF(ISBLANK('Data Entry'!N235), "", 'Data Entry'!N235)</f>
      </c>
      <c r="O235">
        <f>IF(ISBLANK('Data Entry'!O235), "", 'Data Entry'!O235)</f>
      </c>
      <c r="P235">
        <f>IF(ISBLANK('Data Entry'!P235), "", 'Data Entry'!P235)</f>
      </c>
      <c r="Q235">
        <f>IF(ISBLANK('Data Entry'!Q235), "", 'Data Entry'!Q235)</f>
      </c>
      <c r="R235">
        <f>IF(ISBLANK('Data Entry'!R235), "", 'Data Entry'!R235)</f>
      </c>
      <c r="S235">
        <f>IF(ISBLANK('Data Entry'!S235), "", 'Data Entry'!S235)</f>
      </c>
      <c r="T235">
        <f>IF(ISBLANK('Data Entry'!T235), "", 'Data Entry'!T235)</f>
      </c>
      <c r="U235">
        <f>IF(ISBLANK('Data Entry'!U235), "", 'Data Entry'!U235)</f>
      </c>
      <c r="V235">
        <f>IF(ISBLANK('Data Entry'!V235), "", 'Data Entry'!V235)</f>
      </c>
      <c r="W235">
        <f>IF(ISBLANK('Data Entry'!W235), "", 'Data Entry'!W235)</f>
      </c>
      <c r="X235">
        <f>IF(ISBLANK('Data Entry'!X235), "", 'Data Entry'!X235)</f>
      </c>
      <c r="Y235">
        <f>IF(ISBLANK('Data Entry'!Y235), "", 'Data Entry'!Y235)</f>
      </c>
      <c r="Z235">
        <f>IF(ISBLANK('Data Entry'!Z235), "", 'Data Entry'!Z235)</f>
      </c>
      <c r="AA235">
        <f>IF(ISBLANK('Data Entry'![235), "", 'Data Entry'![235)</f>
      </c>
      <c r="AB235">
        <f>IF(ISBLANK('Data Entry'!\235), "", 'Data Entry'!\235)</f>
      </c>
      <c r="AC235">
        <f>IF(ISBLANK('Data Entry'!]235), "", 'Data Entry'!]235)</f>
      </c>
      <c r="AD235">
        <f>IF(ISBLANK('Data Entry'!^235), "", 'Data Entry'!^235)</f>
      </c>
      <c r="AE235">
        <f>IF(ISBLANK('Data Entry'!_235), "", 'Data Entry'!_235)</f>
      </c>
      <c r="AF235">
        <f>IF(ISBLANK('Data Entry'!`235), "", 'Data Entry'!`235)</f>
      </c>
      <c r="AG235">
        <f>IF(ISBLANK('Data Entry'!a235), "", 'Data Entry'!a235)</f>
      </c>
      <c r="AH235">
        <f>IF(ISBLANK('Data Entry'!b235), "", 'Data Entry'!b235)</f>
      </c>
      <c r="AI235">
        <f>IF(ISBLANK('Data Entry'!c235), "", 'Data Entry'!c235)</f>
      </c>
      <c r="AJ235">
        <f>IF(ISBLANK('Data Entry'!d235), "", 'Data Entry'!d235)</f>
      </c>
      <c r="AK235">
        <f>IF(ISBLANK('Data Entry'!e235), "", 'Data Entry'!e235)</f>
      </c>
      <c r="AL235">
        <f>IF(ISBLANK('Data Entry'!f235), "", 'Data Entry'!f235)</f>
      </c>
      <c r="AM235">
        <f>IF(ISBLANK('Data Entry'!g235), "", 'Data Entry'!g235)</f>
      </c>
      <c r="AN235">
        <f>IF(ISBLANK('Data Entry'!h235), "", 'Data Entry'!h235)</f>
      </c>
    </row>
    <row r="236" spans="1:40" x14ac:dyDescent="0.25">
      <c r="A236">
        <f>IF(ISBLANK('Data Entry'!A236), "", 'Data Entry'!A236)</f>
      </c>
      <c r="B236">
        <f>IF(ISBLANK('Data Entry'!B236), "", 'Data Entry'!B236)</f>
      </c>
      <c r="C236">
        <f>IF(ISBLANK('Data Entry'!C236), "", 'Data Entry'!C236)</f>
      </c>
      <c r="D236">
        <f>IF(ISBLANK('Data Entry'!D236), "", 'Data Entry'!D236)</f>
      </c>
      <c r="E236">
        <f>IF(ISBLANK('Data Entry'!E236), "", 'Data Entry'!E236)</f>
      </c>
      <c r="F236">
        <f>IF(ISBLANK('Data Entry'!F236), "", 'Data Entry'!F236)</f>
      </c>
      <c r="G236">
        <f>IF(ISBLANK('Data Entry'!G236), "", 'Data Entry'!G236)</f>
      </c>
      <c r="H236">
        <f>IF(ISBLANK('Data Entry'!H236), "", 'Data Entry'!H236)</f>
      </c>
      <c r="I236">
        <f>IF(ISBLANK('Data Entry'!I236), "", 'Data Entry'!I236)</f>
      </c>
      <c r="J236">
        <f>IF(ISBLANK('Data Entry'!J236), "", 'Data Entry'!J236)</f>
      </c>
      <c r="K236">
        <f>IF(ISBLANK('Data Entry'!K236), "", 'Data Entry'!K236)</f>
      </c>
      <c r="L236">
        <f>IF(ISBLANK('Data Entry'!L236), "", 'Data Entry'!L236)</f>
      </c>
      <c r="M236">
        <f>IF(ISBLANK('Data Entry'!M236), "", 'Data Entry'!M236)</f>
      </c>
      <c r="N236">
        <f>IF(ISBLANK('Data Entry'!N236), "", 'Data Entry'!N236)</f>
      </c>
      <c r="O236">
        <f>IF(ISBLANK('Data Entry'!O236), "", 'Data Entry'!O236)</f>
      </c>
      <c r="P236">
        <f>IF(ISBLANK('Data Entry'!P236), "", 'Data Entry'!P236)</f>
      </c>
      <c r="Q236">
        <f>IF(ISBLANK('Data Entry'!Q236), "", 'Data Entry'!Q236)</f>
      </c>
      <c r="R236">
        <f>IF(ISBLANK('Data Entry'!R236), "", 'Data Entry'!R236)</f>
      </c>
      <c r="S236">
        <f>IF(ISBLANK('Data Entry'!S236), "", 'Data Entry'!S236)</f>
      </c>
      <c r="T236">
        <f>IF(ISBLANK('Data Entry'!T236), "", 'Data Entry'!T236)</f>
      </c>
      <c r="U236">
        <f>IF(ISBLANK('Data Entry'!U236), "", 'Data Entry'!U236)</f>
      </c>
      <c r="V236">
        <f>IF(ISBLANK('Data Entry'!V236), "", 'Data Entry'!V236)</f>
      </c>
      <c r="W236">
        <f>IF(ISBLANK('Data Entry'!W236), "", 'Data Entry'!W236)</f>
      </c>
      <c r="X236">
        <f>IF(ISBLANK('Data Entry'!X236), "", 'Data Entry'!X236)</f>
      </c>
      <c r="Y236">
        <f>IF(ISBLANK('Data Entry'!Y236), "", 'Data Entry'!Y236)</f>
      </c>
      <c r="Z236">
        <f>IF(ISBLANK('Data Entry'!Z236), "", 'Data Entry'!Z236)</f>
      </c>
      <c r="AA236">
        <f>IF(ISBLANK('Data Entry'![236), "", 'Data Entry'![236)</f>
      </c>
      <c r="AB236">
        <f>IF(ISBLANK('Data Entry'!\236), "", 'Data Entry'!\236)</f>
      </c>
      <c r="AC236">
        <f>IF(ISBLANK('Data Entry'!]236), "", 'Data Entry'!]236)</f>
      </c>
      <c r="AD236">
        <f>IF(ISBLANK('Data Entry'!^236), "", 'Data Entry'!^236)</f>
      </c>
      <c r="AE236">
        <f>IF(ISBLANK('Data Entry'!_236), "", 'Data Entry'!_236)</f>
      </c>
      <c r="AF236">
        <f>IF(ISBLANK('Data Entry'!`236), "", 'Data Entry'!`236)</f>
      </c>
      <c r="AG236">
        <f>IF(ISBLANK('Data Entry'!a236), "", 'Data Entry'!a236)</f>
      </c>
      <c r="AH236">
        <f>IF(ISBLANK('Data Entry'!b236), "", 'Data Entry'!b236)</f>
      </c>
      <c r="AI236">
        <f>IF(ISBLANK('Data Entry'!c236), "", 'Data Entry'!c236)</f>
      </c>
      <c r="AJ236">
        <f>IF(ISBLANK('Data Entry'!d236), "", 'Data Entry'!d236)</f>
      </c>
      <c r="AK236">
        <f>IF(ISBLANK('Data Entry'!e236), "", 'Data Entry'!e236)</f>
      </c>
      <c r="AL236">
        <f>IF(ISBLANK('Data Entry'!f236), "", 'Data Entry'!f236)</f>
      </c>
      <c r="AM236">
        <f>IF(ISBLANK('Data Entry'!g236), "", 'Data Entry'!g236)</f>
      </c>
      <c r="AN236">
        <f>IF(ISBLANK('Data Entry'!h236), "", 'Data Entry'!h236)</f>
      </c>
    </row>
    <row r="237" spans="1:40" x14ac:dyDescent="0.25">
      <c r="A237">
        <f>IF(ISBLANK('Data Entry'!A237), "", 'Data Entry'!A237)</f>
      </c>
      <c r="B237">
        <f>IF(ISBLANK('Data Entry'!B237), "", 'Data Entry'!B237)</f>
      </c>
      <c r="C237">
        <f>IF(ISBLANK('Data Entry'!C237), "", 'Data Entry'!C237)</f>
      </c>
      <c r="D237">
        <f>IF(ISBLANK('Data Entry'!D237), "", 'Data Entry'!D237)</f>
      </c>
      <c r="E237">
        <f>IF(ISBLANK('Data Entry'!E237), "", 'Data Entry'!E237)</f>
      </c>
      <c r="F237">
        <f>IF(ISBLANK('Data Entry'!F237), "", 'Data Entry'!F237)</f>
      </c>
      <c r="G237">
        <f>IF(ISBLANK('Data Entry'!G237), "", 'Data Entry'!G237)</f>
      </c>
      <c r="H237">
        <f>IF(ISBLANK('Data Entry'!H237), "", 'Data Entry'!H237)</f>
      </c>
      <c r="I237">
        <f>IF(ISBLANK('Data Entry'!I237), "", 'Data Entry'!I237)</f>
      </c>
      <c r="J237">
        <f>IF(ISBLANK('Data Entry'!J237), "", 'Data Entry'!J237)</f>
      </c>
      <c r="K237">
        <f>IF(ISBLANK('Data Entry'!K237), "", 'Data Entry'!K237)</f>
      </c>
      <c r="L237">
        <f>IF(ISBLANK('Data Entry'!L237), "", 'Data Entry'!L237)</f>
      </c>
      <c r="M237">
        <f>IF(ISBLANK('Data Entry'!M237), "", 'Data Entry'!M237)</f>
      </c>
      <c r="N237">
        <f>IF(ISBLANK('Data Entry'!N237), "", 'Data Entry'!N237)</f>
      </c>
      <c r="O237">
        <f>IF(ISBLANK('Data Entry'!O237), "", 'Data Entry'!O237)</f>
      </c>
      <c r="P237">
        <f>IF(ISBLANK('Data Entry'!P237), "", 'Data Entry'!P237)</f>
      </c>
      <c r="Q237">
        <f>IF(ISBLANK('Data Entry'!Q237), "", 'Data Entry'!Q237)</f>
      </c>
      <c r="R237">
        <f>IF(ISBLANK('Data Entry'!R237), "", 'Data Entry'!R237)</f>
      </c>
      <c r="S237">
        <f>IF(ISBLANK('Data Entry'!S237), "", 'Data Entry'!S237)</f>
      </c>
      <c r="T237">
        <f>IF(ISBLANK('Data Entry'!T237), "", 'Data Entry'!T237)</f>
      </c>
      <c r="U237">
        <f>IF(ISBLANK('Data Entry'!U237), "", 'Data Entry'!U237)</f>
      </c>
      <c r="V237">
        <f>IF(ISBLANK('Data Entry'!V237), "", 'Data Entry'!V237)</f>
      </c>
      <c r="W237">
        <f>IF(ISBLANK('Data Entry'!W237), "", 'Data Entry'!W237)</f>
      </c>
      <c r="X237">
        <f>IF(ISBLANK('Data Entry'!X237), "", 'Data Entry'!X237)</f>
      </c>
      <c r="Y237">
        <f>IF(ISBLANK('Data Entry'!Y237), "", 'Data Entry'!Y237)</f>
      </c>
      <c r="Z237">
        <f>IF(ISBLANK('Data Entry'!Z237), "", 'Data Entry'!Z237)</f>
      </c>
      <c r="AA237">
        <f>IF(ISBLANK('Data Entry'![237), "", 'Data Entry'![237)</f>
      </c>
      <c r="AB237">
        <f>IF(ISBLANK('Data Entry'!\237), "", 'Data Entry'!\237)</f>
      </c>
      <c r="AC237">
        <f>IF(ISBLANK('Data Entry'!]237), "", 'Data Entry'!]237)</f>
      </c>
      <c r="AD237">
        <f>IF(ISBLANK('Data Entry'!^237), "", 'Data Entry'!^237)</f>
      </c>
      <c r="AE237">
        <f>IF(ISBLANK('Data Entry'!_237), "", 'Data Entry'!_237)</f>
      </c>
      <c r="AF237">
        <f>IF(ISBLANK('Data Entry'!`237), "", 'Data Entry'!`237)</f>
      </c>
      <c r="AG237">
        <f>IF(ISBLANK('Data Entry'!a237), "", 'Data Entry'!a237)</f>
      </c>
      <c r="AH237">
        <f>IF(ISBLANK('Data Entry'!b237), "", 'Data Entry'!b237)</f>
      </c>
      <c r="AI237">
        <f>IF(ISBLANK('Data Entry'!c237), "", 'Data Entry'!c237)</f>
      </c>
      <c r="AJ237">
        <f>IF(ISBLANK('Data Entry'!d237), "", 'Data Entry'!d237)</f>
      </c>
      <c r="AK237">
        <f>IF(ISBLANK('Data Entry'!e237), "", 'Data Entry'!e237)</f>
      </c>
      <c r="AL237">
        <f>IF(ISBLANK('Data Entry'!f237), "", 'Data Entry'!f237)</f>
      </c>
      <c r="AM237">
        <f>IF(ISBLANK('Data Entry'!g237), "", 'Data Entry'!g237)</f>
      </c>
      <c r="AN237">
        <f>IF(ISBLANK('Data Entry'!h237), "", 'Data Entry'!h237)</f>
      </c>
    </row>
    <row r="238" spans="1:40" x14ac:dyDescent="0.25">
      <c r="A238">
        <f>IF(ISBLANK('Data Entry'!A238), "", 'Data Entry'!A238)</f>
      </c>
      <c r="B238">
        <f>IF(ISBLANK('Data Entry'!B238), "", 'Data Entry'!B238)</f>
      </c>
      <c r="C238">
        <f>IF(ISBLANK('Data Entry'!C238), "", 'Data Entry'!C238)</f>
      </c>
      <c r="D238">
        <f>IF(ISBLANK('Data Entry'!D238), "", 'Data Entry'!D238)</f>
      </c>
      <c r="E238">
        <f>IF(ISBLANK('Data Entry'!E238), "", 'Data Entry'!E238)</f>
      </c>
      <c r="F238">
        <f>IF(ISBLANK('Data Entry'!F238), "", 'Data Entry'!F238)</f>
      </c>
      <c r="G238">
        <f>IF(ISBLANK('Data Entry'!G238), "", 'Data Entry'!G238)</f>
      </c>
      <c r="H238">
        <f>IF(ISBLANK('Data Entry'!H238), "", 'Data Entry'!H238)</f>
      </c>
      <c r="I238">
        <f>IF(ISBLANK('Data Entry'!I238), "", 'Data Entry'!I238)</f>
      </c>
      <c r="J238">
        <f>IF(ISBLANK('Data Entry'!J238), "", 'Data Entry'!J238)</f>
      </c>
      <c r="K238">
        <f>IF(ISBLANK('Data Entry'!K238), "", 'Data Entry'!K238)</f>
      </c>
      <c r="L238">
        <f>IF(ISBLANK('Data Entry'!L238), "", 'Data Entry'!L238)</f>
      </c>
      <c r="M238">
        <f>IF(ISBLANK('Data Entry'!M238), "", 'Data Entry'!M238)</f>
      </c>
      <c r="N238">
        <f>IF(ISBLANK('Data Entry'!N238), "", 'Data Entry'!N238)</f>
      </c>
      <c r="O238">
        <f>IF(ISBLANK('Data Entry'!O238), "", 'Data Entry'!O238)</f>
      </c>
      <c r="P238">
        <f>IF(ISBLANK('Data Entry'!P238), "", 'Data Entry'!P238)</f>
      </c>
      <c r="Q238">
        <f>IF(ISBLANK('Data Entry'!Q238), "", 'Data Entry'!Q238)</f>
      </c>
      <c r="R238">
        <f>IF(ISBLANK('Data Entry'!R238), "", 'Data Entry'!R238)</f>
      </c>
      <c r="S238">
        <f>IF(ISBLANK('Data Entry'!S238), "", 'Data Entry'!S238)</f>
      </c>
      <c r="T238">
        <f>IF(ISBLANK('Data Entry'!T238), "", 'Data Entry'!T238)</f>
      </c>
      <c r="U238">
        <f>IF(ISBLANK('Data Entry'!U238), "", 'Data Entry'!U238)</f>
      </c>
      <c r="V238">
        <f>IF(ISBLANK('Data Entry'!V238), "", 'Data Entry'!V238)</f>
      </c>
      <c r="W238">
        <f>IF(ISBLANK('Data Entry'!W238), "", 'Data Entry'!W238)</f>
      </c>
      <c r="X238">
        <f>IF(ISBLANK('Data Entry'!X238), "", 'Data Entry'!X238)</f>
      </c>
      <c r="Y238">
        <f>IF(ISBLANK('Data Entry'!Y238), "", 'Data Entry'!Y238)</f>
      </c>
      <c r="Z238">
        <f>IF(ISBLANK('Data Entry'!Z238), "", 'Data Entry'!Z238)</f>
      </c>
      <c r="AA238">
        <f>IF(ISBLANK('Data Entry'![238), "", 'Data Entry'![238)</f>
      </c>
      <c r="AB238">
        <f>IF(ISBLANK('Data Entry'!\238), "", 'Data Entry'!\238)</f>
      </c>
      <c r="AC238">
        <f>IF(ISBLANK('Data Entry'!]238), "", 'Data Entry'!]238)</f>
      </c>
      <c r="AD238">
        <f>IF(ISBLANK('Data Entry'!^238), "", 'Data Entry'!^238)</f>
      </c>
      <c r="AE238">
        <f>IF(ISBLANK('Data Entry'!_238), "", 'Data Entry'!_238)</f>
      </c>
      <c r="AF238">
        <f>IF(ISBLANK('Data Entry'!`238), "", 'Data Entry'!`238)</f>
      </c>
      <c r="AG238">
        <f>IF(ISBLANK('Data Entry'!a238), "", 'Data Entry'!a238)</f>
      </c>
      <c r="AH238">
        <f>IF(ISBLANK('Data Entry'!b238), "", 'Data Entry'!b238)</f>
      </c>
      <c r="AI238">
        <f>IF(ISBLANK('Data Entry'!c238), "", 'Data Entry'!c238)</f>
      </c>
      <c r="AJ238">
        <f>IF(ISBLANK('Data Entry'!d238), "", 'Data Entry'!d238)</f>
      </c>
      <c r="AK238">
        <f>IF(ISBLANK('Data Entry'!e238), "", 'Data Entry'!e238)</f>
      </c>
      <c r="AL238">
        <f>IF(ISBLANK('Data Entry'!f238), "", 'Data Entry'!f238)</f>
      </c>
      <c r="AM238">
        <f>IF(ISBLANK('Data Entry'!g238), "", 'Data Entry'!g238)</f>
      </c>
      <c r="AN238">
        <f>IF(ISBLANK('Data Entry'!h238), "", 'Data Entry'!h238)</f>
      </c>
    </row>
    <row r="239" spans="1:40" x14ac:dyDescent="0.25">
      <c r="A239">
        <f>IF(ISBLANK('Data Entry'!A239), "", 'Data Entry'!A239)</f>
      </c>
      <c r="B239">
        <f>IF(ISBLANK('Data Entry'!B239), "", 'Data Entry'!B239)</f>
      </c>
      <c r="C239">
        <f>IF(ISBLANK('Data Entry'!C239), "", 'Data Entry'!C239)</f>
      </c>
      <c r="D239">
        <f>IF(ISBLANK('Data Entry'!D239), "", 'Data Entry'!D239)</f>
      </c>
      <c r="E239">
        <f>IF(ISBLANK('Data Entry'!E239), "", 'Data Entry'!E239)</f>
      </c>
      <c r="F239">
        <f>IF(ISBLANK('Data Entry'!F239), "", 'Data Entry'!F239)</f>
      </c>
      <c r="G239">
        <f>IF(ISBLANK('Data Entry'!G239), "", 'Data Entry'!G239)</f>
      </c>
      <c r="H239">
        <f>IF(ISBLANK('Data Entry'!H239), "", 'Data Entry'!H239)</f>
      </c>
      <c r="I239">
        <f>IF(ISBLANK('Data Entry'!I239), "", 'Data Entry'!I239)</f>
      </c>
      <c r="J239">
        <f>IF(ISBLANK('Data Entry'!J239), "", 'Data Entry'!J239)</f>
      </c>
      <c r="K239">
        <f>IF(ISBLANK('Data Entry'!K239), "", 'Data Entry'!K239)</f>
      </c>
      <c r="L239">
        <f>IF(ISBLANK('Data Entry'!L239), "", 'Data Entry'!L239)</f>
      </c>
      <c r="M239">
        <f>IF(ISBLANK('Data Entry'!M239), "", 'Data Entry'!M239)</f>
      </c>
      <c r="N239">
        <f>IF(ISBLANK('Data Entry'!N239), "", 'Data Entry'!N239)</f>
      </c>
      <c r="O239">
        <f>IF(ISBLANK('Data Entry'!O239), "", 'Data Entry'!O239)</f>
      </c>
      <c r="P239">
        <f>IF(ISBLANK('Data Entry'!P239), "", 'Data Entry'!P239)</f>
      </c>
      <c r="Q239">
        <f>IF(ISBLANK('Data Entry'!Q239), "", 'Data Entry'!Q239)</f>
      </c>
      <c r="R239">
        <f>IF(ISBLANK('Data Entry'!R239), "", 'Data Entry'!R239)</f>
      </c>
      <c r="S239">
        <f>IF(ISBLANK('Data Entry'!S239), "", 'Data Entry'!S239)</f>
      </c>
      <c r="T239">
        <f>IF(ISBLANK('Data Entry'!T239), "", 'Data Entry'!T239)</f>
      </c>
      <c r="U239">
        <f>IF(ISBLANK('Data Entry'!U239), "", 'Data Entry'!U239)</f>
      </c>
      <c r="V239">
        <f>IF(ISBLANK('Data Entry'!V239), "", 'Data Entry'!V239)</f>
      </c>
      <c r="W239">
        <f>IF(ISBLANK('Data Entry'!W239), "", 'Data Entry'!W239)</f>
      </c>
      <c r="X239">
        <f>IF(ISBLANK('Data Entry'!X239), "", 'Data Entry'!X239)</f>
      </c>
      <c r="Y239">
        <f>IF(ISBLANK('Data Entry'!Y239), "", 'Data Entry'!Y239)</f>
      </c>
      <c r="Z239">
        <f>IF(ISBLANK('Data Entry'!Z239), "", 'Data Entry'!Z239)</f>
      </c>
      <c r="AA239">
        <f>IF(ISBLANK('Data Entry'![239), "", 'Data Entry'![239)</f>
      </c>
      <c r="AB239">
        <f>IF(ISBLANK('Data Entry'!\239), "", 'Data Entry'!\239)</f>
      </c>
      <c r="AC239">
        <f>IF(ISBLANK('Data Entry'!]239), "", 'Data Entry'!]239)</f>
      </c>
      <c r="AD239">
        <f>IF(ISBLANK('Data Entry'!^239), "", 'Data Entry'!^239)</f>
      </c>
      <c r="AE239">
        <f>IF(ISBLANK('Data Entry'!_239), "", 'Data Entry'!_239)</f>
      </c>
      <c r="AF239">
        <f>IF(ISBLANK('Data Entry'!`239), "", 'Data Entry'!`239)</f>
      </c>
      <c r="AG239">
        <f>IF(ISBLANK('Data Entry'!a239), "", 'Data Entry'!a239)</f>
      </c>
      <c r="AH239">
        <f>IF(ISBLANK('Data Entry'!b239), "", 'Data Entry'!b239)</f>
      </c>
      <c r="AI239">
        <f>IF(ISBLANK('Data Entry'!c239), "", 'Data Entry'!c239)</f>
      </c>
      <c r="AJ239">
        <f>IF(ISBLANK('Data Entry'!d239), "", 'Data Entry'!d239)</f>
      </c>
      <c r="AK239">
        <f>IF(ISBLANK('Data Entry'!e239), "", 'Data Entry'!e239)</f>
      </c>
      <c r="AL239">
        <f>IF(ISBLANK('Data Entry'!f239), "", 'Data Entry'!f239)</f>
      </c>
      <c r="AM239">
        <f>IF(ISBLANK('Data Entry'!g239), "", 'Data Entry'!g239)</f>
      </c>
      <c r="AN239">
        <f>IF(ISBLANK('Data Entry'!h239), "", 'Data Entry'!h239)</f>
      </c>
    </row>
    <row r="240" spans="1:40" x14ac:dyDescent="0.25">
      <c r="A240">
        <f>IF(ISBLANK('Data Entry'!A240), "", 'Data Entry'!A240)</f>
      </c>
      <c r="B240">
        <f>IF(ISBLANK('Data Entry'!B240), "", 'Data Entry'!B240)</f>
      </c>
      <c r="C240">
        <f>IF(ISBLANK('Data Entry'!C240), "", 'Data Entry'!C240)</f>
      </c>
      <c r="D240">
        <f>IF(ISBLANK('Data Entry'!D240), "", 'Data Entry'!D240)</f>
      </c>
      <c r="E240">
        <f>IF(ISBLANK('Data Entry'!E240), "", 'Data Entry'!E240)</f>
      </c>
      <c r="F240">
        <f>IF(ISBLANK('Data Entry'!F240), "", 'Data Entry'!F240)</f>
      </c>
      <c r="G240">
        <f>IF(ISBLANK('Data Entry'!G240), "", 'Data Entry'!G240)</f>
      </c>
      <c r="H240">
        <f>IF(ISBLANK('Data Entry'!H240), "", 'Data Entry'!H240)</f>
      </c>
      <c r="I240">
        <f>IF(ISBLANK('Data Entry'!I240), "", 'Data Entry'!I240)</f>
      </c>
      <c r="J240">
        <f>IF(ISBLANK('Data Entry'!J240), "", 'Data Entry'!J240)</f>
      </c>
      <c r="K240">
        <f>IF(ISBLANK('Data Entry'!K240), "", 'Data Entry'!K240)</f>
      </c>
      <c r="L240">
        <f>IF(ISBLANK('Data Entry'!L240), "", 'Data Entry'!L240)</f>
      </c>
      <c r="M240">
        <f>IF(ISBLANK('Data Entry'!M240), "", 'Data Entry'!M240)</f>
      </c>
      <c r="N240">
        <f>IF(ISBLANK('Data Entry'!N240), "", 'Data Entry'!N240)</f>
      </c>
      <c r="O240">
        <f>IF(ISBLANK('Data Entry'!O240), "", 'Data Entry'!O240)</f>
      </c>
      <c r="P240">
        <f>IF(ISBLANK('Data Entry'!P240), "", 'Data Entry'!P240)</f>
      </c>
      <c r="Q240">
        <f>IF(ISBLANK('Data Entry'!Q240), "", 'Data Entry'!Q240)</f>
      </c>
      <c r="R240">
        <f>IF(ISBLANK('Data Entry'!R240), "", 'Data Entry'!R240)</f>
      </c>
      <c r="S240">
        <f>IF(ISBLANK('Data Entry'!S240), "", 'Data Entry'!S240)</f>
      </c>
      <c r="T240">
        <f>IF(ISBLANK('Data Entry'!T240), "", 'Data Entry'!T240)</f>
      </c>
      <c r="U240">
        <f>IF(ISBLANK('Data Entry'!U240), "", 'Data Entry'!U240)</f>
      </c>
      <c r="V240">
        <f>IF(ISBLANK('Data Entry'!V240), "", 'Data Entry'!V240)</f>
      </c>
      <c r="W240">
        <f>IF(ISBLANK('Data Entry'!W240), "", 'Data Entry'!W240)</f>
      </c>
      <c r="X240">
        <f>IF(ISBLANK('Data Entry'!X240), "", 'Data Entry'!X240)</f>
      </c>
      <c r="Y240">
        <f>IF(ISBLANK('Data Entry'!Y240), "", 'Data Entry'!Y240)</f>
      </c>
      <c r="Z240">
        <f>IF(ISBLANK('Data Entry'!Z240), "", 'Data Entry'!Z240)</f>
      </c>
      <c r="AA240">
        <f>IF(ISBLANK('Data Entry'![240), "", 'Data Entry'![240)</f>
      </c>
      <c r="AB240">
        <f>IF(ISBLANK('Data Entry'!\240), "", 'Data Entry'!\240)</f>
      </c>
      <c r="AC240">
        <f>IF(ISBLANK('Data Entry'!]240), "", 'Data Entry'!]240)</f>
      </c>
      <c r="AD240">
        <f>IF(ISBLANK('Data Entry'!^240), "", 'Data Entry'!^240)</f>
      </c>
      <c r="AE240">
        <f>IF(ISBLANK('Data Entry'!_240), "", 'Data Entry'!_240)</f>
      </c>
      <c r="AF240">
        <f>IF(ISBLANK('Data Entry'!`240), "", 'Data Entry'!`240)</f>
      </c>
      <c r="AG240">
        <f>IF(ISBLANK('Data Entry'!a240), "", 'Data Entry'!a240)</f>
      </c>
      <c r="AH240">
        <f>IF(ISBLANK('Data Entry'!b240), "", 'Data Entry'!b240)</f>
      </c>
      <c r="AI240">
        <f>IF(ISBLANK('Data Entry'!c240), "", 'Data Entry'!c240)</f>
      </c>
      <c r="AJ240">
        <f>IF(ISBLANK('Data Entry'!d240), "", 'Data Entry'!d240)</f>
      </c>
      <c r="AK240">
        <f>IF(ISBLANK('Data Entry'!e240), "", 'Data Entry'!e240)</f>
      </c>
      <c r="AL240">
        <f>IF(ISBLANK('Data Entry'!f240), "", 'Data Entry'!f240)</f>
      </c>
      <c r="AM240">
        <f>IF(ISBLANK('Data Entry'!g240), "", 'Data Entry'!g240)</f>
      </c>
      <c r="AN240">
        <f>IF(ISBLANK('Data Entry'!h240), "", 'Data Entry'!h240)</f>
      </c>
    </row>
    <row r="241" spans="1:40" x14ac:dyDescent="0.25">
      <c r="A241">
        <f>IF(ISBLANK('Data Entry'!A241), "", 'Data Entry'!A241)</f>
      </c>
      <c r="B241">
        <f>IF(ISBLANK('Data Entry'!B241), "", 'Data Entry'!B241)</f>
      </c>
      <c r="C241">
        <f>IF(ISBLANK('Data Entry'!C241), "", 'Data Entry'!C241)</f>
      </c>
      <c r="D241">
        <f>IF(ISBLANK('Data Entry'!D241), "", 'Data Entry'!D241)</f>
      </c>
      <c r="E241">
        <f>IF(ISBLANK('Data Entry'!E241), "", 'Data Entry'!E241)</f>
      </c>
      <c r="F241">
        <f>IF(ISBLANK('Data Entry'!F241), "", 'Data Entry'!F241)</f>
      </c>
      <c r="G241">
        <f>IF(ISBLANK('Data Entry'!G241), "", 'Data Entry'!G241)</f>
      </c>
      <c r="H241">
        <f>IF(ISBLANK('Data Entry'!H241), "", 'Data Entry'!H241)</f>
      </c>
      <c r="I241">
        <f>IF(ISBLANK('Data Entry'!I241), "", 'Data Entry'!I241)</f>
      </c>
      <c r="J241">
        <f>IF(ISBLANK('Data Entry'!J241), "", 'Data Entry'!J241)</f>
      </c>
      <c r="K241">
        <f>IF(ISBLANK('Data Entry'!K241), "", 'Data Entry'!K241)</f>
      </c>
      <c r="L241">
        <f>IF(ISBLANK('Data Entry'!L241), "", 'Data Entry'!L241)</f>
      </c>
      <c r="M241">
        <f>IF(ISBLANK('Data Entry'!M241), "", 'Data Entry'!M241)</f>
      </c>
      <c r="N241">
        <f>IF(ISBLANK('Data Entry'!N241), "", 'Data Entry'!N241)</f>
      </c>
      <c r="O241">
        <f>IF(ISBLANK('Data Entry'!O241), "", 'Data Entry'!O241)</f>
      </c>
      <c r="P241">
        <f>IF(ISBLANK('Data Entry'!P241), "", 'Data Entry'!P241)</f>
      </c>
      <c r="Q241">
        <f>IF(ISBLANK('Data Entry'!Q241), "", 'Data Entry'!Q241)</f>
      </c>
      <c r="R241">
        <f>IF(ISBLANK('Data Entry'!R241), "", 'Data Entry'!R241)</f>
      </c>
      <c r="S241">
        <f>IF(ISBLANK('Data Entry'!S241), "", 'Data Entry'!S241)</f>
      </c>
      <c r="T241">
        <f>IF(ISBLANK('Data Entry'!T241), "", 'Data Entry'!T241)</f>
      </c>
      <c r="U241">
        <f>IF(ISBLANK('Data Entry'!U241), "", 'Data Entry'!U241)</f>
      </c>
      <c r="V241">
        <f>IF(ISBLANK('Data Entry'!V241), "", 'Data Entry'!V241)</f>
      </c>
      <c r="W241">
        <f>IF(ISBLANK('Data Entry'!W241), "", 'Data Entry'!W241)</f>
      </c>
      <c r="X241">
        <f>IF(ISBLANK('Data Entry'!X241), "", 'Data Entry'!X241)</f>
      </c>
      <c r="Y241">
        <f>IF(ISBLANK('Data Entry'!Y241), "", 'Data Entry'!Y241)</f>
      </c>
      <c r="Z241">
        <f>IF(ISBLANK('Data Entry'!Z241), "", 'Data Entry'!Z241)</f>
      </c>
      <c r="AA241">
        <f>IF(ISBLANK('Data Entry'![241), "", 'Data Entry'![241)</f>
      </c>
      <c r="AB241">
        <f>IF(ISBLANK('Data Entry'!\241), "", 'Data Entry'!\241)</f>
      </c>
      <c r="AC241">
        <f>IF(ISBLANK('Data Entry'!]241), "", 'Data Entry'!]241)</f>
      </c>
      <c r="AD241">
        <f>IF(ISBLANK('Data Entry'!^241), "", 'Data Entry'!^241)</f>
      </c>
      <c r="AE241">
        <f>IF(ISBLANK('Data Entry'!_241), "", 'Data Entry'!_241)</f>
      </c>
      <c r="AF241">
        <f>IF(ISBLANK('Data Entry'!`241), "", 'Data Entry'!`241)</f>
      </c>
      <c r="AG241">
        <f>IF(ISBLANK('Data Entry'!a241), "", 'Data Entry'!a241)</f>
      </c>
      <c r="AH241">
        <f>IF(ISBLANK('Data Entry'!b241), "", 'Data Entry'!b241)</f>
      </c>
      <c r="AI241">
        <f>IF(ISBLANK('Data Entry'!c241), "", 'Data Entry'!c241)</f>
      </c>
      <c r="AJ241">
        <f>IF(ISBLANK('Data Entry'!d241), "", 'Data Entry'!d241)</f>
      </c>
      <c r="AK241">
        <f>IF(ISBLANK('Data Entry'!e241), "", 'Data Entry'!e241)</f>
      </c>
      <c r="AL241">
        <f>IF(ISBLANK('Data Entry'!f241), "", 'Data Entry'!f241)</f>
      </c>
      <c r="AM241">
        <f>IF(ISBLANK('Data Entry'!g241), "", 'Data Entry'!g241)</f>
      </c>
      <c r="AN241">
        <f>IF(ISBLANK('Data Entry'!h241), "", 'Data Entry'!h241)</f>
      </c>
    </row>
    <row r="242" spans="1:40" x14ac:dyDescent="0.25">
      <c r="A242">
        <f>IF(ISBLANK('Data Entry'!A242), "", 'Data Entry'!A242)</f>
      </c>
      <c r="B242">
        <f>IF(ISBLANK('Data Entry'!B242), "", 'Data Entry'!B242)</f>
      </c>
      <c r="C242">
        <f>IF(ISBLANK('Data Entry'!C242), "", 'Data Entry'!C242)</f>
      </c>
      <c r="D242">
        <f>IF(ISBLANK('Data Entry'!D242), "", 'Data Entry'!D242)</f>
      </c>
      <c r="E242">
        <f>IF(ISBLANK('Data Entry'!E242), "", 'Data Entry'!E242)</f>
      </c>
      <c r="F242">
        <f>IF(ISBLANK('Data Entry'!F242), "", 'Data Entry'!F242)</f>
      </c>
      <c r="G242">
        <f>IF(ISBLANK('Data Entry'!G242), "", 'Data Entry'!G242)</f>
      </c>
      <c r="H242">
        <f>IF(ISBLANK('Data Entry'!H242), "", 'Data Entry'!H242)</f>
      </c>
      <c r="I242">
        <f>IF(ISBLANK('Data Entry'!I242), "", 'Data Entry'!I242)</f>
      </c>
      <c r="J242">
        <f>IF(ISBLANK('Data Entry'!J242), "", 'Data Entry'!J242)</f>
      </c>
      <c r="K242">
        <f>IF(ISBLANK('Data Entry'!K242), "", 'Data Entry'!K242)</f>
      </c>
      <c r="L242">
        <f>IF(ISBLANK('Data Entry'!L242), "", 'Data Entry'!L242)</f>
      </c>
      <c r="M242">
        <f>IF(ISBLANK('Data Entry'!M242), "", 'Data Entry'!M242)</f>
      </c>
      <c r="N242">
        <f>IF(ISBLANK('Data Entry'!N242), "", 'Data Entry'!N242)</f>
      </c>
      <c r="O242">
        <f>IF(ISBLANK('Data Entry'!O242), "", 'Data Entry'!O242)</f>
      </c>
      <c r="P242">
        <f>IF(ISBLANK('Data Entry'!P242), "", 'Data Entry'!P242)</f>
      </c>
      <c r="Q242">
        <f>IF(ISBLANK('Data Entry'!Q242), "", 'Data Entry'!Q242)</f>
      </c>
      <c r="R242">
        <f>IF(ISBLANK('Data Entry'!R242), "", 'Data Entry'!R242)</f>
      </c>
      <c r="S242">
        <f>IF(ISBLANK('Data Entry'!S242), "", 'Data Entry'!S242)</f>
      </c>
      <c r="T242">
        <f>IF(ISBLANK('Data Entry'!T242), "", 'Data Entry'!T242)</f>
      </c>
      <c r="U242">
        <f>IF(ISBLANK('Data Entry'!U242), "", 'Data Entry'!U242)</f>
      </c>
      <c r="V242">
        <f>IF(ISBLANK('Data Entry'!V242), "", 'Data Entry'!V242)</f>
      </c>
      <c r="W242">
        <f>IF(ISBLANK('Data Entry'!W242), "", 'Data Entry'!W242)</f>
      </c>
      <c r="X242">
        <f>IF(ISBLANK('Data Entry'!X242), "", 'Data Entry'!X242)</f>
      </c>
      <c r="Y242">
        <f>IF(ISBLANK('Data Entry'!Y242), "", 'Data Entry'!Y242)</f>
      </c>
      <c r="Z242">
        <f>IF(ISBLANK('Data Entry'!Z242), "", 'Data Entry'!Z242)</f>
      </c>
      <c r="AA242">
        <f>IF(ISBLANK('Data Entry'![242), "", 'Data Entry'![242)</f>
      </c>
      <c r="AB242">
        <f>IF(ISBLANK('Data Entry'!\242), "", 'Data Entry'!\242)</f>
      </c>
      <c r="AC242">
        <f>IF(ISBLANK('Data Entry'!]242), "", 'Data Entry'!]242)</f>
      </c>
      <c r="AD242">
        <f>IF(ISBLANK('Data Entry'!^242), "", 'Data Entry'!^242)</f>
      </c>
      <c r="AE242">
        <f>IF(ISBLANK('Data Entry'!_242), "", 'Data Entry'!_242)</f>
      </c>
      <c r="AF242">
        <f>IF(ISBLANK('Data Entry'!`242), "", 'Data Entry'!`242)</f>
      </c>
      <c r="AG242">
        <f>IF(ISBLANK('Data Entry'!a242), "", 'Data Entry'!a242)</f>
      </c>
      <c r="AH242">
        <f>IF(ISBLANK('Data Entry'!b242), "", 'Data Entry'!b242)</f>
      </c>
      <c r="AI242">
        <f>IF(ISBLANK('Data Entry'!c242), "", 'Data Entry'!c242)</f>
      </c>
      <c r="AJ242">
        <f>IF(ISBLANK('Data Entry'!d242), "", 'Data Entry'!d242)</f>
      </c>
      <c r="AK242">
        <f>IF(ISBLANK('Data Entry'!e242), "", 'Data Entry'!e242)</f>
      </c>
      <c r="AL242">
        <f>IF(ISBLANK('Data Entry'!f242), "", 'Data Entry'!f242)</f>
      </c>
      <c r="AM242">
        <f>IF(ISBLANK('Data Entry'!g242), "", 'Data Entry'!g242)</f>
      </c>
      <c r="AN242">
        <f>IF(ISBLANK('Data Entry'!h242), "", 'Data Entry'!h242)</f>
      </c>
    </row>
    <row r="243" spans="1:40" x14ac:dyDescent="0.25">
      <c r="A243">
        <f>IF(ISBLANK('Data Entry'!A243), "", 'Data Entry'!A243)</f>
      </c>
      <c r="B243">
        <f>IF(ISBLANK('Data Entry'!B243), "", 'Data Entry'!B243)</f>
      </c>
      <c r="C243">
        <f>IF(ISBLANK('Data Entry'!C243), "", 'Data Entry'!C243)</f>
      </c>
      <c r="D243">
        <f>IF(ISBLANK('Data Entry'!D243), "", 'Data Entry'!D243)</f>
      </c>
      <c r="E243">
        <f>IF(ISBLANK('Data Entry'!E243), "", 'Data Entry'!E243)</f>
      </c>
      <c r="F243">
        <f>IF(ISBLANK('Data Entry'!F243), "", 'Data Entry'!F243)</f>
      </c>
      <c r="G243">
        <f>IF(ISBLANK('Data Entry'!G243), "", 'Data Entry'!G243)</f>
      </c>
      <c r="H243">
        <f>IF(ISBLANK('Data Entry'!H243), "", 'Data Entry'!H243)</f>
      </c>
      <c r="I243">
        <f>IF(ISBLANK('Data Entry'!I243), "", 'Data Entry'!I243)</f>
      </c>
      <c r="J243">
        <f>IF(ISBLANK('Data Entry'!J243), "", 'Data Entry'!J243)</f>
      </c>
      <c r="K243">
        <f>IF(ISBLANK('Data Entry'!K243), "", 'Data Entry'!K243)</f>
      </c>
      <c r="L243">
        <f>IF(ISBLANK('Data Entry'!L243), "", 'Data Entry'!L243)</f>
      </c>
      <c r="M243">
        <f>IF(ISBLANK('Data Entry'!M243), "", 'Data Entry'!M243)</f>
      </c>
      <c r="N243">
        <f>IF(ISBLANK('Data Entry'!N243), "", 'Data Entry'!N243)</f>
      </c>
      <c r="O243">
        <f>IF(ISBLANK('Data Entry'!O243), "", 'Data Entry'!O243)</f>
      </c>
      <c r="P243">
        <f>IF(ISBLANK('Data Entry'!P243), "", 'Data Entry'!P243)</f>
      </c>
      <c r="Q243">
        <f>IF(ISBLANK('Data Entry'!Q243), "", 'Data Entry'!Q243)</f>
      </c>
      <c r="R243">
        <f>IF(ISBLANK('Data Entry'!R243), "", 'Data Entry'!R243)</f>
      </c>
      <c r="S243">
        <f>IF(ISBLANK('Data Entry'!S243), "", 'Data Entry'!S243)</f>
      </c>
      <c r="T243">
        <f>IF(ISBLANK('Data Entry'!T243), "", 'Data Entry'!T243)</f>
      </c>
      <c r="U243">
        <f>IF(ISBLANK('Data Entry'!U243), "", 'Data Entry'!U243)</f>
      </c>
      <c r="V243">
        <f>IF(ISBLANK('Data Entry'!V243), "", 'Data Entry'!V243)</f>
      </c>
      <c r="W243">
        <f>IF(ISBLANK('Data Entry'!W243), "", 'Data Entry'!W243)</f>
      </c>
      <c r="X243">
        <f>IF(ISBLANK('Data Entry'!X243), "", 'Data Entry'!X243)</f>
      </c>
      <c r="Y243">
        <f>IF(ISBLANK('Data Entry'!Y243), "", 'Data Entry'!Y243)</f>
      </c>
      <c r="Z243">
        <f>IF(ISBLANK('Data Entry'!Z243), "", 'Data Entry'!Z243)</f>
      </c>
      <c r="AA243">
        <f>IF(ISBLANK('Data Entry'![243), "", 'Data Entry'![243)</f>
      </c>
      <c r="AB243">
        <f>IF(ISBLANK('Data Entry'!\243), "", 'Data Entry'!\243)</f>
      </c>
      <c r="AC243">
        <f>IF(ISBLANK('Data Entry'!]243), "", 'Data Entry'!]243)</f>
      </c>
      <c r="AD243">
        <f>IF(ISBLANK('Data Entry'!^243), "", 'Data Entry'!^243)</f>
      </c>
      <c r="AE243">
        <f>IF(ISBLANK('Data Entry'!_243), "", 'Data Entry'!_243)</f>
      </c>
      <c r="AF243">
        <f>IF(ISBLANK('Data Entry'!`243), "", 'Data Entry'!`243)</f>
      </c>
      <c r="AG243">
        <f>IF(ISBLANK('Data Entry'!a243), "", 'Data Entry'!a243)</f>
      </c>
      <c r="AH243">
        <f>IF(ISBLANK('Data Entry'!b243), "", 'Data Entry'!b243)</f>
      </c>
      <c r="AI243">
        <f>IF(ISBLANK('Data Entry'!c243), "", 'Data Entry'!c243)</f>
      </c>
      <c r="AJ243">
        <f>IF(ISBLANK('Data Entry'!d243), "", 'Data Entry'!d243)</f>
      </c>
      <c r="AK243">
        <f>IF(ISBLANK('Data Entry'!e243), "", 'Data Entry'!e243)</f>
      </c>
      <c r="AL243">
        <f>IF(ISBLANK('Data Entry'!f243), "", 'Data Entry'!f243)</f>
      </c>
      <c r="AM243">
        <f>IF(ISBLANK('Data Entry'!g243), "", 'Data Entry'!g243)</f>
      </c>
      <c r="AN243">
        <f>IF(ISBLANK('Data Entry'!h243), "", 'Data Entry'!h243)</f>
      </c>
    </row>
    <row r="244" spans="1:40" x14ac:dyDescent="0.25">
      <c r="A244">
        <f>IF(ISBLANK('Data Entry'!A244), "", 'Data Entry'!A244)</f>
      </c>
      <c r="B244">
        <f>IF(ISBLANK('Data Entry'!B244), "", 'Data Entry'!B244)</f>
      </c>
      <c r="C244">
        <f>IF(ISBLANK('Data Entry'!C244), "", 'Data Entry'!C244)</f>
      </c>
      <c r="D244">
        <f>IF(ISBLANK('Data Entry'!D244), "", 'Data Entry'!D244)</f>
      </c>
      <c r="E244">
        <f>IF(ISBLANK('Data Entry'!E244), "", 'Data Entry'!E244)</f>
      </c>
      <c r="F244">
        <f>IF(ISBLANK('Data Entry'!F244), "", 'Data Entry'!F244)</f>
      </c>
      <c r="G244">
        <f>IF(ISBLANK('Data Entry'!G244), "", 'Data Entry'!G244)</f>
      </c>
      <c r="H244">
        <f>IF(ISBLANK('Data Entry'!H244), "", 'Data Entry'!H244)</f>
      </c>
      <c r="I244">
        <f>IF(ISBLANK('Data Entry'!I244), "", 'Data Entry'!I244)</f>
      </c>
      <c r="J244">
        <f>IF(ISBLANK('Data Entry'!J244), "", 'Data Entry'!J244)</f>
      </c>
      <c r="K244">
        <f>IF(ISBLANK('Data Entry'!K244), "", 'Data Entry'!K244)</f>
      </c>
      <c r="L244">
        <f>IF(ISBLANK('Data Entry'!L244), "", 'Data Entry'!L244)</f>
      </c>
      <c r="M244">
        <f>IF(ISBLANK('Data Entry'!M244), "", 'Data Entry'!M244)</f>
      </c>
      <c r="N244">
        <f>IF(ISBLANK('Data Entry'!N244), "", 'Data Entry'!N244)</f>
      </c>
      <c r="O244">
        <f>IF(ISBLANK('Data Entry'!O244), "", 'Data Entry'!O244)</f>
      </c>
      <c r="P244">
        <f>IF(ISBLANK('Data Entry'!P244), "", 'Data Entry'!P244)</f>
      </c>
      <c r="Q244">
        <f>IF(ISBLANK('Data Entry'!Q244), "", 'Data Entry'!Q244)</f>
      </c>
      <c r="R244">
        <f>IF(ISBLANK('Data Entry'!R244), "", 'Data Entry'!R244)</f>
      </c>
      <c r="S244">
        <f>IF(ISBLANK('Data Entry'!S244), "", 'Data Entry'!S244)</f>
      </c>
      <c r="T244">
        <f>IF(ISBLANK('Data Entry'!T244), "", 'Data Entry'!T244)</f>
      </c>
      <c r="U244">
        <f>IF(ISBLANK('Data Entry'!U244), "", 'Data Entry'!U244)</f>
      </c>
      <c r="V244">
        <f>IF(ISBLANK('Data Entry'!V244), "", 'Data Entry'!V244)</f>
      </c>
      <c r="W244">
        <f>IF(ISBLANK('Data Entry'!W244), "", 'Data Entry'!W244)</f>
      </c>
      <c r="X244">
        <f>IF(ISBLANK('Data Entry'!X244), "", 'Data Entry'!X244)</f>
      </c>
      <c r="Y244">
        <f>IF(ISBLANK('Data Entry'!Y244), "", 'Data Entry'!Y244)</f>
      </c>
      <c r="Z244">
        <f>IF(ISBLANK('Data Entry'!Z244), "", 'Data Entry'!Z244)</f>
      </c>
      <c r="AA244">
        <f>IF(ISBLANK('Data Entry'![244), "", 'Data Entry'![244)</f>
      </c>
      <c r="AB244">
        <f>IF(ISBLANK('Data Entry'!\244), "", 'Data Entry'!\244)</f>
      </c>
      <c r="AC244">
        <f>IF(ISBLANK('Data Entry'!]244), "", 'Data Entry'!]244)</f>
      </c>
      <c r="AD244">
        <f>IF(ISBLANK('Data Entry'!^244), "", 'Data Entry'!^244)</f>
      </c>
      <c r="AE244">
        <f>IF(ISBLANK('Data Entry'!_244), "", 'Data Entry'!_244)</f>
      </c>
      <c r="AF244">
        <f>IF(ISBLANK('Data Entry'!`244), "", 'Data Entry'!`244)</f>
      </c>
      <c r="AG244">
        <f>IF(ISBLANK('Data Entry'!a244), "", 'Data Entry'!a244)</f>
      </c>
      <c r="AH244">
        <f>IF(ISBLANK('Data Entry'!b244), "", 'Data Entry'!b244)</f>
      </c>
      <c r="AI244">
        <f>IF(ISBLANK('Data Entry'!c244), "", 'Data Entry'!c244)</f>
      </c>
      <c r="AJ244">
        <f>IF(ISBLANK('Data Entry'!d244), "", 'Data Entry'!d244)</f>
      </c>
      <c r="AK244">
        <f>IF(ISBLANK('Data Entry'!e244), "", 'Data Entry'!e244)</f>
      </c>
      <c r="AL244">
        <f>IF(ISBLANK('Data Entry'!f244), "", 'Data Entry'!f244)</f>
      </c>
      <c r="AM244">
        <f>IF(ISBLANK('Data Entry'!g244), "", 'Data Entry'!g244)</f>
      </c>
      <c r="AN244">
        <f>IF(ISBLANK('Data Entry'!h244), "", 'Data Entry'!h244)</f>
      </c>
    </row>
    <row r="245" spans="1:40" x14ac:dyDescent="0.25">
      <c r="A245">
        <f>IF(ISBLANK('Data Entry'!A245), "", 'Data Entry'!A245)</f>
      </c>
      <c r="B245">
        <f>IF(ISBLANK('Data Entry'!B245), "", 'Data Entry'!B245)</f>
      </c>
      <c r="C245">
        <f>IF(ISBLANK('Data Entry'!C245), "", 'Data Entry'!C245)</f>
      </c>
      <c r="D245">
        <f>IF(ISBLANK('Data Entry'!D245), "", 'Data Entry'!D245)</f>
      </c>
      <c r="E245">
        <f>IF(ISBLANK('Data Entry'!E245), "", 'Data Entry'!E245)</f>
      </c>
      <c r="F245">
        <f>IF(ISBLANK('Data Entry'!F245), "", 'Data Entry'!F245)</f>
      </c>
      <c r="G245">
        <f>IF(ISBLANK('Data Entry'!G245), "", 'Data Entry'!G245)</f>
      </c>
      <c r="H245">
        <f>IF(ISBLANK('Data Entry'!H245), "", 'Data Entry'!H245)</f>
      </c>
      <c r="I245">
        <f>IF(ISBLANK('Data Entry'!I245), "", 'Data Entry'!I245)</f>
      </c>
      <c r="J245">
        <f>IF(ISBLANK('Data Entry'!J245), "", 'Data Entry'!J245)</f>
      </c>
      <c r="K245">
        <f>IF(ISBLANK('Data Entry'!K245), "", 'Data Entry'!K245)</f>
      </c>
      <c r="L245">
        <f>IF(ISBLANK('Data Entry'!L245), "", 'Data Entry'!L245)</f>
      </c>
      <c r="M245">
        <f>IF(ISBLANK('Data Entry'!M245), "", 'Data Entry'!M245)</f>
      </c>
      <c r="N245">
        <f>IF(ISBLANK('Data Entry'!N245), "", 'Data Entry'!N245)</f>
      </c>
      <c r="O245">
        <f>IF(ISBLANK('Data Entry'!O245), "", 'Data Entry'!O245)</f>
      </c>
      <c r="P245">
        <f>IF(ISBLANK('Data Entry'!P245), "", 'Data Entry'!P245)</f>
      </c>
      <c r="Q245">
        <f>IF(ISBLANK('Data Entry'!Q245), "", 'Data Entry'!Q245)</f>
      </c>
      <c r="R245">
        <f>IF(ISBLANK('Data Entry'!R245), "", 'Data Entry'!R245)</f>
      </c>
      <c r="S245">
        <f>IF(ISBLANK('Data Entry'!S245), "", 'Data Entry'!S245)</f>
      </c>
      <c r="T245">
        <f>IF(ISBLANK('Data Entry'!T245), "", 'Data Entry'!T245)</f>
      </c>
      <c r="U245">
        <f>IF(ISBLANK('Data Entry'!U245), "", 'Data Entry'!U245)</f>
      </c>
      <c r="V245">
        <f>IF(ISBLANK('Data Entry'!V245), "", 'Data Entry'!V245)</f>
      </c>
      <c r="W245">
        <f>IF(ISBLANK('Data Entry'!W245), "", 'Data Entry'!W245)</f>
      </c>
      <c r="X245">
        <f>IF(ISBLANK('Data Entry'!X245), "", 'Data Entry'!X245)</f>
      </c>
      <c r="Y245">
        <f>IF(ISBLANK('Data Entry'!Y245), "", 'Data Entry'!Y245)</f>
      </c>
      <c r="Z245">
        <f>IF(ISBLANK('Data Entry'!Z245), "", 'Data Entry'!Z245)</f>
      </c>
      <c r="AA245">
        <f>IF(ISBLANK('Data Entry'![245), "", 'Data Entry'![245)</f>
      </c>
      <c r="AB245">
        <f>IF(ISBLANK('Data Entry'!\245), "", 'Data Entry'!\245)</f>
      </c>
      <c r="AC245">
        <f>IF(ISBLANK('Data Entry'!]245), "", 'Data Entry'!]245)</f>
      </c>
      <c r="AD245">
        <f>IF(ISBLANK('Data Entry'!^245), "", 'Data Entry'!^245)</f>
      </c>
      <c r="AE245">
        <f>IF(ISBLANK('Data Entry'!_245), "", 'Data Entry'!_245)</f>
      </c>
      <c r="AF245">
        <f>IF(ISBLANK('Data Entry'!`245), "", 'Data Entry'!`245)</f>
      </c>
      <c r="AG245">
        <f>IF(ISBLANK('Data Entry'!a245), "", 'Data Entry'!a245)</f>
      </c>
      <c r="AH245">
        <f>IF(ISBLANK('Data Entry'!b245), "", 'Data Entry'!b245)</f>
      </c>
      <c r="AI245">
        <f>IF(ISBLANK('Data Entry'!c245), "", 'Data Entry'!c245)</f>
      </c>
      <c r="AJ245">
        <f>IF(ISBLANK('Data Entry'!d245), "", 'Data Entry'!d245)</f>
      </c>
      <c r="AK245">
        <f>IF(ISBLANK('Data Entry'!e245), "", 'Data Entry'!e245)</f>
      </c>
      <c r="AL245">
        <f>IF(ISBLANK('Data Entry'!f245), "", 'Data Entry'!f245)</f>
      </c>
      <c r="AM245">
        <f>IF(ISBLANK('Data Entry'!g245), "", 'Data Entry'!g245)</f>
      </c>
      <c r="AN245">
        <f>IF(ISBLANK('Data Entry'!h245), "", 'Data Entry'!h245)</f>
      </c>
    </row>
    <row r="246" spans="1:40" x14ac:dyDescent="0.25">
      <c r="A246">
        <f>IF(ISBLANK('Data Entry'!A246), "", 'Data Entry'!A246)</f>
      </c>
      <c r="B246">
        <f>IF(ISBLANK('Data Entry'!B246), "", 'Data Entry'!B246)</f>
      </c>
      <c r="C246">
        <f>IF(ISBLANK('Data Entry'!C246), "", 'Data Entry'!C246)</f>
      </c>
      <c r="D246">
        <f>IF(ISBLANK('Data Entry'!D246), "", 'Data Entry'!D246)</f>
      </c>
      <c r="E246">
        <f>IF(ISBLANK('Data Entry'!E246), "", 'Data Entry'!E246)</f>
      </c>
      <c r="F246">
        <f>IF(ISBLANK('Data Entry'!F246), "", 'Data Entry'!F246)</f>
      </c>
      <c r="G246">
        <f>IF(ISBLANK('Data Entry'!G246), "", 'Data Entry'!G246)</f>
      </c>
      <c r="H246">
        <f>IF(ISBLANK('Data Entry'!H246), "", 'Data Entry'!H246)</f>
      </c>
      <c r="I246">
        <f>IF(ISBLANK('Data Entry'!I246), "", 'Data Entry'!I246)</f>
      </c>
      <c r="J246">
        <f>IF(ISBLANK('Data Entry'!J246), "", 'Data Entry'!J246)</f>
      </c>
      <c r="K246">
        <f>IF(ISBLANK('Data Entry'!K246), "", 'Data Entry'!K246)</f>
      </c>
      <c r="L246">
        <f>IF(ISBLANK('Data Entry'!L246), "", 'Data Entry'!L246)</f>
      </c>
      <c r="M246">
        <f>IF(ISBLANK('Data Entry'!M246), "", 'Data Entry'!M246)</f>
      </c>
      <c r="N246">
        <f>IF(ISBLANK('Data Entry'!N246), "", 'Data Entry'!N246)</f>
      </c>
      <c r="O246">
        <f>IF(ISBLANK('Data Entry'!O246), "", 'Data Entry'!O246)</f>
      </c>
      <c r="P246">
        <f>IF(ISBLANK('Data Entry'!P246), "", 'Data Entry'!P246)</f>
      </c>
      <c r="Q246">
        <f>IF(ISBLANK('Data Entry'!Q246), "", 'Data Entry'!Q246)</f>
      </c>
      <c r="R246">
        <f>IF(ISBLANK('Data Entry'!R246), "", 'Data Entry'!R246)</f>
      </c>
      <c r="S246">
        <f>IF(ISBLANK('Data Entry'!S246), "", 'Data Entry'!S246)</f>
      </c>
      <c r="T246">
        <f>IF(ISBLANK('Data Entry'!T246), "", 'Data Entry'!T246)</f>
      </c>
      <c r="U246">
        <f>IF(ISBLANK('Data Entry'!U246), "", 'Data Entry'!U246)</f>
      </c>
      <c r="V246">
        <f>IF(ISBLANK('Data Entry'!V246), "", 'Data Entry'!V246)</f>
      </c>
      <c r="W246">
        <f>IF(ISBLANK('Data Entry'!W246), "", 'Data Entry'!W246)</f>
      </c>
      <c r="X246">
        <f>IF(ISBLANK('Data Entry'!X246), "", 'Data Entry'!X246)</f>
      </c>
      <c r="Y246">
        <f>IF(ISBLANK('Data Entry'!Y246), "", 'Data Entry'!Y246)</f>
      </c>
      <c r="Z246">
        <f>IF(ISBLANK('Data Entry'!Z246), "", 'Data Entry'!Z246)</f>
      </c>
      <c r="AA246">
        <f>IF(ISBLANK('Data Entry'![246), "", 'Data Entry'![246)</f>
      </c>
      <c r="AB246">
        <f>IF(ISBLANK('Data Entry'!\246), "", 'Data Entry'!\246)</f>
      </c>
      <c r="AC246">
        <f>IF(ISBLANK('Data Entry'!]246), "", 'Data Entry'!]246)</f>
      </c>
      <c r="AD246">
        <f>IF(ISBLANK('Data Entry'!^246), "", 'Data Entry'!^246)</f>
      </c>
      <c r="AE246">
        <f>IF(ISBLANK('Data Entry'!_246), "", 'Data Entry'!_246)</f>
      </c>
      <c r="AF246">
        <f>IF(ISBLANK('Data Entry'!`246), "", 'Data Entry'!`246)</f>
      </c>
      <c r="AG246">
        <f>IF(ISBLANK('Data Entry'!a246), "", 'Data Entry'!a246)</f>
      </c>
      <c r="AH246">
        <f>IF(ISBLANK('Data Entry'!b246), "", 'Data Entry'!b246)</f>
      </c>
      <c r="AI246">
        <f>IF(ISBLANK('Data Entry'!c246), "", 'Data Entry'!c246)</f>
      </c>
      <c r="AJ246">
        <f>IF(ISBLANK('Data Entry'!d246), "", 'Data Entry'!d246)</f>
      </c>
      <c r="AK246">
        <f>IF(ISBLANK('Data Entry'!e246), "", 'Data Entry'!e246)</f>
      </c>
      <c r="AL246">
        <f>IF(ISBLANK('Data Entry'!f246), "", 'Data Entry'!f246)</f>
      </c>
      <c r="AM246">
        <f>IF(ISBLANK('Data Entry'!g246), "", 'Data Entry'!g246)</f>
      </c>
      <c r="AN246">
        <f>IF(ISBLANK('Data Entry'!h246), "", 'Data Entry'!h246)</f>
      </c>
    </row>
    <row r="247" spans="1:40" x14ac:dyDescent="0.25">
      <c r="A247">
        <f>IF(ISBLANK('Data Entry'!A247), "", 'Data Entry'!A247)</f>
      </c>
      <c r="B247">
        <f>IF(ISBLANK('Data Entry'!B247), "", 'Data Entry'!B247)</f>
      </c>
      <c r="C247">
        <f>IF(ISBLANK('Data Entry'!C247), "", 'Data Entry'!C247)</f>
      </c>
      <c r="D247">
        <f>IF(ISBLANK('Data Entry'!D247), "", 'Data Entry'!D247)</f>
      </c>
      <c r="E247">
        <f>IF(ISBLANK('Data Entry'!E247), "", 'Data Entry'!E247)</f>
      </c>
      <c r="F247">
        <f>IF(ISBLANK('Data Entry'!F247), "", 'Data Entry'!F247)</f>
      </c>
      <c r="G247">
        <f>IF(ISBLANK('Data Entry'!G247), "", 'Data Entry'!G247)</f>
      </c>
      <c r="H247">
        <f>IF(ISBLANK('Data Entry'!H247), "", 'Data Entry'!H247)</f>
      </c>
      <c r="I247">
        <f>IF(ISBLANK('Data Entry'!I247), "", 'Data Entry'!I247)</f>
      </c>
      <c r="J247">
        <f>IF(ISBLANK('Data Entry'!J247), "", 'Data Entry'!J247)</f>
      </c>
      <c r="K247">
        <f>IF(ISBLANK('Data Entry'!K247), "", 'Data Entry'!K247)</f>
      </c>
      <c r="L247">
        <f>IF(ISBLANK('Data Entry'!L247), "", 'Data Entry'!L247)</f>
      </c>
      <c r="M247">
        <f>IF(ISBLANK('Data Entry'!M247), "", 'Data Entry'!M247)</f>
      </c>
      <c r="N247">
        <f>IF(ISBLANK('Data Entry'!N247), "", 'Data Entry'!N247)</f>
      </c>
      <c r="O247">
        <f>IF(ISBLANK('Data Entry'!O247), "", 'Data Entry'!O247)</f>
      </c>
      <c r="P247">
        <f>IF(ISBLANK('Data Entry'!P247), "", 'Data Entry'!P247)</f>
      </c>
      <c r="Q247">
        <f>IF(ISBLANK('Data Entry'!Q247), "", 'Data Entry'!Q247)</f>
      </c>
      <c r="R247">
        <f>IF(ISBLANK('Data Entry'!R247), "", 'Data Entry'!R247)</f>
      </c>
      <c r="S247">
        <f>IF(ISBLANK('Data Entry'!S247), "", 'Data Entry'!S247)</f>
      </c>
      <c r="T247">
        <f>IF(ISBLANK('Data Entry'!T247), "", 'Data Entry'!T247)</f>
      </c>
      <c r="U247">
        <f>IF(ISBLANK('Data Entry'!U247), "", 'Data Entry'!U247)</f>
      </c>
      <c r="V247">
        <f>IF(ISBLANK('Data Entry'!V247), "", 'Data Entry'!V247)</f>
      </c>
      <c r="W247">
        <f>IF(ISBLANK('Data Entry'!W247), "", 'Data Entry'!W247)</f>
      </c>
      <c r="X247">
        <f>IF(ISBLANK('Data Entry'!X247), "", 'Data Entry'!X247)</f>
      </c>
      <c r="Y247">
        <f>IF(ISBLANK('Data Entry'!Y247), "", 'Data Entry'!Y247)</f>
      </c>
      <c r="Z247">
        <f>IF(ISBLANK('Data Entry'!Z247), "", 'Data Entry'!Z247)</f>
      </c>
      <c r="AA247">
        <f>IF(ISBLANK('Data Entry'![247), "", 'Data Entry'![247)</f>
      </c>
      <c r="AB247">
        <f>IF(ISBLANK('Data Entry'!\247), "", 'Data Entry'!\247)</f>
      </c>
      <c r="AC247">
        <f>IF(ISBLANK('Data Entry'!]247), "", 'Data Entry'!]247)</f>
      </c>
      <c r="AD247">
        <f>IF(ISBLANK('Data Entry'!^247), "", 'Data Entry'!^247)</f>
      </c>
      <c r="AE247">
        <f>IF(ISBLANK('Data Entry'!_247), "", 'Data Entry'!_247)</f>
      </c>
      <c r="AF247">
        <f>IF(ISBLANK('Data Entry'!`247), "", 'Data Entry'!`247)</f>
      </c>
      <c r="AG247">
        <f>IF(ISBLANK('Data Entry'!a247), "", 'Data Entry'!a247)</f>
      </c>
      <c r="AH247">
        <f>IF(ISBLANK('Data Entry'!b247), "", 'Data Entry'!b247)</f>
      </c>
      <c r="AI247">
        <f>IF(ISBLANK('Data Entry'!c247), "", 'Data Entry'!c247)</f>
      </c>
      <c r="AJ247">
        <f>IF(ISBLANK('Data Entry'!d247), "", 'Data Entry'!d247)</f>
      </c>
      <c r="AK247">
        <f>IF(ISBLANK('Data Entry'!e247), "", 'Data Entry'!e247)</f>
      </c>
      <c r="AL247">
        <f>IF(ISBLANK('Data Entry'!f247), "", 'Data Entry'!f247)</f>
      </c>
      <c r="AM247">
        <f>IF(ISBLANK('Data Entry'!g247), "", 'Data Entry'!g247)</f>
      </c>
      <c r="AN247">
        <f>IF(ISBLANK('Data Entry'!h247), "", 'Data Entry'!h247)</f>
      </c>
    </row>
    <row r="248" spans="1:40" x14ac:dyDescent="0.25">
      <c r="A248">
        <f>IF(ISBLANK('Data Entry'!A248), "", 'Data Entry'!A248)</f>
      </c>
      <c r="B248">
        <f>IF(ISBLANK('Data Entry'!B248), "", 'Data Entry'!B248)</f>
      </c>
      <c r="C248">
        <f>IF(ISBLANK('Data Entry'!C248), "", 'Data Entry'!C248)</f>
      </c>
      <c r="D248">
        <f>IF(ISBLANK('Data Entry'!D248), "", 'Data Entry'!D248)</f>
      </c>
      <c r="E248">
        <f>IF(ISBLANK('Data Entry'!E248), "", 'Data Entry'!E248)</f>
      </c>
      <c r="F248">
        <f>IF(ISBLANK('Data Entry'!F248), "", 'Data Entry'!F248)</f>
      </c>
      <c r="G248">
        <f>IF(ISBLANK('Data Entry'!G248), "", 'Data Entry'!G248)</f>
      </c>
      <c r="H248">
        <f>IF(ISBLANK('Data Entry'!H248), "", 'Data Entry'!H248)</f>
      </c>
      <c r="I248">
        <f>IF(ISBLANK('Data Entry'!I248), "", 'Data Entry'!I248)</f>
      </c>
      <c r="J248">
        <f>IF(ISBLANK('Data Entry'!J248), "", 'Data Entry'!J248)</f>
      </c>
      <c r="K248">
        <f>IF(ISBLANK('Data Entry'!K248), "", 'Data Entry'!K248)</f>
      </c>
      <c r="L248">
        <f>IF(ISBLANK('Data Entry'!L248), "", 'Data Entry'!L248)</f>
      </c>
      <c r="M248">
        <f>IF(ISBLANK('Data Entry'!M248), "", 'Data Entry'!M248)</f>
      </c>
      <c r="N248">
        <f>IF(ISBLANK('Data Entry'!N248), "", 'Data Entry'!N248)</f>
      </c>
      <c r="O248">
        <f>IF(ISBLANK('Data Entry'!O248), "", 'Data Entry'!O248)</f>
      </c>
      <c r="P248">
        <f>IF(ISBLANK('Data Entry'!P248), "", 'Data Entry'!P248)</f>
      </c>
      <c r="Q248">
        <f>IF(ISBLANK('Data Entry'!Q248), "", 'Data Entry'!Q248)</f>
      </c>
      <c r="R248">
        <f>IF(ISBLANK('Data Entry'!R248), "", 'Data Entry'!R248)</f>
      </c>
      <c r="S248">
        <f>IF(ISBLANK('Data Entry'!S248), "", 'Data Entry'!S248)</f>
      </c>
      <c r="T248">
        <f>IF(ISBLANK('Data Entry'!T248), "", 'Data Entry'!T248)</f>
      </c>
      <c r="U248">
        <f>IF(ISBLANK('Data Entry'!U248), "", 'Data Entry'!U248)</f>
      </c>
      <c r="V248">
        <f>IF(ISBLANK('Data Entry'!V248), "", 'Data Entry'!V248)</f>
      </c>
      <c r="W248">
        <f>IF(ISBLANK('Data Entry'!W248), "", 'Data Entry'!W248)</f>
      </c>
      <c r="X248">
        <f>IF(ISBLANK('Data Entry'!X248), "", 'Data Entry'!X248)</f>
      </c>
      <c r="Y248">
        <f>IF(ISBLANK('Data Entry'!Y248), "", 'Data Entry'!Y248)</f>
      </c>
      <c r="Z248">
        <f>IF(ISBLANK('Data Entry'!Z248), "", 'Data Entry'!Z248)</f>
      </c>
      <c r="AA248">
        <f>IF(ISBLANK('Data Entry'![248), "", 'Data Entry'![248)</f>
      </c>
      <c r="AB248">
        <f>IF(ISBLANK('Data Entry'!\248), "", 'Data Entry'!\248)</f>
      </c>
      <c r="AC248">
        <f>IF(ISBLANK('Data Entry'!]248), "", 'Data Entry'!]248)</f>
      </c>
      <c r="AD248">
        <f>IF(ISBLANK('Data Entry'!^248), "", 'Data Entry'!^248)</f>
      </c>
      <c r="AE248">
        <f>IF(ISBLANK('Data Entry'!_248), "", 'Data Entry'!_248)</f>
      </c>
      <c r="AF248">
        <f>IF(ISBLANK('Data Entry'!`248), "", 'Data Entry'!`248)</f>
      </c>
      <c r="AG248">
        <f>IF(ISBLANK('Data Entry'!a248), "", 'Data Entry'!a248)</f>
      </c>
      <c r="AH248">
        <f>IF(ISBLANK('Data Entry'!b248), "", 'Data Entry'!b248)</f>
      </c>
      <c r="AI248">
        <f>IF(ISBLANK('Data Entry'!c248), "", 'Data Entry'!c248)</f>
      </c>
      <c r="AJ248">
        <f>IF(ISBLANK('Data Entry'!d248), "", 'Data Entry'!d248)</f>
      </c>
      <c r="AK248">
        <f>IF(ISBLANK('Data Entry'!e248), "", 'Data Entry'!e248)</f>
      </c>
      <c r="AL248">
        <f>IF(ISBLANK('Data Entry'!f248), "", 'Data Entry'!f248)</f>
      </c>
      <c r="AM248">
        <f>IF(ISBLANK('Data Entry'!g248), "", 'Data Entry'!g248)</f>
      </c>
      <c r="AN248">
        <f>IF(ISBLANK('Data Entry'!h248), "", 'Data Entry'!h248)</f>
      </c>
    </row>
    <row r="249" spans="1:40" x14ac:dyDescent="0.25">
      <c r="A249">
        <f>IF(ISBLANK('Data Entry'!A249), "", 'Data Entry'!A249)</f>
      </c>
      <c r="B249">
        <f>IF(ISBLANK('Data Entry'!B249), "", 'Data Entry'!B249)</f>
      </c>
      <c r="C249">
        <f>IF(ISBLANK('Data Entry'!C249), "", 'Data Entry'!C249)</f>
      </c>
      <c r="D249">
        <f>IF(ISBLANK('Data Entry'!D249), "", 'Data Entry'!D249)</f>
      </c>
      <c r="E249">
        <f>IF(ISBLANK('Data Entry'!E249), "", 'Data Entry'!E249)</f>
      </c>
      <c r="F249">
        <f>IF(ISBLANK('Data Entry'!F249), "", 'Data Entry'!F249)</f>
      </c>
      <c r="G249">
        <f>IF(ISBLANK('Data Entry'!G249), "", 'Data Entry'!G249)</f>
      </c>
      <c r="H249">
        <f>IF(ISBLANK('Data Entry'!H249), "", 'Data Entry'!H249)</f>
      </c>
      <c r="I249">
        <f>IF(ISBLANK('Data Entry'!I249), "", 'Data Entry'!I249)</f>
      </c>
      <c r="J249">
        <f>IF(ISBLANK('Data Entry'!J249), "", 'Data Entry'!J249)</f>
      </c>
      <c r="K249">
        <f>IF(ISBLANK('Data Entry'!K249), "", 'Data Entry'!K249)</f>
      </c>
      <c r="L249">
        <f>IF(ISBLANK('Data Entry'!L249), "", 'Data Entry'!L249)</f>
      </c>
      <c r="M249">
        <f>IF(ISBLANK('Data Entry'!M249), "", 'Data Entry'!M249)</f>
      </c>
      <c r="N249">
        <f>IF(ISBLANK('Data Entry'!N249), "", 'Data Entry'!N249)</f>
      </c>
      <c r="O249">
        <f>IF(ISBLANK('Data Entry'!O249), "", 'Data Entry'!O249)</f>
      </c>
      <c r="P249">
        <f>IF(ISBLANK('Data Entry'!P249), "", 'Data Entry'!P249)</f>
      </c>
      <c r="Q249">
        <f>IF(ISBLANK('Data Entry'!Q249), "", 'Data Entry'!Q249)</f>
      </c>
      <c r="R249">
        <f>IF(ISBLANK('Data Entry'!R249), "", 'Data Entry'!R249)</f>
      </c>
      <c r="S249">
        <f>IF(ISBLANK('Data Entry'!S249), "", 'Data Entry'!S249)</f>
      </c>
      <c r="T249">
        <f>IF(ISBLANK('Data Entry'!T249), "", 'Data Entry'!T249)</f>
      </c>
      <c r="U249">
        <f>IF(ISBLANK('Data Entry'!U249), "", 'Data Entry'!U249)</f>
      </c>
      <c r="V249">
        <f>IF(ISBLANK('Data Entry'!V249), "", 'Data Entry'!V249)</f>
      </c>
      <c r="W249">
        <f>IF(ISBLANK('Data Entry'!W249), "", 'Data Entry'!W249)</f>
      </c>
      <c r="X249">
        <f>IF(ISBLANK('Data Entry'!X249), "", 'Data Entry'!X249)</f>
      </c>
      <c r="Y249">
        <f>IF(ISBLANK('Data Entry'!Y249), "", 'Data Entry'!Y249)</f>
      </c>
      <c r="Z249">
        <f>IF(ISBLANK('Data Entry'!Z249), "", 'Data Entry'!Z249)</f>
      </c>
      <c r="AA249">
        <f>IF(ISBLANK('Data Entry'![249), "", 'Data Entry'![249)</f>
      </c>
      <c r="AB249">
        <f>IF(ISBLANK('Data Entry'!\249), "", 'Data Entry'!\249)</f>
      </c>
      <c r="AC249">
        <f>IF(ISBLANK('Data Entry'!]249), "", 'Data Entry'!]249)</f>
      </c>
      <c r="AD249">
        <f>IF(ISBLANK('Data Entry'!^249), "", 'Data Entry'!^249)</f>
      </c>
      <c r="AE249">
        <f>IF(ISBLANK('Data Entry'!_249), "", 'Data Entry'!_249)</f>
      </c>
      <c r="AF249">
        <f>IF(ISBLANK('Data Entry'!`249), "", 'Data Entry'!`249)</f>
      </c>
      <c r="AG249">
        <f>IF(ISBLANK('Data Entry'!a249), "", 'Data Entry'!a249)</f>
      </c>
      <c r="AH249">
        <f>IF(ISBLANK('Data Entry'!b249), "", 'Data Entry'!b249)</f>
      </c>
      <c r="AI249">
        <f>IF(ISBLANK('Data Entry'!c249), "", 'Data Entry'!c249)</f>
      </c>
      <c r="AJ249">
        <f>IF(ISBLANK('Data Entry'!d249), "", 'Data Entry'!d249)</f>
      </c>
      <c r="AK249">
        <f>IF(ISBLANK('Data Entry'!e249), "", 'Data Entry'!e249)</f>
      </c>
      <c r="AL249">
        <f>IF(ISBLANK('Data Entry'!f249), "", 'Data Entry'!f249)</f>
      </c>
      <c r="AM249">
        <f>IF(ISBLANK('Data Entry'!g249), "", 'Data Entry'!g249)</f>
      </c>
      <c r="AN249">
        <f>IF(ISBLANK('Data Entry'!h249), "", 'Data Entry'!h249)</f>
      </c>
    </row>
    <row r="250" spans="1:40" x14ac:dyDescent="0.25">
      <c r="A250">
        <f>IF(ISBLANK('Data Entry'!A250), "", 'Data Entry'!A250)</f>
      </c>
      <c r="B250">
        <f>IF(ISBLANK('Data Entry'!B250), "", 'Data Entry'!B250)</f>
      </c>
      <c r="C250">
        <f>IF(ISBLANK('Data Entry'!C250), "", 'Data Entry'!C250)</f>
      </c>
      <c r="D250">
        <f>IF(ISBLANK('Data Entry'!D250), "", 'Data Entry'!D250)</f>
      </c>
      <c r="E250">
        <f>IF(ISBLANK('Data Entry'!E250), "", 'Data Entry'!E250)</f>
      </c>
      <c r="F250">
        <f>IF(ISBLANK('Data Entry'!F250), "", 'Data Entry'!F250)</f>
      </c>
      <c r="G250">
        <f>IF(ISBLANK('Data Entry'!G250), "", 'Data Entry'!G250)</f>
      </c>
      <c r="H250">
        <f>IF(ISBLANK('Data Entry'!H250), "", 'Data Entry'!H250)</f>
      </c>
      <c r="I250">
        <f>IF(ISBLANK('Data Entry'!I250), "", 'Data Entry'!I250)</f>
      </c>
      <c r="J250">
        <f>IF(ISBLANK('Data Entry'!J250), "", 'Data Entry'!J250)</f>
      </c>
      <c r="K250">
        <f>IF(ISBLANK('Data Entry'!K250), "", 'Data Entry'!K250)</f>
      </c>
      <c r="L250">
        <f>IF(ISBLANK('Data Entry'!L250), "", 'Data Entry'!L250)</f>
      </c>
      <c r="M250">
        <f>IF(ISBLANK('Data Entry'!M250), "", 'Data Entry'!M250)</f>
      </c>
      <c r="N250">
        <f>IF(ISBLANK('Data Entry'!N250), "", 'Data Entry'!N250)</f>
      </c>
      <c r="O250">
        <f>IF(ISBLANK('Data Entry'!O250), "", 'Data Entry'!O250)</f>
      </c>
      <c r="P250">
        <f>IF(ISBLANK('Data Entry'!P250), "", 'Data Entry'!P250)</f>
      </c>
      <c r="Q250">
        <f>IF(ISBLANK('Data Entry'!Q250), "", 'Data Entry'!Q250)</f>
      </c>
      <c r="R250">
        <f>IF(ISBLANK('Data Entry'!R250), "", 'Data Entry'!R250)</f>
      </c>
      <c r="S250">
        <f>IF(ISBLANK('Data Entry'!S250), "", 'Data Entry'!S250)</f>
      </c>
      <c r="T250">
        <f>IF(ISBLANK('Data Entry'!T250), "", 'Data Entry'!T250)</f>
      </c>
      <c r="U250">
        <f>IF(ISBLANK('Data Entry'!U250), "", 'Data Entry'!U250)</f>
      </c>
      <c r="V250">
        <f>IF(ISBLANK('Data Entry'!V250), "", 'Data Entry'!V250)</f>
      </c>
      <c r="W250">
        <f>IF(ISBLANK('Data Entry'!W250), "", 'Data Entry'!W250)</f>
      </c>
      <c r="X250">
        <f>IF(ISBLANK('Data Entry'!X250), "", 'Data Entry'!X250)</f>
      </c>
      <c r="Y250">
        <f>IF(ISBLANK('Data Entry'!Y250), "", 'Data Entry'!Y250)</f>
      </c>
      <c r="Z250">
        <f>IF(ISBLANK('Data Entry'!Z250), "", 'Data Entry'!Z250)</f>
      </c>
      <c r="AA250">
        <f>IF(ISBLANK('Data Entry'![250), "", 'Data Entry'![250)</f>
      </c>
      <c r="AB250">
        <f>IF(ISBLANK('Data Entry'!\250), "", 'Data Entry'!\250)</f>
      </c>
      <c r="AC250">
        <f>IF(ISBLANK('Data Entry'!]250), "", 'Data Entry'!]250)</f>
      </c>
      <c r="AD250">
        <f>IF(ISBLANK('Data Entry'!^250), "", 'Data Entry'!^250)</f>
      </c>
      <c r="AE250">
        <f>IF(ISBLANK('Data Entry'!_250), "", 'Data Entry'!_250)</f>
      </c>
      <c r="AF250">
        <f>IF(ISBLANK('Data Entry'!`250), "", 'Data Entry'!`250)</f>
      </c>
      <c r="AG250">
        <f>IF(ISBLANK('Data Entry'!a250), "", 'Data Entry'!a250)</f>
      </c>
      <c r="AH250">
        <f>IF(ISBLANK('Data Entry'!b250), "", 'Data Entry'!b250)</f>
      </c>
      <c r="AI250">
        <f>IF(ISBLANK('Data Entry'!c250), "", 'Data Entry'!c250)</f>
      </c>
      <c r="AJ250">
        <f>IF(ISBLANK('Data Entry'!d250), "", 'Data Entry'!d250)</f>
      </c>
      <c r="AK250">
        <f>IF(ISBLANK('Data Entry'!e250), "", 'Data Entry'!e250)</f>
      </c>
      <c r="AL250">
        <f>IF(ISBLANK('Data Entry'!f250), "", 'Data Entry'!f250)</f>
      </c>
      <c r="AM250">
        <f>IF(ISBLANK('Data Entry'!g250), "", 'Data Entry'!g250)</f>
      </c>
      <c r="AN250">
        <f>IF(ISBLANK('Data Entry'!h250), "", 'Data Entry'!h250)</f>
      </c>
    </row>
    <row r="251" spans="1:40" x14ac:dyDescent="0.25">
      <c r="A251">
        <f>IF(ISBLANK('Data Entry'!A251), "", 'Data Entry'!A251)</f>
      </c>
      <c r="B251">
        <f>IF(ISBLANK('Data Entry'!B251), "", 'Data Entry'!B251)</f>
      </c>
      <c r="C251">
        <f>IF(ISBLANK('Data Entry'!C251), "", 'Data Entry'!C251)</f>
      </c>
      <c r="D251">
        <f>IF(ISBLANK('Data Entry'!D251), "", 'Data Entry'!D251)</f>
      </c>
      <c r="E251">
        <f>IF(ISBLANK('Data Entry'!E251), "", 'Data Entry'!E251)</f>
      </c>
      <c r="F251">
        <f>IF(ISBLANK('Data Entry'!F251), "", 'Data Entry'!F251)</f>
      </c>
      <c r="G251">
        <f>IF(ISBLANK('Data Entry'!G251), "", 'Data Entry'!G251)</f>
      </c>
      <c r="H251">
        <f>IF(ISBLANK('Data Entry'!H251), "", 'Data Entry'!H251)</f>
      </c>
      <c r="I251">
        <f>IF(ISBLANK('Data Entry'!I251), "", 'Data Entry'!I251)</f>
      </c>
      <c r="J251">
        <f>IF(ISBLANK('Data Entry'!J251), "", 'Data Entry'!J251)</f>
      </c>
      <c r="K251">
        <f>IF(ISBLANK('Data Entry'!K251), "", 'Data Entry'!K251)</f>
      </c>
      <c r="L251">
        <f>IF(ISBLANK('Data Entry'!L251), "", 'Data Entry'!L251)</f>
      </c>
      <c r="M251">
        <f>IF(ISBLANK('Data Entry'!M251), "", 'Data Entry'!M251)</f>
      </c>
      <c r="N251">
        <f>IF(ISBLANK('Data Entry'!N251), "", 'Data Entry'!N251)</f>
      </c>
      <c r="O251">
        <f>IF(ISBLANK('Data Entry'!O251), "", 'Data Entry'!O251)</f>
      </c>
      <c r="P251">
        <f>IF(ISBLANK('Data Entry'!P251), "", 'Data Entry'!P251)</f>
      </c>
      <c r="Q251">
        <f>IF(ISBLANK('Data Entry'!Q251), "", 'Data Entry'!Q251)</f>
      </c>
      <c r="R251">
        <f>IF(ISBLANK('Data Entry'!R251), "", 'Data Entry'!R251)</f>
      </c>
      <c r="S251">
        <f>IF(ISBLANK('Data Entry'!S251), "", 'Data Entry'!S251)</f>
      </c>
      <c r="T251">
        <f>IF(ISBLANK('Data Entry'!T251), "", 'Data Entry'!T251)</f>
      </c>
      <c r="U251">
        <f>IF(ISBLANK('Data Entry'!U251), "", 'Data Entry'!U251)</f>
      </c>
      <c r="V251">
        <f>IF(ISBLANK('Data Entry'!V251), "", 'Data Entry'!V251)</f>
      </c>
      <c r="W251">
        <f>IF(ISBLANK('Data Entry'!W251), "", 'Data Entry'!W251)</f>
      </c>
      <c r="X251">
        <f>IF(ISBLANK('Data Entry'!X251), "", 'Data Entry'!X251)</f>
      </c>
      <c r="Y251">
        <f>IF(ISBLANK('Data Entry'!Y251), "", 'Data Entry'!Y251)</f>
      </c>
      <c r="Z251">
        <f>IF(ISBLANK('Data Entry'!Z251), "", 'Data Entry'!Z251)</f>
      </c>
      <c r="AA251">
        <f>IF(ISBLANK('Data Entry'![251), "", 'Data Entry'![251)</f>
      </c>
      <c r="AB251">
        <f>IF(ISBLANK('Data Entry'!\251), "", 'Data Entry'!\251)</f>
      </c>
      <c r="AC251">
        <f>IF(ISBLANK('Data Entry'!]251), "", 'Data Entry'!]251)</f>
      </c>
      <c r="AD251">
        <f>IF(ISBLANK('Data Entry'!^251), "", 'Data Entry'!^251)</f>
      </c>
      <c r="AE251">
        <f>IF(ISBLANK('Data Entry'!_251), "", 'Data Entry'!_251)</f>
      </c>
      <c r="AF251">
        <f>IF(ISBLANK('Data Entry'!`251), "", 'Data Entry'!`251)</f>
      </c>
      <c r="AG251">
        <f>IF(ISBLANK('Data Entry'!a251), "", 'Data Entry'!a251)</f>
      </c>
      <c r="AH251">
        <f>IF(ISBLANK('Data Entry'!b251), "", 'Data Entry'!b251)</f>
      </c>
      <c r="AI251">
        <f>IF(ISBLANK('Data Entry'!c251), "", 'Data Entry'!c251)</f>
      </c>
      <c r="AJ251">
        <f>IF(ISBLANK('Data Entry'!d251), "", 'Data Entry'!d251)</f>
      </c>
      <c r="AK251">
        <f>IF(ISBLANK('Data Entry'!e251), "", 'Data Entry'!e251)</f>
      </c>
      <c r="AL251">
        <f>IF(ISBLANK('Data Entry'!f251), "", 'Data Entry'!f251)</f>
      </c>
      <c r="AM251">
        <f>IF(ISBLANK('Data Entry'!g251), "", 'Data Entry'!g251)</f>
      </c>
      <c r="AN251">
        <f>IF(ISBLANK('Data Entry'!h251), "", 'Data Entry'!h251)</f>
      </c>
    </row>
    <row r="252" spans="1:40" x14ac:dyDescent="0.25">
      <c r="A252">
        <f>IF(ISBLANK('Data Entry'!A252), "", 'Data Entry'!A252)</f>
      </c>
      <c r="B252">
        <f>IF(ISBLANK('Data Entry'!B252), "", 'Data Entry'!B252)</f>
      </c>
      <c r="C252">
        <f>IF(ISBLANK('Data Entry'!C252), "", 'Data Entry'!C252)</f>
      </c>
      <c r="D252">
        <f>IF(ISBLANK('Data Entry'!D252), "", 'Data Entry'!D252)</f>
      </c>
      <c r="E252">
        <f>IF(ISBLANK('Data Entry'!E252), "", 'Data Entry'!E252)</f>
      </c>
      <c r="F252">
        <f>IF(ISBLANK('Data Entry'!F252), "", 'Data Entry'!F252)</f>
      </c>
      <c r="G252">
        <f>IF(ISBLANK('Data Entry'!G252), "", 'Data Entry'!G252)</f>
      </c>
      <c r="H252">
        <f>IF(ISBLANK('Data Entry'!H252), "", 'Data Entry'!H252)</f>
      </c>
      <c r="I252">
        <f>IF(ISBLANK('Data Entry'!I252), "", 'Data Entry'!I252)</f>
      </c>
      <c r="J252">
        <f>IF(ISBLANK('Data Entry'!J252), "", 'Data Entry'!J252)</f>
      </c>
      <c r="K252">
        <f>IF(ISBLANK('Data Entry'!K252), "", 'Data Entry'!K252)</f>
      </c>
      <c r="L252">
        <f>IF(ISBLANK('Data Entry'!L252), "", 'Data Entry'!L252)</f>
      </c>
      <c r="M252">
        <f>IF(ISBLANK('Data Entry'!M252), "", 'Data Entry'!M252)</f>
      </c>
      <c r="N252">
        <f>IF(ISBLANK('Data Entry'!N252), "", 'Data Entry'!N252)</f>
      </c>
      <c r="O252">
        <f>IF(ISBLANK('Data Entry'!O252), "", 'Data Entry'!O252)</f>
      </c>
      <c r="P252">
        <f>IF(ISBLANK('Data Entry'!P252), "", 'Data Entry'!P252)</f>
      </c>
      <c r="Q252">
        <f>IF(ISBLANK('Data Entry'!Q252), "", 'Data Entry'!Q252)</f>
      </c>
      <c r="R252">
        <f>IF(ISBLANK('Data Entry'!R252), "", 'Data Entry'!R252)</f>
      </c>
      <c r="S252">
        <f>IF(ISBLANK('Data Entry'!S252), "", 'Data Entry'!S252)</f>
      </c>
      <c r="T252">
        <f>IF(ISBLANK('Data Entry'!T252), "", 'Data Entry'!T252)</f>
      </c>
      <c r="U252">
        <f>IF(ISBLANK('Data Entry'!U252), "", 'Data Entry'!U252)</f>
      </c>
      <c r="V252">
        <f>IF(ISBLANK('Data Entry'!V252), "", 'Data Entry'!V252)</f>
      </c>
      <c r="W252">
        <f>IF(ISBLANK('Data Entry'!W252), "", 'Data Entry'!W252)</f>
      </c>
      <c r="X252">
        <f>IF(ISBLANK('Data Entry'!X252), "", 'Data Entry'!X252)</f>
      </c>
      <c r="Y252">
        <f>IF(ISBLANK('Data Entry'!Y252), "", 'Data Entry'!Y252)</f>
      </c>
      <c r="Z252">
        <f>IF(ISBLANK('Data Entry'!Z252), "", 'Data Entry'!Z252)</f>
      </c>
      <c r="AA252">
        <f>IF(ISBLANK('Data Entry'![252), "", 'Data Entry'![252)</f>
      </c>
      <c r="AB252">
        <f>IF(ISBLANK('Data Entry'!\252), "", 'Data Entry'!\252)</f>
      </c>
      <c r="AC252">
        <f>IF(ISBLANK('Data Entry'!]252), "", 'Data Entry'!]252)</f>
      </c>
      <c r="AD252">
        <f>IF(ISBLANK('Data Entry'!^252), "", 'Data Entry'!^252)</f>
      </c>
      <c r="AE252">
        <f>IF(ISBLANK('Data Entry'!_252), "", 'Data Entry'!_252)</f>
      </c>
      <c r="AF252">
        <f>IF(ISBLANK('Data Entry'!`252), "", 'Data Entry'!`252)</f>
      </c>
      <c r="AG252">
        <f>IF(ISBLANK('Data Entry'!a252), "", 'Data Entry'!a252)</f>
      </c>
      <c r="AH252">
        <f>IF(ISBLANK('Data Entry'!b252), "", 'Data Entry'!b252)</f>
      </c>
      <c r="AI252">
        <f>IF(ISBLANK('Data Entry'!c252), "", 'Data Entry'!c252)</f>
      </c>
      <c r="AJ252">
        <f>IF(ISBLANK('Data Entry'!d252), "", 'Data Entry'!d252)</f>
      </c>
      <c r="AK252">
        <f>IF(ISBLANK('Data Entry'!e252), "", 'Data Entry'!e252)</f>
      </c>
      <c r="AL252">
        <f>IF(ISBLANK('Data Entry'!f252), "", 'Data Entry'!f252)</f>
      </c>
      <c r="AM252">
        <f>IF(ISBLANK('Data Entry'!g252), "", 'Data Entry'!g252)</f>
      </c>
      <c r="AN252">
        <f>IF(ISBLANK('Data Entry'!h252), "", 'Data Entry'!h252)</f>
      </c>
    </row>
    <row r="253" spans="1:40" x14ac:dyDescent="0.25">
      <c r="A253">
        <f>IF(ISBLANK('Data Entry'!A253), "", 'Data Entry'!A253)</f>
      </c>
      <c r="B253">
        <f>IF(ISBLANK('Data Entry'!B253), "", 'Data Entry'!B253)</f>
      </c>
      <c r="C253">
        <f>IF(ISBLANK('Data Entry'!C253), "", 'Data Entry'!C253)</f>
      </c>
      <c r="D253">
        <f>IF(ISBLANK('Data Entry'!D253), "", 'Data Entry'!D253)</f>
      </c>
      <c r="E253">
        <f>IF(ISBLANK('Data Entry'!E253), "", 'Data Entry'!E253)</f>
      </c>
      <c r="F253">
        <f>IF(ISBLANK('Data Entry'!F253), "", 'Data Entry'!F253)</f>
      </c>
      <c r="G253">
        <f>IF(ISBLANK('Data Entry'!G253), "", 'Data Entry'!G253)</f>
      </c>
      <c r="H253">
        <f>IF(ISBLANK('Data Entry'!H253), "", 'Data Entry'!H253)</f>
      </c>
      <c r="I253">
        <f>IF(ISBLANK('Data Entry'!I253), "", 'Data Entry'!I253)</f>
      </c>
      <c r="J253">
        <f>IF(ISBLANK('Data Entry'!J253), "", 'Data Entry'!J253)</f>
      </c>
      <c r="K253">
        <f>IF(ISBLANK('Data Entry'!K253), "", 'Data Entry'!K253)</f>
      </c>
      <c r="L253">
        <f>IF(ISBLANK('Data Entry'!L253), "", 'Data Entry'!L253)</f>
      </c>
      <c r="M253">
        <f>IF(ISBLANK('Data Entry'!M253), "", 'Data Entry'!M253)</f>
      </c>
      <c r="N253">
        <f>IF(ISBLANK('Data Entry'!N253), "", 'Data Entry'!N253)</f>
      </c>
      <c r="O253">
        <f>IF(ISBLANK('Data Entry'!O253), "", 'Data Entry'!O253)</f>
      </c>
      <c r="P253">
        <f>IF(ISBLANK('Data Entry'!P253), "", 'Data Entry'!P253)</f>
      </c>
      <c r="Q253">
        <f>IF(ISBLANK('Data Entry'!Q253), "", 'Data Entry'!Q253)</f>
      </c>
      <c r="R253">
        <f>IF(ISBLANK('Data Entry'!R253), "", 'Data Entry'!R253)</f>
      </c>
      <c r="S253">
        <f>IF(ISBLANK('Data Entry'!S253), "", 'Data Entry'!S253)</f>
      </c>
      <c r="T253">
        <f>IF(ISBLANK('Data Entry'!T253), "", 'Data Entry'!T253)</f>
      </c>
      <c r="U253">
        <f>IF(ISBLANK('Data Entry'!U253), "", 'Data Entry'!U253)</f>
      </c>
      <c r="V253">
        <f>IF(ISBLANK('Data Entry'!V253), "", 'Data Entry'!V253)</f>
      </c>
      <c r="W253">
        <f>IF(ISBLANK('Data Entry'!W253), "", 'Data Entry'!W253)</f>
      </c>
      <c r="X253">
        <f>IF(ISBLANK('Data Entry'!X253), "", 'Data Entry'!X253)</f>
      </c>
      <c r="Y253">
        <f>IF(ISBLANK('Data Entry'!Y253), "", 'Data Entry'!Y253)</f>
      </c>
      <c r="Z253">
        <f>IF(ISBLANK('Data Entry'!Z253), "", 'Data Entry'!Z253)</f>
      </c>
      <c r="AA253">
        <f>IF(ISBLANK('Data Entry'![253), "", 'Data Entry'![253)</f>
      </c>
      <c r="AB253">
        <f>IF(ISBLANK('Data Entry'!\253), "", 'Data Entry'!\253)</f>
      </c>
      <c r="AC253">
        <f>IF(ISBLANK('Data Entry'!]253), "", 'Data Entry'!]253)</f>
      </c>
      <c r="AD253">
        <f>IF(ISBLANK('Data Entry'!^253), "", 'Data Entry'!^253)</f>
      </c>
      <c r="AE253">
        <f>IF(ISBLANK('Data Entry'!_253), "", 'Data Entry'!_253)</f>
      </c>
      <c r="AF253">
        <f>IF(ISBLANK('Data Entry'!`253), "", 'Data Entry'!`253)</f>
      </c>
      <c r="AG253">
        <f>IF(ISBLANK('Data Entry'!a253), "", 'Data Entry'!a253)</f>
      </c>
      <c r="AH253">
        <f>IF(ISBLANK('Data Entry'!b253), "", 'Data Entry'!b253)</f>
      </c>
      <c r="AI253">
        <f>IF(ISBLANK('Data Entry'!c253), "", 'Data Entry'!c253)</f>
      </c>
      <c r="AJ253">
        <f>IF(ISBLANK('Data Entry'!d253), "", 'Data Entry'!d253)</f>
      </c>
      <c r="AK253">
        <f>IF(ISBLANK('Data Entry'!e253), "", 'Data Entry'!e253)</f>
      </c>
      <c r="AL253">
        <f>IF(ISBLANK('Data Entry'!f253), "", 'Data Entry'!f253)</f>
      </c>
      <c r="AM253">
        <f>IF(ISBLANK('Data Entry'!g253), "", 'Data Entry'!g253)</f>
      </c>
      <c r="AN253">
        <f>IF(ISBLANK('Data Entry'!h253), "", 'Data Entry'!h253)</f>
      </c>
    </row>
    <row r="254" spans="1:40" x14ac:dyDescent="0.25">
      <c r="A254">
        <f>IF(ISBLANK('Data Entry'!A254), "", 'Data Entry'!A254)</f>
      </c>
      <c r="B254">
        <f>IF(ISBLANK('Data Entry'!B254), "", 'Data Entry'!B254)</f>
      </c>
      <c r="C254">
        <f>IF(ISBLANK('Data Entry'!C254), "", 'Data Entry'!C254)</f>
      </c>
      <c r="D254">
        <f>IF(ISBLANK('Data Entry'!D254), "", 'Data Entry'!D254)</f>
      </c>
      <c r="E254">
        <f>IF(ISBLANK('Data Entry'!E254), "", 'Data Entry'!E254)</f>
      </c>
      <c r="F254">
        <f>IF(ISBLANK('Data Entry'!F254), "", 'Data Entry'!F254)</f>
      </c>
      <c r="G254">
        <f>IF(ISBLANK('Data Entry'!G254), "", 'Data Entry'!G254)</f>
      </c>
      <c r="H254">
        <f>IF(ISBLANK('Data Entry'!H254), "", 'Data Entry'!H254)</f>
      </c>
      <c r="I254">
        <f>IF(ISBLANK('Data Entry'!I254), "", 'Data Entry'!I254)</f>
      </c>
      <c r="J254">
        <f>IF(ISBLANK('Data Entry'!J254), "", 'Data Entry'!J254)</f>
      </c>
      <c r="K254">
        <f>IF(ISBLANK('Data Entry'!K254), "", 'Data Entry'!K254)</f>
      </c>
      <c r="L254">
        <f>IF(ISBLANK('Data Entry'!L254), "", 'Data Entry'!L254)</f>
      </c>
      <c r="M254">
        <f>IF(ISBLANK('Data Entry'!M254), "", 'Data Entry'!M254)</f>
      </c>
      <c r="N254">
        <f>IF(ISBLANK('Data Entry'!N254), "", 'Data Entry'!N254)</f>
      </c>
      <c r="O254">
        <f>IF(ISBLANK('Data Entry'!O254), "", 'Data Entry'!O254)</f>
      </c>
      <c r="P254">
        <f>IF(ISBLANK('Data Entry'!P254), "", 'Data Entry'!P254)</f>
      </c>
      <c r="Q254">
        <f>IF(ISBLANK('Data Entry'!Q254), "", 'Data Entry'!Q254)</f>
      </c>
      <c r="R254">
        <f>IF(ISBLANK('Data Entry'!R254), "", 'Data Entry'!R254)</f>
      </c>
      <c r="S254">
        <f>IF(ISBLANK('Data Entry'!S254), "", 'Data Entry'!S254)</f>
      </c>
      <c r="T254">
        <f>IF(ISBLANK('Data Entry'!T254), "", 'Data Entry'!T254)</f>
      </c>
      <c r="U254">
        <f>IF(ISBLANK('Data Entry'!U254), "", 'Data Entry'!U254)</f>
      </c>
      <c r="V254">
        <f>IF(ISBLANK('Data Entry'!V254), "", 'Data Entry'!V254)</f>
      </c>
      <c r="W254">
        <f>IF(ISBLANK('Data Entry'!W254), "", 'Data Entry'!W254)</f>
      </c>
      <c r="X254">
        <f>IF(ISBLANK('Data Entry'!X254), "", 'Data Entry'!X254)</f>
      </c>
      <c r="Y254">
        <f>IF(ISBLANK('Data Entry'!Y254), "", 'Data Entry'!Y254)</f>
      </c>
      <c r="Z254">
        <f>IF(ISBLANK('Data Entry'!Z254), "", 'Data Entry'!Z254)</f>
      </c>
      <c r="AA254">
        <f>IF(ISBLANK('Data Entry'![254), "", 'Data Entry'![254)</f>
      </c>
      <c r="AB254">
        <f>IF(ISBLANK('Data Entry'!\254), "", 'Data Entry'!\254)</f>
      </c>
      <c r="AC254">
        <f>IF(ISBLANK('Data Entry'!]254), "", 'Data Entry'!]254)</f>
      </c>
      <c r="AD254">
        <f>IF(ISBLANK('Data Entry'!^254), "", 'Data Entry'!^254)</f>
      </c>
      <c r="AE254">
        <f>IF(ISBLANK('Data Entry'!_254), "", 'Data Entry'!_254)</f>
      </c>
      <c r="AF254">
        <f>IF(ISBLANK('Data Entry'!`254), "", 'Data Entry'!`254)</f>
      </c>
      <c r="AG254">
        <f>IF(ISBLANK('Data Entry'!a254), "", 'Data Entry'!a254)</f>
      </c>
      <c r="AH254">
        <f>IF(ISBLANK('Data Entry'!b254), "", 'Data Entry'!b254)</f>
      </c>
      <c r="AI254">
        <f>IF(ISBLANK('Data Entry'!c254), "", 'Data Entry'!c254)</f>
      </c>
      <c r="AJ254">
        <f>IF(ISBLANK('Data Entry'!d254), "", 'Data Entry'!d254)</f>
      </c>
      <c r="AK254">
        <f>IF(ISBLANK('Data Entry'!e254), "", 'Data Entry'!e254)</f>
      </c>
      <c r="AL254">
        <f>IF(ISBLANK('Data Entry'!f254), "", 'Data Entry'!f254)</f>
      </c>
      <c r="AM254">
        <f>IF(ISBLANK('Data Entry'!g254), "", 'Data Entry'!g254)</f>
      </c>
      <c r="AN254">
        <f>IF(ISBLANK('Data Entry'!h254), "", 'Data Entry'!h254)</f>
      </c>
    </row>
    <row r="255" spans="1:40" x14ac:dyDescent="0.25">
      <c r="A255">
        <f>IF(ISBLANK('Data Entry'!A255), "", 'Data Entry'!A255)</f>
      </c>
      <c r="B255">
        <f>IF(ISBLANK('Data Entry'!B255), "", 'Data Entry'!B255)</f>
      </c>
      <c r="C255">
        <f>IF(ISBLANK('Data Entry'!C255), "", 'Data Entry'!C255)</f>
      </c>
      <c r="D255">
        <f>IF(ISBLANK('Data Entry'!D255), "", 'Data Entry'!D255)</f>
      </c>
      <c r="E255">
        <f>IF(ISBLANK('Data Entry'!E255), "", 'Data Entry'!E255)</f>
      </c>
      <c r="F255">
        <f>IF(ISBLANK('Data Entry'!F255), "", 'Data Entry'!F255)</f>
      </c>
      <c r="G255">
        <f>IF(ISBLANK('Data Entry'!G255), "", 'Data Entry'!G255)</f>
      </c>
      <c r="H255">
        <f>IF(ISBLANK('Data Entry'!H255), "", 'Data Entry'!H255)</f>
      </c>
      <c r="I255">
        <f>IF(ISBLANK('Data Entry'!I255), "", 'Data Entry'!I255)</f>
      </c>
      <c r="J255">
        <f>IF(ISBLANK('Data Entry'!J255), "", 'Data Entry'!J255)</f>
      </c>
      <c r="K255">
        <f>IF(ISBLANK('Data Entry'!K255), "", 'Data Entry'!K255)</f>
      </c>
      <c r="L255">
        <f>IF(ISBLANK('Data Entry'!L255), "", 'Data Entry'!L255)</f>
      </c>
      <c r="M255">
        <f>IF(ISBLANK('Data Entry'!M255), "", 'Data Entry'!M255)</f>
      </c>
      <c r="N255">
        <f>IF(ISBLANK('Data Entry'!N255), "", 'Data Entry'!N255)</f>
      </c>
      <c r="O255">
        <f>IF(ISBLANK('Data Entry'!O255), "", 'Data Entry'!O255)</f>
      </c>
      <c r="P255">
        <f>IF(ISBLANK('Data Entry'!P255), "", 'Data Entry'!P255)</f>
      </c>
      <c r="Q255">
        <f>IF(ISBLANK('Data Entry'!Q255), "", 'Data Entry'!Q255)</f>
      </c>
      <c r="R255">
        <f>IF(ISBLANK('Data Entry'!R255), "", 'Data Entry'!R255)</f>
      </c>
      <c r="S255">
        <f>IF(ISBLANK('Data Entry'!S255), "", 'Data Entry'!S255)</f>
      </c>
      <c r="T255">
        <f>IF(ISBLANK('Data Entry'!T255), "", 'Data Entry'!T255)</f>
      </c>
      <c r="U255">
        <f>IF(ISBLANK('Data Entry'!U255), "", 'Data Entry'!U255)</f>
      </c>
      <c r="V255">
        <f>IF(ISBLANK('Data Entry'!V255), "", 'Data Entry'!V255)</f>
      </c>
      <c r="W255">
        <f>IF(ISBLANK('Data Entry'!W255), "", 'Data Entry'!W255)</f>
      </c>
      <c r="X255">
        <f>IF(ISBLANK('Data Entry'!X255), "", 'Data Entry'!X255)</f>
      </c>
      <c r="Y255">
        <f>IF(ISBLANK('Data Entry'!Y255), "", 'Data Entry'!Y255)</f>
      </c>
      <c r="Z255">
        <f>IF(ISBLANK('Data Entry'!Z255), "", 'Data Entry'!Z255)</f>
      </c>
      <c r="AA255">
        <f>IF(ISBLANK('Data Entry'![255), "", 'Data Entry'![255)</f>
      </c>
      <c r="AB255">
        <f>IF(ISBLANK('Data Entry'!\255), "", 'Data Entry'!\255)</f>
      </c>
      <c r="AC255">
        <f>IF(ISBLANK('Data Entry'!]255), "", 'Data Entry'!]255)</f>
      </c>
      <c r="AD255">
        <f>IF(ISBLANK('Data Entry'!^255), "", 'Data Entry'!^255)</f>
      </c>
      <c r="AE255">
        <f>IF(ISBLANK('Data Entry'!_255), "", 'Data Entry'!_255)</f>
      </c>
      <c r="AF255">
        <f>IF(ISBLANK('Data Entry'!`255), "", 'Data Entry'!`255)</f>
      </c>
      <c r="AG255">
        <f>IF(ISBLANK('Data Entry'!a255), "", 'Data Entry'!a255)</f>
      </c>
      <c r="AH255">
        <f>IF(ISBLANK('Data Entry'!b255), "", 'Data Entry'!b255)</f>
      </c>
      <c r="AI255">
        <f>IF(ISBLANK('Data Entry'!c255), "", 'Data Entry'!c255)</f>
      </c>
      <c r="AJ255">
        <f>IF(ISBLANK('Data Entry'!d255), "", 'Data Entry'!d255)</f>
      </c>
      <c r="AK255">
        <f>IF(ISBLANK('Data Entry'!e255), "", 'Data Entry'!e255)</f>
      </c>
      <c r="AL255">
        <f>IF(ISBLANK('Data Entry'!f255), "", 'Data Entry'!f255)</f>
      </c>
      <c r="AM255">
        <f>IF(ISBLANK('Data Entry'!g255), "", 'Data Entry'!g255)</f>
      </c>
      <c r="AN255">
        <f>IF(ISBLANK('Data Entry'!h255), "", 'Data Entry'!h255)</f>
      </c>
    </row>
    <row r="256" spans="1:40" x14ac:dyDescent="0.25">
      <c r="A256">
        <f>IF(ISBLANK('Data Entry'!A256), "", 'Data Entry'!A256)</f>
      </c>
      <c r="B256">
        <f>IF(ISBLANK('Data Entry'!B256), "", 'Data Entry'!B256)</f>
      </c>
      <c r="C256">
        <f>IF(ISBLANK('Data Entry'!C256), "", 'Data Entry'!C256)</f>
      </c>
      <c r="D256">
        <f>IF(ISBLANK('Data Entry'!D256), "", 'Data Entry'!D256)</f>
      </c>
      <c r="E256">
        <f>IF(ISBLANK('Data Entry'!E256), "", 'Data Entry'!E256)</f>
      </c>
      <c r="F256">
        <f>IF(ISBLANK('Data Entry'!F256), "", 'Data Entry'!F256)</f>
      </c>
      <c r="G256">
        <f>IF(ISBLANK('Data Entry'!G256), "", 'Data Entry'!G256)</f>
      </c>
      <c r="H256">
        <f>IF(ISBLANK('Data Entry'!H256), "", 'Data Entry'!H256)</f>
      </c>
      <c r="I256">
        <f>IF(ISBLANK('Data Entry'!I256), "", 'Data Entry'!I256)</f>
      </c>
      <c r="J256">
        <f>IF(ISBLANK('Data Entry'!J256), "", 'Data Entry'!J256)</f>
      </c>
      <c r="K256">
        <f>IF(ISBLANK('Data Entry'!K256), "", 'Data Entry'!K256)</f>
      </c>
      <c r="L256">
        <f>IF(ISBLANK('Data Entry'!L256), "", 'Data Entry'!L256)</f>
      </c>
      <c r="M256">
        <f>IF(ISBLANK('Data Entry'!M256), "", 'Data Entry'!M256)</f>
      </c>
      <c r="N256">
        <f>IF(ISBLANK('Data Entry'!N256), "", 'Data Entry'!N256)</f>
      </c>
      <c r="O256">
        <f>IF(ISBLANK('Data Entry'!O256), "", 'Data Entry'!O256)</f>
      </c>
      <c r="P256">
        <f>IF(ISBLANK('Data Entry'!P256), "", 'Data Entry'!P256)</f>
      </c>
      <c r="Q256">
        <f>IF(ISBLANK('Data Entry'!Q256), "", 'Data Entry'!Q256)</f>
      </c>
      <c r="R256">
        <f>IF(ISBLANK('Data Entry'!R256), "", 'Data Entry'!R256)</f>
      </c>
      <c r="S256">
        <f>IF(ISBLANK('Data Entry'!S256), "", 'Data Entry'!S256)</f>
      </c>
      <c r="T256">
        <f>IF(ISBLANK('Data Entry'!T256), "", 'Data Entry'!T256)</f>
      </c>
      <c r="U256">
        <f>IF(ISBLANK('Data Entry'!U256), "", 'Data Entry'!U256)</f>
      </c>
      <c r="V256">
        <f>IF(ISBLANK('Data Entry'!V256), "", 'Data Entry'!V256)</f>
      </c>
      <c r="W256">
        <f>IF(ISBLANK('Data Entry'!W256), "", 'Data Entry'!W256)</f>
      </c>
      <c r="X256">
        <f>IF(ISBLANK('Data Entry'!X256), "", 'Data Entry'!X256)</f>
      </c>
      <c r="Y256">
        <f>IF(ISBLANK('Data Entry'!Y256), "", 'Data Entry'!Y256)</f>
      </c>
      <c r="Z256">
        <f>IF(ISBLANK('Data Entry'!Z256), "", 'Data Entry'!Z256)</f>
      </c>
      <c r="AA256">
        <f>IF(ISBLANK('Data Entry'![256), "", 'Data Entry'![256)</f>
      </c>
      <c r="AB256">
        <f>IF(ISBLANK('Data Entry'!\256), "", 'Data Entry'!\256)</f>
      </c>
      <c r="AC256">
        <f>IF(ISBLANK('Data Entry'!]256), "", 'Data Entry'!]256)</f>
      </c>
      <c r="AD256">
        <f>IF(ISBLANK('Data Entry'!^256), "", 'Data Entry'!^256)</f>
      </c>
      <c r="AE256">
        <f>IF(ISBLANK('Data Entry'!_256), "", 'Data Entry'!_256)</f>
      </c>
      <c r="AF256">
        <f>IF(ISBLANK('Data Entry'!`256), "", 'Data Entry'!`256)</f>
      </c>
      <c r="AG256">
        <f>IF(ISBLANK('Data Entry'!a256), "", 'Data Entry'!a256)</f>
      </c>
      <c r="AH256">
        <f>IF(ISBLANK('Data Entry'!b256), "", 'Data Entry'!b256)</f>
      </c>
      <c r="AI256">
        <f>IF(ISBLANK('Data Entry'!c256), "", 'Data Entry'!c256)</f>
      </c>
      <c r="AJ256">
        <f>IF(ISBLANK('Data Entry'!d256), "", 'Data Entry'!d256)</f>
      </c>
      <c r="AK256">
        <f>IF(ISBLANK('Data Entry'!e256), "", 'Data Entry'!e256)</f>
      </c>
      <c r="AL256">
        <f>IF(ISBLANK('Data Entry'!f256), "", 'Data Entry'!f256)</f>
      </c>
      <c r="AM256">
        <f>IF(ISBLANK('Data Entry'!g256), "", 'Data Entry'!g256)</f>
      </c>
      <c r="AN256">
        <f>IF(ISBLANK('Data Entry'!h256), "", 'Data Entry'!h256)</f>
      </c>
    </row>
    <row r="257" spans="1:40" x14ac:dyDescent="0.25">
      <c r="A257">
        <f>IF(ISBLANK('Data Entry'!A257), "", 'Data Entry'!A257)</f>
      </c>
      <c r="B257">
        <f>IF(ISBLANK('Data Entry'!B257), "", 'Data Entry'!B257)</f>
      </c>
      <c r="C257">
        <f>IF(ISBLANK('Data Entry'!C257), "", 'Data Entry'!C257)</f>
      </c>
      <c r="D257">
        <f>IF(ISBLANK('Data Entry'!D257), "", 'Data Entry'!D257)</f>
      </c>
      <c r="E257">
        <f>IF(ISBLANK('Data Entry'!E257), "", 'Data Entry'!E257)</f>
      </c>
      <c r="F257">
        <f>IF(ISBLANK('Data Entry'!F257), "", 'Data Entry'!F257)</f>
      </c>
      <c r="G257">
        <f>IF(ISBLANK('Data Entry'!G257), "", 'Data Entry'!G257)</f>
      </c>
      <c r="H257">
        <f>IF(ISBLANK('Data Entry'!H257), "", 'Data Entry'!H257)</f>
      </c>
      <c r="I257">
        <f>IF(ISBLANK('Data Entry'!I257), "", 'Data Entry'!I257)</f>
      </c>
      <c r="J257">
        <f>IF(ISBLANK('Data Entry'!J257), "", 'Data Entry'!J257)</f>
      </c>
      <c r="K257">
        <f>IF(ISBLANK('Data Entry'!K257), "", 'Data Entry'!K257)</f>
      </c>
      <c r="L257">
        <f>IF(ISBLANK('Data Entry'!L257), "", 'Data Entry'!L257)</f>
      </c>
      <c r="M257">
        <f>IF(ISBLANK('Data Entry'!M257), "", 'Data Entry'!M257)</f>
      </c>
      <c r="N257">
        <f>IF(ISBLANK('Data Entry'!N257), "", 'Data Entry'!N257)</f>
      </c>
      <c r="O257">
        <f>IF(ISBLANK('Data Entry'!O257), "", 'Data Entry'!O257)</f>
      </c>
      <c r="P257">
        <f>IF(ISBLANK('Data Entry'!P257), "", 'Data Entry'!P257)</f>
      </c>
      <c r="Q257">
        <f>IF(ISBLANK('Data Entry'!Q257), "", 'Data Entry'!Q257)</f>
      </c>
      <c r="R257">
        <f>IF(ISBLANK('Data Entry'!R257), "", 'Data Entry'!R257)</f>
      </c>
      <c r="S257">
        <f>IF(ISBLANK('Data Entry'!S257), "", 'Data Entry'!S257)</f>
      </c>
      <c r="T257">
        <f>IF(ISBLANK('Data Entry'!T257), "", 'Data Entry'!T257)</f>
      </c>
      <c r="U257">
        <f>IF(ISBLANK('Data Entry'!U257), "", 'Data Entry'!U257)</f>
      </c>
      <c r="V257">
        <f>IF(ISBLANK('Data Entry'!V257), "", 'Data Entry'!V257)</f>
      </c>
      <c r="W257">
        <f>IF(ISBLANK('Data Entry'!W257), "", 'Data Entry'!W257)</f>
      </c>
      <c r="X257">
        <f>IF(ISBLANK('Data Entry'!X257), "", 'Data Entry'!X257)</f>
      </c>
      <c r="Y257">
        <f>IF(ISBLANK('Data Entry'!Y257), "", 'Data Entry'!Y257)</f>
      </c>
      <c r="Z257">
        <f>IF(ISBLANK('Data Entry'!Z257), "", 'Data Entry'!Z257)</f>
      </c>
      <c r="AA257">
        <f>IF(ISBLANK('Data Entry'![257), "", 'Data Entry'![257)</f>
      </c>
      <c r="AB257">
        <f>IF(ISBLANK('Data Entry'!\257), "", 'Data Entry'!\257)</f>
      </c>
      <c r="AC257">
        <f>IF(ISBLANK('Data Entry'!]257), "", 'Data Entry'!]257)</f>
      </c>
      <c r="AD257">
        <f>IF(ISBLANK('Data Entry'!^257), "", 'Data Entry'!^257)</f>
      </c>
      <c r="AE257">
        <f>IF(ISBLANK('Data Entry'!_257), "", 'Data Entry'!_257)</f>
      </c>
      <c r="AF257">
        <f>IF(ISBLANK('Data Entry'!`257), "", 'Data Entry'!`257)</f>
      </c>
      <c r="AG257">
        <f>IF(ISBLANK('Data Entry'!a257), "", 'Data Entry'!a257)</f>
      </c>
      <c r="AH257">
        <f>IF(ISBLANK('Data Entry'!b257), "", 'Data Entry'!b257)</f>
      </c>
      <c r="AI257">
        <f>IF(ISBLANK('Data Entry'!c257), "", 'Data Entry'!c257)</f>
      </c>
      <c r="AJ257">
        <f>IF(ISBLANK('Data Entry'!d257), "", 'Data Entry'!d257)</f>
      </c>
      <c r="AK257">
        <f>IF(ISBLANK('Data Entry'!e257), "", 'Data Entry'!e257)</f>
      </c>
      <c r="AL257">
        <f>IF(ISBLANK('Data Entry'!f257), "", 'Data Entry'!f257)</f>
      </c>
      <c r="AM257">
        <f>IF(ISBLANK('Data Entry'!g257), "", 'Data Entry'!g257)</f>
      </c>
      <c r="AN257">
        <f>IF(ISBLANK('Data Entry'!h257), "", 'Data Entry'!h257)</f>
      </c>
    </row>
    <row r="258" spans="1:40" x14ac:dyDescent="0.25">
      <c r="A258">
        <f>IF(ISBLANK('Data Entry'!A258), "", 'Data Entry'!A258)</f>
      </c>
      <c r="B258">
        <f>IF(ISBLANK('Data Entry'!B258), "", 'Data Entry'!B258)</f>
      </c>
      <c r="C258">
        <f>IF(ISBLANK('Data Entry'!C258), "", 'Data Entry'!C258)</f>
      </c>
      <c r="D258">
        <f>IF(ISBLANK('Data Entry'!D258), "", 'Data Entry'!D258)</f>
      </c>
      <c r="E258">
        <f>IF(ISBLANK('Data Entry'!E258), "", 'Data Entry'!E258)</f>
      </c>
      <c r="F258">
        <f>IF(ISBLANK('Data Entry'!F258), "", 'Data Entry'!F258)</f>
      </c>
      <c r="G258">
        <f>IF(ISBLANK('Data Entry'!G258), "", 'Data Entry'!G258)</f>
      </c>
      <c r="H258">
        <f>IF(ISBLANK('Data Entry'!H258), "", 'Data Entry'!H258)</f>
      </c>
      <c r="I258">
        <f>IF(ISBLANK('Data Entry'!I258), "", 'Data Entry'!I258)</f>
      </c>
      <c r="J258">
        <f>IF(ISBLANK('Data Entry'!J258), "", 'Data Entry'!J258)</f>
      </c>
      <c r="K258">
        <f>IF(ISBLANK('Data Entry'!K258), "", 'Data Entry'!K258)</f>
      </c>
      <c r="L258">
        <f>IF(ISBLANK('Data Entry'!L258), "", 'Data Entry'!L258)</f>
      </c>
      <c r="M258">
        <f>IF(ISBLANK('Data Entry'!M258), "", 'Data Entry'!M258)</f>
      </c>
      <c r="N258">
        <f>IF(ISBLANK('Data Entry'!N258), "", 'Data Entry'!N258)</f>
      </c>
      <c r="O258">
        <f>IF(ISBLANK('Data Entry'!O258), "", 'Data Entry'!O258)</f>
      </c>
      <c r="P258">
        <f>IF(ISBLANK('Data Entry'!P258), "", 'Data Entry'!P258)</f>
      </c>
      <c r="Q258">
        <f>IF(ISBLANK('Data Entry'!Q258), "", 'Data Entry'!Q258)</f>
      </c>
      <c r="R258">
        <f>IF(ISBLANK('Data Entry'!R258), "", 'Data Entry'!R258)</f>
      </c>
      <c r="S258">
        <f>IF(ISBLANK('Data Entry'!S258), "", 'Data Entry'!S258)</f>
      </c>
      <c r="T258">
        <f>IF(ISBLANK('Data Entry'!T258), "", 'Data Entry'!T258)</f>
      </c>
      <c r="U258">
        <f>IF(ISBLANK('Data Entry'!U258), "", 'Data Entry'!U258)</f>
      </c>
      <c r="V258">
        <f>IF(ISBLANK('Data Entry'!V258), "", 'Data Entry'!V258)</f>
      </c>
      <c r="W258">
        <f>IF(ISBLANK('Data Entry'!W258), "", 'Data Entry'!W258)</f>
      </c>
      <c r="X258">
        <f>IF(ISBLANK('Data Entry'!X258), "", 'Data Entry'!X258)</f>
      </c>
      <c r="Y258">
        <f>IF(ISBLANK('Data Entry'!Y258), "", 'Data Entry'!Y258)</f>
      </c>
      <c r="Z258">
        <f>IF(ISBLANK('Data Entry'!Z258), "", 'Data Entry'!Z258)</f>
      </c>
      <c r="AA258">
        <f>IF(ISBLANK('Data Entry'![258), "", 'Data Entry'![258)</f>
      </c>
      <c r="AB258">
        <f>IF(ISBLANK('Data Entry'!\258), "", 'Data Entry'!\258)</f>
      </c>
      <c r="AC258">
        <f>IF(ISBLANK('Data Entry'!]258), "", 'Data Entry'!]258)</f>
      </c>
      <c r="AD258">
        <f>IF(ISBLANK('Data Entry'!^258), "", 'Data Entry'!^258)</f>
      </c>
      <c r="AE258">
        <f>IF(ISBLANK('Data Entry'!_258), "", 'Data Entry'!_258)</f>
      </c>
      <c r="AF258">
        <f>IF(ISBLANK('Data Entry'!`258), "", 'Data Entry'!`258)</f>
      </c>
      <c r="AG258">
        <f>IF(ISBLANK('Data Entry'!a258), "", 'Data Entry'!a258)</f>
      </c>
      <c r="AH258">
        <f>IF(ISBLANK('Data Entry'!b258), "", 'Data Entry'!b258)</f>
      </c>
      <c r="AI258">
        <f>IF(ISBLANK('Data Entry'!c258), "", 'Data Entry'!c258)</f>
      </c>
      <c r="AJ258">
        <f>IF(ISBLANK('Data Entry'!d258), "", 'Data Entry'!d258)</f>
      </c>
      <c r="AK258">
        <f>IF(ISBLANK('Data Entry'!e258), "", 'Data Entry'!e258)</f>
      </c>
      <c r="AL258">
        <f>IF(ISBLANK('Data Entry'!f258), "", 'Data Entry'!f258)</f>
      </c>
      <c r="AM258">
        <f>IF(ISBLANK('Data Entry'!g258), "", 'Data Entry'!g258)</f>
      </c>
      <c r="AN258">
        <f>IF(ISBLANK('Data Entry'!h258), "", 'Data Entry'!h258)</f>
      </c>
    </row>
    <row r="259" spans="1:40" x14ac:dyDescent="0.25">
      <c r="A259">
        <f>IF(ISBLANK('Data Entry'!A259), "", 'Data Entry'!A259)</f>
      </c>
      <c r="B259">
        <f>IF(ISBLANK('Data Entry'!B259), "", 'Data Entry'!B259)</f>
      </c>
      <c r="C259">
        <f>IF(ISBLANK('Data Entry'!C259), "", 'Data Entry'!C259)</f>
      </c>
      <c r="D259">
        <f>IF(ISBLANK('Data Entry'!D259), "", 'Data Entry'!D259)</f>
      </c>
      <c r="E259">
        <f>IF(ISBLANK('Data Entry'!E259), "", 'Data Entry'!E259)</f>
      </c>
      <c r="F259">
        <f>IF(ISBLANK('Data Entry'!F259), "", 'Data Entry'!F259)</f>
      </c>
      <c r="G259">
        <f>IF(ISBLANK('Data Entry'!G259), "", 'Data Entry'!G259)</f>
      </c>
      <c r="H259">
        <f>IF(ISBLANK('Data Entry'!H259), "", 'Data Entry'!H259)</f>
      </c>
      <c r="I259">
        <f>IF(ISBLANK('Data Entry'!I259), "", 'Data Entry'!I259)</f>
      </c>
      <c r="J259">
        <f>IF(ISBLANK('Data Entry'!J259), "", 'Data Entry'!J259)</f>
      </c>
      <c r="K259">
        <f>IF(ISBLANK('Data Entry'!K259), "", 'Data Entry'!K259)</f>
      </c>
      <c r="L259">
        <f>IF(ISBLANK('Data Entry'!L259), "", 'Data Entry'!L259)</f>
      </c>
      <c r="M259">
        <f>IF(ISBLANK('Data Entry'!M259), "", 'Data Entry'!M259)</f>
      </c>
      <c r="N259">
        <f>IF(ISBLANK('Data Entry'!N259), "", 'Data Entry'!N259)</f>
      </c>
      <c r="O259">
        <f>IF(ISBLANK('Data Entry'!O259), "", 'Data Entry'!O259)</f>
      </c>
      <c r="P259">
        <f>IF(ISBLANK('Data Entry'!P259), "", 'Data Entry'!P259)</f>
      </c>
      <c r="Q259">
        <f>IF(ISBLANK('Data Entry'!Q259), "", 'Data Entry'!Q259)</f>
      </c>
      <c r="R259">
        <f>IF(ISBLANK('Data Entry'!R259), "", 'Data Entry'!R259)</f>
      </c>
      <c r="S259">
        <f>IF(ISBLANK('Data Entry'!S259), "", 'Data Entry'!S259)</f>
      </c>
      <c r="T259">
        <f>IF(ISBLANK('Data Entry'!T259), "", 'Data Entry'!T259)</f>
      </c>
      <c r="U259">
        <f>IF(ISBLANK('Data Entry'!U259), "", 'Data Entry'!U259)</f>
      </c>
      <c r="V259">
        <f>IF(ISBLANK('Data Entry'!V259), "", 'Data Entry'!V259)</f>
      </c>
      <c r="W259">
        <f>IF(ISBLANK('Data Entry'!W259), "", 'Data Entry'!W259)</f>
      </c>
      <c r="X259">
        <f>IF(ISBLANK('Data Entry'!X259), "", 'Data Entry'!X259)</f>
      </c>
      <c r="Y259">
        <f>IF(ISBLANK('Data Entry'!Y259), "", 'Data Entry'!Y259)</f>
      </c>
      <c r="Z259">
        <f>IF(ISBLANK('Data Entry'!Z259), "", 'Data Entry'!Z259)</f>
      </c>
      <c r="AA259">
        <f>IF(ISBLANK('Data Entry'![259), "", 'Data Entry'![259)</f>
      </c>
      <c r="AB259">
        <f>IF(ISBLANK('Data Entry'!\259), "", 'Data Entry'!\259)</f>
      </c>
      <c r="AC259">
        <f>IF(ISBLANK('Data Entry'!]259), "", 'Data Entry'!]259)</f>
      </c>
      <c r="AD259">
        <f>IF(ISBLANK('Data Entry'!^259), "", 'Data Entry'!^259)</f>
      </c>
      <c r="AE259">
        <f>IF(ISBLANK('Data Entry'!_259), "", 'Data Entry'!_259)</f>
      </c>
      <c r="AF259">
        <f>IF(ISBLANK('Data Entry'!`259), "", 'Data Entry'!`259)</f>
      </c>
      <c r="AG259">
        <f>IF(ISBLANK('Data Entry'!a259), "", 'Data Entry'!a259)</f>
      </c>
      <c r="AH259">
        <f>IF(ISBLANK('Data Entry'!b259), "", 'Data Entry'!b259)</f>
      </c>
      <c r="AI259">
        <f>IF(ISBLANK('Data Entry'!c259), "", 'Data Entry'!c259)</f>
      </c>
      <c r="AJ259">
        <f>IF(ISBLANK('Data Entry'!d259), "", 'Data Entry'!d259)</f>
      </c>
      <c r="AK259">
        <f>IF(ISBLANK('Data Entry'!e259), "", 'Data Entry'!e259)</f>
      </c>
      <c r="AL259">
        <f>IF(ISBLANK('Data Entry'!f259), "", 'Data Entry'!f259)</f>
      </c>
      <c r="AM259">
        <f>IF(ISBLANK('Data Entry'!g259), "", 'Data Entry'!g259)</f>
      </c>
      <c r="AN259">
        <f>IF(ISBLANK('Data Entry'!h259), "", 'Data Entry'!h259)</f>
      </c>
    </row>
    <row r="260" spans="1:40" x14ac:dyDescent="0.25">
      <c r="A260">
        <f>IF(ISBLANK('Data Entry'!A260), "", 'Data Entry'!A260)</f>
      </c>
      <c r="B260">
        <f>IF(ISBLANK('Data Entry'!B260), "", 'Data Entry'!B260)</f>
      </c>
      <c r="C260">
        <f>IF(ISBLANK('Data Entry'!C260), "", 'Data Entry'!C260)</f>
      </c>
      <c r="D260">
        <f>IF(ISBLANK('Data Entry'!D260), "", 'Data Entry'!D260)</f>
      </c>
      <c r="E260">
        <f>IF(ISBLANK('Data Entry'!E260), "", 'Data Entry'!E260)</f>
      </c>
      <c r="F260">
        <f>IF(ISBLANK('Data Entry'!F260), "", 'Data Entry'!F260)</f>
      </c>
      <c r="G260">
        <f>IF(ISBLANK('Data Entry'!G260), "", 'Data Entry'!G260)</f>
      </c>
      <c r="H260">
        <f>IF(ISBLANK('Data Entry'!H260), "", 'Data Entry'!H260)</f>
      </c>
      <c r="I260">
        <f>IF(ISBLANK('Data Entry'!I260), "", 'Data Entry'!I260)</f>
      </c>
      <c r="J260">
        <f>IF(ISBLANK('Data Entry'!J260), "", 'Data Entry'!J260)</f>
      </c>
      <c r="K260">
        <f>IF(ISBLANK('Data Entry'!K260), "", 'Data Entry'!K260)</f>
      </c>
      <c r="L260">
        <f>IF(ISBLANK('Data Entry'!L260), "", 'Data Entry'!L260)</f>
      </c>
      <c r="M260">
        <f>IF(ISBLANK('Data Entry'!M260), "", 'Data Entry'!M260)</f>
      </c>
      <c r="N260">
        <f>IF(ISBLANK('Data Entry'!N260), "", 'Data Entry'!N260)</f>
      </c>
      <c r="O260">
        <f>IF(ISBLANK('Data Entry'!O260), "", 'Data Entry'!O260)</f>
      </c>
      <c r="P260">
        <f>IF(ISBLANK('Data Entry'!P260), "", 'Data Entry'!P260)</f>
      </c>
      <c r="Q260">
        <f>IF(ISBLANK('Data Entry'!Q260), "", 'Data Entry'!Q260)</f>
      </c>
      <c r="R260">
        <f>IF(ISBLANK('Data Entry'!R260), "", 'Data Entry'!R260)</f>
      </c>
      <c r="S260">
        <f>IF(ISBLANK('Data Entry'!S260), "", 'Data Entry'!S260)</f>
      </c>
      <c r="T260">
        <f>IF(ISBLANK('Data Entry'!T260), "", 'Data Entry'!T260)</f>
      </c>
      <c r="U260">
        <f>IF(ISBLANK('Data Entry'!U260), "", 'Data Entry'!U260)</f>
      </c>
      <c r="V260">
        <f>IF(ISBLANK('Data Entry'!V260), "", 'Data Entry'!V260)</f>
      </c>
      <c r="W260">
        <f>IF(ISBLANK('Data Entry'!W260), "", 'Data Entry'!W260)</f>
      </c>
      <c r="X260">
        <f>IF(ISBLANK('Data Entry'!X260), "", 'Data Entry'!X260)</f>
      </c>
      <c r="Y260">
        <f>IF(ISBLANK('Data Entry'!Y260), "", 'Data Entry'!Y260)</f>
      </c>
      <c r="Z260">
        <f>IF(ISBLANK('Data Entry'!Z260), "", 'Data Entry'!Z260)</f>
      </c>
      <c r="AA260">
        <f>IF(ISBLANK('Data Entry'![260), "", 'Data Entry'![260)</f>
      </c>
      <c r="AB260">
        <f>IF(ISBLANK('Data Entry'!\260), "", 'Data Entry'!\260)</f>
      </c>
      <c r="AC260">
        <f>IF(ISBLANK('Data Entry'!]260), "", 'Data Entry'!]260)</f>
      </c>
      <c r="AD260">
        <f>IF(ISBLANK('Data Entry'!^260), "", 'Data Entry'!^260)</f>
      </c>
      <c r="AE260">
        <f>IF(ISBLANK('Data Entry'!_260), "", 'Data Entry'!_260)</f>
      </c>
      <c r="AF260">
        <f>IF(ISBLANK('Data Entry'!`260), "", 'Data Entry'!`260)</f>
      </c>
      <c r="AG260">
        <f>IF(ISBLANK('Data Entry'!a260), "", 'Data Entry'!a260)</f>
      </c>
      <c r="AH260">
        <f>IF(ISBLANK('Data Entry'!b260), "", 'Data Entry'!b260)</f>
      </c>
      <c r="AI260">
        <f>IF(ISBLANK('Data Entry'!c260), "", 'Data Entry'!c260)</f>
      </c>
      <c r="AJ260">
        <f>IF(ISBLANK('Data Entry'!d260), "", 'Data Entry'!d260)</f>
      </c>
      <c r="AK260">
        <f>IF(ISBLANK('Data Entry'!e260), "", 'Data Entry'!e260)</f>
      </c>
      <c r="AL260">
        <f>IF(ISBLANK('Data Entry'!f260), "", 'Data Entry'!f260)</f>
      </c>
      <c r="AM260">
        <f>IF(ISBLANK('Data Entry'!g260), "", 'Data Entry'!g260)</f>
      </c>
      <c r="AN260">
        <f>IF(ISBLANK('Data Entry'!h260), "", 'Data Entry'!h260)</f>
      </c>
    </row>
    <row r="261" spans="1:40" x14ac:dyDescent="0.25">
      <c r="A261">
        <f>IF(ISBLANK('Data Entry'!A261), "", 'Data Entry'!A261)</f>
      </c>
      <c r="B261">
        <f>IF(ISBLANK('Data Entry'!B261), "", 'Data Entry'!B261)</f>
      </c>
      <c r="C261">
        <f>IF(ISBLANK('Data Entry'!C261), "", 'Data Entry'!C261)</f>
      </c>
      <c r="D261">
        <f>IF(ISBLANK('Data Entry'!D261), "", 'Data Entry'!D261)</f>
      </c>
      <c r="E261">
        <f>IF(ISBLANK('Data Entry'!E261), "", 'Data Entry'!E261)</f>
      </c>
      <c r="F261">
        <f>IF(ISBLANK('Data Entry'!F261), "", 'Data Entry'!F261)</f>
      </c>
      <c r="G261">
        <f>IF(ISBLANK('Data Entry'!G261), "", 'Data Entry'!G261)</f>
      </c>
      <c r="H261">
        <f>IF(ISBLANK('Data Entry'!H261), "", 'Data Entry'!H261)</f>
      </c>
      <c r="I261">
        <f>IF(ISBLANK('Data Entry'!I261), "", 'Data Entry'!I261)</f>
      </c>
      <c r="J261">
        <f>IF(ISBLANK('Data Entry'!J261), "", 'Data Entry'!J261)</f>
      </c>
      <c r="K261">
        <f>IF(ISBLANK('Data Entry'!K261), "", 'Data Entry'!K261)</f>
      </c>
      <c r="L261">
        <f>IF(ISBLANK('Data Entry'!L261), "", 'Data Entry'!L261)</f>
      </c>
      <c r="M261">
        <f>IF(ISBLANK('Data Entry'!M261), "", 'Data Entry'!M261)</f>
      </c>
      <c r="N261">
        <f>IF(ISBLANK('Data Entry'!N261), "", 'Data Entry'!N261)</f>
      </c>
      <c r="O261">
        <f>IF(ISBLANK('Data Entry'!O261), "", 'Data Entry'!O261)</f>
      </c>
      <c r="P261">
        <f>IF(ISBLANK('Data Entry'!P261), "", 'Data Entry'!P261)</f>
      </c>
      <c r="Q261">
        <f>IF(ISBLANK('Data Entry'!Q261), "", 'Data Entry'!Q261)</f>
      </c>
      <c r="R261">
        <f>IF(ISBLANK('Data Entry'!R261), "", 'Data Entry'!R261)</f>
      </c>
      <c r="S261">
        <f>IF(ISBLANK('Data Entry'!S261), "", 'Data Entry'!S261)</f>
      </c>
      <c r="T261">
        <f>IF(ISBLANK('Data Entry'!T261), "", 'Data Entry'!T261)</f>
      </c>
      <c r="U261">
        <f>IF(ISBLANK('Data Entry'!U261), "", 'Data Entry'!U261)</f>
      </c>
      <c r="V261">
        <f>IF(ISBLANK('Data Entry'!V261), "", 'Data Entry'!V261)</f>
      </c>
      <c r="W261">
        <f>IF(ISBLANK('Data Entry'!W261), "", 'Data Entry'!W261)</f>
      </c>
      <c r="X261">
        <f>IF(ISBLANK('Data Entry'!X261), "", 'Data Entry'!X261)</f>
      </c>
      <c r="Y261">
        <f>IF(ISBLANK('Data Entry'!Y261), "", 'Data Entry'!Y261)</f>
      </c>
      <c r="Z261">
        <f>IF(ISBLANK('Data Entry'!Z261), "", 'Data Entry'!Z261)</f>
      </c>
      <c r="AA261">
        <f>IF(ISBLANK('Data Entry'![261), "", 'Data Entry'![261)</f>
      </c>
      <c r="AB261">
        <f>IF(ISBLANK('Data Entry'!\261), "", 'Data Entry'!\261)</f>
      </c>
      <c r="AC261">
        <f>IF(ISBLANK('Data Entry'!]261), "", 'Data Entry'!]261)</f>
      </c>
      <c r="AD261">
        <f>IF(ISBLANK('Data Entry'!^261), "", 'Data Entry'!^261)</f>
      </c>
      <c r="AE261">
        <f>IF(ISBLANK('Data Entry'!_261), "", 'Data Entry'!_261)</f>
      </c>
      <c r="AF261">
        <f>IF(ISBLANK('Data Entry'!`261), "", 'Data Entry'!`261)</f>
      </c>
      <c r="AG261">
        <f>IF(ISBLANK('Data Entry'!a261), "", 'Data Entry'!a261)</f>
      </c>
      <c r="AH261">
        <f>IF(ISBLANK('Data Entry'!b261), "", 'Data Entry'!b261)</f>
      </c>
      <c r="AI261">
        <f>IF(ISBLANK('Data Entry'!c261), "", 'Data Entry'!c261)</f>
      </c>
      <c r="AJ261">
        <f>IF(ISBLANK('Data Entry'!d261), "", 'Data Entry'!d261)</f>
      </c>
      <c r="AK261">
        <f>IF(ISBLANK('Data Entry'!e261), "", 'Data Entry'!e261)</f>
      </c>
      <c r="AL261">
        <f>IF(ISBLANK('Data Entry'!f261), "", 'Data Entry'!f261)</f>
      </c>
      <c r="AM261">
        <f>IF(ISBLANK('Data Entry'!g261), "", 'Data Entry'!g261)</f>
      </c>
      <c r="AN261">
        <f>IF(ISBLANK('Data Entry'!h261), "", 'Data Entry'!h261)</f>
      </c>
    </row>
    <row r="262" spans="1:40" x14ac:dyDescent="0.25">
      <c r="A262">
        <f>IF(ISBLANK('Data Entry'!A262), "", 'Data Entry'!A262)</f>
      </c>
      <c r="B262">
        <f>IF(ISBLANK('Data Entry'!B262), "", 'Data Entry'!B262)</f>
      </c>
      <c r="C262">
        <f>IF(ISBLANK('Data Entry'!C262), "", 'Data Entry'!C262)</f>
      </c>
      <c r="D262">
        <f>IF(ISBLANK('Data Entry'!D262), "", 'Data Entry'!D262)</f>
      </c>
      <c r="E262">
        <f>IF(ISBLANK('Data Entry'!E262), "", 'Data Entry'!E262)</f>
      </c>
      <c r="F262">
        <f>IF(ISBLANK('Data Entry'!F262), "", 'Data Entry'!F262)</f>
      </c>
      <c r="G262">
        <f>IF(ISBLANK('Data Entry'!G262), "", 'Data Entry'!G262)</f>
      </c>
      <c r="H262">
        <f>IF(ISBLANK('Data Entry'!H262), "", 'Data Entry'!H262)</f>
      </c>
      <c r="I262">
        <f>IF(ISBLANK('Data Entry'!I262), "", 'Data Entry'!I262)</f>
      </c>
      <c r="J262">
        <f>IF(ISBLANK('Data Entry'!J262), "", 'Data Entry'!J262)</f>
      </c>
      <c r="K262">
        <f>IF(ISBLANK('Data Entry'!K262), "", 'Data Entry'!K262)</f>
      </c>
      <c r="L262">
        <f>IF(ISBLANK('Data Entry'!L262), "", 'Data Entry'!L262)</f>
      </c>
      <c r="M262">
        <f>IF(ISBLANK('Data Entry'!M262), "", 'Data Entry'!M262)</f>
      </c>
      <c r="N262">
        <f>IF(ISBLANK('Data Entry'!N262), "", 'Data Entry'!N262)</f>
      </c>
      <c r="O262">
        <f>IF(ISBLANK('Data Entry'!O262), "", 'Data Entry'!O262)</f>
      </c>
      <c r="P262">
        <f>IF(ISBLANK('Data Entry'!P262), "", 'Data Entry'!P262)</f>
      </c>
      <c r="Q262">
        <f>IF(ISBLANK('Data Entry'!Q262), "", 'Data Entry'!Q262)</f>
      </c>
      <c r="R262">
        <f>IF(ISBLANK('Data Entry'!R262), "", 'Data Entry'!R262)</f>
      </c>
      <c r="S262">
        <f>IF(ISBLANK('Data Entry'!S262), "", 'Data Entry'!S262)</f>
      </c>
      <c r="T262">
        <f>IF(ISBLANK('Data Entry'!T262), "", 'Data Entry'!T262)</f>
      </c>
      <c r="U262">
        <f>IF(ISBLANK('Data Entry'!U262), "", 'Data Entry'!U262)</f>
      </c>
      <c r="V262">
        <f>IF(ISBLANK('Data Entry'!V262), "", 'Data Entry'!V262)</f>
      </c>
      <c r="W262">
        <f>IF(ISBLANK('Data Entry'!W262), "", 'Data Entry'!W262)</f>
      </c>
      <c r="X262">
        <f>IF(ISBLANK('Data Entry'!X262), "", 'Data Entry'!X262)</f>
      </c>
      <c r="Y262">
        <f>IF(ISBLANK('Data Entry'!Y262), "", 'Data Entry'!Y262)</f>
      </c>
      <c r="Z262">
        <f>IF(ISBLANK('Data Entry'!Z262), "", 'Data Entry'!Z262)</f>
      </c>
      <c r="AA262">
        <f>IF(ISBLANK('Data Entry'![262), "", 'Data Entry'![262)</f>
      </c>
      <c r="AB262">
        <f>IF(ISBLANK('Data Entry'!\262), "", 'Data Entry'!\262)</f>
      </c>
      <c r="AC262">
        <f>IF(ISBLANK('Data Entry'!]262), "", 'Data Entry'!]262)</f>
      </c>
      <c r="AD262">
        <f>IF(ISBLANK('Data Entry'!^262), "", 'Data Entry'!^262)</f>
      </c>
      <c r="AE262">
        <f>IF(ISBLANK('Data Entry'!_262), "", 'Data Entry'!_262)</f>
      </c>
      <c r="AF262">
        <f>IF(ISBLANK('Data Entry'!`262), "", 'Data Entry'!`262)</f>
      </c>
      <c r="AG262">
        <f>IF(ISBLANK('Data Entry'!a262), "", 'Data Entry'!a262)</f>
      </c>
      <c r="AH262">
        <f>IF(ISBLANK('Data Entry'!b262), "", 'Data Entry'!b262)</f>
      </c>
      <c r="AI262">
        <f>IF(ISBLANK('Data Entry'!c262), "", 'Data Entry'!c262)</f>
      </c>
      <c r="AJ262">
        <f>IF(ISBLANK('Data Entry'!d262), "", 'Data Entry'!d262)</f>
      </c>
      <c r="AK262">
        <f>IF(ISBLANK('Data Entry'!e262), "", 'Data Entry'!e262)</f>
      </c>
      <c r="AL262">
        <f>IF(ISBLANK('Data Entry'!f262), "", 'Data Entry'!f262)</f>
      </c>
      <c r="AM262">
        <f>IF(ISBLANK('Data Entry'!g262), "", 'Data Entry'!g262)</f>
      </c>
      <c r="AN262">
        <f>IF(ISBLANK('Data Entry'!h262), "", 'Data Entry'!h262)</f>
      </c>
    </row>
    <row r="263" spans="1:40" x14ac:dyDescent="0.25">
      <c r="A263">
        <f>IF(ISBLANK('Data Entry'!A263), "", 'Data Entry'!A263)</f>
      </c>
      <c r="B263">
        <f>IF(ISBLANK('Data Entry'!B263), "", 'Data Entry'!B263)</f>
      </c>
      <c r="C263">
        <f>IF(ISBLANK('Data Entry'!C263), "", 'Data Entry'!C263)</f>
      </c>
      <c r="D263">
        <f>IF(ISBLANK('Data Entry'!D263), "", 'Data Entry'!D263)</f>
      </c>
      <c r="E263">
        <f>IF(ISBLANK('Data Entry'!E263), "", 'Data Entry'!E263)</f>
      </c>
      <c r="F263">
        <f>IF(ISBLANK('Data Entry'!F263), "", 'Data Entry'!F263)</f>
      </c>
      <c r="G263">
        <f>IF(ISBLANK('Data Entry'!G263), "", 'Data Entry'!G263)</f>
      </c>
      <c r="H263">
        <f>IF(ISBLANK('Data Entry'!H263), "", 'Data Entry'!H263)</f>
      </c>
      <c r="I263">
        <f>IF(ISBLANK('Data Entry'!I263), "", 'Data Entry'!I263)</f>
      </c>
      <c r="J263">
        <f>IF(ISBLANK('Data Entry'!J263), "", 'Data Entry'!J263)</f>
      </c>
      <c r="K263">
        <f>IF(ISBLANK('Data Entry'!K263), "", 'Data Entry'!K263)</f>
      </c>
      <c r="L263">
        <f>IF(ISBLANK('Data Entry'!L263), "", 'Data Entry'!L263)</f>
      </c>
      <c r="M263">
        <f>IF(ISBLANK('Data Entry'!M263), "", 'Data Entry'!M263)</f>
      </c>
      <c r="N263">
        <f>IF(ISBLANK('Data Entry'!N263), "", 'Data Entry'!N263)</f>
      </c>
      <c r="O263">
        <f>IF(ISBLANK('Data Entry'!O263), "", 'Data Entry'!O263)</f>
      </c>
      <c r="P263">
        <f>IF(ISBLANK('Data Entry'!P263), "", 'Data Entry'!P263)</f>
      </c>
      <c r="Q263">
        <f>IF(ISBLANK('Data Entry'!Q263), "", 'Data Entry'!Q263)</f>
      </c>
      <c r="R263">
        <f>IF(ISBLANK('Data Entry'!R263), "", 'Data Entry'!R263)</f>
      </c>
      <c r="S263">
        <f>IF(ISBLANK('Data Entry'!S263), "", 'Data Entry'!S263)</f>
      </c>
      <c r="T263">
        <f>IF(ISBLANK('Data Entry'!T263), "", 'Data Entry'!T263)</f>
      </c>
      <c r="U263">
        <f>IF(ISBLANK('Data Entry'!U263), "", 'Data Entry'!U263)</f>
      </c>
      <c r="V263">
        <f>IF(ISBLANK('Data Entry'!V263), "", 'Data Entry'!V263)</f>
      </c>
      <c r="W263">
        <f>IF(ISBLANK('Data Entry'!W263), "", 'Data Entry'!W263)</f>
      </c>
      <c r="X263">
        <f>IF(ISBLANK('Data Entry'!X263), "", 'Data Entry'!X263)</f>
      </c>
      <c r="Y263">
        <f>IF(ISBLANK('Data Entry'!Y263), "", 'Data Entry'!Y263)</f>
      </c>
      <c r="Z263">
        <f>IF(ISBLANK('Data Entry'!Z263), "", 'Data Entry'!Z263)</f>
      </c>
      <c r="AA263">
        <f>IF(ISBLANK('Data Entry'![263), "", 'Data Entry'![263)</f>
      </c>
      <c r="AB263">
        <f>IF(ISBLANK('Data Entry'!\263), "", 'Data Entry'!\263)</f>
      </c>
      <c r="AC263">
        <f>IF(ISBLANK('Data Entry'!]263), "", 'Data Entry'!]263)</f>
      </c>
      <c r="AD263">
        <f>IF(ISBLANK('Data Entry'!^263), "", 'Data Entry'!^263)</f>
      </c>
      <c r="AE263">
        <f>IF(ISBLANK('Data Entry'!_263), "", 'Data Entry'!_263)</f>
      </c>
      <c r="AF263">
        <f>IF(ISBLANK('Data Entry'!`263), "", 'Data Entry'!`263)</f>
      </c>
      <c r="AG263">
        <f>IF(ISBLANK('Data Entry'!a263), "", 'Data Entry'!a263)</f>
      </c>
      <c r="AH263">
        <f>IF(ISBLANK('Data Entry'!b263), "", 'Data Entry'!b263)</f>
      </c>
      <c r="AI263">
        <f>IF(ISBLANK('Data Entry'!c263), "", 'Data Entry'!c263)</f>
      </c>
      <c r="AJ263">
        <f>IF(ISBLANK('Data Entry'!d263), "", 'Data Entry'!d263)</f>
      </c>
      <c r="AK263">
        <f>IF(ISBLANK('Data Entry'!e263), "", 'Data Entry'!e263)</f>
      </c>
      <c r="AL263">
        <f>IF(ISBLANK('Data Entry'!f263), "", 'Data Entry'!f263)</f>
      </c>
      <c r="AM263">
        <f>IF(ISBLANK('Data Entry'!g263), "", 'Data Entry'!g263)</f>
      </c>
      <c r="AN263">
        <f>IF(ISBLANK('Data Entry'!h263), "", 'Data Entry'!h263)</f>
      </c>
    </row>
    <row r="264" spans="1:40" x14ac:dyDescent="0.25">
      <c r="A264">
        <f>IF(ISBLANK('Data Entry'!A264), "", 'Data Entry'!A264)</f>
      </c>
      <c r="B264">
        <f>IF(ISBLANK('Data Entry'!B264), "", 'Data Entry'!B264)</f>
      </c>
      <c r="C264">
        <f>IF(ISBLANK('Data Entry'!C264), "", 'Data Entry'!C264)</f>
      </c>
      <c r="D264">
        <f>IF(ISBLANK('Data Entry'!D264), "", 'Data Entry'!D264)</f>
      </c>
      <c r="E264">
        <f>IF(ISBLANK('Data Entry'!E264), "", 'Data Entry'!E264)</f>
      </c>
      <c r="F264">
        <f>IF(ISBLANK('Data Entry'!F264), "", 'Data Entry'!F264)</f>
      </c>
      <c r="G264">
        <f>IF(ISBLANK('Data Entry'!G264), "", 'Data Entry'!G264)</f>
      </c>
      <c r="H264">
        <f>IF(ISBLANK('Data Entry'!H264), "", 'Data Entry'!H264)</f>
      </c>
      <c r="I264">
        <f>IF(ISBLANK('Data Entry'!I264), "", 'Data Entry'!I264)</f>
      </c>
      <c r="J264">
        <f>IF(ISBLANK('Data Entry'!J264), "", 'Data Entry'!J264)</f>
      </c>
      <c r="K264">
        <f>IF(ISBLANK('Data Entry'!K264), "", 'Data Entry'!K264)</f>
      </c>
      <c r="L264">
        <f>IF(ISBLANK('Data Entry'!L264), "", 'Data Entry'!L264)</f>
      </c>
      <c r="M264">
        <f>IF(ISBLANK('Data Entry'!M264), "", 'Data Entry'!M264)</f>
      </c>
      <c r="N264">
        <f>IF(ISBLANK('Data Entry'!N264), "", 'Data Entry'!N264)</f>
      </c>
      <c r="O264">
        <f>IF(ISBLANK('Data Entry'!O264), "", 'Data Entry'!O264)</f>
      </c>
      <c r="P264">
        <f>IF(ISBLANK('Data Entry'!P264), "", 'Data Entry'!P264)</f>
      </c>
      <c r="Q264">
        <f>IF(ISBLANK('Data Entry'!Q264), "", 'Data Entry'!Q264)</f>
      </c>
      <c r="R264">
        <f>IF(ISBLANK('Data Entry'!R264), "", 'Data Entry'!R264)</f>
      </c>
      <c r="S264">
        <f>IF(ISBLANK('Data Entry'!S264), "", 'Data Entry'!S264)</f>
      </c>
      <c r="T264">
        <f>IF(ISBLANK('Data Entry'!T264), "", 'Data Entry'!T264)</f>
      </c>
      <c r="U264">
        <f>IF(ISBLANK('Data Entry'!U264), "", 'Data Entry'!U264)</f>
      </c>
      <c r="V264">
        <f>IF(ISBLANK('Data Entry'!V264), "", 'Data Entry'!V264)</f>
      </c>
      <c r="W264">
        <f>IF(ISBLANK('Data Entry'!W264), "", 'Data Entry'!W264)</f>
      </c>
      <c r="X264">
        <f>IF(ISBLANK('Data Entry'!X264), "", 'Data Entry'!X264)</f>
      </c>
      <c r="Y264">
        <f>IF(ISBLANK('Data Entry'!Y264), "", 'Data Entry'!Y264)</f>
      </c>
      <c r="Z264">
        <f>IF(ISBLANK('Data Entry'!Z264), "", 'Data Entry'!Z264)</f>
      </c>
      <c r="AA264">
        <f>IF(ISBLANK('Data Entry'![264), "", 'Data Entry'![264)</f>
      </c>
      <c r="AB264">
        <f>IF(ISBLANK('Data Entry'!\264), "", 'Data Entry'!\264)</f>
      </c>
      <c r="AC264">
        <f>IF(ISBLANK('Data Entry'!]264), "", 'Data Entry'!]264)</f>
      </c>
      <c r="AD264">
        <f>IF(ISBLANK('Data Entry'!^264), "", 'Data Entry'!^264)</f>
      </c>
      <c r="AE264">
        <f>IF(ISBLANK('Data Entry'!_264), "", 'Data Entry'!_264)</f>
      </c>
      <c r="AF264">
        <f>IF(ISBLANK('Data Entry'!`264), "", 'Data Entry'!`264)</f>
      </c>
      <c r="AG264">
        <f>IF(ISBLANK('Data Entry'!a264), "", 'Data Entry'!a264)</f>
      </c>
      <c r="AH264">
        <f>IF(ISBLANK('Data Entry'!b264), "", 'Data Entry'!b264)</f>
      </c>
      <c r="AI264">
        <f>IF(ISBLANK('Data Entry'!c264), "", 'Data Entry'!c264)</f>
      </c>
      <c r="AJ264">
        <f>IF(ISBLANK('Data Entry'!d264), "", 'Data Entry'!d264)</f>
      </c>
      <c r="AK264">
        <f>IF(ISBLANK('Data Entry'!e264), "", 'Data Entry'!e264)</f>
      </c>
      <c r="AL264">
        <f>IF(ISBLANK('Data Entry'!f264), "", 'Data Entry'!f264)</f>
      </c>
      <c r="AM264">
        <f>IF(ISBLANK('Data Entry'!g264), "", 'Data Entry'!g264)</f>
      </c>
      <c r="AN264">
        <f>IF(ISBLANK('Data Entry'!h264), "", 'Data Entry'!h264)</f>
      </c>
    </row>
    <row r="265" spans="1:40" x14ac:dyDescent="0.25">
      <c r="A265">
        <f>IF(ISBLANK('Data Entry'!A265), "", 'Data Entry'!A265)</f>
      </c>
      <c r="B265">
        <f>IF(ISBLANK('Data Entry'!B265), "", 'Data Entry'!B265)</f>
      </c>
      <c r="C265">
        <f>IF(ISBLANK('Data Entry'!C265), "", 'Data Entry'!C265)</f>
      </c>
      <c r="D265">
        <f>IF(ISBLANK('Data Entry'!D265), "", 'Data Entry'!D265)</f>
      </c>
      <c r="E265">
        <f>IF(ISBLANK('Data Entry'!E265), "", 'Data Entry'!E265)</f>
      </c>
      <c r="F265">
        <f>IF(ISBLANK('Data Entry'!F265), "", 'Data Entry'!F265)</f>
      </c>
      <c r="G265">
        <f>IF(ISBLANK('Data Entry'!G265), "", 'Data Entry'!G265)</f>
      </c>
      <c r="H265">
        <f>IF(ISBLANK('Data Entry'!H265), "", 'Data Entry'!H265)</f>
      </c>
      <c r="I265">
        <f>IF(ISBLANK('Data Entry'!I265), "", 'Data Entry'!I265)</f>
      </c>
      <c r="J265">
        <f>IF(ISBLANK('Data Entry'!J265), "", 'Data Entry'!J265)</f>
      </c>
      <c r="K265">
        <f>IF(ISBLANK('Data Entry'!K265), "", 'Data Entry'!K265)</f>
      </c>
      <c r="L265">
        <f>IF(ISBLANK('Data Entry'!L265), "", 'Data Entry'!L265)</f>
      </c>
      <c r="M265">
        <f>IF(ISBLANK('Data Entry'!M265), "", 'Data Entry'!M265)</f>
      </c>
      <c r="N265">
        <f>IF(ISBLANK('Data Entry'!N265), "", 'Data Entry'!N265)</f>
      </c>
      <c r="O265">
        <f>IF(ISBLANK('Data Entry'!O265), "", 'Data Entry'!O265)</f>
      </c>
      <c r="P265">
        <f>IF(ISBLANK('Data Entry'!P265), "", 'Data Entry'!P265)</f>
      </c>
      <c r="Q265">
        <f>IF(ISBLANK('Data Entry'!Q265), "", 'Data Entry'!Q265)</f>
      </c>
      <c r="R265">
        <f>IF(ISBLANK('Data Entry'!R265), "", 'Data Entry'!R265)</f>
      </c>
      <c r="S265">
        <f>IF(ISBLANK('Data Entry'!S265), "", 'Data Entry'!S265)</f>
      </c>
      <c r="T265">
        <f>IF(ISBLANK('Data Entry'!T265), "", 'Data Entry'!T265)</f>
      </c>
      <c r="U265">
        <f>IF(ISBLANK('Data Entry'!U265), "", 'Data Entry'!U265)</f>
      </c>
      <c r="V265">
        <f>IF(ISBLANK('Data Entry'!V265), "", 'Data Entry'!V265)</f>
      </c>
      <c r="W265">
        <f>IF(ISBLANK('Data Entry'!W265), "", 'Data Entry'!W265)</f>
      </c>
      <c r="X265">
        <f>IF(ISBLANK('Data Entry'!X265), "", 'Data Entry'!X265)</f>
      </c>
      <c r="Y265">
        <f>IF(ISBLANK('Data Entry'!Y265), "", 'Data Entry'!Y265)</f>
      </c>
      <c r="Z265">
        <f>IF(ISBLANK('Data Entry'!Z265), "", 'Data Entry'!Z265)</f>
      </c>
      <c r="AA265">
        <f>IF(ISBLANK('Data Entry'![265), "", 'Data Entry'![265)</f>
      </c>
      <c r="AB265">
        <f>IF(ISBLANK('Data Entry'!\265), "", 'Data Entry'!\265)</f>
      </c>
      <c r="AC265">
        <f>IF(ISBLANK('Data Entry'!]265), "", 'Data Entry'!]265)</f>
      </c>
      <c r="AD265">
        <f>IF(ISBLANK('Data Entry'!^265), "", 'Data Entry'!^265)</f>
      </c>
      <c r="AE265">
        <f>IF(ISBLANK('Data Entry'!_265), "", 'Data Entry'!_265)</f>
      </c>
      <c r="AF265">
        <f>IF(ISBLANK('Data Entry'!`265), "", 'Data Entry'!`265)</f>
      </c>
      <c r="AG265">
        <f>IF(ISBLANK('Data Entry'!a265), "", 'Data Entry'!a265)</f>
      </c>
      <c r="AH265">
        <f>IF(ISBLANK('Data Entry'!b265), "", 'Data Entry'!b265)</f>
      </c>
      <c r="AI265">
        <f>IF(ISBLANK('Data Entry'!c265), "", 'Data Entry'!c265)</f>
      </c>
      <c r="AJ265">
        <f>IF(ISBLANK('Data Entry'!d265), "", 'Data Entry'!d265)</f>
      </c>
      <c r="AK265">
        <f>IF(ISBLANK('Data Entry'!e265), "", 'Data Entry'!e265)</f>
      </c>
      <c r="AL265">
        <f>IF(ISBLANK('Data Entry'!f265), "", 'Data Entry'!f265)</f>
      </c>
      <c r="AM265">
        <f>IF(ISBLANK('Data Entry'!g265), "", 'Data Entry'!g265)</f>
      </c>
      <c r="AN265">
        <f>IF(ISBLANK('Data Entry'!h265), "", 'Data Entry'!h265)</f>
      </c>
    </row>
    <row r="266" spans="1:40" x14ac:dyDescent="0.25">
      <c r="A266">
        <f>IF(ISBLANK('Data Entry'!A266), "", 'Data Entry'!A266)</f>
      </c>
      <c r="B266">
        <f>IF(ISBLANK('Data Entry'!B266), "", 'Data Entry'!B266)</f>
      </c>
      <c r="C266">
        <f>IF(ISBLANK('Data Entry'!C266), "", 'Data Entry'!C266)</f>
      </c>
      <c r="D266">
        <f>IF(ISBLANK('Data Entry'!D266), "", 'Data Entry'!D266)</f>
      </c>
      <c r="E266">
        <f>IF(ISBLANK('Data Entry'!E266), "", 'Data Entry'!E266)</f>
      </c>
      <c r="F266">
        <f>IF(ISBLANK('Data Entry'!F266), "", 'Data Entry'!F266)</f>
      </c>
      <c r="G266">
        <f>IF(ISBLANK('Data Entry'!G266), "", 'Data Entry'!G266)</f>
      </c>
      <c r="H266">
        <f>IF(ISBLANK('Data Entry'!H266), "", 'Data Entry'!H266)</f>
      </c>
      <c r="I266">
        <f>IF(ISBLANK('Data Entry'!I266), "", 'Data Entry'!I266)</f>
      </c>
      <c r="J266">
        <f>IF(ISBLANK('Data Entry'!J266), "", 'Data Entry'!J266)</f>
      </c>
      <c r="K266">
        <f>IF(ISBLANK('Data Entry'!K266), "", 'Data Entry'!K266)</f>
      </c>
      <c r="L266">
        <f>IF(ISBLANK('Data Entry'!L266), "", 'Data Entry'!L266)</f>
      </c>
      <c r="M266">
        <f>IF(ISBLANK('Data Entry'!M266), "", 'Data Entry'!M266)</f>
      </c>
      <c r="N266">
        <f>IF(ISBLANK('Data Entry'!N266), "", 'Data Entry'!N266)</f>
      </c>
      <c r="O266">
        <f>IF(ISBLANK('Data Entry'!O266), "", 'Data Entry'!O266)</f>
      </c>
      <c r="P266">
        <f>IF(ISBLANK('Data Entry'!P266), "", 'Data Entry'!P266)</f>
      </c>
      <c r="Q266">
        <f>IF(ISBLANK('Data Entry'!Q266), "", 'Data Entry'!Q266)</f>
      </c>
      <c r="R266">
        <f>IF(ISBLANK('Data Entry'!R266), "", 'Data Entry'!R266)</f>
      </c>
      <c r="S266">
        <f>IF(ISBLANK('Data Entry'!S266), "", 'Data Entry'!S266)</f>
      </c>
      <c r="T266">
        <f>IF(ISBLANK('Data Entry'!T266), "", 'Data Entry'!T266)</f>
      </c>
      <c r="U266">
        <f>IF(ISBLANK('Data Entry'!U266), "", 'Data Entry'!U266)</f>
      </c>
      <c r="V266">
        <f>IF(ISBLANK('Data Entry'!V266), "", 'Data Entry'!V266)</f>
      </c>
      <c r="W266">
        <f>IF(ISBLANK('Data Entry'!W266), "", 'Data Entry'!W266)</f>
      </c>
      <c r="X266">
        <f>IF(ISBLANK('Data Entry'!X266), "", 'Data Entry'!X266)</f>
      </c>
      <c r="Y266">
        <f>IF(ISBLANK('Data Entry'!Y266), "", 'Data Entry'!Y266)</f>
      </c>
      <c r="Z266">
        <f>IF(ISBLANK('Data Entry'!Z266), "", 'Data Entry'!Z266)</f>
      </c>
      <c r="AA266">
        <f>IF(ISBLANK('Data Entry'![266), "", 'Data Entry'![266)</f>
      </c>
      <c r="AB266">
        <f>IF(ISBLANK('Data Entry'!\266), "", 'Data Entry'!\266)</f>
      </c>
      <c r="AC266">
        <f>IF(ISBLANK('Data Entry'!]266), "", 'Data Entry'!]266)</f>
      </c>
      <c r="AD266">
        <f>IF(ISBLANK('Data Entry'!^266), "", 'Data Entry'!^266)</f>
      </c>
      <c r="AE266">
        <f>IF(ISBLANK('Data Entry'!_266), "", 'Data Entry'!_266)</f>
      </c>
      <c r="AF266">
        <f>IF(ISBLANK('Data Entry'!`266), "", 'Data Entry'!`266)</f>
      </c>
      <c r="AG266">
        <f>IF(ISBLANK('Data Entry'!a266), "", 'Data Entry'!a266)</f>
      </c>
      <c r="AH266">
        <f>IF(ISBLANK('Data Entry'!b266), "", 'Data Entry'!b266)</f>
      </c>
      <c r="AI266">
        <f>IF(ISBLANK('Data Entry'!c266), "", 'Data Entry'!c266)</f>
      </c>
      <c r="AJ266">
        <f>IF(ISBLANK('Data Entry'!d266), "", 'Data Entry'!d266)</f>
      </c>
      <c r="AK266">
        <f>IF(ISBLANK('Data Entry'!e266), "", 'Data Entry'!e266)</f>
      </c>
      <c r="AL266">
        <f>IF(ISBLANK('Data Entry'!f266), "", 'Data Entry'!f266)</f>
      </c>
      <c r="AM266">
        <f>IF(ISBLANK('Data Entry'!g266), "", 'Data Entry'!g266)</f>
      </c>
      <c r="AN266">
        <f>IF(ISBLANK('Data Entry'!h266), "", 'Data Entry'!h266)</f>
      </c>
    </row>
    <row r="267" spans="1:40" x14ac:dyDescent="0.25">
      <c r="A267">
        <f>IF(ISBLANK('Data Entry'!A267), "", 'Data Entry'!A267)</f>
      </c>
      <c r="B267">
        <f>IF(ISBLANK('Data Entry'!B267), "", 'Data Entry'!B267)</f>
      </c>
      <c r="C267">
        <f>IF(ISBLANK('Data Entry'!C267), "", 'Data Entry'!C267)</f>
      </c>
      <c r="D267">
        <f>IF(ISBLANK('Data Entry'!D267), "", 'Data Entry'!D267)</f>
      </c>
      <c r="E267">
        <f>IF(ISBLANK('Data Entry'!E267), "", 'Data Entry'!E267)</f>
      </c>
      <c r="F267">
        <f>IF(ISBLANK('Data Entry'!F267), "", 'Data Entry'!F267)</f>
      </c>
      <c r="G267">
        <f>IF(ISBLANK('Data Entry'!G267), "", 'Data Entry'!G267)</f>
      </c>
      <c r="H267">
        <f>IF(ISBLANK('Data Entry'!H267), "", 'Data Entry'!H267)</f>
      </c>
      <c r="I267">
        <f>IF(ISBLANK('Data Entry'!I267), "", 'Data Entry'!I267)</f>
      </c>
      <c r="J267">
        <f>IF(ISBLANK('Data Entry'!J267), "", 'Data Entry'!J267)</f>
      </c>
      <c r="K267">
        <f>IF(ISBLANK('Data Entry'!K267), "", 'Data Entry'!K267)</f>
      </c>
      <c r="L267">
        <f>IF(ISBLANK('Data Entry'!L267), "", 'Data Entry'!L267)</f>
      </c>
      <c r="M267">
        <f>IF(ISBLANK('Data Entry'!M267), "", 'Data Entry'!M267)</f>
      </c>
      <c r="N267">
        <f>IF(ISBLANK('Data Entry'!N267), "", 'Data Entry'!N267)</f>
      </c>
      <c r="O267">
        <f>IF(ISBLANK('Data Entry'!O267), "", 'Data Entry'!O267)</f>
      </c>
      <c r="P267">
        <f>IF(ISBLANK('Data Entry'!P267), "", 'Data Entry'!P267)</f>
      </c>
      <c r="Q267">
        <f>IF(ISBLANK('Data Entry'!Q267), "", 'Data Entry'!Q267)</f>
      </c>
      <c r="R267">
        <f>IF(ISBLANK('Data Entry'!R267), "", 'Data Entry'!R267)</f>
      </c>
      <c r="S267">
        <f>IF(ISBLANK('Data Entry'!S267), "", 'Data Entry'!S267)</f>
      </c>
      <c r="T267">
        <f>IF(ISBLANK('Data Entry'!T267), "", 'Data Entry'!T267)</f>
      </c>
      <c r="U267">
        <f>IF(ISBLANK('Data Entry'!U267), "", 'Data Entry'!U267)</f>
      </c>
      <c r="V267">
        <f>IF(ISBLANK('Data Entry'!V267), "", 'Data Entry'!V267)</f>
      </c>
      <c r="W267">
        <f>IF(ISBLANK('Data Entry'!W267), "", 'Data Entry'!W267)</f>
      </c>
      <c r="X267">
        <f>IF(ISBLANK('Data Entry'!X267), "", 'Data Entry'!X267)</f>
      </c>
      <c r="Y267">
        <f>IF(ISBLANK('Data Entry'!Y267), "", 'Data Entry'!Y267)</f>
      </c>
      <c r="Z267">
        <f>IF(ISBLANK('Data Entry'!Z267), "", 'Data Entry'!Z267)</f>
      </c>
      <c r="AA267">
        <f>IF(ISBLANK('Data Entry'![267), "", 'Data Entry'![267)</f>
      </c>
      <c r="AB267">
        <f>IF(ISBLANK('Data Entry'!\267), "", 'Data Entry'!\267)</f>
      </c>
      <c r="AC267">
        <f>IF(ISBLANK('Data Entry'!]267), "", 'Data Entry'!]267)</f>
      </c>
      <c r="AD267">
        <f>IF(ISBLANK('Data Entry'!^267), "", 'Data Entry'!^267)</f>
      </c>
      <c r="AE267">
        <f>IF(ISBLANK('Data Entry'!_267), "", 'Data Entry'!_267)</f>
      </c>
      <c r="AF267">
        <f>IF(ISBLANK('Data Entry'!`267), "", 'Data Entry'!`267)</f>
      </c>
      <c r="AG267">
        <f>IF(ISBLANK('Data Entry'!a267), "", 'Data Entry'!a267)</f>
      </c>
      <c r="AH267">
        <f>IF(ISBLANK('Data Entry'!b267), "", 'Data Entry'!b267)</f>
      </c>
      <c r="AI267">
        <f>IF(ISBLANK('Data Entry'!c267), "", 'Data Entry'!c267)</f>
      </c>
      <c r="AJ267">
        <f>IF(ISBLANK('Data Entry'!d267), "", 'Data Entry'!d267)</f>
      </c>
      <c r="AK267">
        <f>IF(ISBLANK('Data Entry'!e267), "", 'Data Entry'!e267)</f>
      </c>
      <c r="AL267">
        <f>IF(ISBLANK('Data Entry'!f267), "", 'Data Entry'!f267)</f>
      </c>
      <c r="AM267">
        <f>IF(ISBLANK('Data Entry'!g267), "", 'Data Entry'!g267)</f>
      </c>
      <c r="AN267">
        <f>IF(ISBLANK('Data Entry'!h267), "", 'Data Entry'!h267)</f>
      </c>
    </row>
    <row r="268" spans="1:40" x14ac:dyDescent="0.25">
      <c r="A268">
        <f>IF(ISBLANK('Data Entry'!A268), "", 'Data Entry'!A268)</f>
      </c>
      <c r="B268">
        <f>IF(ISBLANK('Data Entry'!B268), "", 'Data Entry'!B268)</f>
      </c>
      <c r="C268">
        <f>IF(ISBLANK('Data Entry'!C268), "", 'Data Entry'!C268)</f>
      </c>
      <c r="D268">
        <f>IF(ISBLANK('Data Entry'!D268), "", 'Data Entry'!D268)</f>
      </c>
      <c r="E268">
        <f>IF(ISBLANK('Data Entry'!E268), "", 'Data Entry'!E268)</f>
      </c>
      <c r="F268">
        <f>IF(ISBLANK('Data Entry'!F268), "", 'Data Entry'!F268)</f>
      </c>
      <c r="G268">
        <f>IF(ISBLANK('Data Entry'!G268), "", 'Data Entry'!G268)</f>
      </c>
      <c r="H268">
        <f>IF(ISBLANK('Data Entry'!H268), "", 'Data Entry'!H268)</f>
      </c>
      <c r="I268">
        <f>IF(ISBLANK('Data Entry'!I268), "", 'Data Entry'!I268)</f>
      </c>
      <c r="J268">
        <f>IF(ISBLANK('Data Entry'!J268), "", 'Data Entry'!J268)</f>
      </c>
      <c r="K268">
        <f>IF(ISBLANK('Data Entry'!K268), "", 'Data Entry'!K268)</f>
      </c>
      <c r="L268">
        <f>IF(ISBLANK('Data Entry'!L268), "", 'Data Entry'!L268)</f>
      </c>
      <c r="M268">
        <f>IF(ISBLANK('Data Entry'!M268), "", 'Data Entry'!M268)</f>
      </c>
      <c r="N268">
        <f>IF(ISBLANK('Data Entry'!N268), "", 'Data Entry'!N268)</f>
      </c>
      <c r="O268">
        <f>IF(ISBLANK('Data Entry'!O268), "", 'Data Entry'!O268)</f>
      </c>
      <c r="P268">
        <f>IF(ISBLANK('Data Entry'!P268), "", 'Data Entry'!P268)</f>
      </c>
      <c r="Q268">
        <f>IF(ISBLANK('Data Entry'!Q268), "", 'Data Entry'!Q268)</f>
      </c>
      <c r="R268">
        <f>IF(ISBLANK('Data Entry'!R268), "", 'Data Entry'!R268)</f>
      </c>
      <c r="S268">
        <f>IF(ISBLANK('Data Entry'!S268), "", 'Data Entry'!S268)</f>
      </c>
      <c r="T268">
        <f>IF(ISBLANK('Data Entry'!T268), "", 'Data Entry'!T268)</f>
      </c>
      <c r="U268">
        <f>IF(ISBLANK('Data Entry'!U268), "", 'Data Entry'!U268)</f>
      </c>
      <c r="V268">
        <f>IF(ISBLANK('Data Entry'!V268), "", 'Data Entry'!V268)</f>
      </c>
      <c r="W268">
        <f>IF(ISBLANK('Data Entry'!W268), "", 'Data Entry'!W268)</f>
      </c>
      <c r="X268">
        <f>IF(ISBLANK('Data Entry'!X268), "", 'Data Entry'!X268)</f>
      </c>
      <c r="Y268">
        <f>IF(ISBLANK('Data Entry'!Y268), "", 'Data Entry'!Y268)</f>
      </c>
      <c r="Z268">
        <f>IF(ISBLANK('Data Entry'!Z268), "", 'Data Entry'!Z268)</f>
      </c>
      <c r="AA268">
        <f>IF(ISBLANK('Data Entry'![268), "", 'Data Entry'![268)</f>
      </c>
      <c r="AB268">
        <f>IF(ISBLANK('Data Entry'!\268), "", 'Data Entry'!\268)</f>
      </c>
      <c r="AC268">
        <f>IF(ISBLANK('Data Entry'!]268), "", 'Data Entry'!]268)</f>
      </c>
      <c r="AD268">
        <f>IF(ISBLANK('Data Entry'!^268), "", 'Data Entry'!^268)</f>
      </c>
      <c r="AE268">
        <f>IF(ISBLANK('Data Entry'!_268), "", 'Data Entry'!_268)</f>
      </c>
      <c r="AF268">
        <f>IF(ISBLANK('Data Entry'!`268), "", 'Data Entry'!`268)</f>
      </c>
      <c r="AG268">
        <f>IF(ISBLANK('Data Entry'!a268), "", 'Data Entry'!a268)</f>
      </c>
      <c r="AH268">
        <f>IF(ISBLANK('Data Entry'!b268), "", 'Data Entry'!b268)</f>
      </c>
      <c r="AI268">
        <f>IF(ISBLANK('Data Entry'!c268), "", 'Data Entry'!c268)</f>
      </c>
      <c r="AJ268">
        <f>IF(ISBLANK('Data Entry'!d268), "", 'Data Entry'!d268)</f>
      </c>
      <c r="AK268">
        <f>IF(ISBLANK('Data Entry'!e268), "", 'Data Entry'!e268)</f>
      </c>
      <c r="AL268">
        <f>IF(ISBLANK('Data Entry'!f268), "", 'Data Entry'!f268)</f>
      </c>
      <c r="AM268">
        <f>IF(ISBLANK('Data Entry'!g268), "", 'Data Entry'!g268)</f>
      </c>
      <c r="AN268">
        <f>IF(ISBLANK('Data Entry'!h268), "", 'Data Entry'!h268)</f>
      </c>
    </row>
    <row r="269" spans="1:40" x14ac:dyDescent="0.25">
      <c r="A269">
        <f>IF(ISBLANK('Data Entry'!A269), "", 'Data Entry'!A269)</f>
      </c>
      <c r="B269">
        <f>IF(ISBLANK('Data Entry'!B269), "", 'Data Entry'!B269)</f>
      </c>
      <c r="C269">
        <f>IF(ISBLANK('Data Entry'!C269), "", 'Data Entry'!C269)</f>
      </c>
      <c r="D269">
        <f>IF(ISBLANK('Data Entry'!D269), "", 'Data Entry'!D269)</f>
      </c>
      <c r="E269">
        <f>IF(ISBLANK('Data Entry'!E269), "", 'Data Entry'!E269)</f>
      </c>
      <c r="F269">
        <f>IF(ISBLANK('Data Entry'!F269), "", 'Data Entry'!F269)</f>
      </c>
      <c r="G269">
        <f>IF(ISBLANK('Data Entry'!G269), "", 'Data Entry'!G269)</f>
      </c>
      <c r="H269">
        <f>IF(ISBLANK('Data Entry'!H269), "", 'Data Entry'!H269)</f>
      </c>
      <c r="I269">
        <f>IF(ISBLANK('Data Entry'!I269), "", 'Data Entry'!I269)</f>
      </c>
      <c r="J269">
        <f>IF(ISBLANK('Data Entry'!J269), "", 'Data Entry'!J269)</f>
      </c>
      <c r="K269">
        <f>IF(ISBLANK('Data Entry'!K269), "", 'Data Entry'!K269)</f>
      </c>
      <c r="L269">
        <f>IF(ISBLANK('Data Entry'!L269), "", 'Data Entry'!L269)</f>
      </c>
      <c r="M269">
        <f>IF(ISBLANK('Data Entry'!M269), "", 'Data Entry'!M269)</f>
      </c>
      <c r="N269">
        <f>IF(ISBLANK('Data Entry'!N269), "", 'Data Entry'!N269)</f>
      </c>
      <c r="O269">
        <f>IF(ISBLANK('Data Entry'!O269), "", 'Data Entry'!O269)</f>
      </c>
      <c r="P269">
        <f>IF(ISBLANK('Data Entry'!P269), "", 'Data Entry'!P269)</f>
      </c>
      <c r="Q269">
        <f>IF(ISBLANK('Data Entry'!Q269), "", 'Data Entry'!Q269)</f>
      </c>
      <c r="R269">
        <f>IF(ISBLANK('Data Entry'!R269), "", 'Data Entry'!R269)</f>
      </c>
      <c r="S269">
        <f>IF(ISBLANK('Data Entry'!S269), "", 'Data Entry'!S269)</f>
      </c>
      <c r="T269">
        <f>IF(ISBLANK('Data Entry'!T269), "", 'Data Entry'!T269)</f>
      </c>
      <c r="U269">
        <f>IF(ISBLANK('Data Entry'!U269), "", 'Data Entry'!U269)</f>
      </c>
      <c r="V269">
        <f>IF(ISBLANK('Data Entry'!V269), "", 'Data Entry'!V269)</f>
      </c>
      <c r="W269">
        <f>IF(ISBLANK('Data Entry'!W269), "", 'Data Entry'!W269)</f>
      </c>
      <c r="X269">
        <f>IF(ISBLANK('Data Entry'!X269), "", 'Data Entry'!X269)</f>
      </c>
      <c r="Y269">
        <f>IF(ISBLANK('Data Entry'!Y269), "", 'Data Entry'!Y269)</f>
      </c>
      <c r="Z269">
        <f>IF(ISBLANK('Data Entry'!Z269), "", 'Data Entry'!Z269)</f>
      </c>
      <c r="AA269">
        <f>IF(ISBLANK('Data Entry'![269), "", 'Data Entry'![269)</f>
      </c>
      <c r="AB269">
        <f>IF(ISBLANK('Data Entry'!\269), "", 'Data Entry'!\269)</f>
      </c>
      <c r="AC269">
        <f>IF(ISBLANK('Data Entry'!]269), "", 'Data Entry'!]269)</f>
      </c>
      <c r="AD269">
        <f>IF(ISBLANK('Data Entry'!^269), "", 'Data Entry'!^269)</f>
      </c>
      <c r="AE269">
        <f>IF(ISBLANK('Data Entry'!_269), "", 'Data Entry'!_269)</f>
      </c>
      <c r="AF269">
        <f>IF(ISBLANK('Data Entry'!`269), "", 'Data Entry'!`269)</f>
      </c>
      <c r="AG269">
        <f>IF(ISBLANK('Data Entry'!a269), "", 'Data Entry'!a269)</f>
      </c>
      <c r="AH269">
        <f>IF(ISBLANK('Data Entry'!b269), "", 'Data Entry'!b269)</f>
      </c>
      <c r="AI269">
        <f>IF(ISBLANK('Data Entry'!c269), "", 'Data Entry'!c269)</f>
      </c>
      <c r="AJ269">
        <f>IF(ISBLANK('Data Entry'!d269), "", 'Data Entry'!d269)</f>
      </c>
      <c r="AK269">
        <f>IF(ISBLANK('Data Entry'!e269), "", 'Data Entry'!e269)</f>
      </c>
      <c r="AL269">
        <f>IF(ISBLANK('Data Entry'!f269), "", 'Data Entry'!f269)</f>
      </c>
      <c r="AM269">
        <f>IF(ISBLANK('Data Entry'!g269), "", 'Data Entry'!g269)</f>
      </c>
      <c r="AN269">
        <f>IF(ISBLANK('Data Entry'!h269), "", 'Data Entry'!h269)</f>
      </c>
    </row>
    <row r="270" spans="1:40" x14ac:dyDescent="0.25">
      <c r="A270">
        <f>IF(ISBLANK('Data Entry'!A270), "", 'Data Entry'!A270)</f>
      </c>
      <c r="B270">
        <f>IF(ISBLANK('Data Entry'!B270), "", 'Data Entry'!B270)</f>
      </c>
      <c r="C270">
        <f>IF(ISBLANK('Data Entry'!C270), "", 'Data Entry'!C270)</f>
      </c>
      <c r="D270">
        <f>IF(ISBLANK('Data Entry'!D270), "", 'Data Entry'!D270)</f>
      </c>
      <c r="E270">
        <f>IF(ISBLANK('Data Entry'!E270), "", 'Data Entry'!E270)</f>
      </c>
      <c r="F270">
        <f>IF(ISBLANK('Data Entry'!F270), "", 'Data Entry'!F270)</f>
      </c>
      <c r="G270">
        <f>IF(ISBLANK('Data Entry'!G270), "", 'Data Entry'!G270)</f>
      </c>
      <c r="H270">
        <f>IF(ISBLANK('Data Entry'!H270), "", 'Data Entry'!H270)</f>
      </c>
      <c r="I270">
        <f>IF(ISBLANK('Data Entry'!I270), "", 'Data Entry'!I270)</f>
      </c>
      <c r="J270">
        <f>IF(ISBLANK('Data Entry'!J270), "", 'Data Entry'!J270)</f>
      </c>
      <c r="K270">
        <f>IF(ISBLANK('Data Entry'!K270), "", 'Data Entry'!K270)</f>
      </c>
      <c r="L270">
        <f>IF(ISBLANK('Data Entry'!L270), "", 'Data Entry'!L270)</f>
      </c>
      <c r="M270">
        <f>IF(ISBLANK('Data Entry'!M270), "", 'Data Entry'!M270)</f>
      </c>
      <c r="N270">
        <f>IF(ISBLANK('Data Entry'!N270), "", 'Data Entry'!N270)</f>
      </c>
      <c r="O270">
        <f>IF(ISBLANK('Data Entry'!O270), "", 'Data Entry'!O270)</f>
      </c>
      <c r="P270">
        <f>IF(ISBLANK('Data Entry'!P270), "", 'Data Entry'!P270)</f>
      </c>
      <c r="Q270">
        <f>IF(ISBLANK('Data Entry'!Q270), "", 'Data Entry'!Q270)</f>
      </c>
      <c r="R270">
        <f>IF(ISBLANK('Data Entry'!R270), "", 'Data Entry'!R270)</f>
      </c>
      <c r="S270">
        <f>IF(ISBLANK('Data Entry'!S270), "", 'Data Entry'!S270)</f>
      </c>
      <c r="T270">
        <f>IF(ISBLANK('Data Entry'!T270), "", 'Data Entry'!T270)</f>
      </c>
      <c r="U270">
        <f>IF(ISBLANK('Data Entry'!U270), "", 'Data Entry'!U270)</f>
      </c>
      <c r="V270">
        <f>IF(ISBLANK('Data Entry'!V270), "", 'Data Entry'!V270)</f>
      </c>
      <c r="W270">
        <f>IF(ISBLANK('Data Entry'!W270), "", 'Data Entry'!W270)</f>
      </c>
      <c r="X270">
        <f>IF(ISBLANK('Data Entry'!X270), "", 'Data Entry'!X270)</f>
      </c>
      <c r="Y270">
        <f>IF(ISBLANK('Data Entry'!Y270), "", 'Data Entry'!Y270)</f>
      </c>
      <c r="Z270">
        <f>IF(ISBLANK('Data Entry'!Z270), "", 'Data Entry'!Z270)</f>
      </c>
      <c r="AA270">
        <f>IF(ISBLANK('Data Entry'![270), "", 'Data Entry'![270)</f>
      </c>
      <c r="AB270">
        <f>IF(ISBLANK('Data Entry'!\270), "", 'Data Entry'!\270)</f>
      </c>
      <c r="AC270">
        <f>IF(ISBLANK('Data Entry'!]270), "", 'Data Entry'!]270)</f>
      </c>
      <c r="AD270">
        <f>IF(ISBLANK('Data Entry'!^270), "", 'Data Entry'!^270)</f>
      </c>
      <c r="AE270">
        <f>IF(ISBLANK('Data Entry'!_270), "", 'Data Entry'!_270)</f>
      </c>
      <c r="AF270">
        <f>IF(ISBLANK('Data Entry'!`270), "", 'Data Entry'!`270)</f>
      </c>
      <c r="AG270">
        <f>IF(ISBLANK('Data Entry'!a270), "", 'Data Entry'!a270)</f>
      </c>
      <c r="AH270">
        <f>IF(ISBLANK('Data Entry'!b270), "", 'Data Entry'!b270)</f>
      </c>
      <c r="AI270">
        <f>IF(ISBLANK('Data Entry'!c270), "", 'Data Entry'!c270)</f>
      </c>
      <c r="AJ270">
        <f>IF(ISBLANK('Data Entry'!d270), "", 'Data Entry'!d270)</f>
      </c>
      <c r="AK270">
        <f>IF(ISBLANK('Data Entry'!e270), "", 'Data Entry'!e270)</f>
      </c>
      <c r="AL270">
        <f>IF(ISBLANK('Data Entry'!f270), "", 'Data Entry'!f270)</f>
      </c>
      <c r="AM270">
        <f>IF(ISBLANK('Data Entry'!g270), "", 'Data Entry'!g270)</f>
      </c>
      <c r="AN270">
        <f>IF(ISBLANK('Data Entry'!h270), "", 'Data Entry'!h270)</f>
      </c>
    </row>
    <row r="271" spans="1:40" x14ac:dyDescent="0.25">
      <c r="A271">
        <f>IF(ISBLANK('Data Entry'!A271), "", 'Data Entry'!A271)</f>
      </c>
      <c r="B271">
        <f>IF(ISBLANK('Data Entry'!B271), "", 'Data Entry'!B271)</f>
      </c>
      <c r="C271">
        <f>IF(ISBLANK('Data Entry'!C271), "", 'Data Entry'!C271)</f>
      </c>
      <c r="D271">
        <f>IF(ISBLANK('Data Entry'!D271), "", 'Data Entry'!D271)</f>
      </c>
      <c r="E271">
        <f>IF(ISBLANK('Data Entry'!E271), "", 'Data Entry'!E271)</f>
      </c>
      <c r="F271">
        <f>IF(ISBLANK('Data Entry'!F271), "", 'Data Entry'!F271)</f>
      </c>
      <c r="G271">
        <f>IF(ISBLANK('Data Entry'!G271), "", 'Data Entry'!G271)</f>
      </c>
      <c r="H271">
        <f>IF(ISBLANK('Data Entry'!H271), "", 'Data Entry'!H271)</f>
      </c>
      <c r="I271">
        <f>IF(ISBLANK('Data Entry'!I271), "", 'Data Entry'!I271)</f>
      </c>
      <c r="J271">
        <f>IF(ISBLANK('Data Entry'!J271), "", 'Data Entry'!J271)</f>
      </c>
      <c r="K271">
        <f>IF(ISBLANK('Data Entry'!K271), "", 'Data Entry'!K271)</f>
      </c>
      <c r="L271">
        <f>IF(ISBLANK('Data Entry'!L271), "", 'Data Entry'!L271)</f>
      </c>
      <c r="M271">
        <f>IF(ISBLANK('Data Entry'!M271), "", 'Data Entry'!M271)</f>
      </c>
      <c r="N271">
        <f>IF(ISBLANK('Data Entry'!N271), "", 'Data Entry'!N271)</f>
      </c>
      <c r="O271">
        <f>IF(ISBLANK('Data Entry'!O271), "", 'Data Entry'!O271)</f>
      </c>
      <c r="P271">
        <f>IF(ISBLANK('Data Entry'!P271), "", 'Data Entry'!P271)</f>
      </c>
      <c r="Q271">
        <f>IF(ISBLANK('Data Entry'!Q271), "", 'Data Entry'!Q271)</f>
      </c>
      <c r="R271">
        <f>IF(ISBLANK('Data Entry'!R271), "", 'Data Entry'!R271)</f>
      </c>
      <c r="S271">
        <f>IF(ISBLANK('Data Entry'!S271), "", 'Data Entry'!S271)</f>
      </c>
      <c r="T271">
        <f>IF(ISBLANK('Data Entry'!T271), "", 'Data Entry'!T271)</f>
      </c>
      <c r="U271">
        <f>IF(ISBLANK('Data Entry'!U271), "", 'Data Entry'!U271)</f>
      </c>
      <c r="V271">
        <f>IF(ISBLANK('Data Entry'!V271), "", 'Data Entry'!V271)</f>
      </c>
      <c r="W271">
        <f>IF(ISBLANK('Data Entry'!W271), "", 'Data Entry'!W271)</f>
      </c>
      <c r="X271">
        <f>IF(ISBLANK('Data Entry'!X271), "", 'Data Entry'!X271)</f>
      </c>
      <c r="Y271">
        <f>IF(ISBLANK('Data Entry'!Y271), "", 'Data Entry'!Y271)</f>
      </c>
      <c r="Z271">
        <f>IF(ISBLANK('Data Entry'!Z271), "", 'Data Entry'!Z271)</f>
      </c>
      <c r="AA271">
        <f>IF(ISBLANK('Data Entry'![271), "", 'Data Entry'![271)</f>
      </c>
      <c r="AB271">
        <f>IF(ISBLANK('Data Entry'!\271), "", 'Data Entry'!\271)</f>
      </c>
      <c r="AC271">
        <f>IF(ISBLANK('Data Entry'!]271), "", 'Data Entry'!]271)</f>
      </c>
      <c r="AD271">
        <f>IF(ISBLANK('Data Entry'!^271), "", 'Data Entry'!^271)</f>
      </c>
      <c r="AE271">
        <f>IF(ISBLANK('Data Entry'!_271), "", 'Data Entry'!_271)</f>
      </c>
      <c r="AF271">
        <f>IF(ISBLANK('Data Entry'!`271), "", 'Data Entry'!`271)</f>
      </c>
      <c r="AG271">
        <f>IF(ISBLANK('Data Entry'!a271), "", 'Data Entry'!a271)</f>
      </c>
      <c r="AH271">
        <f>IF(ISBLANK('Data Entry'!b271), "", 'Data Entry'!b271)</f>
      </c>
      <c r="AI271">
        <f>IF(ISBLANK('Data Entry'!c271), "", 'Data Entry'!c271)</f>
      </c>
      <c r="AJ271">
        <f>IF(ISBLANK('Data Entry'!d271), "", 'Data Entry'!d271)</f>
      </c>
      <c r="AK271">
        <f>IF(ISBLANK('Data Entry'!e271), "", 'Data Entry'!e271)</f>
      </c>
      <c r="AL271">
        <f>IF(ISBLANK('Data Entry'!f271), "", 'Data Entry'!f271)</f>
      </c>
      <c r="AM271">
        <f>IF(ISBLANK('Data Entry'!g271), "", 'Data Entry'!g271)</f>
      </c>
      <c r="AN271">
        <f>IF(ISBLANK('Data Entry'!h271), "", 'Data Entry'!h271)</f>
      </c>
    </row>
    <row r="272" spans="1:40" x14ac:dyDescent="0.25">
      <c r="A272">
        <f>IF(ISBLANK('Data Entry'!A272), "", 'Data Entry'!A272)</f>
      </c>
      <c r="B272">
        <f>IF(ISBLANK('Data Entry'!B272), "", 'Data Entry'!B272)</f>
      </c>
      <c r="C272">
        <f>IF(ISBLANK('Data Entry'!C272), "", 'Data Entry'!C272)</f>
      </c>
      <c r="D272">
        <f>IF(ISBLANK('Data Entry'!D272), "", 'Data Entry'!D272)</f>
      </c>
      <c r="E272">
        <f>IF(ISBLANK('Data Entry'!E272), "", 'Data Entry'!E272)</f>
      </c>
      <c r="F272">
        <f>IF(ISBLANK('Data Entry'!F272), "", 'Data Entry'!F272)</f>
      </c>
      <c r="G272">
        <f>IF(ISBLANK('Data Entry'!G272), "", 'Data Entry'!G272)</f>
      </c>
      <c r="H272">
        <f>IF(ISBLANK('Data Entry'!H272), "", 'Data Entry'!H272)</f>
      </c>
      <c r="I272">
        <f>IF(ISBLANK('Data Entry'!I272), "", 'Data Entry'!I272)</f>
      </c>
      <c r="J272">
        <f>IF(ISBLANK('Data Entry'!J272), "", 'Data Entry'!J272)</f>
      </c>
      <c r="K272">
        <f>IF(ISBLANK('Data Entry'!K272), "", 'Data Entry'!K272)</f>
      </c>
      <c r="L272">
        <f>IF(ISBLANK('Data Entry'!L272), "", 'Data Entry'!L272)</f>
      </c>
      <c r="M272">
        <f>IF(ISBLANK('Data Entry'!M272), "", 'Data Entry'!M272)</f>
      </c>
      <c r="N272">
        <f>IF(ISBLANK('Data Entry'!N272), "", 'Data Entry'!N272)</f>
      </c>
      <c r="O272">
        <f>IF(ISBLANK('Data Entry'!O272), "", 'Data Entry'!O272)</f>
      </c>
      <c r="P272">
        <f>IF(ISBLANK('Data Entry'!P272), "", 'Data Entry'!P272)</f>
      </c>
      <c r="Q272">
        <f>IF(ISBLANK('Data Entry'!Q272), "", 'Data Entry'!Q272)</f>
      </c>
      <c r="R272">
        <f>IF(ISBLANK('Data Entry'!R272), "", 'Data Entry'!R272)</f>
      </c>
      <c r="S272">
        <f>IF(ISBLANK('Data Entry'!S272), "", 'Data Entry'!S272)</f>
      </c>
      <c r="T272">
        <f>IF(ISBLANK('Data Entry'!T272), "", 'Data Entry'!T272)</f>
      </c>
      <c r="U272">
        <f>IF(ISBLANK('Data Entry'!U272), "", 'Data Entry'!U272)</f>
      </c>
      <c r="V272">
        <f>IF(ISBLANK('Data Entry'!V272), "", 'Data Entry'!V272)</f>
      </c>
      <c r="W272">
        <f>IF(ISBLANK('Data Entry'!W272), "", 'Data Entry'!W272)</f>
      </c>
      <c r="X272">
        <f>IF(ISBLANK('Data Entry'!X272), "", 'Data Entry'!X272)</f>
      </c>
      <c r="Y272">
        <f>IF(ISBLANK('Data Entry'!Y272), "", 'Data Entry'!Y272)</f>
      </c>
      <c r="Z272">
        <f>IF(ISBLANK('Data Entry'!Z272), "", 'Data Entry'!Z272)</f>
      </c>
      <c r="AA272">
        <f>IF(ISBLANK('Data Entry'![272), "", 'Data Entry'![272)</f>
      </c>
      <c r="AB272">
        <f>IF(ISBLANK('Data Entry'!\272), "", 'Data Entry'!\272)</f>
      </c>
      <c r="AC272">
        <f>IF(ISBLANK('Data Entry'!]272), "", 'Data Entry'!]272)</f>
      </c>
      <c r="AD272">
        <f>IF(ISBLANK('Data Entry'!^272), "", 'Data Entry'!^272)</f>
      </c>
      <c r="AE272">
        <f>IF(ISBLANK('Data Entry'!_272), "", 'Data Entry'!_272)</f>
      </c>
      <c r="AF272">
        <f>IF(ISBLANK('Data Entry'!`272), "", 'Data Entry'!`272)</f>
      </c>
      <c r="AG272">
        <f>IF(ISBLANK('Data Entry'!a272), "", 'Data Entry'!a272)</f>
      </c>
      <c r="AH272">
        <f>IF(ISBLANK('Data Entry'!b272), "", 'Data Entry'!b272)</f>
      </c>
      <c r="AI272">
        <f>IF(ISBLANK('Data Entry'!c272), "", 'Data Entry'!c272)</f>
      </c>
      <c r="AJ272">
        <f>IF(ISBLANK('Data Entry'!d272), "", 'Data Entry'!d272)</f>
      </c>
      <c r="AK272">
        <f>IF(ISBLANK('Data Entry'!e272), "", 'Data Entry'!e272)</f>
      </c>
      <c r="AL272">
        <f>IF(ISBLANK('Data Entry'!f272), "", 'Data Entry'!f272)</f>
      </c>
      <c r="AM272">
        <f>IF(ISBLANK('Data Entry'!g272), "", 'Data Entry'!g272)</f>
      </c>
      <c r="AN272">
        <f>IF(ISBLANK('Data Entry'!h272), "", 'Data Entry'!h272)</f>
      </c>
    </row>
    <row r="273" spans="1:40" x14ac:dyDescent="0.25">
      <c r="A273">
        <f>IF(ISBLANK('Data Entry'!A273), "", 'Data Entry'!A273)</f>
      </c>
      <c r="B273">
        <f>IF(ISBLANK('Data Entry'!B273), "", 'Data Entry'!B273)</f>
      </c>
      <c r="C273">
        <f>IF(ISBLANK('Data Entry'!C273), "", 'Data Entry'!C273)</f>
      </c>
      <c r="D273">
        <f>IF(ISBLANK('Data Entry'!D273), "", 'Data Entry'!D273)</f>
      </c>
      <c r="E273">
        <f>IF(ISBLANK('Data Entry'!E273), "", 'Data Entry'!E273)</f>
      </c>
      <c r="F273">
        <f>IF(ISBLANK('Data Entry'!F273), "", 'Data Entry'!F273)</f>
      </c>
      <c r="G273">
        <f>IF(ISBLANK('Data Entry'!G273), "", 'Data Entry'!G273)</f>
      </c>
      <c r="H273">
        <f>IF(ISBLANK('Data Entry'!H273), "", 'Data Entry'!H273)</f>
      </c>
      <c r="I273">
        <f>IF(ISBLANK('Data Entry'!I273), "", 'Data Entry'!I273)</f>
      </c>
      <c r="J273">
        <f>IF(ISBLANK('Data Entry'!J273), "", 'Data Entry'!J273)</f>
      </c>
      <c r="K273">
        <f>IF(ISBLANK('Data Entry'!K273), "", 'Data Entry'!K273)</f>
      </c>
      <c r="L273">
        <f>IF(ISBLANK('Data Entry'!L273), "", 'Data Entry'!L273)</f>
      </c>
      <c r="M273">
        <f>IF(ISBLANK('Data Entry'!M273), "", 'Data Entry'!M273)</f>
      </c>
      <c r="N273">
        <f>IF(ISBLANK('Data Entry'!N273), "", 'Data Entry'!N273)</f>
      </c>
      <c r="O273">
        <f>IF(ISBLANK('Data Entry'!O273), "", 'Data Entry'!O273)</f>
      </c>
      <c r="P273">
        <f>IF(ISBLANK('Data Entry'!P273), "", 'Data Entry'!P273)</f>
      </c>
      <c r="Q273">
        <f>IF(ISBLANK('Data Entry'!Q273), "", 'Data Entry'!Q273)</f>
      </c>
      <c r="R273">
        <f>IF(ISBLANK('Data Entry'!R273), "", 'Data Entry'!R273)</f>
      </c>
      <c r="S273">
        <f>IF(ISBLANK('Data Entry'!S273), "", 'Data Entry'!S273)</f>
      </c>
      <c r="T273">
        <f>IF(ISBLANK('Data Entry'!T273), "", 'Data Entry'!T273)</f>
      </c>
      <c r="U273">
        <f>IF(ISBLANK('Data Entry'!U273), "", 'Data Entry'!U273)</f>
      </c>
      <c r="V273">
        <f>IF(ISBLANK('Data Entry'!V273), "", 'Data Entry'!V273)</f>
      </c>
      <c r="W273">
        <f>IF(ISBLANK('Data Entry'!W273), "", 'Data Entry'!W273)</f>
      </c>
      <c r="X273">
        <f>IF(ISBLANK('Data Entry'!X273), "", 'Data Entry'!X273)</f>
      </c>
      <c r="Y273">
        <f>IF(ISBLANK('Data Entry'!Y273), "", 'Data Entry'!Y273)</f>
      </c>
      <c r="Z273">
        <f>IF(ISBLANK('Data Entry'!Z273), "", 'Data Entry'!Z273)</f>
      </c>
      <c r="AA273">
        <f>IF(ISBLANK('Data Entry'![273), "", 'Data Entry'![273)</f>
      </c>
      <c r="AB273">
        <f>IF(ISBLANK('Data Entry'!\273), "", 'Data Entry'!\273)</f>
      </c>
      <c r="AC273">
        <f>IF(ISBLANK('Data Entry'!]273), "", 'Data Entry'!]273)</f>
      </c>
      <c r="AD273">
        <f>IF(ISBLANK('Data Entry'!^273), "", 'Data Entry'!^273)</f>
      </c>
      <c r="AE273">
        <f>IF(ISBLANK('Data Entry'!_273), "", 'Data Entry'!_273)</f>
      </c>
      <c r="AF273">
        <f>IF(ISBLANK('Data Entry'!`273), "", 'Data Entry'!`273)</f>
      </c>
      <c r="AG273">
        <f>IF(ISBLANK('Data Entry'!a273), "", 'Data Entry'!a273)</f>
      </c>
      <c r="AH273">
        <f>IF(ISBLANK('Data Entry'!b273), "", 'Data Entry'!b273)</f>
      </c>
      <c r="AI273">
        <f>IF(ISBLANK('Data Entry'!c273), "", 'Data Entry'!c273)</f>
      </c>
      <c r="AJ273">
        <f>IF(ISBLANK('Data Entry'!d273), "", 'Data Entry'!d273)</f>
      </c>
      <c r="AK273">
        <f>IF(ISBLANK('Data Entry'!e273), "", 'Data Entry'!e273)</f>
      </c>
      <c r="AL273">
        <f>IF(ISBLANK('Data Entry'!f273), "", 'Data Entry'!f273)</f>
      </c>
      <c r="AM273">
        <f>IF(ISBLANK('Data Entry'!g273), "", 'Data Entry'!g273)</f>
      </c>
      <c r="AN273">
        <f>IF(ISBLANK('Data Entry'!h273), "", 'Data Entry'!h273)</f>
      </c>
    </row>
    <row r="274" spans="1:40" x14ac:dyDescent="0.25">
      <c r="A274">
        <f>IF(ISBLANK('Data Entry'!A274), "", 'Data Entry'!A274)</f>
      </c>
      <c r="B274">
        <f>IF(ISBLANK('Data Entry'!B274), "", 'Data Entry'!B274)</f>
      </c>
      <c r="C274">
        <f>IF(ISBLANK('Data Entry'!C274), "", 'Data Entry'!C274)</f>
      </c>
      <c r="D274">
        <f>IF(ISBLANK('Data Entry'!D274), "", 'Data Entry'!D274)</f>
      </c>
      <c r="E274">
        <f>IF(ISBLANK('Data Entry'!E274), "", 'Data Entry'!E274)</f>
      </c>
      <c r="F274">
        <f>IF(ISBLANK('Data Entry'!F274), "", 'Data Entry'!F274)</f>
      </c>
      <c r="G274">
        <f>IF(ISBLANK('Data Entry'!G274), "", 'Data Entry'!G274)</f>
      </c>
      <c r="H274">
        <f>IF(ISBLANK('Data Entry'!H274), "", 'Data Entry'!H274)</f>
      </c>
      <c r="I274">
        <f>IF(ISBLANK('Data Entry'!I274), "", 'Data Entry'!I274)</f>
      </c>
      <c r="J274">
        <f>IF(ISBLANK('Data Entry'!J274), "", 'Data Entry'!J274)</f>
      </c>
      <c r="K274">
        <f>IF(ISBLANK('Data Entry'!K274), "", 'Data Entry'!K274)</f>
      </c>
      <c r="L274">
        <f>IF(ISBLANK('Data Entry'!L274), "", 'Data Entry'!L274)</f>
      </c>
      <c r="M274">
        <f>IF(ISBLANK('Data Entry'!M274), "", 'Data Entry'!M274)</f>
      </c>
      <c r="N274">
        <f>IF(ISBLANK('Data Entry'!N274), "", 'Data Entry'!N274)</f>
      </c>
      <c r="O274">
        <f>IF(ISBLANK('Data Entry'!O274), "", 'Data Entry'!O274)</f>
      </c>
      <c r="P274">
        <f>IF(ISBLANK('Data Entry'!P274), "", 'Data Entry'!P274)</f>
      </c>
      <c r="Q274">
        <f>IF(ISBLANK('Data Entry'!Q274), "", 'Data Entry'!Q274)</f>
      </c>
      <c r="R274">
        <f>IF(ISBLANK('Data Entry'!R274), "", 'Data Entry'!R274)</f>
      </c>
      <c r="S274">
        <f>IF(ISBLANK('Data Entry'!S274), "", 'Data Entry'!S274)</f>
      </c>
      <c r="T274">
        <f>IF(ISBLANK('Data Entry'!T274), "", 'Data Entry'!T274)</f>
      </c>
      <c r="U274">
        <f>IF(ISBLANK('Data Entry'!U274), "", 'Data Entry'!U274)</f>
      </c>
      <c r="V274">
        <f>IF(ISBLANK('Data Entry'!V274), "", 'Data Entry'!V274)</f>
      </c>
      <c r="W274">
        <f>IF(ISBLANK('Data Entry'!W274), "", 'Data Entry'!W274)</f>
      </c>
      <c r="X274">
        <f>IF(ISBLANK('Data Entry'!X274), "", 'Data Entry'!X274)</f>
      </c>
      <c r="Y274">
        <f>IF(ISBLANK('Data Entry'!Y274), "", 'Data Entry'!Y274)</f>
      </c>
      <c r="Z274">
        <f>IF(ISBLANK('Data Entry'!Z274), "", 'Data Entry'!Z274)</f>
      </c>
      <c r="AA274">
        <f>IF(ISBLANK('Data Entry'![274), "", 'Data Entry'![274)</f>
      </c>
      <c r="AB274">
        <f>IF(ISBLANK('Data Entry'!\274), "", 'Data Entry'!\274)</f>
      </c>
      <c r="AC274">
        <f>IF(ISBLANK('Data Entry'!]274), "", 'Data Entry'!]274)</f>
      </c>
      <c r="AD274">
        <f>IF(ISBLANK('Data Entry'!^274), "", 'Data Entry'!^274)</f>
      </c>
      <c r="AE274">
        <f>IF(ISBLANK('Data Entry'!_274), "", 'Data Entry'!_274)</f>
      </c>
      <c r="AF274">
        <f>IF(ISBLANK('Data Entry'!`274), "", 'Data Entry'!`274)</f>
      </c>
      <c r="AG274">
        <f>IF(ISBLANK('Data Entry'!a274), "", 'Data Entry'!a274)</f>
      </c>
      <c r="AH274">
        <f>IF(ISBLANK('Data Entry'!b274), "", 'Data Entry'!b274)</f>
      </c>
      <c r="AI274">
        <f>IF(ISBLANK('Data Entry'!c274), "", 'Data Entry'!c274)</f>
      </c>
      <c r="AJ274">
        <f>IF(ISBLANK('Data Entry'!d274), "", 'Data Entry'!d274)</f>
      </c>
      <c r="AK274">
        <f>IF(ISBLANK('Data Entry'!e274), "", 'Data Entry'!e274)</f>
      </c>
      <c r="AL274">
        <f>IF(ISBLANK('Data Entry'!f274), "", 'Data Entry'!f274)</f>
      </c>
      <c r="AM274">
        <f>IF(ISBLANK('Data Entry'!g274), "", 'Data Entry'!g274)</f>
      </c>
      <c r="AN274">
        <f>IF(ISBLANK('Data Entry'!h274), "", 'Data Entry'!h274)</f>
      </c>
    </row>
    <row r="275" spans="1:40" x14ac:dyDescent="0.25">
      <c r="A275">
        <f>IF(ISBLANK('Data Entry'!A275), "", 'Data Entry'!A275)</f>
      </c>
      <c r="B275">
        <f>IF(ISBLANK('Data Entry'!B275), "", 'Data Entry'!B275)</f>
      </c>
      <c r="C275">
        <f>IF(ISBLANK('Data Entry'!C275), "", 'Data Entry'!C275)</f>
      </c>
      <c r="D275">
        <f>IF(ISBLANK('Data Entry'!D275), "", 'Data Entry'!D275)</f>
      </c>
      <c r="E275">
        <f>IF(ISBLANK('Data Entry'!E275), "", 'Data Entry'!E275)</f>
      </c>
      <c r="F275">
        <f>IF(ISBLANK('Data Entry'!F275), "", 'Data Entry'!F275)</f>
      </c>
      <c r="G275">
        <f>IF(ISBLANK('Data Entry'!G275), "", 'Data Entry'!G275)</f>
      </c>
      <c r="H275">
        <f>IF(ISBLANK('Data Entry'!H275), "", 'Data Entry'!H275)</f>
      </c>
      <c r="I275">
        <f>IF(ISBLANK('Data Entry'!I275), "", 'Data Entry'!I275)</f>
      </c>
      <c r="J275">
        <f>IF(ISBLANK('Data Entry'!J275), "", 'Data Entry'!J275)</f>
      </c>
      <c r="K275">
        <f>IF(ISBLANK('Data Entry'!K275), "", 'Data Entry'!K275)</f>
      </c>
      <c r="L275">
        <f>IF(ISBLANK('Data Entry'!L275), "", 'Data Entry'!L275)</f>
      </c>
      <c r="M275">
        <f>IF(ISBLANK('Data Entry'!M275), "", 'Data Entry'!M275)</f>
      </c>
      <c r="N275">
        <f>IF(ISBLANK('Data Entry'!N275), "", 'Data Entry'!N275)</f>
      </c>
      <c r="O275">
        <f>IF(ISBLANK('Data Entry'!O275), "", 'Data Entry'!O275)</f>
      </c>
      <c r="P275">
        <f>IF(ISBLANK('Data Entry'!P275), "", 'Data Entry'!P275)</f>
      </c>
      <c r="Q275">
        <f>IF(ISBLANK('Data Entry'!Q275), "", 'Data Entry'!Q275)</f>
      </c>
      <c r="R275">
        <f>IF(ISBLANK('Data Entry'!R275), "", 'Data Entry'!R275)</f>
      </c>
      <c r="S275">
        <f>IF(ISBLANK('Data Entry'!S275), "", 'Data Entry'!S275)</f>
      </c>
      <c r="T275">
        <f>IF(ISBLANK('Data Entry'!T275), "", 'Data Entry'!T275)</f>
      </c>
      <c r="U275">
        <f>IF(ISBLANK('Data Entry'!U275), "", 'Data Entry'!U275)</f>
      </c>
      <c r="V275">
        <f>IF(ISBLANK('Data Entry'!V275), "", 'Data Entry'!V275)</f>
      </c>
      <c r="W275">
        <f>IF(ISBLANK('Data Entry'!W275), "", 'Data Entry'!W275)</f>
      </c>
      <c r="X275">
        <f>IF(ISBLANK('Data Entry'!X275), "", 'Data Entry'!X275)</f>
      </c>
      <c r="Y275">
        <f>IF(ISBLANK('Data Entry'!Y275), "", 'Data Entry'!Y275)</f>
      </c>
      <c r="Z275">
        <f>IF(ISBLANK('Data Entry'!Z275), "", 'Data Entry'!Z275)</f>
      </c>
      <c r="AA275">
        <f>IF(ISBLANK('Data Entry'![275), "", 'Data Entry'![275)</f>
      </c>
      <c r="AB275">
        <f>IF(ISBLANK('Data Entry'!\275), "", 'Data Entry'!\275)</f>
      </c>
      <c r="AC275">
        <f>IF(ISBLANK('Data Entry'!]275), "", 'Data Entry'!]275)</f>
      </c>
      <c r="AD275">
        <f>IF(ISBLANK('Data Entry'!^275), "", 'Data Entry'!^275)</f>
      </c>
      <c r="AE275">
        <f>IF(ISBLANK('Data Entry'!_275), "", 'Data Entry'!_275)</f>
      </c>
      <c r="AF275">
        <f>IF(ISBLANK('Data Entry'!`275), "", 'Data Entry'!`275)</f>
      </c>
      <c r="AG275">
        <f>IF(ISBLANK('Data Entry'!a275), "", 'Data Entry'!a275)</f>
      </c>
      <c r="AH275">
        <f>IF(ISBLANK('Data Entry'!b275), "", 'Data Entry'!b275)</f>
      </c>
      <c r="AI275">
        <f>IF(ISBLANK('Data Entry'!c275), "", 'Data Entry'!c275)</f>
      </c>
      <c r="AJ275">
        <f>IF(ISBLANK('Data Entry'!d275), "", 'Data Entry'!d275)</f>
      </c>
      <c r="AK275">
        <f>IF(ISBLANK('Data Entry'!e275), "", 'Data Entry'!e275)</f>
      </c>
      <c r="AL275">
        <f>IF(ISBLANK('Data Entry'!f275), "", 'Data Entry'!f275)</f>
      </c>
      <c r="AM275">
        <f>IF(ISBLANK('Data Entry'!g275), "", 'Data Entry'!g275)</f>
      </c>
      <c r="AN275">
        <f>IF(ISBLANK('Data Entry'!h275), "", 'Data Entry'!h275)</f>
      </c>
    </row>
    <row r="276" spans="1:40" x14ac:dyDescent="0.25">
      <c r="A276">
        <f>IF(ISBLANK('Data Entry'!A276), "", 'Data Entry'!A276)</f>
      </c>
      <c r="B276">
        <f>IF(ISBLANK('Data Entry'!B276), "", 'Data Entry'!B276)</f>
      </c>
      <c r="C276">
        <f>IF(ISBLANK('Data Entry'!C276), "", 'Data Entry'!C276)</f>
      </c>
      <c r="D276">
        <f>IF(ISBLANK('Data Entry'!D276), "", 'Data Entry'!D276)</f>
      </c>
      <c r="E276">
        <f>IF(ISBLANK('Data Entry'!E276), "", 'Data Entry'!E276)</f>
      </c>
      <c r="F276">
        <f>IF(ISBLANK('Data Entry'!F276), "", 'Data Entry'!F276)</f>
      </c>
      <c r="G276">
        <f>IF(ISBLANK('Data Entry'!G276), "", 'Data Entry'!G276)</f>
      </c>
      <c r="H276">
        <f>IF(ISBLANK('Data Entry'!H276), "", 'Data Entry'!H276)</f>
      </c>
      <c r="I276">
        <f>IF(ISBLANK('Data Entry'!I276), "", 'Data Entry'!I276)</f>
      </c>
      <c r="J276">
        <f>IF(ISBLANK('Data Entry'!J276), "", 'Data Entry'!J276)</f>
      </c>
      <c r="K276">
        <f>IF(ISBLANK('Data Entry'!K276), "", 'Data Entry'!K276)</f>
      </c>
      <c r="L276">
        <f>IF(ISBLANK('Data Entry'!L276), "", 'Data Entry'!L276)</f>
      </c>
      <c r="M276">
        <f>IF(ISBLANK('Data Entry'!M276), "", 'Data Entry'!M276)</f>
      </c>
      <c r="N276">
        <f>IF(ISBLANK('Data Entry'!N276), "", 'Data Entry'!N276)</f>
      </c>
      <c r="O276">
        <f>IF(ISBLANK('Data Entry'!O276), "", 'Data Entry'!O276)</f>
      </c>
      <c r="P276">
        <f>IF(ISBLANK('Data Entry'!P276), "", 'Data Entry'!P276)</f>
      </c>
      <c r="Q276">
        <f>IF(ISBLANK('Data Entry'!Q276), "", 'Data Entry'!Q276)</f>
      </c>
      <c r="R276">
        <f>IF(ISBLANK('Data Entry'!R276), "", 'Data Entry'!R276)</f>
      </c>
      <c r="S276">
        <f>IF(ISBLANK('Data Entry'!S276), "", 'Data Entry'!S276)</f>
      </c>
      <c r="T276">
        <f>IF(ISBLANK('Data Entry'!T276), "", 'Data Entry'!T276)</f>
      </c>
      <c r="U276">
        <f>IF(ISBLANK('Data Entry'!U276), "", 'Data Entry'!U276)</f>
      </c>
      <c r="V276">
        <f>IF(ISBLANK('Data Entry'!V276), "", 'Data Entry'!V276)</f>
      </c>
      <c r="W276">
        <f>IF(ISBLANK('Data Entry'!W276), "", 'Data Entry'!W276)</f>
      </c>
      <c r="X276">
        <f>IF(ISBLANK('Data Entry'!X276), "", 'Data Entry'!X276)</f>
      </c>
      <c r="Y276">
        <f>IF(ISBLANK('Data Entry'!Y276), "", 'Data Entry'!Y276)</f>
      </c>
      <c r="Z276">
        <f>IF(ISBLANK('Data Entry'!Z276), "", 'Data Entry'!Z276)</f>
      </c>
      <c r="AA276">
        <f>IF(ISBLANK('Data Entry'![276), "", 'Data Entry'![276)</f>
      </c>
      <c r="AB276">
        <f>IF(ISBLANK('Data Entry'!\276), "", 'Data Entry'!\276)</f>
      </c>
      <c r="AC276">
        <f>IF(ISBLANK('Data Entry'!]276), "", 'Data Entry'!]276)</f>
      </c>
      <c r="AD276">
        <f>IF(ISBLANK('Data Entry'!^276), "", 'Data Entry'!^276)</f>
      </c>
      <c r="AE276">
        <f>IF(ISBLANK('Data Entry'!_276), "", 'Data Entry'!_276)</f>
      </c>
      <c r="AF276">
        <f>IF(ISBLANK('Data Entry'!`276), "", 'Data Entry'!`276)</f>
      </c>
      <c r="AG276">
        <f>IF(ISBLANK('Data Entry'!a276), "", 'Data Entry'!a276)</f>
      </c>
      <c r="AH276">
        <f>IF(ISBLANK('Data Entry'!b276), "", 'Data Entry'!b276)</f>
      </c>
      <c r="AI276">
        <f>IF(ISBLANK('Data Entry'!c276), "", 'Data Entry'!c276)</f>
      </c>
      <c r="AJ276">
        <f>IF(ISBLANK('Data Entry'!d276), "", 'Data Entry'!d276)</f>
      </c>
      <c r="AK276">
        <f>IF(ISBLANK('Data Entry'!e276), "", 'Data Entry'!e276)</f>
      </c>
      <c r="AL276">
        <f>IF(ISBLANK('Data Entry'!f276), "", 'Data Entry'!f276)</f>
      </c>
      <c r="AM276">
        <f>IF(ISBLANK('Data Entry'!g276), "", 'Data Entry'!g276)</f>
      </c>
      <c r="AN276">
        <f>IF(ISBLANK('Data Entry'!h276), "", 'Data Entry'!h276)</f>
      </c>
    </row>
    <row r="277" spans="1:40" x14ac:dyDescent="0.25">
      <c r="A277">
        <f>IF(ISBLANK('Data Entry'!A277), "", 'Data Entry'!A277)</f>
      </c>
      <c r="B277">
        <f>IF(ISBLANK('Data Entry'!B277), "", 'Data Entry'!B277)</f>
      </c>
      <c r="C277">
        <f>IF(ISBLANK('Data Entry'!C277), "", 'Data Entry'!C277)</f>
      </c>
      <c r="D277">
        <f>IF(ISBLANK('Data Entry'!D277), "", 'Data Entry'!D277)</f>
      </c>
      <c r="E277">
        <f>IF(ISBLANK('Data Entry'!E277), "", 'Data Entry'!E277)</f>
      </c>
      <c r="F277">
        <f>IF(ISBLANK('Data Entry'!F277), "", 'Data Entry'!F277)</f>
      </c>
      <c r="G277">
        <f>IF(ISBLANK('Data Entry'!G277), "", 'Data Entry'!G277)</f>
      </c>
      <c r="H277">
        <f>IF(ISBLANK('Data Entry'!H277), "", 'Data Entry'!H277)</f>
      </c>
      <c r="I277">
        <f>IF(ISBLANK('Data Entry'!I277), "", 'Data Entry'!I277)</f>
      </c>
      <c r="J277">
        <f>IF(ISBLANK('Data Entry'!J277), "", 'Data Entry'!J277)</f>
      </c>
      <c r="K277">
        <f>IF(ISBLANK('Data Entry'!K277), "", 'Data Entry'!K277)</f>
      </c>
      <c r="L277">
        <f>IF(ISBLANK('Data Entry'!L277), "", 'Data Entry'!L277)</f>
      </c>
      <c r="M277">
        <f>IF(ISBLANK('Data Entry'!M277), "", 'Data Entry'!M277)</f>
      </c>
      <c r="N277">
        <f>IF(ISBLANK('Data Entry'!N277), "", 'Data Entry'!N277)</f>
      </c>
      <c r="O277">
        <f>IF(ISBLANK('Data Entry'!O277), "", 'Data Entry'!O277)</f>
      </c>
      <c r="P277">
        <f>IF(ISBLANK('Data Entry'!P277), "", 'Data Entry'!P277)</f>
      </c>
      <c r="Q277">
        <f>IF(ISBLANK('Data Entry'!Q277), "", 'Data Entry'!Q277)</f>
      </c>
      <c r="R277">
        <f>IF(ISBLANK('Data Entry'!R277), "", 'Data Entry'!R277)</f>
      </c>
      <c r="S277">
        <f>IF(ISBLANK('Data Entry'!S277), "", 'Data Entry'!S277)</f>
      </c>
      <c r="T277">
        <f>IF(ISBLANK('Data Entry'!T277), "", 'Data Entry'!T277)</f>
      </c>
      <c r="U277">
        <f>IF(ISBLANK('Data Entry'!U277), "", 'Data Entry'!U277)</f>
      </c>
      <c r="V277">
        <f>IF(ISBLANK('Data Entry'!V277), "", 'Data Entry'!V277)</f>
      </c>
      <c r="W277">
        <f>IF(ISBLANK('Data Entry'!W277), "", 'Data Entry'!W277)</f>
      </c>
      <c r="X277">
        <f>IF(ISBLANK('Data Entry'!X277), "", 'Data Entry'!X277)</f>
      </c>
      <c r="Y277">
        <f>IF(ISBLANK('Data Entry'!Y277), "", 'Data Entry'!Y277)</f>
      </c>
      <c r="Z277">
        <f>IF(ISBLANK('Data Entry'!Z277), "", 'Data Entry'!Z277)</f>
      </c>
      <c r="AA277">
        <f>IF(ISBLANK('Data Entry'![277), "", 'Data Entry'![277)</f>
      </c>
      <c r="AB277">
        <f>IF(ISBLANK('Data Entry'!\277), "", 'Data Entry'!\277)</f>
      </c>
      <c r="AC277">
        <f>IF(ISBLANK('Data Entry'!]277), "", 'Data Entry'!]277)</f>
      </c>
      <c r="AD277">
        <f>IF(ISBLANK('Data Entry'!^277), "", 'Data Entry'!^277)</f>
      </c>
      <c r="AE277">
        <f>IF(ISBLANK('Data Entry'!_277), "", 'Data Entry'!_277)</f>
      </c>
      <c r="AF277">
        <f>IF(ISBLANK('Data Entry'!`277), "", 'Data Entry'!`277)</f>
      </c>
      <c r="AG277">
        <f>IF(ISBLANK('Data Entry'!a277), "", 'Data Entry'!a277)</f>
      </c>
      <c r="AH277">
        <f>IF(ISBLANK('Data Entry'!b277), "", 'Data Entry'!b277)</f>
      </c>
      <c r="AI277">
        <f>IF(ISBLANK('Data Entry'!c277), "", 'Data Entry'!c277)</f>
      </c>
      <c r="AJ277">
        <f>IF(ISBLANK('Data Entry'!d277), "", 'Data Entry'!d277)</f>
      </c>
      <c r="AK277">
        <f>IF(ISBLANK('Data Entry'!e277), "", 'Data Entry'!e277)</f>
      </c>
      <c r="AL277">
        <f>IF(ISBLANK('Data Entry'!f277), "", 'Data Entry'!f277)</f>
      </c>
      <c r="AM277">
        <f>IF(ISBLANK('Data Entry'!g277), "", 'Data Entry'!g277)</f>
      </c>
      <c r="AN277">
        <f>IF(ISBLANK('Data Entry'!h277), "", 'Data Entry'!h277)</f>
      </c>
    </row>
    <row r="278" spans="1:40" x14ac:dyDescent="0.25">
      <c r="A278">
        <f>IF(ISBLANK('Data Entry'!A278), "", 'Data Entry'!A278)</f>
      </c>
      <c r="B278">
        <f>IF(ISBLANK('Data Entry'!B278), "", 'Data Entry'!B278)</f>
      </c>
      <c r="C278">
        <f>IF(ISBLANK('Data Entry'!C278), "", 'Data Entry'!C278)</f>
      </c>
      <c r="D278">
        <f>IF(ISBLANK('Data Entry'!D278), "", 'Data Entry'!D278)</f>
      </c>
      <c r="E278">
        <f>IF(ISBLANK('Data Entry'!E278), "", 'Data Entry'!E278)</f>
      </c>
      <c r="F278">
        <f>IF(ISBLANK('Data Entry'!F278), "", 'Data Entry'!F278)</f>
      </c>
      <c r="G278">
        <f>IF(ISBLANK('Data Entry'!G278), "", 'Data Entry'!G278)</f>
      </c>
      <c r="H278">
        <f>IF(ISBLANK('Data Entry'!H278), "", 'Data Entry'!H278)</f>
      </c>
      <c r="I278">
        <f>IF(ISBLANK('Data Entry'!I278), "", 'Data Entry'!I278)</f>
      </c>
      <c r="J278">
        <f>IF(ISBLANK('Data Entry'!J278), "", 'Data Entry'!J278)</f>
      </c>
      <c r="K278">
        <f>IF(ISBLANK('Data Entry'!K278), "", 'Data Entry'!K278)</f>
      </c>
      <c r="L278">
        <f>IF(ISBLANK('Data Entry'!L278), "", 'Data Entry'!L278)</f>
      </c>
      <c r="M278">
        <f>IF(ISBLANK('Data Entry'!M278), "", 'Data Entry'!M278)</f>
      </c>
      <c r="N278">
        <f>IF(ISBLANK('Data Entry'!N278), "", 'Data Entry'!N278)</f>
      </c>
      <c r="O278">
        <f>IF(ISBLANK('Data Entry'!O278), "", 'Data Entry'!O278)</f>
      </c>
      <c r="P278">
        <f>IF(ISBLANK('Data Entry'!P278), "", 'Data Entry'!P278)</f>
      </c>
      <c r="Q278">
        <f>IF(ISBLANK('Data Entry'!Q278), "", 'Data Entry'!Q278)</f>
      </c>
      <c r="R278">
        <f>IF(ISBLANK('Data Entry'!R278), "", 'Data Entry'!R278)</f>
      </c>
      <c r="S278">
        <f>IF(ISBLANK('Data Entry'!S278), "", 'Data Entry'!S278)</f>
      </c>
      <c r="T278">
        <f>IF(ISBLANK('Data Entry'!T278), "", 'Data Entry'!T278)</f>
      </c>
      <c r="U278">
        <f>IF(ISBLANK('Data Entry'!U278), "", 'Data Entry'!U278)</f>
      </c>
      <c r="V278">
        <f>IF(ISBLANK('Data Entry'!V278), "", 'Data Entry'!V278)</f>
      </c>
      <c r="W278">
        <f>IF(ISBLANK('Data Entry'!W278), "", 'Data Entry'!W278)</f>
      </c>
      <c r="X278">
        <f>IF(ISBLANK('Data Entry'!X278), "", 'Data Entry'!X278)</f>
      </c>
      <c r="Y278">
        <f>IF(ISBLANK('Data Entry'!Y278), "", 'Data Entry'!Y278)</f>
      </c>
      <c r="Z278">
        <f>IF(ISBLANK('Data Entry'!Z278), "", 'Data Entry'!Z278)</f>
      </c>
      <c r="AA278">
        <f>IF(ISBLANK('Data Entry'![278), "", 'Data Entry'![278)</f>
      </c>
      <c r="AB278">
        <f>IF(ISBLANK('Data Entry'!\278), "", 'Data Entry'!\278)</f>
      </c>
      <c r="AC278">
        <f>IF(ISBLANK('Data Entry'!]278), "", 'Data Entry'!]278)</f>
      </c>
      <c r="AD278">
        <f>IF(ISBLANK('Data Entry'!^278), "", 'Data Entry'!^278)</f>
      </c>
      <c r="AE278">
        <f>IF(ISBLANK('Data Entry'!_278), "", 'Data Entry'!_278)</f>
      </c>
      <c r="AF278">
        <f>IF(ISBLANK('Data Entry'!`278), "", 'Data Entry'!`278)</f>
      </c>
      <c r="AG278">
        <f>IF(ISBLANK('Data Entry'!a278), "", 'Data Entry'!a278)</f>
      </c>
      <c r="AH278">
        <f>IF(ISBLANK('Data Entry'!b278), "", 'Data Entry'!b278)</f>
      </c>
      <c r="AI278">
        <f>IF(ISBLANK('Data Entry'!c278), "", 'Data Entry'!c278)</f>
      </c>
      <c r="AJ278">
        <f>IF(ISBLANK('Data Entry'!d278), "", 'Data Entry'!d278)</f>
      </c>
      <c r="AK278">
        <f>IF(ISBLANK('Data Entry'!e278), "", 'Data Entry'!e278)</f>
      </c>
      <c r="AL278">
        <f>IF(ISBLANK('Data Entry'!f278), "", 'Data Entry'!f278)</f>
      </c>
      <c r="AM278">
        <f>IF(ISBLANK('Data Entry'!g278), "", 'Data Entry'!g278)</f>
      </c>
      <c r="AN278">
        <f>IF(ISBLANK('Data Entry'!h278), "", 'Data Entry'!h278)</f>
      </c>
    </row>
    <row r="279" spans="1:40" x14ac:dyDescent="0.25">
      <c r="A279">
        <f>IF(ISBLANK('Data Entry'!A279), "", 'Data Entry'!A279)</f>
      </c>
      <c r="B279">
        <f>IF(ISBLANK('Data Entry'!B279), "", 'Data Entry'!B279)</f>
      </c>
      <c r="C279">
        <f>IF(ISBLANK('Data Entry'!C279), "", 'Data Entry'!C279)</f>
      </c>
      <c r="D279">
        <f>IF(ISBLANK('Data Entry'!D279), "", 'Data Entry'!D279)</f>
      </c>
      <c r="E279">
        <f>IF(ISBLANK('Data Entry'!E279), "", 'Data Entry'!E279)</f>
      </c>
      <c r="F279">
        <f>IF(ISBLANK('Data Entry'!F279), "", 'Data Entry'!F279)</f>
      </c>
      <c r="G279">
        <f>IF(ISBLANK('Data Entry'!G279), "", 'Data Entry'!G279)</f>
      </c>
      <c r="H279">
        <f>IF(ISBLANK('Data Entry'!H279), "", 'Data Entry'!H279)</f>
      </c>
      <c r="I279">
        <f>IF(ISBLANK('Data Entry'!I279), "", 'Data Entry'!I279)</f>
      </c>
      <c r="J279">
        <f>IF(ISBLANK('Data Entry'!J279), "", 'Data Entry'!J279)</f>
      </c>
      <c r="K279">
        <f>IF(ISBLANK('Data Entry'!K279), "", 'Data Entry'!K279)</f>
      </c>
      <c r="L279">
        <f>IF(ISBLANK('Data Entry'!L279), "", 'Data Entry'!L279)</f>
      </c>
      <c r="M279">
        <f>IF(ISBLANK('Data Entry'!M279), "", 'Data Entry'!M279)</f>
      </c>
      <c r="N279">
        <f>IF(ISBLANK('Data Entry'!N279), "", 'Data Entry'!N279)</f>
      </c>
      <c r="O279">
        <f>IF(ISBLANK('Data Entry'!O279), "", 'Data Entry'!O279)</f>
      </c>
      <c r="P279">
        <f>IF(ISBLANK('Data Entry'!P279), "", 'Data Entry'!P279)</f>
      </c>
      <c r="Q279">
        <f>IF(ISBLANK('Data Entry'!Q279), "", 'Data Entry'!Q279)</f>
      </c>
      <c r="R279">
        <f>IF(ISBLANK('Data Entry'!R279), "", 'Data Entry'!R279)</f>
      </c>
      <c r="S279">
        <f>IF(ISBLANK('Data Entry'!S279), "", 'Data Entry'!S279)</f>
      </c>
      <c r="T279">
        <f>IF(ISBLANK('Data Entry'!T279), "", 'Data Entry'!T279)</f>
      </c>
      <c r="U279">
        <f>IF(ISBLANK('Data Entry'!U279), "", 'Data Entry'!U279)</f>
      </c>
      <c r="V279">
        <f>IF(ISBLANK('Data Entry'!V279), "", 'Data Entry'!V279)</f>
      </c>
      <c r="W279">
        <f>IF(ISBLANK('Data Entry'!W279), "", 'Data Entry'!W279)</f>
      </c>
      <c r="X279">
        <f>IF(ISBLANK('Data Entry'!X279), "", 'Data Entry'!X279)</f>
      </c>
      <c r="Y279">
        <f>IF(ISBLANK('Data Entry'!Y279), "", 'Data Entry'!Y279)</f>
      </c>
      <c r="Z279">
        <f>IF(ISBLANK('Data Entry'!Z279), "", 'Data Entry'!Z279)</f>
      </c>
      <c r="AA279">
        <f>IF(ISBLANK('Data Entry'![279), "", 'Data Entry'![279)</f>
      </c>
      <c r="AB279">
        <f>IF(ISBLANK('Data Entry'!\279), "", 'Data Entry'!\279)</f>
      </c>
      <c r="AC279">
        <f>IF(ISBLANK('Data Entry'!]279), "", 'Data Entry'!]279)</f>
      </c>
      <c r="AD279">
        <f>IF(ISBLANK('Data Entry'!^279), "", 'Data Entry'!^279)</f>
      </c>
      <c r="AE279">
        <f>IF(ISBLANK('Data Entry'!_279), "", 'Data Entry'!_279)</f>
      </c>
      <c r="AF279">
        <f>IF(ISBLANK('Data Entry'!`279), "", 'Data Entry'!`279)</f>
      </c>
      <c r="AG279">
        <f>IF(ISBLANK('Data Entry'!a279), "", 'Data Entry'!a279)</f>
      </c>
      <c r="AH279">
        <f>IF(ISBLANK('Data Entry'!b279), "", 'Data Entry'!b279)</f>
      </c>
      <c r="AI279">
        <f>IF(ISBLANK('Data Entry'!c279), "", 'Data Entry'!c279)</f>
      </c>
      <c r="AJ279">
        <f>IF(ISBLANK('Data Entry'!d279), "", 'Data Entry'!d279)</f>
      </c>
      <c r="AK279">
        <f>IF(ISBLANK('Data Entry'!e279), "", 'Data Entry'!e279)</f>
      </c>
      <c r="AL279">
        <f>IF(ISBLANK('Data Entry'!f279), "", 'Data Entry'!f279)</f>
      </c>
      <c r="AM279">
        <f>IF(ISBLANK('Data Entry'!g279), "", 'Data Entry'!g279)</f>
      </c>
      <c r="AN279">
        <f>IF(ISBLANK('Data Entry'!h279), "", 'Data Entry'!h279)</f>
      </c>
    </row>
    <row r="280" spans="1:40" x14ac:dyDescent="0.25">
      <c r="A280">
        <f>IF(ISBLANK('Data Entry'!A280), "", 'Data Entry'!A280)</f>
      </c>
      <c r="B280">
        <f>IF(ISBLANK('Data Entry'!B280), "", 'Data Entry'!B280)</f>
      </c>
      <c r="C280">
        <f>IF(ISBLANK('Data Entry'!C280), "", 'Data Entry'!C280)</f>
      </c>
      <c r="D280">
        <f>IF(ISBLANK('Data Entry'!D280), "", 'Data Entry'!D280)</f>
      </c>
      <c r="E280">
        <f>IF(ISBLANK('Data Entry'!E280), "", 'Data Entry'!E280)</f>
      </c>
      <c r="F280">
        <f>IF(ISBLANK('Data Entry'!F280), "", 'Data Entry'!F280)</f>
      </c>
      <c r="G280">
        <f>IF(ISBLANK('Data Entry'!G280), "", 'Data Entry'!G280)</f>
      </c>
      <c r="H280">
        <f>IF(ISBLANK('Data Entry'!H280), "", 'Data Entry'!H280)</f>
      </c>
      <c r="I280">
        <f>IF(ISBLANK('Data Entry'!I280), "", 'Data Entry'!I280)</f>
      </c>
      <c r="J280">
        <f>IF(ISBLANK('Data Entry'!J280), "", 'Data Entry'!J280)</f>
      </c>
      <c r="K280">
        <f>IF(ISBLANK('Data Entry'!K280), "", 'Data Entry'!K280)</f>
      </c>
      <c r="L280">
        <f>IF(ISBLANK('Data Entry'!L280), "", 'Data Entry'!L280)</f>
      </c>
      <c r="M280">
        <f>IF(ISBLANK('Data Entry'!M280), "", 'Data Entry'!M280)</f>
      </c>
      <c r="N280">
        <f>IF(ISBLANK('Data Entry'!N280), "", 'Data Entry'!N280)</f>
      </c>
      <c r="O280">
        <f>IF(ISBLANK('Data Entry'!O280), "", 'Data Entry'!O280)</f>
      </c>
      <c r="P280">
        <f>IF(ISBLANK('Data Entry'!P280), "", 'Data Entry'!P280)</f>
      </c>
      <c r="Q280">
        <f>IF(ISBLANK('Data Entry'!Q280), "", 'Data Entry'!Q280)</f>
      </c>
      <c r="R280">
        <f>IF(ISBLANK('Data Entry'!R280), "", 'Data Entry'!R280)</f>
      </c>
      <c r="S280">
        <f>IF(ISBLANK('Data Entry'!S280), "", 'Data Entry'!S280)</f>
      </c>
      <c r="T280">
        <f>IF(ISBLANK('Data Entry'!T280), "", 'Data Entry'!T280)</f>
      </c>
      <c r="U280">
        <f>IF(ISBLANK('Data Entry'!U280), "", 'Data Entry'!U280)</f>
      </c>
      <c r="V280">
        <f>IF(ISBLANK('Data Entry'!V280), "", 'Data Entry'!V280)</f>
      </c>
      <c r="W280">
        <f>IF(ISBLANK('Data Entry'!W280), "", 'Data Entry'!W280)</f>
      </c>
      <c r="X280">
        <f>IF(ISBLANK('Data Entry'!X280), "", 'Data Entry'!X280)</f>
      </c>
      <c r="Y280">
        <f>IF(ISBLANK('Data Entry'!Y280), "", 'Data Entry'!Y280)</f>
      </c>
      <c r="Z280">
        <f>IF(ISBLANK('Data Entry'!Z280), "", 'Data Entry'!Z280)</f>
      </c>
      <c r="AA280">
        <f>IF(ISBLANK('Data Entry'![280), "", 'Data Entry'![280)</f>
      </c>
      <c r="AB280">
        <f>IF(ISBLANK('Data Entry'!\280), "", 'Data Entry'!\280)</f>
      </c>
      <c r="AC280">
        <f>IF(ISBLANK('Data Entry'!]280), "", 'Data Entry'!]280)</f>
      </c>
      <c r="AD280">
        <f>IF(ISBLANK('Data Entry'!^280), "", 'Data Entry'!^280)</f>
      </c>
      <c r="AE280">
        <f>IF(ISBLANK('Data Entry'!_280), "", 'Data Entry'!_280)</f>
      </c>
      <c r="AF280">
        <f>IF(ISBLANK('Data Entry'!`280), "", 'Data Entry'!`280)</f>
      </c>
      <c r="AG280">
        <f>IF(ISBLANK('Data Entry'!a280), "", 'Data Entry'!a280)</f>
      </c>
      <c r="AH280">
        <f>IF(ISBLANK('Data Entry'!b280), "", 'Data Entry'!b280)</f>
      </c>
      <c r="AI280">
        <f>IF(ISBLANK('Data Entry'!c280), "", 'Data Entry'!c280)</f>
      </c>
      <c r="AJ280">
        <f>IF(ISBLANK('Data Entry'!d280), "", 'Data Entry'!d280)</f>
      </c>
      <c r="AK280">
        <f>IF(ISBLANK('Data Entry'!e280), "", 'Data Entry'!e280)</f>
      </c>
      <c r="AL280">
        <f>IF(ISBLANK('Data Entry'!f280), "", 'Data Entry'!f280)</f>
      </c>
      <c r="AM280">
        <f>IF(ISBLANK('Data Entry'!g280), "", 'Data Entry'!g280)</f>
      </c>
      <c r="AN280">
        <f>IF(ISBLANK('Data Entry'!h280), "", 'Data Entry'!h280)</f>
      </c>
    </row>
    <row r="281" spans="1:40" x14ac:dyDescent="0.25">
      <c r="A281">
        <f>IF(ISBLANK('Data Entry'!A281), "", 'Data Entry'!A281)</f>
      </c>
      <c r="B281">
        <f>IF(ISBLANK('Data Entry'!B281), "", 'Data Entry'!B281)</f>
      </c>
      <c r="C281">
        <f>IF(ISBLANK('Data Entry'!C281), "", 'Data Entry'!C281)</f>
      </c>
      <c r="D281">
        <f>IF(ISBLANK('Data Entry'!D281), "", 'Data Entry'!D281)</f>
      </c>
      <c r="E281">
        <f>IF(ISBLANK('Data Entry'!E281), "", 'Data Entry'!E281)</f>
      </c>
      <c r="F281">
        <f>IF(ISBLANK('Data Entry'!F281), "", 'Data Entry'!F281)</f>
      </c>
      <c r="G281">
        <f>IF(ISBLANK('Data Entry'!G281), "", 'Data Entry'!G281)</f>
      </c>
      <c r="H281">
        <f>IF(ISBLANK('Data Entry'!H281), "", 'Data Entry'!H281)</f>
      </c>
      <c r="I281">
        <f>IF(ISBLANK('Data Entry'!I281), "", 'Data Entry'!I281)</f>
      </c>
      <c r="J281">
        <f>IF(ISBLANK('Data Entry'!J281), "", 'Data Entry'!J281)</f>
      </c>
      <c r="K281">
        <f>IF(ISBLANK('Data Entry'!K281), "", 'Data Entry'!K281)</f>
      </c>
      <c r="L281">
        <f>IF(ISBLANK('Data Entry'!L281), "", 'Data Entry'!L281)</f>
      </c>
      <c r="M281">
        <f>IF(ISBLANK('Data Entry'!M281), "", 'Data Entry'!M281)</f>
      </c>
      <c r="N281">
        <f>IF(ISBLANK('Data Entry'!N281), "", 'Data Entry'!N281)</f>
      </c>
      <c r="O281">
        <f>IF(ISBLANK('Data Entry'!O281), "", 'Data Entry'!O281)</f>
      </c>
      <c r="P281">
        <f>IF(ISBLANK('Data Entry'!P281), "", 'Data Entry'!P281)</f>
      </c>
      <c r="Q281">
        <f>IF(ISBLANK('Data Entry'!Q281), "", 'Data Entry'!Q281)</f>
      </c>
      <c r="R281">
        <f>IF(ISBLANK('Data Entry'!R281), "", 'Data Entry'!R281)</f>
      </c>
      <c r="S281">
        <f>IF(ISBLANK('Data Entry'!S281), "", 'Data Entry'!S281)</f>
      </c>
      <c r="T281">
        <f>IF(ISBLANK('Data Entry'!T281), "", 'Data Entry'!T281)</f>
      </c>
      <c r="U281">
        <f>IF(ISBLANK('Data Entry'!U281), "", 'Data Entry'!U281)</f>
      </c>
      <c r="V281">
        <f>IF(ISBLANK('Data Entry'!V281), "", 'Data Entry'!V281)</f>
      </c>
      <c r="W281">
        <f>IF(ISBLANK('Data Entry'!W281), "", 'Data Entry'!W281)</f>
      </c>
      <c r="X281">
        <f>IF(ISBLANK('Data Entry'!X281), "", 'Data Entry'!X281)</f>
      </c>
      <c r="Y281">
        <f>IF(ISBLANK('Data Entry'!Y281), "", 'Data Entry'!Y281)</f>
      </c>
      <c r="Z281">
        <f>IF(ISBLANK('Data Entry'!Z281), "", 'Data Entry'!Z281)</f>
      </c>
      <c r="AA281">
        <f>IF(ISBLANK('Data Entry'![281), "", 'Data Entry'![281)</f>
      </c>
      <c r="AB281">
        <f>IF(ISBLANK('Data Entry'!\281), "", 'Data Entry'!\281)</f>
      </c>
      <c r="AC281">
        <f>IF(ISBLANK('Data Entry'!]281), "", 'Data Entry'!]281)</f>
      </c>
      <c r="AD281">
        <f>IF(ISBLANK('Data Entry'!^281), "", 'Data Entry'!^281)</f>
      </c>
      <c r="AE281">
        <f>IF(ISBLANK('Data Entry'!_281), "", 'Data Entry'!_281)</f>
      </c>
      <c r="AF281">
        <f>IF(ISBLANK('Data Entry'!`281), "", 'Data Entry'!`281)</f>
      </c>
      <c r="AG281">
        <f>IF(ISBLANK('Data Entry'!a281), "", 'Data Entry'!a281)</f>
      </c>
      <c r="AH281">
        <f>IF(ISBLANK('Data Entry'!b281), "", 'Data Entry'!b281)</f>
      </c>
      <c r="AI281">
        <f>IF(ISBLANK('Data Entry'!c281), "", 'Data Entry'!c281)</f>
      </c>
      <c r="AJ281">
        <f>IF(ISBLANK('Data Entry'!d281), "", 'Data Entry'!d281)</f>
      </c>
      <c r="AK281">
        <f>IF(ISBLANK('Data Entry'!e281), "", 'Data Entry'!e281)</f>
      </c>
      <c r="AL281">
        <f>IF(ISBLANK('Data Entry'!f281), "", 'Data Entry'!f281)</f>
      </c>
      <c r="AM281">
        <f>IF(ISBLANK('Data Entry'!g281), "", 'Data Entry'!g281)</f>
      </c>
      <c r="AN281">
        <f>IF(ISBLANK('Data Entry'!h281), "", 'Data Entry'!h281)</f>
      </c>
    </row>
    <row r="282" spans="1:40" x14ac:dyDescent="0.25">
      <c r="A282">
        <f>IF(ISBLANK('Data Entry'!A282), "", 'Data Entry'!A282)</f>
      </c>
      <c r="B282">
        <f>IF(ISBLANK('Data Entry'!B282), "", 'Data Entry'!B282)</f>
      </c>
      <c r="C282">
        <f>IF(ISBLANK('Data Entry'!C282), "", 'Data Entry'!C282)</f>
      </c>
      <c r="D282">
        <f>IF(ISBLANK('Data Entry'!D282), "", 'Data Entry'!D282)</f>
      </c>
      <c r="E282">
        <f>IF(ISBLANK('Data Entry'!E282), "", 'Data Entry'!E282)</f>
      </c>
      <c r="F282">
        <f>IF(ISBLANK('Data Entry'!F282), "", 'Data Entry'!F282)</f>
      </c>
      <c r="G282">
        <f>IF(ISBLANK('Data Entry'!G282), "", 'Data Entry'!G282)</f>
      </c>
      <c r="H282">
        <f>IF(ISBLANK('Data Entry'!H282), "", 'Data Entry'!H282)</f>
      </c>
      <c r="I282">
        <f>IF(ISBLANK('Data Entry'!I282), "", 'Data Entry'!I282)</f>
      </c>
      <c r="J282">
        <f>IF(ISBLANK('Data Entry'!J282), "", 'Data Entry'!J282)</f>
      </c>
      <c r="K282">
        <f>IF(ISBLANK('Data Entry'!K282), "", 'Data Entry'!K282)</f>
      </c>
      <c r="L282">
        <f>IF(ISBLANK('Data Entry'!L282), "", 'Data Entry'!L282)</f>
      </c>
      <c r="M282">
        <f>IF(ISBLANK('Data Entry'!M282), "", 'Data Entry'!M282)</f>
      </c>
      <c r="N282">
        <f>IF(ISBLANK('Data Entry'!N282), "", 'Data Entry'!N282)</f>
      </c>
      <c r="O282">
        <f>IF(ISBLANK('Data Entry'!O282), "", 'Data Entry'!O282)</f>
      </c>
      <c r="P282">
        <f>IF(ISBLANK('Data Entry'!P282), "", 'Data Entry'!P282)</f>
      </c>
      <c r="Q282">
        <f>IF(ISBLANK('Data Entry'!Q282), "", 'Data Entry'!Q282)</f>
      </c>
      <c r="R282">
        <f>IF(ISBLANK('Data Entry'!R282), "", 'Data Entry'!R282)</f>
      </c>
      <c r="S282">
        <f>IF(ISBLANK('Data Entry'!S282), "", 'Data Entry'!S282)</f>
      </c>
      <c r="T282">
        <f>IF(ISBLANK('Data Entry'!T282), "", 'Data Entry'!T282)</f>
      </c>
      <c r="U282">
        <f>IF(ISBLANK('Data Entry'!U282), "", 'Data Entry'!U282)</f>
      </c>
      <c r="V282">
        <f>IF(ISBLANK('Data Entry'!V282), "", 'Data Entry'!V282)</f>
      </c>
      <c r="W282">
        <f>IF(ISBLANK('Data Entry'!W282), "", 'Data Entry'!W282)</f>
      </c>
      <c r="X282">
        <f>IF(ISBLANK('Data Entry'!X282), "", 'Data Entry'!X282)</f>
      </c>
      <c r="Y282">
        <f>IF(ISBLANK('Data Entry'!Y282), "", 'Data Entry'!Y282)</f>
      </c>
      <c r="Z282">
        <f>IF(ISBLANK('Data Entry'!Z282), "", 'Data Entry'!Z282)</f>
      </c>
      <c r="AA282">
        <f>IF(ISBLANK('Data Entry'![282), "", 'Data Entry'![282)</f>
      </c>
      <c r="AB282">
        <f>IF(ISBLANK('Data Entry'!\282), "", 'Data Entry'!\282)</f>
      </c>
      <c r="AC282">
        <f>IF(ISBLANK('Data Entry'!]282), "", 'Data Entry'!]282)</f>
      </c>
      <c r="AD282">
        <f>IF(ISBLANK('Data Entry'!^282), "", 'Data Entry'!^282)</f>
      </c>
      <c r="AE282">
        <f>IF(ISBLANK('Data Entry'!_282), "", 'Data Entry'!_282)</f>
      </c>
      <c r="AF282">
        <f>IF(ISBLANK('Data Entry'!`282), "", 'Data Entry'!`282)</f>
      </c>
      <c r="AG282">
        <f>IF(ISBLANK('Data Entry'!a282), "", 'Data Entry'!a282)</f>
      </c>
      <c r="AH282">
        <f>IF(ISBLANK('Data Entry'!b282), "", 'Data Entry'!b282)</f>
      </c>
      <c r="AI282">
        <f>IF(ISBLANK('Data Entry'!c282), "", 'Data Entry'!c282)</f>
      </c>
      <c r="AJ282">
        <f>IF(ISBLANK('Data Entry'!d282), "", 'Data Entry'!d282)</f>
      </c>
      <c r="AK282">
        <f>IF(ISBLANK('Data Entry'!e282), "", 'Data Entry'!e282)</f>
      </c>
      <c r="AL282">
        <f>IF(ISBLANK('Data Entry'!f282), "", 'Data Entry'!f282)</f>
      </c>
      <c r="AM282">
        <f>IF(ISBLANK('Data Entry'!g282), "", 'Data Entry'!g282)</f>
      </c>
      <c r="AN282">
        <f>IF(ISBLANK('Data Entry'!h282), "", 'Data Entry'!h282)</f>
      </c>
    </row>
    <row r="283" spans="1:40" x14ac:dyDescent="0.25">
      <c r="A283">
        <f>IF(ISBLANK('Data Entry'!A283), "", 'Data Entry'!A283)</f>
      </c>
      <c r="B283">
        <f>IF(ISBLANK('Data Entry'!B283), "", 'Data Entry'!B283)</f>
      </c>
      <c r="C283">
        <f>IF(ISBLANK('Data Entry'!C283), "", 'Data Entry'!C283)</f>
      </c>
      <c r="D283">
        <f>IF(ISBLANK('Data Entry'!D283), "", 'Data Entry'!D283)</f>
      </c>
      <c r="E283">
        <f>IF(ISBLANK('Data Entry'!E283), "", 'Data Entry'!E283)</f>
      </c>
      <c r="F283">
        <f>IF(ISBLANK('Data Entry'!F283), "", 'Data Entry'!F283)</f>
      </c>
      <c r="G283">
        <f>IF(ISBLANK('Data Entry'!G283), "", 'Data Entry'!G283)</f>
      </c>
      <c r="H283">
        <f>IF(ISBLANK('Data Entry'!H283), "", 'Data Entry'!H283)</f>
      </c>
      <c r="I283">
        <f>IF(ISBLANK('Data Entry'!I283), "", 'Data Entry'!I283)</f>
      </c>
      <c r="J283">
        <f>IF(ISBLANK('Data Entry'!J283), "", 'Data Entry'!J283)</f>
      </c>
      <c r="K283">
        <f>IF(ISBLANK('Data Entry'!K283), "", 'Data Entry'!K283)</f>
      </c>
      <c r="L283">
        <f>IF(ISBLANK('Data Entry'!L283), "", 'Data Entry'!L283)</f>
      </c>
      <c r="M283">
        <f>IF(ISBLANK('Data Entry'!M283), "", 'Data Entry'!M283)</f>
      </c>
      <c r="N283">
        <f>IF(ISBLANK('Data Entry'!N283), "", 'Data Entry'!N283)</f>
      </c>
      <c r="O283">
        <f>IF(ISBLANK('Data Entry'!O283), "", 'Data Entry'!O283)</f>
      </c>
      <c r="P283">
        <f>IF(ISBLANK('Data Entry'!P283), "", 'Data Entry'!P283)</f>
      </c>
      <c r="Q283">
        <f>IF(ISBLANK('Data Entry'!Q283), "", 'Data Entry'!Q283)</f>
      </c>
      <c r="R283">
        <f>IF(ISBLANK('Data Entry'!R283), "", 'Data Entry'!R283)</f>
      </c>
      <c r="S283">
        <f>IF(ISBLANK('Data Entry'!S283), "", 'Data Entry'!S283)</f>
      </c>
      <c r="T283">
        <f>IF(ISBLANK('Data Entry'!T283), "", 'Data Entry'!T283)</f>
      </c>
      <c r="U283">
        <f>IF(ISBLANK('Data Entry'!U283), "", 'Data Entry'!U283)</f>
      </c>
      <c r="V283">
        <f>IF(ISBLANK('Data Entry'!V283), "", 'Data Entry'!V283)</f>
      </c>
      <c r="W283">
        <f>IF(ISBLANK('Data Entry'!W283), "", 'Data Entry'!W283)</f>
      </c>
      <c r="X283">
        <f>IF(ISBLANK('Data Entry'!X283), "", 'Data Entry'!X283)</f>
      </c>
      <c r="Y283">
        <f>IF(ISBLANK('Data Entry'!Y283), "", 'Data Entry'!Y283)</f>
      </c>
      <c r="Z283">
        <f>IF(ISBLANK('Data Entry'!Z283), "", 'Data Entry'!Z283)</f>
      </c>
      <c r="AA283">
        <f>IF(ISBLANK('Data Entry'![283), "", 'Data Entry'![283)</f>
      </c>
      <c r="AB283">
        <f>IF(ISBLANK('Data Entry'!\283), "", 'Data Entry'!\283)</f>
      </c>
      <c r="AC283">
        <f>IF(ISBLANK('Data Entry'!]283), "", 'Data Entry'!]283)</f>
      </c>
      <c r="AD283">
        <f>IF(ISBLANK('Data Entry'!^283), "", 'Data Entry'!^283)</f>
      </c>
      <c r="AE283">
        <f>IF(ISBLANK('Data Entry'!_283), "", 'Data Entry'!_283)</f>
      </c>
      <c r="AF283">
        <f>IF(ISBLANK('Data Entry'!`283), "", 'Data Entry'!`283)</f>
      </c>
      <c r="AG283">
        <f>IF(ISBLANK('Data Entry'!a283), "", 'Data Entry'!a283)</f>
      </c>
      <c r="AH283">
        <f>IF(ISBLANK('Data Entry'!b283), "", 'Data Entry'!b283)</f>
      </c>
      <c r="AI283">
        <f>IF(ISBLANK('Data Entry'!c283), "", 'Data Entry'!c283)</f>
      </c>
      <c r="AJ283">
        <f>IF(ISBLANK('Data Entry'!d283), "", 'Data Entry'!d283)</f>
      </c>
      <c r="AK283">
        <f>IF(ISBLANK('Data Entry'!e283), "", 'Data Entry'!e283)</f>
      </c>
      <c r="AL283">
        <f>IF(ISBLANK('Data Entry'!f283), "", 'Data Entry'!f283)</f>
      </c>
      <c r="AM283">
        <f>IF(ISBLANK('Data Entry'!g283), "", 'Data Entry'!g283)</f>
      </c>
      <c r="AN283">
        <f>IF(ISBLANK('Data Entry'!h283), "", 'Data Entry'!h283)</f>
      </c>
    </row>
    <row r="284" spans="1:40" x14ac:dyDescent="0.25">
      <c r="A284">
        <f>IF(ISBLANK('Data Entry'!A284), "", 'Data Entry'!A284)</f>
      </c>
      <c r="B284">
        <f>IF(ISBLANK('Data Entry'!B284), "", 'Data Entry'!B284)</f>
      </c>
      <c r="C284">
        <f>IF(ISBLANK('Data Entry'!C284), "", 'Data Entry'!C284)</f>
      </c>
      <c r="D284">
        <f>IF(ISBLANK('Data Entry'!D284), "", 'Data Entry'!D284)</f>
      </c>
      <c r="E284">
        <f>IF(ISBLANK('Data Entry'!E284), "", 'Data Entry'!E284)</f>
      </c>
      <c r="F284">
        <f>IF(ISBLANK('Data Entry'!F284), "", 'Data Entry'!F284)</f>
      </c>
      <c r="G284">
        <f>IF(ISBLANK('Data Entry'!G284), "", 'Data Entry'!G284)</f>
      </c>
      <c r="H284">
        <f>IF(ISBLANK('Data Entry'!H284), "", 'Data Entry'!H284)</f>
      </c>
      <c r="I284">
        <f>IF(ISBLANK('Data Entry'!I284), "", 'Data Entry'!I284)</f>
      </c>
      <c r="J284">
        <f>IF(ISBLANK('Data Entry'!J284), "", 'Data Entry'!J284)</f>
      </c>
      <c r="K284">
        <f>IF(ISBLANK('Data Entry'!K284), "", 'Data Entry'!K284)</f>
      </c>
      <c r="L284">
        <f>IF(ISBLANK('Data Entry'!L284), "", 'Data Entry'!L284)</f>
      </c>
      <c r="M284">
        <f>IF(ISBLANK('Data Entry'!M284), "", 'Data Entry'!M284)</f>
      </c>
      <c r="N284">
        <f>IF(ISBLANK('Data Entry'!N284), "", 'Data Entry'!N284)</f>
      </c>
      <c r="O284">
        <f>IF(ISBLANK('Data Entry'!O284), "", 'Data Entry'!O284)</f>
      </c>
      <c r="P284">
        <f>IF(ISBLANK('Data Entry'!P284), "", 'Data Entry'!P284)</f>
      </c>
      <c r="Q284">
        <f>IF(ISBLANK('Data Entry'!Q284), "", 'Data Entry'!Q284)</f>
      </c>
      <c r="R284">
        <f>IF(ISBLANK('Data Entry'!R284), "", 'Data Entry'!R284)</f>
      </c>
      <c r="S284">
        <f>IF(ISBLANK('Data Entry'!S284), "", 'Data Entry'!S284)</f>
      </c>
      <c r="T284">
        <f>IF(ISBLANK('Data Entry'!T284), "", 'Data Entry'!T284)</f>
      </c>
      <c r="U284">
        <f>IF(ISBLANK('Data Entry'!U284), "", 'Data Entry'!U284)</f>
      </c>
      <c r="V284">
        <f>IF(ISBLANK('Data Entry'!V284), "", 'Data Entry'!V284)</f>
      </c>
      <c r="W284">
        <f>IF(ISBLANK('Data Entry'!W284), "", 'Data Entry'!W284)</f>
      </c>
      <c r="X284">
        <f>IF(ISBLANK('Data Entry'!X284), "", 'Data Entry'!X284)</f>
      </c>
      <c r="Y284">
        <f>IF(ISBLANK('Data Entry'!Y284), "", 'Data Entry'!Y284)</f>
      </c>
      <c r="Z284">
        <f>IF(ISBLANK('Data Entry'!Z284), "", 'Data Entry'!Z284)</f>
      </c>
      <c r="AA284">
        <f>IF(ISBLANK('Data Entry'![284), "", 'Data Entry'![284)</f>
      </c>
      <c r="AB284">
        <f>IF(ISBLANK('Data Entry'!\284), "", 'Data Entry'!\284)</f>
      </c>
      <c r="AC284">
        <f>IF(ISBLANK('Data Entry'!]284), "", 'Data Entry'!]284)</f>
      </c>
      <c r="AD284">
        <f>IF(ISBLANK('Data Entry'!^284), "", 'Data Entry'!^284)</f>
      </c>
      <c r="AE284">
        <f>IF(ISBLANK('Data Entry'!_284), "", 'Data Entry'!_284)</f>
      </c>
      <c r="AF284">
        <f>IF(ISBLANK('Data Entry'!`284), "", 'Data Entry'!`284)</f>
      </c>
      <c r="AG284">
        <f>IF(ISBLANK('Data Entry'!a284), "", 'Data Entry'!a284)</f>
      </c>
      <c r="AH284">
        <f>IF(ISBLANK('Data Entry'!b284), "", 'Data Entry'!b284)</f>
      </c>
      <c r="AI284">
        <f>IF(ISBLANK('Data Entry'!c284), "", 'Data Entry'!c284)</f>
      </c>
      <c r="AJ284">
        <f>IF(ISBLANK('Data Entry'!d284), "", 'Data Entry'!d284)</f>
      </c>
      <c r="AK284">
        <f>IF(ISBLANK('Data Entry'!e284), "", 'Data Entry'!e284)</f>
      </c>
      <c r="AL284">
        <f>IF(ISBLANK('Data Entry'!f284), "", 'Data Entry'!f284)</f>
      </c>
      <c r="AM284">
        <f>IF(ISBLANK('Data Entry'!g284), "", 'Data Entry'!g284)</f>
      </c>
      <c r="AN284">
        <f>IF(ISBLANK('Data Entry'!h284), "", 'Data Entry'!h284)</f>
      </c>
    </row>
    <row r="285" spans="1:40" x14ac:dyDescent="0.25">
      <c r="A285">
        <f>IF(ISBLANK('Data Entry'!A285), "", 'Data Entry'!A285)</f>
      </c>
      <c r="B285">
        <f>IF(ISBLANK('Data Entry'!B285), "", 'Data Entry'!B285)</f>
      </c>
      <c r="C285">
        <f>IF(ISBLANK('Data Entry'!C285), "", 'Data Entry'!C285)</f>
      </c>
      <c r="D285">
        <f>IF(ISBLANK('Data Entry'!D285), "", 'Data Entry'!D285)</f>
      </c>
      <c r="E285">
        <f>IF(ISBLANK('Data Entry'!E285), "", 'Data Entry'!E285)</f>
      </c>
      <c r="F285">
        <f>IF(ISBLANK('Data Entry'!F285), "", 'Data Entry'!F285)</f>
      </c>
      <c r="G285">
        <f>IF(ISBLANK('Data Entry'!G285), "", 'Data Entry'!G285)</f>
      </c>
      <c r="H285">
        <f>IF(ISBLANK('Data Entry'!H285), "", 'Data Entry'!H285)</f>
      </c>
      <c r="I285">
        <f>IF(ISBLANK('Data Entry'!I285), "", 'Data Entry'!I285)</f>
      </c>
      <c r="J285">
        <f>IF(ISBLANK('Data Entry'!J285), "", 'Data Entry'!J285)</f>
      </c>
      <c r="K285">
        <f>IF(ISBLANK('Data Entry'!K285), "", 'Data Entry'!K285)</f>
      </c>
      <c r="L285">
        <f>IF(ISBLANK('Data Entry'!L285), "", 'Data Entry'!L285)</f>
      </c>
      <c r="M285">
        <f>IF(ISBLANK('Data Entry'!M285), "", 'Data Entry'!M285)</f>
      </c>
      <c r="N285">
        <f>IF(ISBLANK('Data Entry'!N285), "", 'Data Entry'!N285)</f>
      </c>
      <c r="O285">
        <f>IF(ISBLANK('Data Entry'!O285), "", 'Data Entry'!O285)</f>
      </c>
      <c r="P285">
        <f>IF(ISBLANK('Data Entry'!P285), "", 'Data Entry'!P285)</f>
      </c>
      <c r="Q285">
        <f>IF(ISBLANK('Data Entry'!Q285), "", 'Data Entry'!Q285)</f>
      </c>
      <c r="R285">
        <f>IF(ISBLANK('Data Entry'!R285), "", 'Data Entry'!R285)</f>
      </c>
      <c r="S285">
        <f>IF(ISBLANK('Data Entry'!S285), "", 'Data Entry'!S285)</f>
      </c>
      <c r="T285">
        <f>IF(ISBLANK('Data Entry'!T285), "", 'Data Entry'!T285)</f>
      </c>
      <c r="U285">
        <f>IF(ISBLANK('Data Entry'!U285), "", 'Data Entry'!U285)</f>
      </c>
      <c r="V285">
        <f>IF(ISBLANK('Data Entry'!V285), "", 'Data Entry'!V285)</f>
      </c>
      <c r="W285">
        <f>IF(ISBLANK('Data Entry'!W285), "", 'Data Entry'!W285)</f>
      </c>
      <c r="X285">
        <f>IF(ISBLANK('Data Entry'!X285), "", 'Data Entry'!X285)</f>
      </c>
      <c r="Y285">
        <f>IF(ISBLANK('Data Entry'!Y285), "", 'Data Entry'!Y285)</f>
      </c>
      <c r="Z285">
        <f>IF(ISBLANK('Data Entry'!Z285), "", 'Data Entry'!Z285)</f>
      </c>
      <c r="AA285">
        <f>IF(ISBLANK('Data Entry'![285), "", 'Data Entry'![285)</f>
      </c>
      <c r="AB285">
        <f>IF(ISBLANK('Data Entry'!\285), "", 'Data Entry'!\285)</f>
      </c>
      <c r="AC285">
        <f>IF(ISBLANK('Data Entry'!]285), "", 'Data Entry'!]285)</f>
      </c>
      <c r="AD285">
        <f>IF(ISBLANK('Data Entry'!^285), "", 'Data Entry'!^285)</f>
      </c>
      <c r="AE285">
        <f>IF(ISBLANK('Data Entry'!_285), "", 'Data Entry'!_285)</f>
      </c>
      <c r="AF285">
        <f>IF(ISBLANK('Data Entry'!`285), "", 'Data Entry'!`285)</f>
      </c>
      <c r="AG285">
        <f>IF(ISBLANK('Data Entry'!a285), "", 'Data Entry'!a285)</f>
      </c>
      <c r="AH285">
        <f>IF(ISBLANK('Data Entry'!b285), "", 'Data Entry'!b285)</f>
      </c>
      <c r="AI285">
        <f>IF(ISBLANK('Data Entry'!c285), "", 'Data Entry'!c285)</f>
      </c>
      <c r="AJ285">
        <f>IF(ISBLANK('Data Entry'!d285), "", 'Data Entry'!d285)</f>
      </c>
      <c r="AK285">
        <f>IF(ISBLANK('Data Entry'!e285), "", 'Data Entry'!e285)</f>
      </c>
      <c r="AL285">
        <f>IF(ISBLANK('Data Entry'!f285), "", 'Data Entry'!f285)</f>
      </c>
      <c r="AM285">
        <f>IF(ISBLANK('Data Entry'!g285), "", 'Data Entry'!g285)</f>
      </c>
      <c r="AN285">
        <f>IF(ISBLANK('Data Entry'!h285), "", 'Data Entry'!h285)</f>
      </c>
    </row>
    <row r="286" spans="1:40" x14ac:dyDescent="0.25">
      <c r="A286">
        <f>IF(ISBLANK('Data Entry'!A286), "", 'Data Entry'!A286)</f>
      </c>
      <c r="B286">
        <f>IF(ISBLANK('Data Entry'!B286), "", 'Data Entry'!B286)</f>
      </c>
      <c r="C286">
        <f>IF(ISBLANK('Data Entry'!C286), "", 'Data Entry'!C286)</f>
      </c>
      <c r="D286">
        <f>IF(ISBLANK('Data Entry'!D286), "", 'Data Entry'!D286)</f>
      </c>
      <c r="E286">
        <f>IF(ISBLANK('Data Entry'!E286), "", 'Data Entry'!E286)</f>
      </c>
      <c r="F286">
        <f>IF(ISBLANK('Data Entry'!F286), "", 'Data Entry'!F286)</f>
      </c>
      <c r="G286">
        <f>IF(ISBLANK('Data Entry'!G286), "", 'Data Entry'!G286)</f>
      </c>
      <c r="H286">
        <f>IF(ISBLANK('Data Entry'!H286), "", 'Data Entry'!H286)</f>
      </c>
      <c r="I286">
        <f>IF(ISBLANK('Data Entry'!I286), "", 'Data Entry'!I286)</f>
      </c>
      <c r="J286">
        <f>IF(ISBLANK('Data Entry'!J286), "", 'Data Entry'!J286)</f>
      </c>
      <c r="K286">
        <f>IF(ISBLANK('Data Entry'!K286), "", 'Data Entry'!K286)</f>
      </c>
      <c r="L286">
        <f>IF(ISBLANK('Data Entry'!L286), "", 'Data Entry'!L286)</f>
      </c>
      <c r="M286">
        <f>IF(ISBLANK('Data Entry'!M286), "", 'Data Entry'!M286)</f>
      </c>
      <c r="N286">
        <f>IF(ISBLANK('Data Entry'!N286), "", 'Data Entry'!N286)</f>
      </c>
      <c r="O286">
        <f>IF(ISBLANK('Data Entry'!O286), "", 'Data Entry'!O286)</f>
      </c>
      <c r="P286">
        <f>IF(ISBLANK('Data Entry'!P286), "", 'Data Entry'!P286)</f>
      </c>
      <c r="Q286">
        <f>IF(ISBLANK('Data Entry'!Q286), "", 'Data Entry'!Q286)</f>
      </c>
      <c r="R286">
        <f>IF(ISBLANK('Data Entry'!R286), "", 'Data Entry'!R286)</f>
      </c>
      <c r="S286">
        <f>IF(ISBLANK('Data Entry'!S286), "", 'Data Entry'!S286)</f>
      </c>
      <c r="T286">
        <f>IF(ISBLANK('Data Entry'!T286), "", 'Data Entry'!T286)</f>
      </c>
      <c r="U286">
        <f>IF(ISBLANK('Data Entry'!U286), "", 'Data Entry'!U286)</f>
      </c>
      <c r="V286">
        <f>IF(ISBLANK('Data Entry'!V286), "", 'Data Entry'!V286)</f>
      </c>
      <c r="W286">
        <f>IF(ISBLANK('Data Entry'!W286), "", 'Data Entry'!W286)</f>
      </c>
      <c r="X286">
        <f>IF(ISBLANK('Data Entry'!X286), "", 'Data Entry'!X286)</f>
      </c>
      <c r="Y286">
        <f>IF(ISBLANK('Data Entry'!Y286), "", 'Data Entry'!Y286)</f>
      </c>
      <c r="Z286">
        <f>IF(ISBLANK('Data Entry'!Z286), "", 'Data Entry'!Z286)</f>
      </c>
      <c r="AA286">
        <f>IF(ISBLANK('Data Entry'![286), "", 'Data Entry'![286)</f>
      </c>
      <c r="AB286">
        <f>IF(ISBLANK('Data Entry'!\286), "", 'Data Entry'!\286)</f>
      </c>
      <c r="AC286">
        <f>IF(ISBLANK('Data Entry'!]286), "", 'Data Entry'!]286)</f>
      </c>
      <c r="AD286">
        <f>IF(ISBLANK('Data Entry'!^286), "", 'Data Entry'!^286)</f>
      </c>
      <c r="AE286">
        <f>IF(ISBLANK('Data Entry'!_286), "", 'Data Entry'!_286)</f>
      </c>
      <c r="AF286">
        <f>IF(ISBLANK('Data Entry'!`286), "", 'Data Entry'!`286)</f>
      </c>
      <c r="AG286">
        <f>IF(ISBLANK('Data Entry'!a286), "", 'Data Entry'!a286)</f>
      </c>
      <c r="AH286">
        <f>IF(ISBLANK('Data Entry'!b286), "", 'Data Entry'!b286)</f>
      </c>
      <c r="AI286">
        <f>IF(ISBLANK('Data Entry'!c286), "", 'Data Entry'!c286)</f>
      </c>
      <c r="AJ286">
        <f>IF(ISBLANK('Data Entry'!d286), "", 'Data Entry'!d286)</f>
      </c>
      <c r="AK286">
        <f>IF(ISBLANK('Data Entry'!e286), "", 'Data Entry'!e286)</f>
      </c>
      <c r="AL286">
        <f>IF(ISBLANK('Data Entry'!f286), "", 'Data Entry'!f286)</f>
      </c>
      <c r="AM286">
        <f>IF(ISBLANK('Data Entry'!g286), "", 'Data Entry'!g286)</f>
      </c>
      <c r="AN286">
        <f>IF(ISBLANK('Data Entry'!h286), "", 'Data Entry'!h286)</f>
      </c>
    </row>
    <row r="287" spans="1:40" x14ac:dyDescent="0.25">
      <c r="A287">
        <f>IF(ISBLANK('Data Entry'!A287), "", 'Data Entry'!A287)</f>
      </c>
      <c r="B287">
        <f>IF(ISBLANK('Data Entry'!B287), "", 'Data Entry'!B287)</f>
      </c>
      <c r="C287">
        <f>IF(ISBLANK('Data Entry'!C287), "", 'Data Entry'!C287)</f>
      </c>
      <c r="D287">
        <f>IF(ISBLANK('Data Entry'!D287), "", 'Data Entry'!D287)</f>
      </c>
      <c r="E287">
        <f>IF(ISBLANK('Data Entry'!E287), "", 'Data Entry'!E287)</f>
      </c>
      <c r="F287">
        <f>IF(ISBLANK('Data Entry'!F287), "", 'Data Entry'!F287)</f>
      </c>
      <c r="G287">
        <f>IF(ISBLANK('Data Entry'!G287), "", 'Data Entry'!G287)</f>
      </c>
      <c r="H287">
        <f>IF(ISBLANK('Data Entry'!H287), "", 'Data Entry'!H287)</f>
      </c>
      <c r="I287">
        <f>IF(ISBLANK('Data Entry'!I287), "", 'Data Entry'!I287)</f>
      </c>
      <c r="J287">
        <f>IF(ISBLANK('Data Entry'!J287), "", 'Data Entry'!J287)</f>
      </c>
      <c r="K287">
        <f>IF(ISBLANK('Data Entry'!K287), "", 'Data Entry'!K287)</f>
      </c>
      <c r="L287">
        <f>IF(ISBLANK('Data Entry'!L287), "", 'Data Entry'!L287)</f>
      </c>
      <c r="M287">
        <f>IF(ISBLANK('Data Entry'!M287), "", 'Data Entry'!M287)</f>
      </c>
      <c r="N287">
        <f>IF(ISBLANK('Data Entry'!N287), "", 'Data Entry'!N287)</f>
      </c>
      <c r="O287">
        <f>IF(ISBLANK('Data Entry'!O287), "", 'Data Entry'!O287)</f>
      </c>
      <c r="P287">
        <f>IF(ISBLANK('Data Entry'!P287), "", 'Data Entry'!P287)</f>
      </c>
      <c r="Q287">
        <f>IF(ISBLANK('Data Entry'!Q287), "", 'Data Entry'!Q287)</f>
      </c>
      <c r="R287">
        <f>IF(ISBLANK('Data Entry'!R287), "", 'Data Entry'!R287)</f>
      </c>
      <c r="S287">
        <f>IF(ISBLANK('Data Entry'!S287), "", 'Data Entry'!S287)</f>
      </c>
      <c r="T287">
        <f>IF(ISBLANK('Data Entry'!T287), "", 'Data Entry'!T287)</f>
      </c>
      <c r="U287">
        <f>IF(ISBLANK('Data Entry'!U287), "", 'Data Entry'!U287)</f>
      </c>
      <c r="V287">
        <f>IF(ISBLANK('Data Entry'!V287), "", 'Data Entry'!V287)</f>
      </c>
      <c r="W287">
        <f>IF(ISBLANK('Data Entry'!W287), "", 'Data Entry'!W287)</f>
      </c>
      <c r="X287">
        <f>IF(ISBLANK('Data Entry'!X287), "", 'Data Entry'!X287)</f>
      </c>
      <c r="Y287">
        <f>IF(ISBLANK('Data Entry'!Y287), "", 'Data Entry'!Y287)</f>
      </c>
      <c r="Z287">
        <f>IF(ISBLANK('Data Entry'!Z287), "", 'Data Entry'!Z287)</f>
      </c>
      <c r="AA287">
        <f>IF(ISBLANK('Data Entry'![287), "", 'Data Entry'![287)</f>
      </c>
      <c r="AB287">
        <f>IF(ISBLANK('Data Entry'!\287), "", 'Data Entry'!\287)</f>
      </c>
      <c r="AC287">
        <f>IF(ISBLANK('Data Entry'!]287), "", 'Data Entry'!]287)</f>
      </c>
      <c r="AD287">
        <f>IF(ISBLANK('Data Entry'!^287), "", 'Data Entry'!^287)</f>
      </c>
      <c r="AE287">
        <f>IF(ISBLANK('Data Entry'!_287), "", 'Data Entry'!_287)</f>
      </c>
      <c r="AF287">
        <f>IF(ISBLANK('Data Entry'!`287), "", 'Data Entry'!`287)</f>
      </c>
      <c r="AG287">
        <f>IF(ISBLANK('Data Entry'!a287), "", 'Data Entry'!a287)</f>
      </c>
      <c r="AH287">
        <f>IF(ISBLANK('Data Entry'!b287), "", 'Data Entry'!b287)</f>
      </c>
      <c r="AI287">
        <f>IF(ISBLANK('Data Entry'!c287), "", 'Data Entry'!c287)</f>
      </c>
      <c r="AJ287">
        <f>IF(ISBLANK('Data Entry'!d287), "", 'Data Entry'!d287)</f>
      </c>
      <c r="AK287">
        <f>IF(ISBLANK('Data Entry'!e287), "", 'Data Entry'!e287)</f>
      </c>
      <c r="AL287">
        <f>IF(ISBLANK('Data Entry'!f287), "", 'Data Entry'!f287)</f>
      </c>
      <c r="AM287">
        <f>IF(ISBLANK('Data Entry'!g287), "", 'Data Entry'!g287)</f>
      </c>
      <c r="AN287">
        <f>IF(ISBLANK('Data Entry'!h287), "", 'Data Entry'!h287)</f>
      </c>
    </row>
    <row r="288" spans="1:40" x14ac:dyDescent="0.25">
      <c r="A288">
        <f>IF(ISBLANK('Data Entry'!A288), "", 'Data Entry'!A288)</f>
      </c>
      <c r="B288">
        <f>IF(ISBLANK('Data Entry'!B288), "", 'Data Entry'!B288)</f>
      </c>
      <c r="C288">
        <f>IF(ISBLANK('Data Entry'!C288), "", 'Data Entry'!C288)</f>
      </c>
      <c r="D288">
        <f>IF(ISBLANK('Data Entry'!D288), "", 'Data Entry'!D288)</f>
      </c>
      <c r="E288">
        <f>IF(ISBLANK('Data Entry'!E288), "", 'Data Entry'!E288)</f>
      </c>
      <c r="F288">
        <f>IF(ISBLANK('Data Entry'!F288), "", 'Data Entry'!F288)</f>
      </c>
      <c r="G288">
        <f>IF(ISBLANK('Data Entry'!G288), "", 'Data Entry'!G288)</f>
      </c>
      <c r="H288">
        <f>IF(ISBLANK('Data Entry'!H288), "", 'Data Entry'!H288)</f>
      </c>
      <c r="I288">
        <f>IF(ISBLANK('Data Entry'!I288), "", 'Data Entry'!I288)</f>
      </c>
      <c r="J288">
        <f>IF(ISBLANK('Data Entry'!J288), "", 'Data Entry'!J288)</f>
      </c>
      <c r="K288">
        <f>IF(ISBLANK('Data Entry'!K288), "", 'Data Entry'!K288)</f>
      </c>
      <c r="L288">
        <f>IF(ISBLANK('Data Entry'!L288), "", 'Data Entry'!L288)</f>
      </c>
      <c r="M288">
        <f>IF(ISBLANK('Data Entry'!M288), "", 'Data Entry'!M288)</f>
      </c>
      <c r="N288">
        <f>IF(ISBLANK('Data Entry'!N288), "", 'Data Entry'!N288)</f>
      </c>
      <c r="O288">
        <f>IF(ISBLANK('Data Entry'!O288), "", 'Data Entry'!O288)</f>
      </c>
      <c r="P288">
        <f>IF(ISBLANK('Data Entry'!P288), "", 'Data Entry'!P288)</f>
      </c>
      <c r="Q288">
        <f>IF(ISBLANK('Data Entry'!Q288), "", 'Data Entry'!Q288)</f>
      </c>
      <c r="R288">
        <f>IF(ISBLANK('Data Entry'!R288), "", 'Data Entry'!R288)</f>
      </c>
      <c r="S288">
        <f>IF(ISBLANK('Data Entry'!S288), "", 'Data Entry'!S288)</f>
      </c>
      <c r="T288">
        <f>IF(ISBLANK('Data Entry'!T288), "", 'Data Entry'!T288)</f>
      </c>
      <c r="U288">
        <f>IF(ISBLANK('Data Entry'!U288), "", 'Data Entry'!U288)</f>
      </c>
      <c r="V288">
        <f>IF(ISBLANK('Data Entry'!V288), "", 'Data Entry'!V288)</f>
      </c>
      <c r="W288">
        <f>IF(ISBLANK('Data Entry'!W288), "", 'Data Entry'!W288)</f>
      </c>
      <c r="X288">
        <f>IF(ISBLANK('Data Entry'!X288), "", 'Data Entry'!X288)</f>
      </c>
      <c r="Y288">
        <f>IF(ISBLANK('Data Entry'!Y288), "", 'Data Entry'!Y288)</f>
      </c>
      <c r="Z288">
        <f>IF(ISBLANK('Data Entry'!Z288), "", 'Data Entry'!Z288)</f>
      </c>
      <c r="AA288">
        <f>IF(ISBLANK('Data Entry'![288), "", 'Data Entry'![288)</f>
      </c>
      <c r="AB288">
        <f>IF(ISBLANK('Data Entry'!\288), "", 'Data Entry'!\288)</f>
      </c>
      <c r="AC288">
        <f>IF(ISBLANK('Data Entry'!]288), "", 'Data Entry'!]288)</f>
      </c>
      <c r="AD288">
        <f>IF(ISBLANK('Data Entry'!^288), "", 'Data Entry'!^288)</f>
      </c>
      <c r="AE288">
        <f>IF(ISBLANK('Data Entry'!_288), "", 'Data Entry'!_288)</f>
      </c>
      <c r="AF288">
        <f>IF(ISBLANK('Data Entry'!`288), "", 'Data Entry'!`288)</f>
      </c>
      <c r="AG288">
        <f>IF(ISBLANK('Data Entry'!a288), "", 'Data Entry'!a288)</f>
      </c>
      <c r="AH288">
        <f>IF(ISBLANK('Data Entry'!b288), "", 'Data Entry'!b288)</f>
      </c>
      <c r="AI288">
        <f>IF(ISBLANK('Data Entry'!c288), "", 'Data Entry'!c288)</f>
      </c>
      <c r="AJ288">
        <f>IF(ISBLANK('Data Entry'!d288), "", 'Data Entry'!d288)</f>
      </c>
      <c r="AK288">
        <f>IF(ISBLANK('Data Entry'!e288), "", 'Data Entry'!e288)</f>
      </c>
      <c r="AL288">
        <f>IF(ISBLANK('Data Entry'!f288), "", 'Data Entry'!f288)</f>
      </c>
      <c r="AM288">
        <f>IF(ISBLANK('Data Entry'!g288), "", 'Data Entry'!g288)</f>
      </c>
      <c r="AN288">
        <f>IF(ISBLANK('Data Entry'!h288), "", 'Data Entry'!h288)</f>
      </c>
    </row>
    <row r="289" spans="1:40" x14ac:dyDescent="0.25">
      <c r="A289">
        <f>IF(ISBLANK('Data Entry'!A289), "", 'Data Entry'!A289)</f>
      </c>
      <c r="B289">
        <f>IF(ISBLANK('Data Entry'!B289), "", 'Data Entry'!B289)</f>
      </c>
      <c r="C289">
        <f>IF(ISBLANK('Data Entry'!C289), "", 'Data Entry'!C289)</f>
      </c>
      <c r="D289">
        <f>IF(ISBLANK('Data Entry'!D289), "", 'Data Entry'!D289)</f>
      </c>
      <c r="E289">
        <f>IF(ISBLANK('Data Entry'!E289), "", 'Data Entry'!E289)</f>
      </c>
      <c r="F289">
        <f>IF(ISBLANK('Data Entry'!F289), "", 'Data Entry'!F289)</f>
      </c>
      <c r="G289">
        <f>IF(ISBLANK('Data Entry'!G289), "", 'Data Entry'!G289)</f>
      </c>
      <c r="H289">
        <f>IF(ISBLANK('Data Entry'!H289), "", 'Data Entry'!H289)</f>
      </c>
      <c r="I289">
        <f>IF(ISBLANK('Data Entry'!I289), "", 'Data Entry'!I289)</f>
      </c>
      <c r="J289">
        <f>IF(ISBLANK('Data Entry'!J289), "", 'Data Entry'!J289)</f>
      </c>
      <c r="K289">
        <f>IF(ISBLANK('Data Entry'!K289), "", 'Data Entry'!K289)</f>
      </c>
      <c r="L289">
        <f>IF(ISBLANK('Data Entry'!L289), "", 'Data Entry'!L289)</f>
      </c>
      <c r="M289">
        <f>IF(ISBLANK('Data Entry'!M289), "", 'Data Entry'!M289)</f>
      </c>
      <c r="N289">
        <f>IF(ISBLANK('Data Entry'!N289), "", 'Data Entry'!N289)</f>
      </c>
      <c r="O289">
        <f>IF(ISBLANK('Data Entry'!O289), "", 'Data Entry'!O289)</f>
      </c>
      <c r="P289">
        <f>IF(ISBLANK('Data Entry'!P289), "", 'Data Entry'!P289)</f>
      </c>
      <c r="Q289">
        <f>IF(ISBLANK('Data Entry'!Q289), "", 'Data Entry'!Q289)</f>
      </c>
      <c r="R289">
        <f>IF(ISBLANK('Data Entry'!R289), "", 'Data Entry'!R289)</f>
      </c>
      <c r="S289">
        <f>IF(ISBLANK('Data Entry'!S289), "", 'Data Entry'!S289)</f>
      </c>
      <c r="T289">
        <f>IF(ISBLANK('Data Entry'!T289), "", 'Data Entry'!T289)</f>
      </c>
      <c r="U289">
        <f>IF(ISBLANK('Data Entry'!U289), "", 'Data Entry'!U289)</f>
      </c>
      <c r="V289">
        <f>IF(ISBLANK('Data Entry'!V289), "", 'Data Entry'!V289)</f>
      </c>
      <c r="W289">
        <f>IF(ISBLANK('Data Entry'!W289), "", 'Data Entry'!W289)</f>
      </c>
      <c r="X289">
        <f>IF(ISBLANK('Data Entry'!X289), "", 'Data Entry'!X289)</f>
      </c>
      <c r="Y289">
        <f>IF(ISBLANK('Data Entry'!Y289), "", 'Data Entry'!Y289)</f>
      </c>
      <c r="Z289">
        <f>IF(ISBLANK('Data Entry'!Z289), "", 'Data Entry'!Z289)</f>
      </c>
      <c r="AA289">
        <f>IF(ISBLANK('Data Entry'![289), "", 'Data Entry'![289)</f>
      </c>
      <c r="AB289">
        <f>IF(ISBLANK('Data Entry'!\289), "", 'Data Entry'!\289)</f>
      </c>
      <c r="AC289">
        <f>IF(ISBLANK('Data Entry'!]289), "", 'Data Entry'!]289)</f>
      </c>
      <c r="AD289">
        <f>IF(ISBLANK('Data Entry'!^289), "", 'Data Entry'!^289)</f>
      </c>
      <c r="AE289">
        <f>IF(ISBLANK('Data Entry'!_289), "", 'Data Entry'!_289)</f>
      </c>
      <c r="AF289">
        <f>IF(ISBLANK('Data Entry'!`289), "", 'Data Entry'!`289)</f>
      </c>
      <c r="AG289">
        <f>IF(ISBLANK('Data Entry'!a289), "", 'Data Entry'!a289)</f>
      </c>
      <c r="AH289">
        <f>IF(ISBLANK('Data Entry'!b289), "", 'Data Entry'!b289)</f>
      </c>
      <c r="AI289">
        <f>IF(ISBLANK('Data Entry'!c289), "", 'Data Entry'!c289)</f>
      </c>
      <c r="AJ289">
        <f>IF(ISBLANK('Data Entry'!d289), "", 'Data Entry'!d289)</f>
      </c>
      <c r="AK289">
        <f>IF(ISBLANK('Data Entry'!e289), "", 'Data Entry'!e289)</f>
      </c>
      <c r="AL289">
        <f>IF(ISBLANK('Data Entry'!f289), "", 'Data Entry'!f289)</f>
      </c>
      <c r="AM289">
        <f>IF(ISBLANK('Data Entry'!g289), "", 'Data Entry'!g289)</f>
      </c>
      <c r="AN289">
        <f>IF(ISBLANK('Data Entry'!h289), "", 'Data Entry'!h289)</f>
      </c>
    </row>
    <row r="290" spans="1:40" x14ac:dyDescent="0.25">
      <c r="A290">
        <f>IF(ISBLANK('Data Entry'!A290), "", 'Data Entry'!A290)</f>
      </c>
      <c r="B290">
        <f>IF(ISBLANK('Data Entry'!B290), "", 'Data Entry'!B290)</f>
      </c>
      <c r="C290">
        <f>IF(ISBLANK('Data Entry'!C290), "", 'Data Entry'!C290)</f>
      </c>
      <c r="D290">
        <f>IF(ISBLANK('Data Entry'!D290), "", 'Data Entry'!D290)</f>
      </c>
      <c r="E290">
        <f>IF(ISBLANK('Data Entry'!E290), "", 'Data Entry'!E290)</f>
      </c>
      <c r="F290">
        <f>IF(ISBLANK('Data Entry'!F290), "", 'Data Entry'!F290)</f>
      </c>
      <c r="G290">
        <f>IF(ISBLANK('Data Entry'!G290), "", 'Data Entry'!G290)</f>
      </c>
      <c r="H290">
        <f>IF(ISBLANK('Data Entry'!H290), "", 'Data Entry'!H290)</f>
      </c>
      <c r="I290">
        <f>IF(ISBLANK('Data Entry'!I290), "", 'Data Entry'!I290)</f>
      </c>
      <c r="J290">
        <f>IF(ISBLANK('Data Entry'!J290), "", 'Data Entry'!J290)</f>
      </c>
      <c r="K290">
        <f>IF(ISBLANK('Data Entry'!K290), "", 'Data Entry'!K290)</f>
      </c>
      <c r="L290">
        <f>IF(ISBLANK('Data Entry'!L290), "", 'Data Entry'!L290)</f>
      </c>
      <c r="M290">
        <f>IF(ISBLANK('Data Entry'!M290), "", 'Data Entry'!M290)</f>
      </c>
      <c r="N290">
        <f>IF(ISBLANK('Data Entry'!N290), "", 'Data Entry'!N290)</f>
      </c>
      <c r="O290">
        <f>IF(ISBLANK('Data Entry'!O290), "", 'Data Entry'!O290)</f>
      </c>
      <c r="P290">
        <f>IF(ISBLANK('Data Entry'!P290), "", 'Data Entry'!P290)</f>
      </c>
      <c r="Q290">
        <f>IF(ISBLANK('Data Entry'!Q290), "", 'Data Entry'!Q290)</f>
      </c>
      <c r="R290">
        <f>IF(ISBLANK('Data Entry'!R290), "", 'Data Entry'!R290)</f>
      </c>
      <c r="S290">
        <f>IF(ISBLANK('Data Entry'!S290), "", 'Data Entry'!S290)</f>
      </c>
      <c r="T290">
        <f>IF(ISBLANK('Data Entry'!T290), "", 'Data Entry'!T290)</f>
      </c>
      <c r="U290">
        <f>IF(ISBLANK('Data Entry'!U290), "", 'Data Entry'!U290)</f>
      </c>
      <c r="V290">
        <f>IF(ISBLANK('Data Entry'!V290), "", 'Data Entry'!V290)</f>
      </c>
      <c r="W290">
        <f>IF(ISBLANK('Data Entry'!W290), "", 'Data Entry'!W290)</f>
      </c>
      <c r="X290">
        <f>IF(ISBLANK('Data Entry'!X290), "", 'Data Entry'!X290)</f>
      </c>
      <c r="Y290">
        <f>IF(ISBLANK('Data Entry'!Y290), "", 'Data Entry'!Y290)</f>
      </c>
      <c r="Z290">
        <f>IF(ISBLANK('Data Entry'!Z290), "", 'Data Entry'!Z290)</f>
      </c>
      <c r="AA290">
        <f>IF(ISBLANK('Data Entry'![290), "", 'Data Entry'![290)</f>
      </c>
      <c r="AB290">
        <f>IF(ISBLANK('Data Entry'!\290), "", 'Data Entry'!\290)</f>
      </c>
      <c r="AC290">
        <f>IF(ISBLANK('Data Entry'!]290), "", 'Data Entry'!]290)</f>
      </c>
      <c r="AD290">
        <f>IF(ISBLANK('Data Entry'!^290), "", 'Data Entry'!^290)</f>
      </c>
      <c r="AE290">
        <f>IF(ISBLANK('Data Entry'!_290), "", 'Data Entry'!_290)</f>
      </c>
      <c r="AF290">
        <f>IF(ISBLANK('Data Entry'!`290), "", 'Data Entry'!`290)</f>
      </c>
      <c r="AG290">
        <f>IF(ISBLANK('Data Entry'!a290), "", 'Data Entry'!a290)</f>
      </c>
      <c r="AH290">
        <f>IF(ISBLANK('Data Entry'!b290), "", 'Data Entry'!b290)</f>
      </c>
      <c r="AI290">
        <f>IF(ISBLANK('Data Entry'!c290), "", 'Data Entry'!c290)</f>
      </c>
      <c r="AJ290">
        <f>IF(ISBLANK('Data Entry'!d290), "", 'Data Entry'!d290)</f>
      </c>
      <c r="AK290">
        <f>IF(ISBLANK('Data Entry'!e290), "", 'Data Entry'!e290)</f>
      </c>
      <c r="AL290">
        <f>IF(ISBLANK('Data Entry'!f290), "", 'Data Entry'!f290)</f>
      </c>
      <c r="AM290">
        <f>IF(ISBLANK('Data Entry'!g290), "", 'Data Entry'!g290)</f>
      </c>
      <c r="AN290">
        <f>IF(ISBLANK('Data Entry'!h290), "", 'Data Entry'!h290)</f>
      </c>
    </row>
    <row r="291" spans="1:40" x14ac:dyDescent="0.25">
      <c r="A291">
        <f>IF(ISBLANK('Data Entry'!A291), "", 'Data Entry'!A291)</f>
      </c>
      <c r="B291">
        <f>IF(ISBLANK('Data Entry'!B291), "", 'Data Entry'!B291)</f>
      </c>
      <c r="C291">
        <f>IF(ISBLANK('Data Entry'!C291), "", 'Data Entry'!C291)</f>
      </c>
      <c r="D291">
        <f>IF(ISBLANK('Data Entry'!D291), "", 'Data Entry'!D291)</f>
      </c>
      <c r="E291">
        <f>IF(ISBLANK('Data Entry'!E291), "", 'Data Entry'!E291)</f>
      </c>
      <c r="F291">
        <f>IF(ISBLANK('Data Entry'!F291), "", 'Data Entry'!F291)</f>
      </c>
      <c r="G291">
        <f>IF(ISBLANK('Data Entry'!G291), "", 'Data Entry'!G291)</f>
      </c>
      <c r="H291">
        <f>IF(ISBLANK('Data Entry'!H291), "", 'Data Entry'!H291)</f>
      </c>
      <c r="I291">
        <f>IF(ISBLANK('Data Entry'!I291), "", 'Data Entry'!I291)</f>
      </c>
      <c r="J291">
        <f>IF(ISBLANK('Data Entry'!J291), "", 'Data Entry'!J291)</f>
      </c>
      <c r="K291">
        <f>IF(ISBLANK('Data Entry'!K291), "", 'Data Entry'!K291)</f>
      </c>
      <c r="L291">
        <f>IF(ISBLANK('Data Entry'!L291), "", 'Data Entry'!L291)</f>
      </c>
      <c r="M291">
        <f>IF(ISBLANK('Data Entry'!M291), "", 'Data Entry'!M291)</f>
      </c>
      <c r="N291">
        <f>IF(ISBLANK('Data Entry'!N291), "", 'Data Entry'!N291)</f>
      </c>
      <c r="O291">
        <f>IF(ISBLANK('Data Entry'!O291), "", 'Data Entry'!O291)</f>
      </c>
      <c r="P291">
        <f>IF(ISBLANK('Data Entry'!P291), "", 'Data Entry'!P291)</f>
      </c>
      <c r="Q291">
        <f>IF(ISBLANK('Data Entry'!Q291), "", 'Data Entry'!Q291)</f>
      </c>
      <c r="R291">
        <f>IF(ISBLANK('Data Entry'!R291), "", 'Data Entry'!R291)</f>
      </c>
      <c r="S291">
        <f>IF(ISBLANK('Data Entry'!S291), "", 'Data Entry'!S291)</f>
      </c>
      <c r="T291">
        <f>IF(ISBLANK('Data Entry'!T291), "", 'Data Entry'!T291)</f>
      </c>
      <c r="U291">
        <f>IF(ISBLANK('Data Entry'!U291), "", 'Data Entry'!U291)</f>
      </c>
      <c r="V291">
        <f>IF(ISBLANK('Data Entry'!V291), "", 'Data Entry'!V291)</f>
      </c>
      <c r="W291">
        <f>IF(ISBLANK('Data Entry'!W291), "", 'Data Entry'!W291)</f>
      </c>
      <c r="X291">
        <f>IF(ISBLANK('Data Entry'!X291), "", 'Data Entry'!X291)</f>
      </c>
      <c r="Y291">
        <f>IF(ISBLANK('Data Entry'!Y291), "", 'Data Entry'!Y291)</f>
      </c>
      <c r="Z291">
        <f>IF(ISBLANK('Data Entry'!Z291), "", 'Data Entry'!Z291)</f>
      </c>
      <c r="AA291">
        <f>IF(ISBLANK('Data Entry'![291), "", 'Data Entry'![291)</f>
      </c>
      <c r="AB291">
        <f>IF(ISBLANK('Data Entry'!\291), "", 'Data Entry'!\291)</f>
      </c>
      <c r="AC291">
        <f>IF(ISBLANK('Data Entry'!]291), "", 'Data Entry'!]291)</f>
      </c>
      <c r="AD291">
        <f>IF(ISBLANK('Data Entry'!^291), "", 'Data Entry'!^291)</f>
      </c>
      <c r="AE291">
        <f>IF(ISBLANK('Data Entry'!_291), "", 'Data Entry'!_291)</f>
      </c>
      <c r="AF291">
        <f>IF(ISBLANK('Data Entry'!`291), "", 'Data Entry'!`291)</f>
      </c>
      <c r="AG291">
        <f>IF(ISBLANK('Data Entry'!a291), "", 'Data Entry'!a291)</f>
      </c>
      <c r="AH291">
        <f>IF(ISBLANK('Data Entry'!b291), "", 'Data Entry'!b291)</f>
      </c>
      <c r="AI291">
        <f>IF(ISBLANK('Data Entry'!c291), "", 'Data Entry'!c291)</f>
      </c>
      <c r="AJ291">
        <f>IF(ISBLANK('Data Entry'!d291), "", 'Data Entry'!d291)</f>
      </c>
      <c r="AK291">
        <f>IF(ISBLANK('Data Entry'!e291), "", 'Data Entry'!e291)</f>
      </c>
      <c r="AL291">
        <f>IF(ISBLANK('Data Entry'!f291), "", 'Data Entry'!f291)</f>
      </c>
      <c r="AM291">
        <f>IF(ISBLANK('Data Entry'!g291), "", 'Data Entry'!g291)</f>
      </c>
      <c r="AN291">
        <f>IF(ISBLANK('Data Entry'!h291), "", 'Data Entry'!h291)</f>
      </c>
    </row>
    <row r="292" spans="1:40" x14ac:dyDescent="0.25">
      <c r="A292">
        <f>IF(ISBLANK('Data Entry'!A292), "", 'Data Entry'!A292)</f>
      </c>
      <c r="B292">
        <f>IF(ISBLANK('Data Entry'!B292), "", 'Data Entry'!B292)</f>
      </c>
      <c r="C292">
        <f>IF(ISBLANK('Data Entry'!C292), "", 'Data Entry'!C292)</f>
      </c>
      <c r="D292">
        <f>IF(ISBLANK('Data Entry'!D292), "", 'Data Entry'!D292)</f>
      </c>
      <c r="E292">
        <f>IF(ISBLANK('Data Entry'!E292), "", 'Data Entry'!E292)</f>
      </c>
      <c r="F292">
        <f>IF(ISBLANK('Data Entry'!F292), "", 'Data Entry'!F292)</f>
      </c>
      <c r="G292">
        <f>IF(ISBLANK('Data Entry'!G292), "", 'Data Entry'!G292)</f>
      </c>
      <c r="H292">
        <f>IF(ISBLANK('Data Entry'!H292), "", 'Data Entry'!H292)</f>
      </c>
      <c r="I292">
        <f>IF(ISBLANK('Data Entry'!I292), "", 'Data Entry'!I292)</f>
      </c>
      <c r="J292">
        <f>IF(ISBLANK('Data Entry'!J292), "", 'Data Entry'!J292)</f>
      </c>
      <c r="K292">
        <f>IF(ISBLANK('Data Entry'!K292), "", 'Data Entry'!K292)</f>
      </c>
      <c r="L292">
        <f>IF(ISBLANK('Data Entry'!L292), "", 'Data Entry'!L292)</f>
      </c>
      <c r="M292">
        <f>IF(ISBLANK('Data Entry'!M292), "", 'Data Entry'!M292)</f>
      </c>
      <c r="N292">
        <f>IF(ISBLANK('Data Entry'!N292), "", 'Data Entry'!N292)</f>
      </c>
      <c r="O292">
        <f>IF(ISBLANK('Data Entry'!O292), "", 'Data Entry'!O292)</f>
      </c>
      <c r="P292">
        <f>IF(ISBLANK('Data Entry'!P292), "", 'Data Entry'!P292)</f>
      </c>
      <c r="Q292">
        <f>IF(ISBLANK('Data Entry'!Q292), "", 'Data Entry'!Q292)</f>
      </c>
      <c r="R292">
        <f>IF(ISBLANK('Data Entry'!R292), "", 'Data Entry'!R292)</f>
      </c>
      <c r="S292">
        <f>IF(ISBLANK('Data Entry'!S292), "", 'Data Entry'!S292)</f>
      </c>
      <c r="T292">
        <f>IF(ISBLANK('Data Entry'!T292), "", 'Data Entry'!T292)</f>
      </c>
      <c r="U292">
        <f>IF(ISBLANK('Data Entry'!U292), "", 'Data Entry'!U292)</f>
      </c>
      <c r="V292">
        <f>IF(ISBLANK('Data Entry'!V292), "", 'Data Entry'!V292)</f>
      </c>
      <c r="W292">
        <f>IF(ISBLANK('Data Entry'!W292), "", 'Data Entry'!W292)</f>
      </c>
      <c r="X292">
        <f>IF(ISBLANK('Data Entry'!X292), "", 'Data Entry'!X292)</f>
      </c>
      <c r="Y292">
        <f>IF(ISBLANK('Data Entry'!Y292), "", 'Data Entry'!Y292)</f>
      </c>
      <c r="Z292">
        <f>IF(ISBLANK('Data Entry'!Z292), "", 'Data Entry'!Z292)</f>
      </c>
      <c r="AA292">
        <f>IF(ISBLANK('Data Entry'![292), "", 'Data Entry'![292)</f>
      </c>
      <c r="AB292">
        <f>IF(ISBLANK('Data Entry'!\292), "", 'Data Entry'!\292)</f>
      </c>
      <c r="AC292">
        <f>IF(ISBLANK('Data Entry'!]292), "", 'Data Entry'!]292)</f>
      </c>
      <c r="AD292">
        <f>IF(ISBLANK('Data Entry'!^292), "", 'Data Entry'!^292)</f>
      </c>
      <c r="AE292">
        <f>IF(ISBLANK('Data Entry'!_292), "", 'Data Entry'!_292)</f>
      </c>
      <c r="AF292">
        <f>IF(ISBLANK('Data Entry'!`292), "", 'Data Entry'!`292)</f>
      </c>
      <c r="AG292">
        <f>IF(ISBLANK('Data Entry'!a292), "", 'Data Entry'!a292)</f>
      </c>
      <c r="AH292">
        <f>IF(ISBLANK('Data Entry'!b292), "", 'Data Entry'!b292)</f>
      </c>
      <c r="AI292">
        <f>IF(ISBLANK('Data Entry'!c292), "", 'Data Entry'!c292)</f>
      </c>
      <c r="AJ292">
        <f>IF(ISBLANK('Data Entry'!d292), "", 'Data Entry'!d292)</f>
      </c>
      <c r="AK292">
        <f>IF(ISBLANK('Data Entry'!e292), "", 'Data Entry'!e292)</f>
      </c>
      <c r="AL292">
        <f>IF(ISBLANK('Data Entry'!f292), "", 'Data Entry'!f292)</f>
      </c>
      <c r="AM292">
        <f>IF(ISBLANK('Data Entry'!g292), "", 'Data Entry'!g292)</f>
      </c>
      <c r="AN292">
        <f>IF(ISBLANK('Data Entry'!h292), "", 'Data Entry'!h292)</f>
      </c>
    </row>
    <row r="293" spans="1:40" x14ac:dyDescent="0.25">
      <c r="A293">
        <f>IF(ISBLANK('Data Entry'!A293), "", 'Data Entry'!A293)</f>
      </c>
      <c r="B293">
        <f>IF(ISBLANK('Data Entry'!B293), "", 'Data Entry'!B293)</f>
      </c>
      <c r="C293">
        <f>IF(ISBLANK('Data Entry'!C293), "", 'Data Entry'!C293)</f>
      </c>
      <c r="D293">
        <f>IF(ISBLANK('Data Entry'!D293), "", 'Data Entry'!D293)</f>
      </c>
      <c r="E293">
        <f>IF(ISBLANK('Data Entry'!E293), "", 'Data Entry'!E293)</f>
      </c>
      <c r="F293">
        <f>IF(ISBLANK('Data Entry'!F293), "", 'Data Entry'!F293)</f>
      </c>
      <c r="G293">
        <f>IF(ISBLANK('Data Entry'!G293), "", 'Data Entry'!G293)</f>
      </c>
      <c r="H293">
        <f>IF(ISBLANK('Data Entry'!H293), "", 'Data Entry'!H293)</f>
      </c>
      <c r="I293">
        <f>IF(ISBLANK('Data Entry'!I293), "", 'Data Entry'!I293)</f>
      </c>
      <c r="J293">
        <f>IF(ISBLANK('Data Entry'!J293), "", 'Data Entry'!J293)</f>
      </c>
      <c r="K293">
        <f>IF(ISBLANK('Data Entry'!K293), "", 'Data Entry'!K293)</f>
      </c>
      <c r="L293">
        <f>IF(ISBLANK('Data Entry'!L293), "", 'Data Entry'!L293)</f>
      </c>
      <c r="M293">
        <f>IF(ISBLANK('Data Entry'!M293), "", 'Data Entry'!M293)</f>
      </c>
      <c r="N293">
        <f>IF(ISBLANK('Data Entry'!N293), "", 'Data Entry'!N293)</f>
      </c>
      <c r="O293">
        <f>IF(ISBLANK('Data Entry'!O293), "", 'Data Entry'!O293)</f>
      </c>
      <c r="P293">
        <f>IF(ISBLANK('Data Entry'!P293), "", 'Data Entry'!P293)</f>
      </c>
      <c r="Q293">
        <f>IF(ISBLANK('Data Entry'!Q293), "", 'Data Entry'!Q293)</f>
      </c>
      <c r="R293">
        <f>IF(ISBLANK('Data Entry'!R293), "", 'Data Entry'!R293)</f>
      </c>
      <c r="S293">
        <f>IF(ISBLANK('Data Entry'!S293), "", 'Data Entry'!S293)</f>
      </c>
      <c r="T293">
        <f>IF(ISBLANK('Data Entry'!T293), "", 'Data Entry'!T293)</f>
      </c>
      <c r="U293">
        <f>IF(ISBLANK('Data Entry'!U293), "", 'Data Entry'!U293)</f>
      </c>
      <c r="V293">
        <f>IF(ISBLANK('Data Entry'!V293), "", 'Data Entry'!V293)</f>
      </c>
      <c r="W293">
        <f>IF(ISBLANK('Data Entry'!W293), "", 'Data Entry'!W293)</f>
      </c>
      <c r="X293">
        <f>IF(ISBLANK('Data Entry'!X293), "", 'Data Entry'!X293)</f>
      </c>
      <c r="Y293">
        <f>IF(ISBLANK('Data Entry'!Y293), "", 'Data Entry'!Y293)</f>
      </c>
      <c r="Z293">
        <f>IF(ISBLANK('Data Entry'!Z293), "", 'Data Entry'!Z293)</f>
      </c>
      <c r="AA293">
        <f>IF(ISBLANK('Data Entry'![293), "", 'Data Entry'![293)</f>
      </c>
      <c r="AB293">
        <f>IF(ISBLANK('Data Entry'!\293), "", 'Data Entry'!\293)</f>
      </c>
      <c r="AC293">
        <f>IF(ISBLANK('Data Entry'!]293), "", 'Data Entry'!]293)</f>
      </c>
      <c r="AD293">
        <f>IF(ISBLANK('Data Entry'!^293), "", 'Data Entry'!^293)</f>
      </c>
      <c r="AE293">
        <f>IF(ISBLANK('Data Entry'!_293), "", 'Data Entry'!_293)</f>
      </c>
      <c r="AF293">
        <f>IF(ISBLANK('Data Entry'!`293), "", 'Data Entry'!`293)</f>
      </c>
      <c r="AG293">
        <f>IF(ISBLANK('Data Entry'!a293), "", 'Data Entry'!a293)</f>
      </c>
      <c r="AH293">
        <f>IF(ISBLANK('Data Entry'!b293), "", 'Data Entry'!b293)</f>
      </c>
      <c r="AI293">
        <f>IF(ISBLANK('Data Entry'!c293), "", 'Data Entry'!c293)</f>
      </c>
      <c r="AJ293">
        <f>IF(ISBLANK('Data Entry'!d293), "", 'Data Entry'!d293)</f>
      </c>
      <c r="AK293">
        <f>IF(ISBLANK('Data Entry'!e293), "", 'Data Entry'!e293)</f>
      </c>
      <c r="AL293">
        <f>IF(ISBLANK('Data Entry'!f293), "", 'Data Entry'!f293)</f>
      </c>
      <c r="AM293">
        <f>IF(ISBLANK('Data Entry'!g293), "", 'Data Entry'!g293)</f>
      </c>
      <c r="AN293">
        <f>IF(ISBLANK('Data Entry'!h293), "", 'Data Entry'!h293)</f>
      </c>
    </row>
    <row r="294" spans="1:40" x14ac:dyDescent="0.25">
      <c r="A294">
        <f>IF(ISBLANK('Data Entry'!A294), "", 'Data Entry'!A294)</f>
      </c>
      <c r="B294">
        <f>IF(ISBLANK('Data Entry'!B294), "", 'Data Entry'!B294)</f>
      </c>
      <c r="C294">
        <f>IF(ISBLANK('Data Entry'!C294), "", 'Data Entry'!C294)</f>
      </c>
      <c r="D294">
        <f>IF(ISBLANK('Data Entry'!D294), "", 'Data Entry'!D294)</f>
      </c>
      <c r="E294">
        <f>IF(ISBLANK('Data Entry'!E294), "", 'Data Entry'!E294)</f>
      </c>
      <c r="F294">
        <f>IF(ISBLANK('Data Entry'!F294), "", 'Data Entry'!F294)</f>
      </c>
      <c r="G294">
        <f>IF(ISBLANK('Data Entry'!G294), "", 'Data Entry'!G294)</f>
      </c>
      <c r="H294">
        <f>IF(ISBLANK('Data Entry'!H294), "", 'Data Entry'!H294)</f>
      </c>
      <c r="I294">
        <f>IF(ISBLANK('Data Entry'!I294), "", 'Data Entry'!I294)</f>
      </c>
      <c r="J294">
        <f>IF(ISBLANK('Data Entry'!J294), "", 'Data Entry'!J294)</f>
      </c>
      <c r="K294">
        <f>IF(ISBLANK('Data Entry'!K294), "", 'Data Entry'!K294)</f>
      </c>
      <c r="L294">
        <f>IF(ISBLANK('Data Entry'!L294), "", 'Data Entry'!L294)</f>
      </c>
      <c r="M294">
        <f>IF(ISBLANK('Data Entry'!M294), "", 'Data Entry'!M294)</f>
      </c>
      <c r="N294">
        <f>IF(ISBLANK('Data Entry'!N294), "", 'Data Entry'!N294)</f>
      </c>
      <c r="O294">
        <f>IF(ISBLANK('Data Entry'!O294), "", 'Data Entry'!O294)</f>
      </c>
      <c r="P294">
        <f>IF(ISBLANK('Data Entry'!P294), "", 'Data Entry'!P294)</f>
      </c>
      <c r="Q294">
        <f>IF(ISBLANK('Data Entry'!Q294), "", 'Data Entry'!Q294)</f>
      </c>
      <c r="R294">
        <f>IF(ISBLANK('Data Entry'!R294), "", 'Data Entry'!R294)</f>
      </c>
      <c r="S294">
        <f>IF(ISBLANK('Data Entry'!S294), "", 'Data Entry'!S294)</f>
      </c>
      <c r="T294">
        <f>IF(ISBLANK('Data Entry'!T294), "", 'Data Entry'!T294)</f>
      </c>
      <c r="U294">
        <f>IF(ISBLANK('Data Entry'!U294), "", 'Data Entry'!U294)</f>
      </c>
      <c r="V294">
        <f>IF(ISBLANK('Data Entry'!V294), "", 'Data Entry'!V294)</f>
      </c>
      <c r="W294">
        <f>IF(ISBLANK('Data Entry'!W294), "", 'Data Entry'!W294)</f>
      </c>
      <c r="X294">
        <f>IF(ISBLANK('Data Entry'!X294), "", 'Data Entry'!X294)</f>
      </c>
      <c r="Y294">
        <f>IF(ISBLANK('Data Entry'!Y294), "", 'Data Entry'!Y294)</f>
      </c>
      <c r="Z294">
        <f>IF(ISBLANK('Data Entry'!Z294), "", 'Data Entry'!Z294)</f>
      </c>
      <c r="AA294">
        <f>IF(ISBLANK('Data Entry'![294), "", 'Data Entry'![294)</f>
      </c>
      <c r="AB294">
        <f>IF(ISBLANK('Data Entry'!\294), "", 'Data Entry'!\294)</f>
      </c>
      <c r="AC294">
        <f>IF(ISBLANK('Data Entry'!]294), "", 'Data Entry'!]294)</f>
      </c>
      <c r="AD294">
        <f>IF(ISBLANK('Data Entry'!^294), "", 'Data Entry'!^294)</f>
      </c>
      <c r="AE294">
        <f>IF(ISBLANK('Data Entry'!_294), "", 'Data Entry'!_294)</f>
      </c>
      <c r="AF294">
        <f>IF(ISBLANK('Data Entry'!`294), "", 'Data Entry'!`294)</f>
      </c>
      <c r="AG294">
        <f>IF(ISBLANK('Data Entry'!a294), "", 'Data Entry'!a294)</f>
      </c>
      <c r="AH294">
        <f>IF(ISBLANK('Data Entry'!b294), "", 'Data Entry'!b294)</f>
      </c>
      <c r="AI294">
        <f>IF(ISBLANK('Data Entry'!c294), "", 'Data Entry'!c294)</f>
      </c>
      <c r="AJ294">
        <f>IF(ISBLANK('Data Entry'!d294), "", 'Data Entry'!d294)</f>
      </c>
      <c r="AK294">
        <f>IF(ISBLANK('Data Entry'!e294), "", 'Data Entry'!e294)</f>
      </c>
      <c r="AL294">
        <f>IF(ISBLANK('Data Entry'!f294), "", 'Data Entry'!f294)</f>
      </c>
      <c r="AM294">
        <f>IF(ISBLANK('Data Entry'!g294), "", 'Data Entry'!g294)</f>
      </c>
      <c r="AN294">
        <f>IF(ISBLANK('Data Entry'!h294), "", 'Data Entry'!h294)</f>
      </c>
    </row>
    <row r="295" spans="1:40" x14ac:dyDescent="0.25">
      <c r="A295">
        <f>IF(ISBLANK('Data Entry'!A295), "", 'Data Entry'!A295)</f>
      </c>
      <c r="B295">
        <f>IF(ISBLANK('Data Entry'!B295), "", 'Data Entry'!B295)</f>
      </c>
      <c r="C295">
        <f>IF(ISBLANK('Data Entry'!C295), "", 'Data Entry'!C295)</f>
      </c>
      <c r="D295">
        <f>IF(ISBLANK('Data Entry'!D295), "", 'Data Entry'!D295)</f>
      </c>
      <c r="E295">
        <f>IF(ISBLANK('Data Entry'!E295), "", 'Data Entry'!E295)</f>
      </c>
      <c r="F295">
        <f>IF(ISBLANK('Data Entry'!F295), "", 'Data Entry'!F295)</f>
      </c>
      <c r="G295">
        <f>IF(ISBLANK('Data Entry'!G295), "", 'Data Entry'!G295)</f>
      </c>
      <c r="H295">
        <f>IF(ISBLANK('Data Entry'!H295), "", 'Data Entry'!H295)</f>
      </c>
      <c r="I295">
        <f>IF(ISBLANK('Data Entry'!I295), "", 'Data Entry'!I295)</f>
      </c>
      <c r="J295">
        <f>IF(ISBLANK('Data Entry'!J295), "", 'Data Entry'!J295)</f>
      </c>
      <c r="K295">
        <f>IF(ISBLANK('Data Entry'!K295), "", 'Data Entry'!K295)</f>
      </c>
      <c r="L295">
        <f>IF(ISBLANK('Data Entry'!L295), "", 'Data Entry'!L295)</f>
      </c>
      <c r="M295">
        <f>IF(ISBLANK('Data Entry'!M295), "", 'Data Entry'!M295)</f>
      </c>
      <c r="N295">
        <f>IF(ISBLANK('Data Entry'!N295), "", 'Data Entry'!N295)</f>
      </c>
      <c r="O295">
        <f>IF(ISBLANK('Data Entry'!O295), "", 'Data Entry'!O295)</f>
      </c>
      <c r="P295">
        <f>IF(ISBLANK('Data Entry'!P295), "", 'Data Entry'!P295)</f>
      </c>
      <c r="Q295">
        <f>IF(ISBLANK('Data Entry'!Q295), "", 'Data Entry'!Q295)</f>
      </c>
      <c r="R295">
        <f>IF(ISBLANK('Data Entry'!R295), "", 'Data Entry'!R295)</f>
      </c>
      <c r="S295">
        <f>IF(ISBLANK('Data Entry'!S295), "", 'Data Entry'!S295)</f>
      </c>
      <c r="T295">
        <f>IF(ISBLANK('Data Entry'!T295), "", 'Data Entry'!T295)</f>
      </c>
      <c r="U295">
        <f>IF(ISBLANK('Data Entry'!U295), "", 'Data Entry'!U295)</f>
      </c>
      <c r="V295">
        <f>IF(ISBLANK('Data Entry'!V295), "", 'Data Entry'!V295)</f>
      </c>
      <c r="W295">
        <f>IF(ISBLANK('Data Entry'!W295), "", 'Data Entry'!W295)</f>
      </c>
      <c r="X295">
        <f>IF(ISBLANK('Data Entry'!X295), "", 'Data Entry'!X295)</f>
      </c>
      <c r="Y295">
        <f>IF(ISBLANK('Data Entry'!Y295), "", 'Data Entry'!Y295)</f>
      </c>
      <c r="Z295">
        <f>IF(ISBLANK('Data Entry'!Z295), "", 'Data Entry'!Z295)</f>
      </c>
      <c r="AA295">
        <f>IF(ISBLANK('Data Entry'![295), "", 'Data Entry'![295)</f>
      </c>
      <c r="AB295">
        <f>IF(ISBLANK('Data Entry'!\295), "", 'Data Entry'!\295)</f>
      </c>
      <c r="AC295">
        <f>IF(ISBLANK('Data Entry'!]295), "", 'Data Entry'!]295)</f>
      </c>
      <c r="AD295">
        <f>IF(ISBLANK('Data Entry'!^295), "", 'Data Entry'!^295)</f>
      </c>
      <c r="AE295">
        <f>IF(ISBLANK('Data Entry'!_295), "", 'Data Entry'!_295)</f>
      </c>
      <c r="AF295">
        <f>IF(ISBLANK('Data Entry'!`295), "", 'Data Entry'!`295)</f>
      </c>
      <c r="AG295">
        <f>IF(ISBLANK('Data Entry'!a295), "", 'Data Entry'!a295)</f>
      </c>
      <c r="AH295">
        <f>IF(ISBLANK('Data Entry'!b295), "", 'Data Entry'!b295)</f>
      </c>
      <c r="AI295">
        <f>IF(ISBLANK('Data Entry'!c295), "", 'Data Entry'!c295)</f>
      </c>
      <c r="AJ295">
        <f>IF(ISBLANK('Data Entry'!d295), "", 'Data Entry'!d295)</f>
      </c>
      <c r="AK295">
        <f>IF(ISBLANK('Data Entry'!e295), "", 'Data Entry'!e295)</f>
      </c>
      <c r="AL295">
        <f>IF(ISBLANK('Data Entry'!f295), "", 'Data Entry'!f295)</f>
      </c>
      <c r="AM295">
        <f>IF(ISBLANK('Data Entry'!g295), "", 'Data Entry'!g295)</f>
      </c>
      <c r="AN295">
        <f>IF(ISBLANK('Data Entry'!h295), "", 'Data Entry'!h295)</f>
      </c>
    </row>
    <row r="296" spans="1:40" x14ac:dyDescent="0.25">
      <c r="A296">
        <f>IF(ISBLANK('Data Entry'!A296), "", 'Data Entry'!A296)</f>
      </c>
      <c r="B296">
        <f>IF(ISBLANK('Data Entry'!B296), "", 'Data Entry'!B296)</f>
      </c>
      <c r="C296">
        <f>IF(ISBLANK('Data Entry'!C296), "", 'Data Entry'!C296)</f>
      </c>
      <c r="D296">
        <f>IF(ISBLANK('Data Entry'!D296), "", 'Data Entry'!D296)</f>
      </c>
      <c r="E296">
        <f>IF(ISBLANK('Data Entry'!E296), "", 'Data Entry'!E296)</f>
      </c>
      <c r="F296">
        <f>IF(ISBLANK('Data Entry'!F296), "", 'Data Entry'!F296)</f>
      </c>
      <c r="G296">
        <f>IF(ISBLANK('Data Entry'!G296), "", 'Data Entry'!G296)</f>
      </c>
      <c r="H296">
        <f>IF(ISBLANK('Data Entry'!H296), "", 'Data Entry'!H296)</f>
      </c>
      <c r="I296">
        <f>IF(ISBLANK('Data Entry'!I296), "", 'Data Entry'!I296)</f>
      </c>
      <c r="J296">
        <f>IF(ISBLANK('Data Entry'!J296), "", 'Data Entry'!J296)</f>
      </c>
      <c r="K296">
        <f>IF(ISBLANK('Data Entry'!K296), "", 'Data Entry'!K296)</f>
      </c>
      <c r="L296">
        <f>IF(ISBLANK('Data Entry'!L296), "", 'Data Entry'!L296)</f>
      </c>
      <c r="M296">
        <f>IF(ISBLANK('Data Entry'!M296), "", 'Data Entry'!M296)</f>
      </c>
      <c r="N296">
        <f>IF(ISBLANK('Data Entry'!N296), "", 'Data Entry'!N296)</f>
      </c>
      <c r="O296">
        <f>IF(ISBLANK('Data Entry'!O296), "", 'Data Entry'!O296)</f>
      </c>
      <c r="P296">
        <f>IF(ISBLANK('Data Entry'!P296), "", 'Data Entry'!P296)</f>
      </c>
      <c r="Q296">
        <f>IF(ISBLANK('Data Entry'!Q296), "", 'Data Entry'!Q296)</f>
      </c>
      <c r="R296">
        <f>IF(ISBLANK('Data Entry'!R296), "", 'Data Entry'!R296)</f>
      </c>
      <c r="S296">
        <f>IF(ISBLANK('Data Entry'!S296), "", 'Data Entry'!S296)</f>
      </c>
      <c r="T296">
        <f>IF(ISBLANK('Data Entry'!T296), "", 'Data Entry'!T296)</f>
      </c>
      <c r="U296">
        <f>IF(ISBLANK('Data Entry'!U296), "", 'Data Entry'!U296)</f>
      </c>
      <c r="V296">
        <f>IF(ISBLANK('Data Entry'!V296), "", 'Data Entry'!V296)</f>
      </c>
      <c r="W296">
        <f>IF(ISBLANK('Data Entry'!W296), "", 'Data Entry'!W296)</f>
      </c>
      <c r="X296">
        <f>IF(ISBLANK('Data Entry'!X296), "", 'Data Entry'!X296)</f>
      </c>
      <c r="Y296">
        <f>IF(ISBLANK('Data Entry'!Y296), "", 'Data Entry'!Y296)</f>
      </c>
      <c r="Z296">
        <f>IF(ISBLANK('Data Entry'!Z296), "", 'Data Entry'!Z296)</f>
      </c>
      <c r="AA296">
        <f>IF(ISBLANK('Data Entry'![296), "", 'Data Entry'![296)</f>
      </c>
      <c r="AB296">
        <f>IF(ISBLANK('Data Entry'!\296), "", 'Data Entry'!\296)</f>
      </c>
      <c r="AC296">
        <f>IF(ISBLANK('Data Entry'!]296), "", 'Data Entry'!]296)</f>
      </c>
      <c r="AD296">
        <f>IF(ISBLANK('Data Entry'!^296), "", 'Data Entry'!^296)</f>
      </c>
      <c r="AE296">
        <f>IF(ISBLANK('Data Entry'!_296), "", 'Data Entry'!_296)</f>
      </c>
      <c r="AF296">
        <f>IF(ISBLANK('Data Entry'!`296), "", 'Data Entry'!`296)</f>
      </c>
      <c r="AG296">
        <f>IF(ISBLANK('Data Entry'!a296), "", 'Data Entry'!a296)</f>
      </c>
      <c r="AH296">
        <f>IF(ISBLANK('Data Entry'!b296), "", 'Data Entry'!b296)</f>
      </c>
      <c r="AI296">
        <f>IF(ISBLANK('Data Entry'!c296), "", 'Data Entry'!c296)</f>
      </c>
      <c r="AJ296">
        <f>IF(ISBLANK('Data Entry'!d296), "", 'Data Entry'!d296)</f>
      </c>
      <c r="AK296">
        <f>IF(ISBLANK('Data Entry'!e296), "", 'Data Entry'!e296)</f>
      </c>
      <c r="AL296">
        <f>IF(ISBLANK('Data Entry'!f296), "", 'Data Entry'!f296)</f>
      </c>
      <c r="AM296">
        <f>IF(ISBLANK('Data Entry'!g296), "", 'Data Entry'!g296)</f>
      </c>
      <c r="AN296">
        <f>IF(ISBLANK('Data Entry'!h296), "", 'Data Entry'!h296)</f>
      </c>
    </row>
    <row r="297" spans="1:40" x14ac:dyDescent="0.25">
      <c r="A297">
        <f>IF(ISBLANK('Data Entry'!A297), "", 'Data Entry'!A297)</f>
      </c>
      <c r="B297">
        <f>IF(ISBLANK('Data Entry'!B297), "", 'Data Entry'!B297)</f>
      </c>
      <c r="C297">
        <f>IF(ISBLANK('Data Entry'!C297), "", 'Data Entry'!C297)</f>
      </c>
      <c r="D297">
        <f>IF(ISBLANK('Data Entry'!D297), "", 'Data Entry'!D297)</f>
      </c>
      <c r="E297">
        <f>IF(ISBLANK('Data Entry'!E297), "", 'Data Entry'!E297)</f>
      </c>
      <c r="F297">
        <f>IF(ISBLANK('Data Entry'!F297), "", 'Data Entry'!F297)</f>
      </c>
      <c r="G297">
        <f>IF(ISBLANK('Data Entry'!G297), "", 'Data Entry'!G297)</f>
      </c>
      <c r="H297">
        <f>IF(ISBLANK('Data Entry'!H297), "", 'Data Entry'!H297)</f>
      </c>
      <c r="I297">
        <f>IF(ISBLANK('Data Entry'!I297), "", 'Data Entry'!I297)</f>
      </c>
      <c r="J297">
        <f>IF(ISBLANK('Data Entry'!J297), "", 'Data Entry'!J297)</f>
      </c>
      <c r="K297">
        <f>IF(ISBLANK('Data Entry'!K297), "", 'Data Entry'!K297)</f>
      </c>
      <c r="L297">
        <f>IF(ISBLANK('Data Entry'!L297), "", 'Data Entry'!L297)</f>
      </c>
      <c r="M297">
        <f>IF(ISBLANK('Data Entry'!M297), "", 'Data Entry'!M297)</f>
      </c>
      <c r="N297">
        <f>IF(ISBLANK('Data Entry'!N297), "", 'Data Entry'!N297)</f>
      </c>
      <c r="O297">
        <f>IF(ISBLANK('Data Entry'!O297), "", 'Data Entry'!O297)</f>
      </c>
      <c r="P297">
        <f>IF(ISBLANK('Data Entry'!P297), "", 'Data Entry'!P297)</f>
      </c>
      <c r="Q297">
        <f>IF(ISBLANK('Data Entry'!Q297), "", 'Data Entry'!Q297)</f>
      </c>
      <c r="R297">
        <f>IF(ISBLANK('Data Entry'!R297), "", 'Data Entry'!R297)</f>
      </c>
      <c r="S297">
        <f>IF(ISBLANK('Data Entry'!S297), "", 'Data Entry'!S297)</f>
      </c>
      <c r="T297">
        <f>IF(ISBLANK('Data Entry'!T297), "", 'Data Entry'!T297)</f>
      </c>
      <c r="U297">
        <f>IF(ISBLANK('Data Entry'!U297), "", 'Data Entry'!U297)</f>
      </c>
      <c r="V297">
        <f>IF(ISBLANK('Data Entry'!V297), "", 'Data Entry'!V297)</f>
      </c>
      <c r="W297">
        <f>IF(ISBLANK('Data Entry'!W297), "", 'Data Entry'!W297)</f>
      </c>
      <c r="X297">
        <f>IF(ISBLANK('Data Entry'!X297), "", 'Data Entry'!X297)</f>
      </c>
      <c r="Y297">
        <f>IF(ISBLANK('Data Entry'!Y297), "", 'Data Entry'!Y297)</f>
      </c>
      <c r="Z297">
        <f>IF(ISBLANK('Data Entry'!Z297), "", 'Data Entry'!Z297)</f>
      </c>
      <c r="AA297">
        <f>IF(ISBLANK('Data Entry'![297), "", 'Data Entry'![297)</f>
      </c>
      <c r="AB297">
        <f>IF(ISBLANK('Data Entry'!\297), "", 'Data Entry'!\297)</f>
      </c>
      <c r="AC297">
        <f>IF(ISBLANK('Data Entry'!]297), "", 'Data Entry'!]297)</f>
      </c>
      <c r="AD297">
        <f>IF(ISBLANK('Data Entry'!^297), "", 'Data Entry'!^297)</f>
      </c>
      <c r="AE297">
        <f>IF(ISBLANK('Data Entry'!_297), "", 'Data Entry'!_297)</f>
      </c>
      <c r="AF297">
        <f>IF(ISBLANK('Data Entry'!`297), "", 'Data Entry'!`297)</f>
      </c>
      <c r="AG297">
        <f>IF(ISBLANK('Data Entry'!a297), "", 'Data Entry'!a297)</f>
      </c>
      <c r="AH297">
        <f>IF(ISBLANK('Data Entry'!b297), "", 'Data Entry'!b297)</f>
      </c>
      <c r="AI297">
        <f>IF(ISBLANK('Data Entry'!c297), "", 'Data Entry'!c297)</f>
      </c>
      <c r="AJ297">
        <f>IF(ISBLANK('Data Entry'!d297), "", 'Data Entry'!d297)</f>
      </c>
      <c r="AK297">
        <f>IF(ISBLANK('Data Entry'!e297), "", 'Data Entry'!e297)</f>
      </c>
      <c r="AL297">
        <f>IF(ISBLANK('Data Entry'!f297), "", 'Data Entry'!f297)</f>
      </c>
      <c r="AM297">
        <f>IF(ISBLANK('Data Entry'!g297), "", 'Data Entry'!g297)</f>
      </c>
      <c r="AN297">
        <f>IF(ISBLANK('Data Entry'!h297), "", 'Data Entry'!h297)</f>
      </c>
    </row>
    <row r="298" spans="1:40" x14ac:dyDescent="0.25">
      <c r="A298">
        <f>IF(ISBLANK('Data Entry'!A298), "", 'Data Entry'!A298)</f>
      </c>
      <c r="B298">
        <f>IF(ISBLANK('Data Entry'!B298), "", 'Data Entry'!B298)</f>
      </c>
      <c r="C298">
        <f>IF(ISBLANK('Data Entry'!C298), "", 'Data Entry'!C298)</f>
      </c>
      <c r="D298">
        <f>IF(ISBLANK('Data Entry'!D298), "", 'Data Entry'!D298)</f>
      </c>
      <c r="E298">
        <f>IF(ISBLANK('Data Entry'!E298), "", 'Data Entry'!E298)</f>
      </c>
      <c r="F298">
        <f>IF(ISBLANK('Data Entry'!F298), "", 'Data Entry'!F298)</f>
      </c>
      <c r="G298">
        <f>IF(ISBLANK('Data Entry'!G298), "", 'Data Entry'!G298)</f>
      </c>
      <c r="H298">
        <f>IF(ISBLANK('Data Entry'!H298), "", 'Data Entry'!H298)</f>
      </c>
      <c r="I298">
        <f>IF(ISBLANK('Data Entry'!I298), "", 'Data Entry'!I298)</f>
      </c>
      <c r="J298">
        <f>IF(ISBLANK('Data Entry'!J298), "", 'Data Entry'!J298)</f>
      </c>
      <c r="K298">
        <f>IF(ISBLANK('Data Entry'!K298), "", 'Data Entry'!K298)</f>
      </c>
      <c r="L298">
        <f>IF(ISBLANK('Data Entry'!L298), "", 'Data Entry'!L298)</f>
      </c>
      <c r="M298">
        <f>IF(ISBLANK('Data Entry'!M298), "", 'Data Entry'!M298)</f>
      </c>
      <c r="N298">
        <f>IF(ISBLANK('Data Entry'!N298), "", 'Data Entry'!N298)</f>
      </c>
      <c r="O298">
        <f>IF(ISBLANK('Data Entry'!O298), "", 'Data Entry'!O298)</f>
      </c>
      <c r="P298">
        <f>IF(ISBLANK('Data Entry'!P298), "", 'Data Entry'!P298)</f>
      </c>
      <c r="Q298">
        <f>IF(ISBLANK('Data Entry'!Q298), "", 'Data Entry'!Q298)</f>
      </c>
      <c r="R298">
        <f>IF(ISBLANK('Data Entry'!R298), "", 'Data Entry'!R298)</f>
      </c>
      <c r="S298">
        <f>IF(ISBLANK('Data Entry'!S298), "", 'Data Entry'!S298)</f>
      </c>
      <c r="T298">
        <f>IF(ISBLANK('Data Entry'!T298), "", 'Data Entry'!T298)</f>
      </c>
      <c r="U298">
        <f>IF(ISBLANK('Data Entry'!U298), "", 'Data Entry'!U298)</f>
      </c>
      <c r="V298">
        <f>IF(ISBLANK('Data Entry'!V298), "", 'Data Entry'!V298)</f>
      </c>
      <c r="W298">
        <f>IF(ISBLANK('Data Entry'!W298), "", 'Data Entry'!W298)</f>
      </c>
      <c r="X298">
        <f>IF(ISBLANK('Data Entry'!X298), "", 'Data Entry'!X298)</f>
      </c>
      <c r="Y298">
        <f>IF(ISBLANK('Data Entry'!Y298), "", 'Data Entry'!Y298)</f>
      </c>
      <c r="Z298">
        <f>IF(ISBLANK('Data Entry'!Z298), "", 'Data Entry'!Z298)</f>
      </c>
      <c r="AA298">
        <f>IF(ISBLANK('Data Entry'![298), "", 'Data Entry'![298)</f>
      </c>
      <c r="AB298">
        <f>IF(ISBLANK('Data Entry'!\298), "", 'Data Entry'!\298)</f>
      </c>
      <c r="AC298">
        <f>IF(ISBLANK('Data Entry'!]298), "", 'Data Entry'!]298)</f>
      </c>
      <c r="AD298">
        <f>IF(ISBLANK('Data Entry'!^298), "", 'Data Entry'!^298)</f>
      </c>
      <c r="AE298">
        <f>IF(ISBLANK('Data Entry'!_298), "", 'Data Entry'!_298)</f>
      </c>
      <c r="AF298">
        <f>IF(ISBLANK('Data Entry'!`298), "", 'Data Entry'!`298)</f>
      </c>
      <c r="AG298">
        <f>IF(ISBLANK('Data Entry'!a298), "", 'Data Entry'!a298)</f>
      </c>
      <c r="AH298">
        <f>IF(ISBLANK('Data Entry'!b298), "", 'Data Entry'!b298)</f>
      </c>
      <c r="AI298">
        <f>IF(ISBLANK('Data Entry'!c298), "", 'Data Entry'!c298)</f>
      </c>
      <c r="AJ298">
        <f>IF(ISBLANK('Data Entry'!d298), "", 'Data Entry'!d298)</f>
      </c>
      <c r="AK298">
        <f>IF(ISBLANK('Data Entry'!e298), "", 'Data Entry'!e298)</f>
      </c>
      <c r="AL298">
        <f>IF(ISBLANK('Data Entry'!f298), "", 'Data Entry'!f298)</f>
      </c>
      <c r="AM298">
        <f>IF(ISBLANK('Data Entry'!g298), "", 'Data Entry'!g298)</f>
      </c>
      <c r="AN298">
        <f>IF(ISBLANK('Data Entry'!h298), "", 'Data Entry'!h298)</f>
      </c>
    </row>
    <row r="299" spans="1:40" x14ac:dyDescent="0.25">
      <c r="A299">
        <f>IF(ISBLANK('Data Entry'!A299), "", 'Data Entry'!A299)</f>
      </c>
      <c r="B299">
        <f>IF(ISBLANK('Data Entry'!B299), "", 'Data Entry'!B299)</f>
      </c>
      <c r="C299">
        <f>IF(ISBLANK('Data Entry'!C299), "", 'Data Entry'!C299)</f>
      </c>
      <c r="D299">
        <f>IF(ISBLANK('Data Entry'!D299), "", 'Data Entry'!D299)</f>
      </c>
      <c r="E299">
        <f>IF(ISBLANK('Data Entry'!E299), "", 'Data Entry'!E299)</f>
      </c>
      <c r="F299">
        <f>IF(ISBLANK('Data Entry'!F299), "", 'Data Entry'!F299)</f>
      </c>
      <c r="G299">
        <f>IF(ISBLANK('Data Entry'!G299), "", 'Data Entry'!G299)</f>
      </c>
      <c r="H299">
        <f>IF(ISBLANK('Data Entry'!H299), "", 'Data Entry'!H299)</f>
      </c>
      <c r="I299">
        <f>IF(ISBLANK('Data Entry'!I299), "", 'Data Entry'!I299)</f>
      </c>
      <c r="J299">
        <f>IF(ISBLANK('Data Entry'!J299), "", 'Data Entry'!J299)</f>
      </c>
      <c r="K299">
        <f>IF(ISBLANK('Data Entry'!K299), "", 'Data Entry'!K299)</f>
      </c>
      <c r="L299">
        <f>IF(ISBLANK('Data Entry'!L299), "", 'Data Entry'!L299)</f>
      </c>
      <c r="M299">
        <f>IF(ISBLANK('Data Entry'!M299), "", 'Data Entry'!M299)</f>
      </c>
      <c r="N299">
        <f>IF(ISBLANK('Data Entry'!N299), "", 'Data Entry'!N299)</f>
      </c>
      <c r="O299">
        <f>IF(ISBLANK('Data Entry'!O299), "", 'Data Entry'!O299)</f>
      </c>
      <c r="P299">
        <f>IF(ISBLANK('Data Entry'!P299), "", 'Data Entry'!P299)</f>
      </c>
      <c r="Q299">
        <f>IF(ISBLANK('Data Entry'!Q299), "", 'Data Entry'!Q299)</f>
      </c>
      <c r="R299">
        <f>IF(ISBLANK('Data Entry'!R299), "", 'Data Entry'!R299)</f>
      </c>
      <c r="S299">
        <f>IF(ISBLANK('Data Entry'!S299), "", 'Data Entry'!S299)</f>
      </c>
      <c r="T299">
        <f>IF(ISBLANK('Data Entry'!T299), "", 'Data Entry'!T299)</f>
      </c>
      <c r="U299">
        <f>IF(ISBLANK('Data Entry'!U299), "", 'Data Entry'!U299)</f>
      </c>
      <c r="V299">
        <f>IF(ISBLANK('Data Entry'!V299), "", 'Data Entry'!V299)</f>
      </c>
      <c r="W299">
        <f>IF(ISBLANK('Data Entry'!W299), "", 'Data Entry'!W299)</f>
      </c>
      <c r="X299">
        <f>IF(ISBLANK('Data Entry'!X299), "", 'Data Entry'!X299)</f>
      </c>
      <c r="Y299">
        <f>IF(ISBLANK('Data Entry'!Y299), "", 'Data Entry'!Y299)</f>
      </c>
      <c r="Z299">
        <f>IF(ISBLANK('Data Entry'!Z299), "", 'Data Entry'!Z299)</f>
      </c>
      <c r="AA299">
        <f>IF(ISBLANK('Data Entry'![299), "", 'Data Entry'![299)</f>
      </c>
      <c r="AB299">
        <f>IF(ISBLANK('Data Entry'!\299), "", 'Data Entry'!\299)</f>
      </c>
      <c r="AC299">
        <f>IF(ISBLANK('Data Entry'!]299), "", 'Data Entry'!]299)</f>
      </c>
      <c r="AD299">
        <f>IF(ISBLANK('Data Entry'!^299), "", 'Data Entry'!^299)</f>
      </c>
      <c r="AE299">
        <f>IF(ISBLANK('Data Entry'!_299), "", 'Data Entry'!_299)</f>
      </c>
      <c r="AF299">
        <f>IF(ISBLANK('Data Entry'!`299), "", 'Data Entry'!`299)</f>
      </c>
      <c r="AG299">
        <f>IF(ISBLANK('Data Entry'!a299), "", 'Data Entry'!a299)</f>
      </c>
      <c r="AH299">
        <f>IF(ISBLANK('Data Entry'!b299), "", 'Data Entry'!b299)</f>
      </c>
      <c r="AI299">
        <f>IF(ISBLANK('Data Entry'!c299), "", 'Data Entry'!c299)</f>
      </c>
      <c r="AJ299">
        <f>IF(ISBLANK('Data Entry'!d299), "", 'Data Entry'!d299)</f>
      </c>
      <c r="AK299">
        <f>IF(ISBLANK('Data Entry'!e299), "", 'Data Entry'!e299)</f>
      </c>
      <c r="AL299">
        <f>IF(ISBLANK('Data Entry'!f299), "", 'Data Entry'!f299)</f>
      </c>
      <c r="AM299">
        <f>IF(ISBLANK('Data Entry'!g299), "", 'Data Entry'!g299)</f>
      </c>
      <c r="AN299">
        <f>IF(ISBLANK('Data Entry'!h299), "", 'Data Entry'!h299)</f>
      </c>
    </row>
    <row r="300" spans="1:40" x14ac:dyDescent="0.25">
      <c r="A300">
        <f>IF(ISBLANK('Data Entry'!A300), "", 'Data Entry'!A300)</f>
      </c>
      <c r="B300">
        <f>IF(ISBLANK('Data Entry'!B300), "", 'Data Entry'!B300)</f>
      </c>
      <c r="C300">
        <f>IF(ISBLANK('Data Entry'!C300), "", 'Data Entry'!C300)</f>
      </c>
      <c r="D300">
        <f>IF(ISBLANK('Data Entry'!D300), "", 'Data Entry'!D300)</f>
      </c>
      <c r="E300">
        <f>IF(ISBLANK('Data Entry'!E300), "", 'Data Entry'!E300)</f>
      </c>
      <c r="F300">
        <f>IF(ISBLANK('Data Entry'!F300), "", 'Data Entry'!F300)</f>
      </c>
      <c r="G300">
        <f>IF(ISBLANK('Data Entry'!G300), "", 'Data Entry'!G300)</f>
      </c>
      <c r="H300">
        <f>IF(ISBLANK('Data Entry'!H300), "", 'Data Entry'!H300)</f>
      </c>
      <c r="I300">
        <f>IF(ISBLANK('Data Entry'!I300), "", 'Data Entry'!I300)</f>
      </c>
      <c r="J300">
        <f>IF(ISBLANK('Data Entry'!J300), "", 'Data Entry'!J300)</f>
      </c>
      <c r="K300">
        <f>IF(ISBLANK('Data Entry'!K300), "", 'Data Entry'!K300)</f>
      </c>
      <c r="L300">
        <f>IF(ISBLANK('Data Entry'!L300), "", 'Data Entry'!L300)</f>
      </c>
      <c r="M300">
        <f>IF(ISBLANK('Data Entry'!M300), "", 'Data Entry'!M300)</f>
      </c>
      <c r="N300">
        <f>IF(ISBLANK('Data Entry'!N300), "", 'Data Entry'!N300)</f>
      </c>
      <c r="O300">
        <f>IF(ISBLANK('Data Entry'!O300), "", 'Data Entry'!O300)</f>
      </c>
      <c r="P300">
        <f>IF(ISBLANK('Data Entry'!P300), "", 'Data Entry'!P300)</f>
      </c>
      <c r="Q300">
        <f>IF(ISBLANK('Data Entry'!Q300), "", 'Data Entry'!Q300)</f>
      </c>
      <c r="R300">
        <f>IF(ISBLANK('Data Entry'!R300), "", 'Data Entry'!R300)</f>
      </c>
      <c r="S300">
        <f>IF(ISBLANK('Data Entry'!S300), "", 'Data Entry'!S300)</f>
      </c>
      <c r="T300">
        <f>IF(ISBLANK('Data Entry'!T300), "", 'Data Entry'!T300)</f>
      </c>
      <c r="U300">
        <f>IF(ISBLANK('Data Entry'!U300), "", 'Data Entry'!U300)</f>
      </c>
      <c r="V300">
        <f>IF(ISBLANK('Data Entry'!V300), "", 'Data Entry'!V300)</f>
      </c>
      <c r="W300">
        <f>IF(ISBLANK('Data Entry'!W300), "", 'Data Entry'!W300)</f>
      </c>
      <c r="X300">
        <f>IF(ISBLANK('Data Entry'!X300), "", 'Data Entry'!X300)</f>
      </c>
      <c r="Y300">
        <f>IF(ISBLANK('Data Entry'!Y300), "", 'Data Entry'!Y300)</f>
      </c>
      <c r="Z300">
        <f>IF(ISBLANK('Data Entry'!Z300), "", 'Data Entry'!Z300)</f>
      </c>
      <c r="AA300">
        <f>IF(ISBLANK('Data Entry'![300), "", 'Data Entry'![300)</f>
      </c>
      <c r="AB300">
        <f>IF(ISBLANK('Data Entry'!\300), "", 'Data Entry'!\300)</f>
      </c>
      <c r="AC300">
        <f>IF(ISBLANK('Data Entry'!]300), "", 'Data Entry'!]300)</f>
      </c>
      <c r="AD300">
        <f>IF(ISBLANK('Data Entry'!^300), "", 'Data Entry'!^300)</f>
      </c>
      <c r="AE300">
        <f>IF(ISBLANK('Data Entry'!_300), "", 'Data Entry'!_300)</f>
      </c>
      <c r="AF300">
        <f>IF(ISBLANK('Data Entry'!`300), "", 'Data Entry'!`300)</f>
      </c>
      <c r="AG300">
        <f>IF(ISBLANK('Data Entry'!a300), "", 'Data Entry'!a300)</f>
      </c>
      <c r="AH300">
        <f>IF(ISBLANK('Data Entry'!b300), "", 'Data Entry'!b300)</f>
      </c>
      <c r="AI300">
        <f>IF(ISBLANK('Data Entry'!c300), "", 'Data Entry'!c300)</f>
      </c>
      <c r="AJ300">
        <f>IF(ISBLANK('Data Entry'!d300), "", 'Data Entry'!d300)</f>
      </c>
      <c r="AK300">
        <f>IF(ISBLANK('Data Entry'!e300), "", 'Data Entry'!e300)</f>
      </c>
      <c r="AL300">
        <f>IF(ISBLANK('Data Entry'!f300), "", 'Data Entry'!f300)</f>
      </c>
      <c r="AM300">
        <f>IF(ISBLANK('Data Entry'!g300), "", 'Data Entry'!g300)</f>
      </c>
      <c r="AN300">
        <f>IF(ISBLANK('Data Entry'!h300), "", 'Data Entry'!h300)</f>
      </c>
    </row>
    <row r="301" spans="1:40" x14ac:dyDescent="0.25">
      <c r="A301">
        <f>IF(ISBLANK('Data Entry'!A301), "", 'Data Entry'!A301)</f>
      </c>
      <c r="B301">
        <f>IF(ISBLANK('Data Entry'!B301), "", 'Data Entry'!B301)</f>
      </c>
      <c r="C301">
        <f>IF(ISBLANK('Data Entry'!C301), "", 'Data Entry'!C301)</f>
      </c>
      <c r="D301">
        <f>IF(ISBLANK('Data Entry'!D301), "", 'Data Entry'!D301)</f>
      </c>
      <c r="E301">
        <f>IF(ISBLANK('Data Entry'!E301), "", 'Data Entry'!E301)</f>
      </c>
      <c r="F301">
        <f>IF(ISBLANK('Data Entry'!F301), "", 'Data Entry'!F301)</f>
      </c>
      <c r="G301">
        <f>IF(ISBLANK('Data Entry'!G301), "", 'Data Entry'!G301)</f>
      </c>
      <c r="H301">
        <f>IF(ISBLANK('Data Entry'!H301), "", 'Data Entry'!H301)</f>
      </c>
      <c r="I301">
        <f>IF(ISBLANK('Data Entry'!I301), "", 'Data Entry'!I301)</f>
      </c>
      <c r="J301">
        <f>IF(ISBLANK('Data Entry'!J301), "", 'Data Entry'!J301)</f>
      </c>
      <c r="K301">
        <f>IF(ISBLANK('Data Entry'!K301), "", 'Data Entry'!K301)</f>
      </c>
      <c r="L301">
        <f>IF(ISBLANK('Data Entry'!L301), "", 'Data Entry'!L301)</f>
      </c>
      <c r="M301">
        <f>IF(ISBLANK('Data Entry'!M301), "", 'Data Entry'!M301)</f>
      </c>
      <c r="N301">
        <f>IF(ISBLANK('Data Entry'!N301), "", 'Data Entry'!N301)</f>
      </c>
      <c r="O301">
        <f>IF(ISBLANK('Data Entry'!O301), "", 'Data Entry'!O301)</f>
      </c>
      <c r="P301">
        <f>IF(ISBLANK('Data Entry'!P301), "", 'Data Entry'!P301)</f>
      </c>
      <c r="Q301">
        <f>IF(ISBLANK('Data Entry'!Q301), "", 'Data Entry'!Q301)</f>
      </c>
      <c r="R301">
        <f>IF(ISBLANK('Data Entry'!R301), "", 'Data Entry'!R301)</f>
      </c>
      <c r="S301">
        <f>IF(ISBLANK('Data Entry'!S301), "", 'Data Entry'!S301)</f>
      </c>
      <c r="T301">
        <f>IF(ISBLANK('Data Entry'!T301), "", 'Data Entry'!T301)</f>
      </c>
      <c r="U301">
        <f>IF(ISBLANK('Data Entry'!U301), "", 'Data Entry'!U301)</f>
      </c>
      <c r="V301">
        <f>IF(ISBLANK('Data Entry'!V301), "", 'Data Entry'!V301)</f>
      </c>
      <c r="W301">
        <f>IF(ISBLANK('Data Entry'!W301), "", 'Data Entry'!W301)</f>
      </c>
      <c r="X301">
        <f>IF(ISBLANK('Data Entry'!X301), "", 'Data Entry'!X301)</f>
      </c>
      <c r="Y301">
        <f>IF(ISBLANK('Data Entry'!Y301), "", 'Data Entry'!Y301)</f>
      </c>
      <c r="Z301">
        <f>IF(ISBLANK('Data Entry'!Z301), "", 'Data Entry'!Z301)</f>
      </c>
      <c r="AA301">
        <f>IF(ISBLANK('Data Entry'![301), "", 'Data Entry'![301)</f>
      </c>
      <c r="AB301">
        <f>IF(ISBLANK('Data Entry'!\301), "", 'Data Entry'!\301)</f>
      </c>
      <c r="AC301">
        <f>IF(ISBLANK('Data Entry'!]301), "", 'Data Entry'!]301)</f>
      </c>
      <c r="AD301">
        <f>IF(ISBLANK('Data Entry'!^301), "", 'Data Entry'!^301)</f>
      </c>
      <c r="AE301">
        <f>IF(ISBLANK('Data Entry'!_301), "", 'Data Entry'!_301)</f>
      </c>
      <c r="AF301">
        <f>IF(ISBLANK('Data Entry'!`301), "", 'Data Entry'!`301)</f>
      </c>
      <c r="AG301">
        <f>IF(ISBLANK('Data Entry'!a301), "", 'Data Entry'!a301)</f>
      </c>
      <c r="AH301">
        <f>IF(ISBLANK('Data Entry'!b301), "", 'Data Entry'!b301)</f>
      </c>
      <c r="AI301">
        <f>IF(ISBLANK('Data Entry'!c301), "", 'Data Entry'!c301)</f>
      </c>
      <c r="AJ301">
        <f>IF(ISBLANK('Data Entry'!d301), "", 'Data Entry'!d301)</f>
      </c>
      <c r="AK301">
        <f>IF(ISBLANK('Data Entry'!e301), "", 'Data Entry'!e301)</f>
      </c>
      <c r="AL301">
        <f>IF(ISBLANK('Data Entry'!f301), "", 'Data Entry'!f301)</f>
      </c>
      <c r="AM301">
        <f>IF(ISBLANK('Data Entry'!g301), "", 'Data Entry'!g301)</f>
      </c>
      <c r="AN301">
        <f>IF(ISBLANK('Data Entry'!h301), "", 'Data Entry'!h301)</f>
      </c>
    </row>
    <row r="302" spans="1:40" x14ac:dyDescent="0.25">
      <c r="A302">
        <f>IF(ISBLANK('Data Entry'!A302), "", 'Data Entry'!A302)</f>
      </c>
      <c r="B302">
        <f>IF(ISBLANK('Data Entry'!B302), "", 'Data Entry'!B302)</f>
      </c>
      <c r="C302">
        <f>IF(ISBLANK('Data Entry'!C302), "", 'Data Entry'!C302)</f>
      </c>
      <c r="D302">
        <f>IF(ISBLANK('Data Entry'!D302), "", 'Data Entry'!D302)</f>
      </c>
      <c r="E302">
        <f>IF(ISBLANK('Data Entry'!E302), "", 'Data Entry'!E302)</f>
      </c>
      <c r="F302">
        <f>IF(ISBLANK('Data Entry'!F302), "", 'Data Entry'!F302)</f>
      </c>
      <c r="G302">
        <f>IF(ISBLANK('Data Entry'!G302), "", 'Data Entry'!G302)</f>
      </c>
      <c r="H302">
        <f>IF(ISBLANK('Data Entry'!H302), "", 'Data Entry'!H302)</f>
      </c>
      <c r="I302">
        <f>IF(ISBLANK('Data Entry'!I302), "", 'Data Entry'!I302)</f>
      </c>
      <c r="J302">
        <f>IF(ISBLANK('Data Entry'!J302), "", 'Data Entry'!J302)</f>
      </c>
      <c r="K302">
        <f>IF(ISBLANK('Data Entry'!K302), "", 'Data Entry'!K302)</f>
      </c>
      <c r="L302">
        <f>IF(ISBLANK('Data Entry'!L302), "", 'Data Entry'!L302)</f>
      </c>
      <c r="M302">
        <f>IF(ISBLANK('Data Entry'!M302), "", 'Data Entry'!M302)</f>
      </c>
      <c r="N302">
        <f>IF(ISBLANK('Data Entry'!N302), "", 'Data Entry'!N302)</f>
      </c>
      <c r="O302">
        <f>IF(ISBLANK('Data Entry'!O302), "", 'Data Entry'!O302)</f>
      </c>
      <c r="P302">
        <f>IF(ISBLANK('Data Entry'!P302), "", 'Data Entry'!P302)</f>
      </c>
      <c r="Q302">
        <f>IF(ISBLANK('Data Entry'!Q302), "", 'Data Entry'!Q302)</f>
      </c>
      <c r="R302">
        <f>IF(ISBLANK('Data Entry'!R302), "", 'Data Entry'!R302)</f>
      </c>
      <c r="S302">
        <f>IF(ISBLANK('Data Entry'!S302), "", 'Data Entry'!S302)</f>
      </c>
      <c r="T302">
        <f>IF(ISBLANK('Data Entry'!T302), "", 'Data Entry'!T302)</f>
      </c>
      <c r="U302">
        <f>IF(ISBLANK('Data Entry'!U302), "", 'Data Entry'!U302)</f>
      </c>
      <c r="V302">
        <f>IF(ISBLANK('Data Entry'!V302), "", 'Data Entry'!V302)</f>
      </c>
      <c r="W302">
        <f>IF(ISBLANK('Data Entry'!W302), "", 'Data Entry'!W302)</f>
      </c>
      <c r="X302">
        <f>IF(ISBLANK('Data Entry'!X302), "", 'Data Entry'!X302)</f>
      </c>
      <c r="Y302">
        <f>IF(ISBLANK('Data Entry'!Y302), "", 'Data Entry'!Y302)</f>
      </c>
      <c r="Z302">
        <f>IF(ISBLANK('Data Entry'!Z302), "", 'Data Entry'!Z302)</f>
      </c>
      <c r="AA302">
        <f>IF(ISBLANK('Data Entry'![302), "", 'Data Entry'![302)</f>
      </c>
      <c r="AB302">
        <f>IF(ISBLANK('Data Entry'!\302), "", 'Data Entry'!\302)</f>
      </c>
      <c r="AC302">
        <f>IF(ISBLANK('Data Entry'!]302), "", 'Data Entry'!]302)</f>
      </c>
      <c r="AD302">
        <f>IF(ISBLANK('Data Entry'!^302), "", 'Data Entry'!^302)</f>
      </c>
      <c r="AE302">
        <f>IF(ISBLANK('Data Entry'!_302), "", 'Data Entry'!_302)</f>
      </c>
      <c r="AF302">
        <f>IF(ISBLANK('Data Entry'!`302), "", 'Data Entry'!`302)</f>
      </c>
      <c r="AG302">
        <f>IF(ISBLANK('Data Entry'!a302), "", 'Data Entry'!a302)</f>
      </c>
      <c r="AH302">
        <f>IF(ISBLANK('Data Entry'!b302), "", 'Data Entry'!b302)</f>
      </c>
      <c r="AI302">
        <f>IF(ISBLANK('Data Entry'!c302), "", 'Data Entry'!c302)</f>
      </c>
      <c r="AJ302">
        <f>IF(ISBLANK('Data Entry'!d302), "", 'Data Entry'!d302)</f>
      </c>
      <c r="AK302">
        <f>IF(ISBLANK('Data Entry'!e302), "", 'Data Entry'!e302)</f>
      </c>
      <c r="AL302">
        <f>IF(ISBLANK('Data Entry'!f302), "", 'Data Entry'!f302)</f>
      </c>
      <c r="AM302">
        <f>IF(ISBLANK('Data Entry'!g302), "", 'Data Entry'!g302)</f>
      </c>
      <c r="AN302">
        <f>IF(ISBLANK('Data Entry'!h302), "", 'Data Entry'!h302)</f>
      </c>
    </row>
    <row r="303" spans="1:40" x14ac:dyDescent="0.25">
      <c r="A303">
        <f>IF(ISBLANK('Data Entry'!A303), "", 'Data Entry'!A303)</f>
      </c>
      <c r="B303">
        <f>IF(ISBLANK('Data Entry'!B303), "", 'Data Entry'!B303)</f>
      </c>
      <c r="C303">
        <f>IF(ISBLANK('Data Entry'!C303), "", 'Data Entry'!C303)</f>
      </c>
      <c r="D303">
        <f>IF(ISBLANK('Data Entry'!D303), "", 'Data Entry'!D303)</f>
      </c>
      <c r="E303">
        <f>IF(ISBLANK('Data Entry'!E303), "", 'Data Entry'!E303)</f>
      </c>
      <c r="F303">
        <f>IF(ISBLANK('Data Entry'!F303), "", 'Data Entry'!F303)</f>
      </c>
      <c r="G303">
        <f>IF(ISBLANK('Data Entry'!G303), "", 'Data Entry'!G303)</f>
      </c>
      <c r="H303">
        <f>IF(ISBLANK('Data Entry'!H303), "", 'Data Entry'!H303)</f>
      </c>
      <c r="I303">
        <f>IF(ISBLANK('Data Entry'!I303), "", 'Data Entry'!I303)</f>
      </c>
      <c r="J303">
        <f>IF(ISBLANK('Data Entry'!J303), "", 'Data Entry'!J303)</f>
      </c>
      <c r="K303">
        <f>IF(ISBLANK('Data Entry'!K303), "", 'Data Entry'!K303)</f>
      </c>
      <c r="L303">
        <f>IF(ISBLANK('Data Entry'!L303), "", 'Data Entry'!L303)</f>
      </c>
      <c r="M303">
        <f>IF(ISBLANK('Data Entry'!M303), "", 'Data Entry'!M303)</f>
      </c>
      <c r="N303">
        <f>IF(ISBLANK('Data Entry'!N303), "", 'Data Entry'!N303)</f>
      </c>
      <c r="O303">
        <f>IF(ISBLANK('Data Entry'!O303), "", 'Data Entry'!O303)</f>
      </c>
      <c r="P303">
        <f>IF(ISBLANK('Data Entry'!P303), "", 'Data Entry'!P303)</f>
      </c>
      <c r="Q303">
        <f>IF(ISBLANK('Data Entry'!Q303), "", 'Data Entry'!Q303)</f>
      </c>
      <c r="R303">
        <f>IF(ISBLANK('Data Entry'!R303), "", 'Data Entry'!R303)</f>
      </c>
      <c r="S303">
        <f>IF(ISBLANK('Data Entry'!S303), "", 'Data Entry'!S303)</f>
      </c>
      <c r="T303">
        <f>IF(ISBLANK('Data Entry'!T303), "", 'Data Entry'!T303)</f>
      </c>
      <c r="U303">
        <f>IF(ISBLANK('Data Entry'!U303), "", 'Data Entry'!U303)</f>
      </c>
      <c r="V303">
        <f>IF(ISBLANK('Data Entry'!V303), "", 'Data Entry'!V303)</f>
      </c>
      <c r="W303">
        <f>IF(ISBLANK('Data Entry'!W303), "", 'Data Entry'!W303)</f>
      </c>
      <c r="X303">
        <f>IF(ISBLANK('Data Entry'!X303), "", 'Data Entry'!X303)</f>
      </c>
      <c r="Y303">
        <f>IF(ISBLANK('Data Entry'!Y303), "", 'Data Entry'!Y303)</f>
      </c>
      <c r="Z303">
        <f>IF(ISBLANK('Data Entry'!Z303), "", 'Data Entry'!Z303)</f>
      </c>
      <c r="AA303">
        <f>IF(ISBLANK('Data Entry'![303), "", 'Data Entry'![303)</f>
      </c>
      <c r="AB303">
        <f>IF(ISBLANK('Data Entry'!\303), "", 'Data Entry'!\303)</f>
      </c>
      <c r="AC303">
        <f>IF(ISBLANK('Data Entry'!]303), "", 'Data Entry'!]303)</f>
      </c>
      <c r="AD303">
        <f>IF(ISBLANK('Data Entry'!^303), "", 'Data Entry'!^303)</f>
      </c>
      <c r="AE303">
        <f>IF(ISBLANK('Data Entry'!_303), "", 'Data Entry'!_303)</f>
      </c>
      <c r="AF303">
        <f>IF(ISBLANK('Data Entry'!`303), "", 'Data Entry'!`303)</f>
      </c>
      <c r="AG303">
        <f>IF(ISBLANK('Data Entry'!a303), "", 'Data Entry'!a303)</f>
      </c>
      <c r="AH303">
        <f>IF(ISBLANK('Data Entry'!b303), "", 'Data Entry'!b303)</f>
      </c>
      <c r="AI303">
        <f>IF(ISBLANK('Data Entry'!c303), "", 'Data Entry'!c303)</f>
      </c>
      <c r="AJ303">
        <f>IF(ISBLANK('Data Entry'!d303), "", 'Data Entry'!d303)</f>
      </c>
      <c r="AK303">
        <f>IF(ISBLANK('Data Entry'!e303), "", 'Data Entry'!e303)</f>
      </c>
      <c r="AL303">
        <f>IF(ISBLANK('Data Entry'!f303), "", 'Data Entry'!f303)</f>
      </c>
      <c r="AM303">
        <f>IF(ISBLANK('Data Entry'!g303), "", 'Data Entry'!g303)</f>
      </c>
      <c r="AN303">
        <f>IF(ISBLANK('Data Entry'!h303), "", 'Data Entry'!h303)</f>
      </c>
    </row>
    <row r="304" spans="1:40" x14ac:dyDescent="0.25">
      <c r="A304">
        <f>IF(ISBLANK('Data Entry'!A304), "", 'Data Entry'!A304)</f>
      </c>
      <c r="B304">
        <f>IF(ISBLANK('Data Entry'!B304), "", 'Data Entry'!B304)</f>
      </c>
      <c r="C304">
        <f>IF(ISBLANK('Data Entry'!C304), "", 'Data Entry'!C304)</f>
      </c>
      <c r="D304">
        <f>IF(ISBLANK('Data Entry'!D304), "", 'Data Entry'!D304)</f>
      </c>
      <c r="E304">
        <f>IF(ISBLANK('Data Entry'!E304), "", 'Data Entry'!E304)</f>
      </c>
      <c r="F304">
        <f>IF(ISBLANK('Data Entry'!F304), "", 'Data Entry'!F304)</f>
      </c>
      <c r="G304">
        <f>IF(ISBLANK('Data Entry'!G304), "", 'Data Entry'!G304)</f>
      </c>
      <c r="H304">
        <f>IF(ISBLANK('Data Entry'!H304), "", 'Data Entry'!H304)</f>
      </c>
      <c r="I304">
        <f>IF(ISBLANK('Data Entry'!I304), "", 'Data Entry'!I304)</f>
      </c>
      <c r="J304">
        <f>IF(ISBLANK('Data Entry'!J304), "", 'Data Entry'!J304)</f>
      </c>
      <c r="K304">
        <f>IF(ISBLANK('Data Entry'!K304), "", 'Data Entry'!K304)</f>
      </c>
      <c r="L304">
        <f>IF(ISBLANK('Data Entry'!L304), "", 'Data Entry'!L304)</f>
      </c>
      <c r="M304">
        <f>IF(ISBLANK('Data Entry'!M304), "", 'Data Entry'!M304)</f>
      </c>
      <c r="N304">
        <f>IF(ISBLANK('Data Entry'!N304), "", 'Data Entry'!N304)</f>
      </c>
      <c r="O304">
        <f>IF(ISBLANK('Data Entry'!O304), "", 'Data Entry'!O304)</f>
      </c>
      <c r="P304">
        <f>IF(ISBLANK('Data Entry'!P304), "", 'Data Entry'!P304)</f>
      </c>
      <c r="Q304">
        <f>IF(ISBLANK('Data Entry'!Q304), "", 'Data Entry'!Q304)</f>
      </c>
      <c r="R304">
        <f>IF(ISBLANK('Data Entry'!R304), "", 'Data Entry'!R304)</f>
      </c>
      <c r="S304">
        <f>IF(ISBLANK('Data Entry'!S304), "", 'Data Entry'!S304)</f>
      </c>
      <c r="T304">
        <f>IF(ISBLANK('Data Entry'!T304), "", 'Data Entry'!T304)</f>
      </c>
      <c r="U304">
        <f>IF(ISBLANK('Data Entry'!U304), "", 'Data Entry'!U304)</f>
      </c>
      <c r="V304">
        <f>IF(ISBLANK('Data Entry'!V304), "", 'Data Entry'!V304)</f>
      </c>
      <c r="W304">
        <f>IF(ISBLANK('Data Entry'!W304), "", 'Data Entry'!W304)</f>
      </c>
      <c r="X304">
        <f>IF(ISBLANK('Data Entry'!X304), "", 'Data Entry'!X304)</f>
      </c>
      <c r="Y304">
        <f>IF(ISBLANK('Data Entry'!Y304), "", 'Data Entry'!Y304)</f>
      </c>
      <c r="Z304">
        <f>IF(ISBLANK('Data Entry'!Z304), "", 'Data Entry'!Z304)</f>
      </c>
      <c r="AA304">
        <f>IF(ISBLANK('Data Entry'![304), "", 'Data Entry'![304)</f>
      </c>
      <c r="AB304">
        <f>IF(ISBLANK('Data Entry'!\304), "", 'Data Entry'!\304)</f>
      </c>
      <c r="AC304">
        <f>IF(ISBLANK('Data Entry'!]304), "", 'Data Entry'!]304)</f>
      </c>
      <c r="AD304">
        <f>IF(ISBLANK('Data Entry'!^304), "", 'Data Entry'!^304)</f>
      </c>
      <c r="AE304">
        <f>IF(ISBLANK('Data Entry'!_304), "", 'Data Entry'!_304)</f>
      </c>
      <c r="AF304">
        <f>IF(ISBLANK('Data Entry'!`304), "", 'Data Entry'!`304)</f>
      </c>
      <c r="AG304">
        <f>IF(ISBLANK('Data Entry'!a304), "", 'Data Entry'!a304)</f>
      </c>
      <c r="AH304">
        <f>IF(ISBLANK('Data Entry'!b304), "", 'Data Entry'!b304)</f>
      </c>
      <c r="AI304">
        <f>IF(ISBLANK('Data Entry'!c304), "", 'Data Entry'!c304)</f>
      </c>
      <c r="AJ304">
        <f>IF(ISBLANK('Data Entry'!d304), "", 'Data Entry'!d304)</f>
      </c>
      <c r="AK304">
        <f>IF(ISBLANK('Data Entry'!e304), "", 'Data Entry'!e304)</f>
      </c>
      <c r="AL304">
        <f>IF(ISBLANK('Data Entry'!f304), "", 'Data Entry'!f304)</f>
      </c>
      <c r="AM304">
        <f>IF(ISBLANK('Data Entry'!g304), "", 'Data Entry'!g304)</f>
      </c>
      <c r="AN304">
        <f>IF(ISBLANK('Data Entry'!h304), "", 'Data Entry'!h304)</f>
      </c>
    </row>
    <row r="305" spans="1:40" x14ac:dyDescent="0.25">
      <c r="A305">
        <f>IF(ISBLANK('Data Entry'!A305), "", 'Data Entry'!A305)</f>
      </c>
      <c r="B305">
        <f>IF(ISBLANK('Data Entry'!B305), "", 'Data Entry'!B305)</f>
      </c>
      <c r="C305">
        <f>IF(ISBLANK('Data Entry'!C305), "", 'Data Entry'!C305)</f>
      </c>
      <c r="D305">
        <f>IF(ISBLANK('Data Entry'!D305), "", 'Data Entry'!D305)</f>
      </c>
      <c r="E305">
        <f>IF(ISBLANK('Data Entry'!E305), "", 'Data Entry'!E305)</f>
      </c>
      <c r="F305">
        <f>IF(ISBLANK('Data Entry'!F305), "", 'Data Entry'!F305)</f>
      </c>
      <c r="G305">
        <f>IF(ISBLANK('Data Entry'!G305), "", 'Data Entry'!G305)</f>
      </c>
      <c r="H305">
        <f>IF(ISBLANK('Data Entry'!H305), "", 'Data Entry'!H305)</f>
      </c>
      <c r="I305">
        <f>IF(ISBLANK('Data Entry'!I305), "", 'Data Entry'!I305)</f>
      </c>
      <c r="J305">
        <f>IF(ISBLANK('Data Entry'!J305), "", 'Data Entry'!J305)</f>
      </c>
      <c r="K305">
        <f>IF(ISBLANK('Data Entry'!K305), "", 'Data Entry'!K305)</f>
      </c>
      <c r="L305">
        <f>IF(ISBLANK('Data Entry'!L305), "", 'Data Entry'!L305)</f>
      </c>
      <c r="M305">
        <f>IF(ISBLANK('Data Entry'!M305), "", 'Data Entry'!M305)</f>
      </c>
      <c r="N305">
        <f>IF(ISBLANK('Data Entry'!N305), "", 'Data Entry'!N305)</f>
      </c>
      <c r="O305">
        <f>IF(ISBLANK('Data Entry'!O305), "", 'Data Entry'!O305)</f>
      </c>
      <c r="P305">
        <f>IF(ISBLANK('Data Entry'!P305), "", 'Data Entry'!P305)</f>
      </c>
      <c r="Q305">
        <f>IF(ISBLANK('Data Entry'!Q305), "", 'Data Entry'!Q305)</f>
      </c>
      <c r="R305">
        <f>IF(ISBLANK('Data Entry'!R305), "", 'Data Entry'!R305)</f>
      </c>
      <c r="S305">
        <f>IF(ISBLANK('Data Entry'!S305), "", 'Data Entry'!S305)</f>
      </c>
      <c r="T305">
        <f>IF(ISBLANK('Data Entry'!T305), "", 'Data Entry'!T305)</f>
      </c>
      <c r="U305">
        <f>IF(ISBLANK('Data Entry'!U305), "", 'Data Entry'!U305)</f>
      </c>
      <c r="V305">
        <f>IF(ISBLANK('Data Entry'!V305), "", 'Data Entry'!V305)</f>
      </c>
      <c r="W305">
        <f>IF(ISBLANK('Data Entry'!W305), "", 'Data Entry'!W305)</f>
      </c>
      <c r="X305">
        <f>IF(ISBLANK('Data Entry'!X305), "", 'Data Entry'!X305)</f>
      </c>
      <c r="Y305">
        <f>IF(ISBLANK('Data Entry'!Y305), "", 'Data Entry'!Y305)</f>
      </c>
      <c r="Z305">
        <f>IF(ISBLANK('Data Entry'!Z305), "", 'Data Entry'!Z305)</f>
      </c>
      <c r="AA305">
        <f>IF(ISBLANK('Data Entry'![305), "", 'Data Entry'![305)</f>
      </c>
      <c r="AB305">
        <f>IF(ISBLANK('Data Entry'!\305), "", 'Data Entry'!\305)</f>
      </c>
      <c r="AC305">
        <f>IF(ISBLANK('Data Entry'!]305), "", 'Data Entry'!]305)</f>
      </c>
      <c r="AD305">
        <f>IF(ISBLANK('Data Entry'!^305), "", 'Data Entry'!^305)</f>
      </c>
      <c r="AE305">
        <f>IF(ISBLANK('Data Entry'!_305), "", 'Data Entry'!_305)</f>
      </c>
      <c r="AF305">
        <f>IF(ISBLANK('Data Entry'!`305), "", 'Data Entry'!`305)</f>
      </c>
      <c r="AG305">
        <f>IF(ISBLANK('Data Entry'!a305), "", 'Data Entry'!a305)</f>
      </c>
      <c r="AH305">
        <f>IF(ISBLANK('Data Entry'!b305), "", 'Data Entry'!b305)</f>
      </c>
      <c r="AI305">
        <f>IF(ISBLANK('Data Entry'!c305), "", 'Data Entry'!c305)</f>
      </c>
      <c r="AJ305">
        <f>IF(ISBLANK('Data Entry'!d305), "", 'Data Entry'!d305)</f>
      </c>
      <c r="AK305">
        <f>IF(ISBLANK('Data Entry'!e305), "", 'Data Entry'!e305)</f>
      </c>
      <c r="AL305">
        <f>IF(ISBLANK('Data Entry'!f305), "", 'Data Entry'!f305)</f>
      </c>
      <c r="AM305">
        <f>IF(ISBLANK('Data Entry'!g305), "", 'Data Entry'!g305)</f>
      </c>
      <c r="AN305">
        <f>IF(ISBLANK('Data Entry'!h305), "", 'Data Entry'!h305)</f>
      </c>
    </row>
    <row r="306" spans="1:40" x14ac:dyDescent="0.25">
      <c r="A306">
        <f>IF(ISBLANK('Data Entry'!A306), "", 'Data Entry'!A306)</f>
      </c>
      <c r="B306">
        <f>IF(ISBLANK('Data Entry'!B306), "", 'Data Entry'!B306)</f>
      </c>
      <c r="C306">
        <f>IF(ISBLANK('Data Entry'!C306), "", 'Data Entry'!C306)</f>
      </c>
      <c r="D306">
        <f>IF(ISBLANK('Data Entry'!D306), "", 'Data Entry'!D306)</f>
      </c>
      <c r="E306">
        <f>IF(ISBLANK('Data Entry'!E306), "", 'Data Entry'!E306)</f>
      </c>
      <c r="F306">
        <f>IF(ISBLANK('Data Entry'!F306), "", 'Data Entry'!F306)</f>
      </c>
      <c r="G306">
        <f>IF(ISBLANK('Data Entry'!G306), "", 'Data Entry'!G306)</f>
      </c>
      <c r="H306">
        <f>IF(ISBLANK('Data Entry'!H306), "", 'Data Entry'!H306)</f>
      </c>
      <c r="I306">
        <f>IF(ISBLANK('Data Entry'!I306), "", 'Data Entry'!I306)</f>
      </c>
      <c r="J306">
        <f>IF(ISBLANK('Data Entry'!J306), "", 'Data Entry'!J306)</f>
      </c>
      <c r="K306">
        <f>IF(ISBLANK('Data Entry'!K306), "", 'Data Entry'!K306)</f>
      </c>
      <c r="L306">
        <f>IF(ISBLANK('Data Entry'!L306), "", 'Data Entry'!L306)</f>
      </c>
      <c r="M306">
        <f>IF(ISBLANK('Data Entry'!M306), "", 'Data Entry'!M306)</f>
      </c>
      <c r="N306">
        <f>IF(ISBLANK('Data Entry'!N306), "", 'Data Entry'!N306)</f>
      </c>
      <c r="O306">
        <f>IF(ISBLANK('Data Entry'!O306), "", 'Data Entry'!O306)</f>
      </c>
      <c r="P306">
        <f>IF(ISBLANK('Data Entry'!P306), "", 'Data Entry'!P306)</f>
      </c>
      <c r="Q306">
        <f>IF(ISBLANK('Data Entry'!Q306), "", 'Data Entry'!Q306)</f>
      </c>
      <c r="R306">
        <f>IF(ISBLANK('Data Entry'!R306), "", 'Data Entry'!R306)</f>
      </c>
      <c r="S306">
        <f>IF(ISBLANK('Data Entry'!S306), "", 'Data Entry'!S306)</f>
      </c>
      <c r="T306">
        <f>IF(ISBLANK('Data Entry'!T306), "", 'Data Entry'!T306)</f>
      </c>
      <c r="U306">
        <f>IF(ISBLANK('Data Entry'!U306), "", 'Data Entry'!U306)</f>
      </c>
      <c r="V306">
        <f>IF(ISBLANK('Data Entry'!V306), "", 'Data Entry'!V306)</f>
      </c>
      <c r="W306">
        <f>IF(ISBLANK('Data Entry'!W306), "", 'Data Entry'!W306)</f>
      </c>
      <c r="X306">
        <f>IF(ISBLANK('Data Entry'!X306), "", 'Data Entry'!X306)</f>
      </c>
      <c r="Y306">
        <f>IF(ISBLANK('Data Entry'!Y306), "", 'Data Entry'!Y306)</f>
      </c>
      <c r="Z306">
        <f>IF(ISBLANK('Data Entry'!Z306), "", 'Data Entry'!Z306)</f>
      </c>
      <c r="AA306">
        <f>IF(ISBLANK('Data Entry'![306), "", 'Data Entry'![306)</f>
      </c>
      <c r="AB306">
        <f>IF(ISBLANK('Data Entry'!\306), "", 'Data Entry'!\306)</f>
      </c>
      <c r="AC306">
        <f>IF(ISBLANK('Data Entry'!]306), "", 'Data Entry'!]306)</f>
      </c>
      <c r="AD306">
        <f>IF(ISBLANK('Data Entry'!^306), "", 'Data Entry'!^306)</f>
      </c>
      <c r="AE306">
        <f>IF(ISBLANK('Data Entry'!_306), "", 'Data Entry'!_306)</f>
      </c>
      <c r="AF306">
        <f>IF(ISBLANK('Data Entry'!`306), "", 'Data Entry'!`306)</f>
      </c>
      <c r="AG306">
        <f>IF(ISBLANK('Data Entry'!a306), "", 'Data Entry'!a306)</f>
      </c>
      <c r="AH306">
        <f>IF(ISBLANK('Data Entry'!b306), "", 'Data Entry'!b306)</f>
      </c>
      <c r="AI306">
        <f>IF(ISBLANK('Data Entry'!c306), "", 'Data Entry'!c306)</f>
      </c>
      <c r="AJ306">
        <f>IF(ISBLANK('Data Entry'!d306), "", 'Data Entry'!d306)</f>
      </c>
      <c r="AK306">
        <f>IF(ISBLANK('Data Entry'!e306), "", 'Data Entry'!e306)</f>
      </c>
      <c r="AL306">
        <f>IF(ISBLANK('Data Entry'!f306), "", 'Data Entry'!f306)</f>
      </c>
      <c r="AM306">
        <f>IF(ISBLANK('Data Entry'!g306), "", 'Data Entry'!g306)</f>
      </c>
      <c r="AN306">
        <f>IF(ISBLANK('Data Entry'!h306), "", 'Data Entry'!h306)</f>
      </c>
    </row>
    <row r="307" spans="1:40" x14ac:dyDescent="0.25">
      <c r="A307">
        <f>IF(ISBLANK('Data Entry'!A307), "", 'Data Entry'!A307)</f>
      </c>
      <c r="B307">
        <f>IF(ISBLANK('Data Entry'!B307), "", 'Data Entry'!B307)</f>
      </c>
      <c r="C307">
        <f>IF(ISBLANK('Data Entry'!C307), "", 'Data Entry'!C307)</f>
      </c>
      <c r="D307">
        <f>IF(ISBLANK('Data Entry'!D307), "", 'Data Entry'!D307)</f>
      </c>
      <c r="E307">
        <f>IF(ISBLANK('Data Entry'!E307), "", 'Data Entry'!E307)</f>
      </c>
      <c r="F307">
        <f>IF(ISBLANK('Data Entry'!F307), "", 'Data Entry'!F307)</f>
      </c>
      <c r="G307">
        <f>IF(ISBLANK('Data Entry'!G307), "", 'Data Entry'!G307)</f>
      </c>
      <c r="H307">
        <f>IF(ISBLANK('Data Entry'!H307), "", 'Data Entry'!H307)</f>
      </c>
      <c r="I307">
        <f>IF(ISBLANK('Data Entry'!I307), "", 'Data Entry'!I307)</f>
      </c>
      <c r="J307">
        <f>IF(ISBLANK('Data Entry'!J307), "", 'Data Entry'!J307)</f>
      </c>
      <c r="K307">
        <f>IF(ISBLANK('Data Entry'!K307), "", 'Data Entry'!K307)</f>
      </c>
      <c r="L307">
        <f>IF(ISBLANK('Data Entry'!L307), "", 'Data Entry'!L307)</f>
      </c>
      <c r="M307">
        <f>IF(ISBLANK('Data Entry'!M307), "", 'Data Entry'!M307)</f>
      </c>
      <c r="N307">
        <f>IF(ISBLANK('Data Entry'!N307), "", 'Data Entry'!N307)</f>
      </c>
      <c r="O307">
        <f>IF(ISBLANK('Data Entry'!O307), "", 'Data Entry'!O307)</f>
      </c>
      <c r="P307">
        <f>IF(ISBLANK('Data Entry'!P307), "", 'Data Entry'!P307)</f>
      </c>
      <c r="Q307">
        <f>IF(ISBLANK('Data Entry'!Q307), "", 'Data Entry'!Q307)</f>
      </c>
      <c r="R307">
        <f>IF(ISBLANK('Data Entry'!R307), "", 'Data Entry'!R307)</f>
      </c>
      <c r="S307">
        <f>IF(ISBLANK('Data Entry'!S307), "", 'Data Entry'!S307)</f>
      </c>
      <c r="T307">
        <f>IF(ISBLANK('Data Entry'!T307), "", 'Data Entry'!T307)</f>
      </c>
      <c r="U307">
        <f>IF(ISBLANK('Data Entry'!U307), "", 'Data Entry'!U307)</f>
      </c>
      <c r="V307">
        <f>IF(ISBLANK('Data Entry'!V307), "", 'Data Entry'!V307)</f>
      </c>
      <c r="W307">
        <f>IF(ISBLANK('Data Entry'!W307), "", 'Data Entry'!W307)</f>
      </c>
      <c r="X307">
        <f>IF(ISBLANK('Data Entry'!X307), "", 'Data Entry'!X307)</f>
      </c>
      <c r="Y307">
        <f>IF(ISBLANK('Data Entry'!Y307), "", 'Data Entry'!Y307)</f>
      </c>
      <c r="Z307">
        <f>IF(ISBLANK('Data Entry'!Z307), "", 'Data Entry'!Z307)</f>
      </c>
      <c r="AA307">
        <f>IF(ISBLANK('Data Entry'![307), "", 'Data Entry'![307)</f>
      </c>
      <c r="AB307">
        <f>IF(ISBLANK('Data Entry'!\307), "", 'Data Entry'!\307)</f>
      </c>
      <c r="AC307">
        <f>IF(ISBLANK('Data Entry'!]307), "", 'Data Entry'!]307)</f>
      </c>
      <c r="AD307">
        <f>IF(ISBLANK('Data Entry'!^307), "", 'Data Entry'!^307)</f>
      </c>
      <c r="AE307">
        <f>IF(ISBLANK('Data Entry'!_307), "", 'Data Entry'!_307)</f>
      </c>
      <c r="AF307">
        <f>IF(ISBLANK('Data Entry'!`307), "", 'Data Entry'!`307)</f>
      </c>
      <c r="AG307">
        <f>IF(ISBLANK('Data Entry'!a307), "", 'Data Entry'!a307)</f>
      </c>
      <c r="AH307">
        <f>IF(ISBLANK('Data Entry'!b307), "", 'Data Entry'!b307)</f>
      </c>
      <c r="AI307">
        <f>IF(ISBLANK('Data Entry'!c307), "", 'Data Entry'!c307)</f>
      </c>
      <c r="AJ307">
        <f>IF(ISBLANK('Data Entry'!d307), "", 'Data Entry'!d307)</f>
      </c>
      <c r="AK307">
        <f>IF(ISBLANK('Data Entry'!e307), "", 'Data Entry'!e307)</f>
      </c>
      <c r="AL307">
        <f>IF(ISBLANK('Data Entry'!f307), "", 'Data Entry'!f307)</f>
      </c>
      <c r="AM307">
        <f>IF(ISBLANK('Data Entry'!g307), "", 'Data Entry'!g307)</f>
      </c>
      <c r="AN307">
        <f>IF(ISBLANK('Data Entry'!h307), "", 'Data Entry'!h307)</f>
      </c>
    </row>
    <row r="308" spans="1:40" x14ac:dyDescent="0.25">
      <c r="A308">
        <f>IF(ISBLANK('Data Entry'!A308), "", 'Data Entry'!A308)</f>
      </c>
      <c r="B308">
        <f>IF(ISBLANK('Data Entry'!B308), "", 'Data Entry'!B308)</f>
      </c>
      <c r="C308">
        <f>IF(ISBLANK('Data Entry'!C308), "", 'Data Entry'!C308)</f>
      </c>
      <c r="D308">
        <f>IF(ISBLANK('Data Entry'!D308), "", 'Data Entry'!D308)</f>
      </c>
      <c r="E308">
        <f>IF(ISBLANK('Data Entry'!E308), "", 'Data Entry'!E308)</f>
      </c>
      <c r="F308">
        <f>IF(ISBLANK('Data Entry'!F308), "", 'Data Entry'!F308)</f>
      </c>
      <c r="G308">
        <f>IF(ISBLANK('Data Entry'!G308), "", 'Data Entry'!G308)</f>
      </c>
      <c r="H308">
        <f>IF(ISBLANK('Data Entry'!H308), "", 'Data Entry'!H308)</f>
      </c>
      <c r="I308">
        <f>IF(ISBLANK('Data Entry'!I308), "", 'Data Entry'!I308)</f>
      </c>
      <c r="J308">
        <f>IF(ISBLANK('Data Entry'!J308), "", 'Data Entry'!J308)</f>
      </c>
      <c r="K308">
        <f>IF(ISBLANK('Data Entry'!K308), "", 'Data Entry'!K308)</f>
      </c>
      <c r="L308">
        <f>IF(ISBLANK('Data Entry'!L308), "", 'Data Entry'!L308)</f>
      </c>
      <c r="M308">
        <f>IF(ISBLANK('Data Entry'!M308), "", 'Data Entry'!M308)</f>
      </c>
      <c r="N308">
        <f>IF(ISBLANK('Data Entry'!N308), "", 'Data Entry'!N308)</f>
      </c>
      <c r="O308">
        <f>IF(ISBLANK('Data Entry'!O308), "", 'Data Entry'!O308)</f>
      </c>
      <c r="P308">
        <f>IF(ISBLANK('Data Entry'!P308), "", 'Data Entry'!P308)</f>
      </c>
      <c r="Q308">
        <f>IF(ISBLANK('Data Entry'!Q308), "", 'Data Entry'!Q308)</f>
      </c>
      <c r="R308">
        <f>IF(ISBLANK('Data Entry'!R308), "", 'Data Entry'!R308)</f>
      </c>
      <c r="S308">
        <f>IF(ISBLANK('Data Entry'!S308), "", 'Data Entry'!S308)</f>
      </c>
      <c r="T308">
        <f>IF(ISBLANK('Data Entry'!T308), "", 'Data Entry'!T308)</f>
      </c>
      <c r="U308">
        <f>IF(ISBLANK('Data Entry'!U308), "", 'Data Entry'!U308)</f>
      </c>
      <c r="V308">
        <f>IF(ISBLANK('Data Entry'!V308), "", 'Data Entry'!V308)</f>
      </c>
      <c r="W308">
        <f>IF(ISBLANK('Data Entry'!W308), "", 'Data Entry'!W308)</f>
      </c>
      <c r="X308">
        <f>IF(ISBLANK('Data Entry'!X308), "", 'Data Entry'!X308)</f>
      </c>
      <c r="Y308">
        <f>IF(ISBLANK('Data Entry'!Y308), "", 'Data Entry'!Y308)</f>
      </c>
      <c r="Z308">
        <f>IF(ISBLANK('Data Entry'!Z308), "", 'Data Entry'!Z308)</f>
      </c>
      <c r="AA308">
        <f>IF(ISBLANK('Data Entry'![308), "", 'Data Entry'![308)</f>
      </c>
      <c r="AB308">
        <f>IF(ISBLANK('Data Entry'!\308), "", 'Data Entry'!\308)</f>
      </c>
      <c r="AC308">
        <f>IF(ISBLANK('Data Entry'!]308), "", 'Data Entry'!]308)</f>
      </c>
      <c r="AD308">
        <f>IF(ISBLANK('Data Entry'!^308), "", 'Data Entry'!^308)</f>
      </c>
      <c r="AE308">
        <f>IF(ISBLANK('Data Entry'!_308), "", 'Data Entry'!_308)</f>
      </c>
      <c r="AF308">
        <f>IF(ISBLANK('Data Entry'!`308), "", 'Data Entry'!`308)</f>
      </c>
      <c r="AG308">
        <f>IF(ISBLANK('Data Entry'!a308), "", 'Data Entry'!a308)</f>
      </c>
      <c r="AH308">
        <f>IF(ISBLANK('Data Entry'!b308), "", 'Data Entry'!b308)</f>
      </c>
      <c r="AI308">
        <f>IF(ISBLANK('Data Entry'!c308), "", 'Data Entry'!c308)</f>
      </c>
      <c r="AJ308">
        <f>IF(ISBLANK('Data Entry'!d308), "", 'Data Entry'!d308)</f>
      </c>
      <c r="AK308">
        <f>IF(ISBLANK('Data Entry'!e308), "", 'Data Entry'!e308)</f>
      </c>
      <c r="AL308">
        <f>IF(ISBLANK('Data Entry'!f308), "", 'Data Entry'!f308)</f>
      </c>
      <c r="AM308">
        <f>IF(ISBLANK('Data Entry'!g308), "", 'Data Entry'!g308)</f>
      </c>
      <c r="AN308">
        <f>IF(ISBLANK('Data Entry'!h308), "", 'Data Entry'!h308)</f>
      </c>
    </row>
    <row r="309" spans="1:40" x14ac:dyDescent="0.25">
      <c r="A309">
        <f>IF(ISBLANK('Data Entry'!A309), "", 'Data Entry'!A309)</f>
      </c>
      <c r="B309">
        <f>IF(ISBLANK('Data Entry'!B309), "", 'Data Entry'!B309)</f>
      </c>
      <c r="C309">
        <f>IF(ISBLANK('Data Entry'!C309), "", 'Data Entry'!C309)</f>
      </c>
      <c r="D309">
        <f>IF(ISBLANK('Data Entry'!D309), "", 'Data Entry'!D309)</f>
      </c>
      <c r="E309">
        <f>IF(ISBLANK('Data Entry'!E309), "", 'Data Entry'!E309)</f>
      </c>
      <c r="F309">
        <f>IF(ISBLANK('Data Entry'!F309), "", 'Data Entry'!F309)</f>
      </c>
      <c r="G309">
        <f>IF(ISBLANK('Data Entry'!G309), "", 'Data Entry'!G309)</f>
      </c>
      <c r="H309">
        <f>IF(ISBLANK('Data Entry'!H309), "", 'Data Entry'!H309)</f>
      </c>
      <c r="I309">
        <f>IF(ISBLANK('Data Entry'!I309), "", 'Data Entry'!I309)</f>
      </c>
      <c r="J309">
        <f>IF(ISBLANK('Data Entry'!J309), "", 'Data Entry'!J309)</f>
      </c>
      <c r="K309">
        <f>IF(ISBLANK('Data Entry'!K309), "", 'Data Entry'!K309)</f>
      </c>
      <c r="L309">
        <f>IF(ISBLANK('Data Entry'!L309), "", 'Data Entry'!L309)</f>
      </c>
      <c r="M309">
        <f>IF(ISBLANK('Data Entry'!M309), "", 'Data Entry'!M309)</f>
      </c>
      <c r="N309">
        <f>IF(ISBLANK('Data Entry'!N309), "", 'Data Entry'!N309)</f>
      </c>
      <c r="O309">
        <f>IF(ISBLANK('Data Entry'!O309), "", 'Data Entry'!O309)</f>
      </c>
      <c r="P309">
        <f>IF(ISBLANK('Data Entry'!P309), "", 'Data Entry'!P309)</f>
      </c>
      <c r="Q309">
        <f>IF(ISBLANK('Data Entry'!Q309), "", 'Data Entry'!Q309)</f>
      </c>
      <c r="R309">
        <f>IF(ISBLANK('Data Entry'!R309), "", 'Data Entry'!R309)</f>
      </c>
      <c r="S309">
        <f>IF(ISBLANK('Data Entry'!S309), "", 'Data Entry'!S309)</f>
      </c>
      <c r="T309">
        <f>IF(ISBLANK('Data Entry'!T309), "", 'Data Entry'!T309)</f>
      </c>
      <c r="U309">
        <f>IF(ISBLANK('Data Entry'!U309), "", 'Data Entry'!U309)</f>
      </c>
      <c r="V309">
        <f>IF(ISBLANK('Data Entry'!V309), "", 'Data Entry'!V309)</f>
      </c>
      <c r="W309">
        <f>IF(ISBLANK('Data Entry'!W309), "", 'Data Entry'!W309)</f>
      </c>
      <c r="X309">
        <f>IF(ISBLANK('Data Entry'!X309), "", 'Data Entry'!X309)</f>
      </c>
      <c r="Y309">
        <f>IF(ISBLANK('Data Entry'!Y309), "", 'Data Entry'!Y309)</f>
      </c>
      <c r="Z309">
        <f>IF(ISBLANK('Data Entry'!Z309), "", 'Data Entry'!Z309)</f>
      </c>
      <c r="AA309">
        <f>IF(ISBLANK('Data Entry'![309), "", 'Data Entry'![309)</f>
      </c>
      <c r="AB309">
        <f>IF(ISBLANK('Data Entry'!\309), "", 'Data Entry'!\309)</f>
      </c>
      <c r="AC309">
        <f>IF(ISBLANK('Data Entry'!]309), "", 'Data Entry'!]309)</f>
      </c>
      <c r="AD309">
        <f>IF(ISBLANK('Data Entry'!^309), "", 'Data Entry'!^309)</f>
      </c>
      <c r="AE309">
        <f>IF(ISBLANK('Data Entry'!_309), "", 'Data Entry'!_309)</f>
      </c>
      <c r="AF309">
        <f>IF(ISBLANK('Data Entry'!`309), "", 'Data Entry'!`309)</f>
      </c>
      <c r="AG309">
        <f>IF(ISBLANK('Data Entry'!a309), "", 'Data Entry'!a309)</f>
      </c>
      <c r="AH309">
        <f>IF(ISBLANK('Data Entry'!b309), "", 'Data Entry'!b309)</f>
      </c>
      <c r="AI309">
        <f>IF(ISBLANK('Data Entry'!c309), "", 'Data Entry'!c309)</f>
      </c>
      <c r="AJ309">
        <f>IF(ISBLANK('Data Entry'!d309), "", 'Data Entry'!d309)</f>
      </c>
      <c r="AK309">
        <f>IF(ISBLANK('Data Entry'!e309), "", 'Data Entry'!e309)</f>
      </c>
      <c r="AL309">
        <f>IF(ISBLANK('Data Entry'!f309), "", 'Data Entry'!f309)</f>
      </c>
      <c r="AM309">
        <f>IF(ISBLANK('Data Entry'!g309), "", 'Data Entry'!g309)</f>
      </c>
      <c r="AN309">
        <f>IF(ISBLANK('Data Entry'!h309), "", 'Data Entry'!h309)</f>
      </c>
    </row>
    <row r="310" spans="1:40" x14ac:dyDescent="0.25">
      <c r="A310">
        <f>IF(ISBLANK('Data Entry'!A310), "", 'Data Entry'!A310)</f>
      </c>
      <c r="B310">
        <f>IF(ISBLANK('Data Entry'!B310), "", 'Data Entry'!B310)</f>
      </c>
      <c r="C310">
        <f>IF(ISBLANK('Data Entry'!C310), "", 'Data Entry'!C310)</f>
      </c>
      <c r="D310">
        <f>IF(ISBLANK('Data Entry'!D310), "", 'Data Entry'!D310)</f>
      </c>
      <c r="E310">
        <f>IF(ISBLANK('Data Entry'!E310), "", 'Data Entry'!E310)</f>
      </c>
      <c r="F310">
        <f>IF(ISBLANK('Data Entry'!F310), "", 'Data Entry'!F310)</f>
      </c>
      <c r="G310">
        <f>IF(ISBLANK('Data Entry'!G310), "", 'Data Entry'!G310)</f>
      </c>
      <c r="H310">
        <f>IF(ISBLANK('Data Entry'!H310), "", 'Data Entry'!H310)</f>
      </c>
      <c r="I310">
        <f>IF(ISBLANK('Data Entry'!I310), "", 'Data Entry'!I310)</f>
      </c>
      <c r="J310">
        <f>IF(ISBLANK('Data Entry'!J310), "", 'Data Entry'!J310)</f>
      </c>
      <c r="K310">
        <f>IF(ISBLANK('Data Entry'!K310), "", 'Data Entry'!K310)</f>
      </c>
      <c r="L310">
        <f>IF(ISBLANK('Data Entry'!L310), "", 'Data Entry'!L310)</f>
      </c>
      <c r="M310">
        <f>IF(ISBLANK('Data Entry'!M310), "", 'Data Entry'!M310)</f>
      </c>
      <c r="N310">
        <f>IF(ISBLANK('Data Entry'!N310), "", 'Data Entry'!N310)</f>
      </c>
      <c r="O310">
        <f>IF(ISBLANK('Data Entry'!O310), "", 'Data Entry'!O310)</f>
      </c>
      <c r="P310">
        <f>IF(ISBLANK('Data Entry'!P310), "", 'Data Entry'!P310)</f>
      </c>
      <c r="Q310">
        <f>IF(ISBLANK('Data Entry'!Q310), "", 'Data Entry'!Q310)</f>
      </c>
      <c r="R310">
        <f>IF(ISBLANK('Data Entry'!R310), "", 'Data Entry'!R310)</f>
      </c>
      <c r="S310">
        <f>IF(ISBLANK('Data Entry'!S310), "", 'Data Entry'!S310)</f>
      </c>
      <c r="T310">
        <f>IF(ISBLANK('Data Entry'!T310), "", 'Data Entry'!T310)</f>
      </c>
      <c r="U310">
        <f>IF(ISBLANK('Data Entry'!U310), "", 'Data Entry'!U310)</f>
      </c>
      <c r="V310">
        <f>IF(ISBLANK('Data Entry'!V310), "", 'Data Entry'!V310)</f>
      </c>
      <c r="W310">
        <f>IF(ISBLANK('Data Entry'!W310), "", 'Data Entry'!W310)</f>
      </c>
      <c r="X310">
        <f>IF(ISBLANK('Data Entry'!X310), "", 'Data Entry'!X310)</f>
      </c>
      <c r="Y310">
        <f>IF(ISBLANK('Data Entry'!Y310), "", 'Data Entry'!Y310)</f>
      </c>
      <c r="Z310">
        <f>IF(ISBLANK('Data Entry'!Z310), "", 'Data Entry'!Z310)</f>
      </c>
      <c r="AA310">
        <f>IF(ISBLANK('Data Entry'![310), "", 'Data Entry'![310)</f>
      </c>
      <c r="AB310">
        <f>IF(ISBLANK('Data Entry'!\310), "", 'Data Entry'!\310)</f>
      </c>
      <c r="AC310">
        <f>IF(ISBLANK('Data Entry'!]310), "", 'Data Entry'!]310)</f>
      </c>
      <c r="AD310">
        <f>IF(ISBLANK('Data Entry'!^310), "", 'Data Entry'!^310)</f>
      </c>
      <c r="AE310">
        <f>IF(ISBLANK('Data Entry'!_310), "", 'Data Entry'!_310)</f>
      </c>
      <c r="AF310">
        <f>IF(ISBLANK('Data Entry'!`310), "", 'Data Entry'!`310)</f>
      </c>
      <c r="AG310">
        <f>IF(ISBLANK('Data Entry'!a310), "", 'Data Entry'!a310)</f>
      </c>
      <c r="AH310">
        <f>IF(ISBLANK('Data Entry'!b310), "", 'Data Entry'!b310)</f>
      </c>
      <c r="AI310">
        <f>IF(ISBLANK('Data Entry'!c310), "", 'Data Entry'!c310)</f>
      </c>
      <c r="AJ310">
        <f>IF(ISBLANK('Data Entry'!d310), "", 'Data Entry'!d310)</f>
      </c>
      <c r="AK310">
        <f>IF(ISBLANK('Data Entry'!e310), "", 'Data Entry'!e310)</f>
      </c>
      <c r="AL310">
        <f>IF(ISBLANK('Data Entry'!f310), "", 'Data Entry'!f310)</f>
      </c>
      <c r="AM310">
        <f>IF(ISBLANK('Data Entry'!g310), "", 'Data Entry'!g310)</f>
      </c>
      <c r="AN310">
        <f>IF(ISBLANK('Data Entry'!h310), "", 'Data Entry'!h310)</f>
      </c>
    </row>
    <row r="311" spans="1:40" x14ac:dyDescent="0.25">
      <c r="A311">
        <f>IF(ISBLANK('Data Entry'!A311), "", 'Data Entry'!A311)</f>
      </c>
      <c r="B311">
        <f>IF(ISBLANK('Data Entry'!B311), "", 'Data Entry'!B311)</f>
      </c>
      <c r="C311">
        <f>IF(ISBLANK('Data Entry'!C311), "", 'Data Entry'!C311)</f>
      </c>
      <c r="D311">
        <f>IF(ISBLANK('Data Entry'!D311), "", 'Data Entry'!D311)</f>
      </c>
      <c r="E311">
        <f>IF(ISBLANK('Data Entry'!E311), "", 'Data Entry'!E311)</f>
      </c>
      <c r="F311">
        <f>IF(ISBLANK('Data Entry'!F311), "", 'Data Entry'!F311)</f>
      </c>
      <c r="G311">
        <f>IF(ISBLANK('Data Entry'!G311), "", 'Data Entry'!G311)</f>
      </c>
      <c r="H311">
        <f>IF(ISBLANK('Data Entry'!H311), "", 'Data Entry'!H311)</f>
      </c>
      <c r="I311">
        <f>IF(ISBLANK('Data Entry'!I311), "", 'Data Entry'!I311)</f>
      </c>
      <c r="J311">
        <f>IF(ISBLANK('Data Entry'!J311), "", 'Data Entry'!J311)</f>
      </c>
      <c r="K311">
        <f>IF(ISBLANK('Data Entry'!K311), "", 'Data Entry'!K311)</f>
      </c>
      <c r="L311">
        <f>IF(ISBLANK('Data Entry'!L311), "", 'Data Entry'!L311)</f>
      </c>
      <c r="M311">
        <f>IF(ISBLANK('Data Entry'!M311), "", 'Data Entry'!M311)</f>
      </c>
      <c r="N311">
        <f>IF(ISBLANK('Data Entry'!N311), "", 'Data Entry'!N311)</f>
      </c>
      <c r="O311">
        <f>IF(ISBLANK('Data Entry'!O311), "", 'Data Entry'!O311)</f>
      </c>
      <c r="P311">
        <f>IF(ISBLANK('Data Entry'!P311), "", 'Data Entry'!P311)</f>
      </c>
      <c r="Q311">
        <f>IF(ISBLANK('Data Entry'!Q311), "", 'Data Entry'!Q311)</f>
      </c>
      <c r="R311">
        <f>IF(ISBLANK('Data Entry'!R311), "", 'Data Entry'!R311)</f>
      </c>
      <c r="S311">
        <f>IF(ISBLANK('Data Entry'!S311), "", 'Data Entry'!S311)</f>
      </c>
      <c r="T311">
        <f>IF(ISBLANK('Data Entry'!T311), "", 'Data Entry'!T311)</f>
      </c>
      <c r="U311">
        <f>IF(ISBLANK('Data Entry'!U311), "", 'Data Entry'!U311)</f>
      </c>
      <c r="V311">
        <f>IF(ISBLANK('Data Entry'!V311), "", 'Data Entry'!V311)</f>
      </c>
      <c r="W311">
        <f>IF(ISBLANK('Data Entry'!W311), "", 'Data Entry'!W311)</f>
      </c>
      <c r="X311">
        <f>IF(ISBLANK('Data Entry'!X311), "", 'Data Entry'!X311)</f>
      </c>
      <c r="Y311">
        <f>IF(ISBLANK('Data Entry'!Y311), "", 'Data Entry'!Y311)</f>
      </c>
      <c r="Z311">
        <f>IF(ISBLANK('Data Entry'!Z311), "", 'Data Entry'!Z311)</f>
      </c>
      <c r="AA311">
        <f>IF(ISBLANK('Data Entry'![311), "", 'Data Entry'![311)</f>
      </c>
      <c r="AB311">
        <f>IF(ISBLANK('Data Entry'!\311), "", 'Data Entry'!\311)</f>
      </c>
      <c r="AC311">
        <f>IF(ISBLANK('Data Entry'!]311), "", 'Data Entry'!]311)</f>
      </c>
      <c r="AD311">
        <f>IF(ISBLANK('Data Entry'!^311), "", 'Data Entry'!^311)</f>
      </c>
      <c r="AE311">
        <f>IF(ISBLANK('Data Entry'!_311), "", 'Data Entry'!_311)</f>
      </c>
      <c r="AF311">
        <f>IF(ISBLANK('Data Entry'!`311), "", 'Data Entry'!`311)</f>
      </c>
      <c r="AG311">
        <f>IF(ISBLANK('Data Entry'!a311), "", 'Data Entry'!a311)</f>
      </c>
      <c r="AH311">
        <f>IF(ISBLANK('Data Entry'!b311), "", 'Data Entry'!b311)</f>
      </c>
      <c r="AI311">
        <f>IF(ISBLANK('Data Entry'!c311), "", 'Data Entry'!c311)</f>
      </c>
      <c r="AJ311">
        <f>IF(ISBLANK('Data Entry'!d311), "", 'Data Entry'!d311)</f>
      </c>
      <c r="AK311">
        <f>IF(ISBLANK('Data Entry'!e311), "", 'Data Entry'!e311)</f>
      </c>
      <c r="AL311">
        <f>IF(ISBLANK('Data Entry'!f311), "", 'Data Entry'!f311)</f>
      </c>
      <c r="AM311">
        <f>IF(ISBLANK('Data Entry'!g311), "", 'Data Entry'!g311)</f>
      </c>
      <c r="AN311">
        <f>IF(ISBLANK('Data Entry'!h311), "", 'Data Entry'!h311)</f>
      </c>
    </row>
    <row r="312" spans="1:40" x14ac:dyDescent="0.25">
      <c r="A312">
        <f>IF(ISBLANK('Data Entry'!A312), "", 'Data Entry'!A312)</f>
      </c>
      <c r="B312">
        <f>IF(ISBLANK('Data Entry'!B312), "", 'Data Entry'!B312)</f>
      </c>
      <c r="C312">
        <f>IF(ISBLANK('Data Entry'!C312), "", 'Data Entry'!C312)</f>
      </c>
      <c r="D312">
        <f>IF(ISBLANK('Data Entry'!D312), "", 'Data Entry'!D312)</f>
      </c>
      <c r="E312">
        <f>IF(ISBLANK('Data Entry'!E312), "", 'Data Entry'!E312)</f>
      </c>
      <c r="F312">
        <f>IF(ISBLANK('Data Entry'!F312), "", 'Data Entry'!F312)</f>
      </c>
      <c r="G312">
        <f>IF(ISBLANK('Data Entry'!G312), "", 'Data Entry'!G312)</f>
      </c>
      <c r="H312">
        <f>IF(ISBLANK('Data Entry'!H312), "", 'Data Entry'!H312)</f>
      </c>
      <c r="I312">
        <f>IF(ISBLANK('Data Entry'!I312), "", 'Data Entry'!I312)</f>
      </c>
      <c r="J312">
        <f>IF(ISBLANK('Data Entry'!J312), "", 'Data Entry'!J312)</f>
      </c>
      <c r="K312">
        <f>IF(ISBLANK('Data Entry'!K312), "", 'Data Entry'!K312)</f>
      </c>
      <c r="L312">
        <f>IF(ISBLANK('Data Entry'!L312), "", 'Data Entry'!L312)</f>
      </c>
      <c r="M312">
        <f>IF(ISBLANK('Data Entry'!M312), "", 'Data Entry'!M312)</f>
      </c>
      <c r="N312">
        <f>IF(ISBLANK('Data Entry'!N312), "", 'Data Entry'!N312)</f>
      </c>
      <c r="O312">
        <f>IF(ISBLANK('Data Entry'!O312), "", 'Data Entry'!O312)</f>
      </c>
      <c r="P312">
        <f>IF(ISBLANK('Data Entry'!P312), "", 'Data Entry'!P312)</f>
      </c>
      <c r="Q312">
        <f>IF(ISBLANK('Data Entry'!Q312), "", 'Data Entry'!Q312)</f>
      </c>
      <c r="R312">
        <f>IF(ISBLANK('Data Entry'!R312), "", 'Data Entry'!R312)</f>
      </c>
      <c r="S312">
        <f>IF(ISBLANK('Data Entry'!S312), "", 'Data Entry'!S312)</f>
      </c>
      <c r="T312">
        <f>IF(ISBLANK('Data Entry'!T312), "", 'Data Entry'!T312)</f>
      </c>
      <c r="U312">
        <f>IF(ISBLANK('Data Entry'!U312), "", 'Data Entry'!U312)</f>
      </c>
      <c r="V312">
        <f>IF(ISBLANK('Data Entry'!V312), "", 'Data Entry'!V312)</f>
      </c>
      <c r="W312">
        <f>IF(ISBLANK('Data Entry'!W312), "", 'Data Entry'!W312)</f>
      </c>
      <c r="X312">
        <f>IF(ISBLANK('Data Entry'!X312), "", 'Data Entry'!X312)</f>
      </c>
      <c r="Y312">
        <f>IF(ISBLANK('Data Entry'!Y312), "", 'Data Entry'!Y312)</f>
      </c>
      <c r="Z312">
        <f>IF(ISBLANK('Data Entry'!Z312), "", 'Data Entry'!Z312)</f>
      </c>
      <c r="AA312">
        <f>IF(ISBLANK('Data Entry'![312), "", 'Data Entry'![312)</f>
      </c>
      <c r="AB312">
        <f>IF(ISBLANK('Data Entry'!\312), "", 'Data Entry'!\312)</f>
      </c>
      <c r="AC312">
        <f>IF(ISBLANK('Data Entry'!]312), "", 'Data Entry'!]312)</f>
      </c>
      <c r="AD312">
        <f>IF(ISBLANK('Data Entry'!^312), "", 'Data Entry'!^312)</f>
      </c>
      <c r="AE312">
        <f>IF(ISBLANK('Data Entry'!_312), "", 'Data Entry'!_312)</f>
      </c>
      <c r="AF312">
        <f>IF(ISBLANK('Data Entry'!`312), "", 'Data Entry'!`312)</f>
      </c>
      <c r="AG312">
        <f>IF(ISBLANK('Data Entry'!a312), "", 'Data Entry'!a312)</f>
      </c>
      <c r="AH312">
        <f>IF(ISBLANK('Data Entry'!b312), "", 'Data Entry'!b312)</f>
      </c>
      <c r="AI312">
        <f>IF(ISBLANK('Data Entry'!c312), "", 'Data Entry'!c312)</f>
      </c>
      <c r="AJ312">
        <f>IF(ISBLANK('Data Entry'!d312), "", 'Data Entry'!d312)</f>
      </c>
      <c r="AK312">
        <f>IF(ISBLANK('Data Entry'!e312), "", 'Data Entry'!e312)</f>
      </c>
      <c r="AL312">
        <f>IF(ISBLANK('Data Entry'!f312), "", 'Data Entry'!f312)</f>
      </c>
      <c r="AM312">
        <f>IF(ISBLANK('Data Entry'!g312), "", 'Data Entry'!g312)</f>
      </c>
      <c r="AN312">
        <f>IF(ISBLANK('Data Entry'!h312), "", 'Data Entry'!h312)</f>
      </c>
    </row>
    <row r="313" spans="1:40" x14ac:dyDescent="0.25">
      <c r="A313">
        <f>IF(ISBLANK('Data Entry'!A313), "", 'Data Entry'!A313)</f>
      </c>
      <c r="B313">
        <f>IF(ISBLANK('Data Entry'!B313), "", 'Data Entry'!B313)</f>
      </c>
      <c r="C313">
        <f>IF(ISBLANK('Data Entry'!C313), "", 'Data Entry'!C313)</f>
      </c>
      <c r="D313">
        <f>IF(ISBLANK('Data Entry'!D313), "", 'Data Entry'!D313)</f>
      </c>
      <c r="E313">
        <f>IF(ISBLANK('Data Entry'!E313), "", 'Data Entry'!E313)</f>
      </c>
      <c r="F313">
        <f>IF(ISBLANK('Data Entry'!F313), "", 'Data Entry'!F313)</f>
      </c>
      <c r="G313">
        <f>IF(ISBLANK('Data Entry'!G313), "", 'Data Entry'!G313)</f>
      </c>
      <c r="H313">
        <f>IF(ISBLANK('Data Entry'!H313), "", 'Data Entry'!H313)</f>
      </c>
      <c r="I313">
        <f>IF(ISBLANK('Data Entry'!I313), "", 'Data Entry'!I313)</f>
      </c>
      <c r="J313">
        <f>IF(ISBLANK('Data Entry'!J313), "", 'Data Entry'!J313)</f>
      </c>
      <c r="K313">
        <f>IF(ISBLANK('Data Entry'!K313), "", 'Data Entry'!K313)</f>
      </c>
      <c r="L313">
        <f>IF(ISBLANK('Data Entry'!L313), "", 'Data Entry'!L313)</f>
      </c>
      <c r="M313">
        <f>IF(ISBLANK('Data Entry'!M313), "", 'Data Entry'!M313)</f>
      </c>
      <c r="N313">
        <f>IF(ISBLANK('Data Entry'!N313), "", 'Data Entry'!N313)</f>
      </c>
      <c r="O313">
        <f>IF(ISBLANK('Data Entry'!O313), "", 'Data Entry'!O313)</f>
      </c>
      <c r="P313">
        <f>IF(ISBLANK('Data Entry'!P313), "", 'Data Entry'!P313)</f>
      </c>
      <c r="Q313">
        <f>IF(ISBLANK('Data Entry'!Q313), "", 'Data Entry'!Q313)</f>
      </c>
      <c r="R313">
        <f>IF(ISBLANK('Data Entry'!R313), "", 'Data Entry'!R313)</f>
      </c>
      <c r="S313">
        <f>IF(ISBLANK('Data Entry'!S313), "", 'Data Entry'!S313)</f>
      </c>
      <c r="T313">
        <f>IF(ISBLANK('Data Entry'!T313), "", 'Data Entry'!T313)</f>
      </c>
      <c r="U313">
        <f>IF(ISBLANK('Data Entry'!U313), "", 'Data Entry'!U313)</f>
      </c>
      <c r="V313">
        <f>IF(ISBLANK('Data Entry'!V313), "", 'Data Entry'!V313)</f>
      </c>
      <c r="W313">
        <f>IF(ISBLANK('Data Entry'!W313), "", 'Data Entry'!W313)</f>
      </c>
      <c r="X313">
        <f>IF(ISBLANK('Data Entry'!X313), "", 'Data Entry'!X313)</f>
      </c>
      <c r="Y313">
        <f>IF(ISBLANK('Data Entry'!Y313), "", 'Data Entry'!Y313)</f>
      </c>
      <c r="Z313">
        <f>IF(ISBLANK('Data Entry'!Z313), "", 'Data Entry'!Z313)</f>
      </c>
      <c r="AA313">
        <f>IF(ISBLANK('Data Entry'![313), "", 'Data Entry'![313)</f>
      </c>
      <c r="AB313">
        <f>IF(ISBLANK('Data Entry'!\313), "", 'Data Entry'!\313)</f>
      </c>
      <c r="AC313">
        <f>IF(ISBLANK('Data Entry'!]313), "", 'Data Entry'!]313)</f>
      </c>
      <c r="AD313">
        <f>IF(ISBLANK('Data Entry'!^313), "", 'Data Entry'!^313)</f>
      </c>
      <c r="AE313">
        <f>IF(ISBLANK('Data Entry'!_313), "", 'Data Entry'!_313)</f>
      </c>
      <c r="AF313">
        <f>IF(ISBLANK('Data Entry'!`313), "", 'Data Entry'!`313)</f>
      </c>
      <c r="AG313">
        <f>IF(ISBLANK('Data Entry'!a313), "", 'Data Entry'!a313)</f>
      </c>
      <c r="AH313">
        <f>IF(ISBLANK('Data Entry'!b313), "", 'Data Entry'!b313)</f>
      </c>
      <c r="AI313">
        <f>IF(ISBLANK('Data Entry'!c313), "", 'Data Entry'!c313)</f>
      </c>
      <c r="AJ313">
        <f>IF(ISBLANK('Data Entry'!d313), "", 'Data Entry'!d313)</f>
      </c>
      <c r="AK313">
        <f>IF(ISBLANK('Data Entry'!e313), "", 'Data Entry'!e313)</f>
      </c>
      <c r="AL313">
        <f>IF(ISBLANK('Data Entry'!f313), "", 'Data Entry'!f313)</f>
      </c>
      <c r="AM313">
        <f>IF(ISBLANK('Data Entry'!g313), "", 'Data Entry'!g313)</f>
      </c>
      <c r="AN313">
        <f>IF(ISBLANK('Data Entry'!h313), "", 'Data Entry'!h313)</f>
      </c>
    </row>
    <row r="314" spans="1:40" x14ac:dyDescent="0.25">
      <c r="A314">
        <f>IF(ISBLANK('Data Entry'!A314), "", 'Data Entry'!A314)</f>
      </c>
      <c r="B314">
        <f>IF(ISBLANK('Data Entry'!B314), "", 'Data Entry'!B314)</f>
      </c>
      <c r="C314">
        <f>IF(ISBLANK('Data Entry'!C314), "", 'Data Entry'!C314)</f>
      </c>
      <c r="D314">
        <f>IF(ISBLANK('Data Entry'!D314), "", 'Data Entry'!D314)</f>
      </c>
      <c r="E314">
        <f>IF(ISBLANK('Data Entry'!E314), "", 'Data Entry'!E314)</f>
      </c>
      <c r="F314">
        <f>IF(ISBLANK('Data Entry'!F314), "", 'Data Entry'!F314)</f>
      </c>
      <c r="G314">
        <f>IF(ISBLANK('Data Entry'!G314), "", 'Data Entry'!G314)</f>
      </c>
      <c r="H314">
        <f>IF(ISBLANK('Data Entry'!H314), "", 'Data Entry'!H314)</f>
      </c>
      <c r="I314">
        <f>IF(ISBLANK('Data Entry'!I314), "", 'Data Entry'!I314)</f>
      </c>
      <c r="J314">
        <f>IF(ISBLANK('Data Entry'!J314), "", 'Data Entry'!J314)</f>
      </c>
      <c r="K314">
        <f>IF(ISBLANK('Data Entry'!K314), "", 'Data Entry'!K314)</f>
      </c>
      <c r="L314">
        <f>IF(ISBLANK('Data Entry'!L314), "", 'Data Entry'!L314)</f>
      </c>
      <c r="M314">
        <f>IF(ISBLANK('Data Entry'!M314), "", 'Data Entry'!M314)</f>
      </c>
      <c r="N314">
        <f>IF(ISBLANK('Data Entry'!N314), "", 'Data Entry'!N314)</f>
      </c>
      <c r="O314">
        <f>IF(ISBLANK('Data Entry'!O314), "", 'Data Entry'!O314)</f>
      </c>
      <c r="P314">
        <f>IF(ISBLANK('Data Entry'!P314), "", 'Data Entry'!P314)</f>
      </c>
      <c r="Q314">
        <f>IF(ISBLANK('Data Entry'!Q314), "", 'Data Entry'!Q314)</f>
      </c>
      <c r="R314">
        <f>IF(ISBLANK('Data Entry'!R314), "", 'Data Entry'!R314)</f>
      </c>
      <c r="S314">
        <f>IF(ISBLANK('Data Entry'!S314), "", 'Data Entry'!S314)</f>
      </c>
      <c r="T314">
        <f>IF(ISBLANK('Data Entry'!T314), "", 'Data Entry'!T314)</f>
      </c>
      <c r="U314">
        <f>IF(ISBLANK('Data Entry'!U314), "", 'Data Entry'!U314)</f>
      </c>
      <c r="V314">
        <f>IF(ISBLANK('Data Entry'!V314), "", 'Data Entry'!V314)</f>
      </c>
      <c r="W314">
        <f>IF(ISBLANK('Data Entry'!W314), "", 'Data Entry'!W314)</f>
      </c>
      <c r="X314">
        <f>IF(ISBLANK('Data Entry'!X314), "", 'Data Entry'!X314)</f>
      </c>
      <c r="Y314">
        <f>IF(ISBLANK('Data Entry'!Y314), "", 'Data Entry'!Y314)</f>
      </c>
      <c r="Z314">
        <f>IF(ISBLANK('Data Entry'!Z314), "", 'Data Entry'!Z314)</f>
      </c>
      <c r="AA314">
        <f>IF(ISBLANK('Data Entry'![314), "", 'Data Entry'![314)</f>
      </c>
      <c r="AB314">
        <f>IF(ISBLANK('Data Entry'!\314), "", 'Data Entry'!\314)</f>
      </c>
      <c r="AC314">
        <f>IF(ISBLANK('Data Entry'!]314), "", 'Data Entry'!]314)</f>
      </c>
      <c r="AD314">
        <f>IF(ISBLANK('Data Entry'!^314), "", 'Data Entry'!^314)</f>
      </c>
      <c r="AE314">
        <f>IF(ISBLANK('Data Entry'!_314), "", 'Data Entry'!_314)</f>
      </c>
      <c r="AF314">
        <f>IF(ISBLANK('Data Entry'!`314), "", 'Data Entry'!`314)</f>
      </c>
      <c r="AG314">
        <f>IF(ISBLANK('Data Entry'!a314), "", 'Data Entry'!a314)</f>
      </c>
      <c r="AH314">
        <f>IF(ISBLANK('Data Entry'!b314), "", 'Data Entry'!b314)</f>
      </c>
      <c r="AI314">
        <f>IF(ISBLANK('Data Entry'!c314), "", 'Data Entry'!c314)</f>
      </c>
      <c r="AJ314">
        <f>IF(ISBLANK('Data Entry'!d314), "", 'Data Entry'!d314)</f>
      </c>
      <c r="AK314">
        <f>IF(ISBLANK('Data Entry'!e314), "", 'Data Entry'!e314)</f>
      </c>
      <c r="AL314">
        <f>IF(ISBLANK('Data Entry'!f314), "", 'Data Entry'!f314)</f>
      </c>
      <c r="AM314">
        <f>IF(ISBLANK('Data Entry'!g314), "", 'Data Entry'!g314)</f>
      </c>
      <c r="AN314">
        <f>IF(ISBLANK('Data Entry'!h314), "", 'Data Entry'!h314)</f>
      </c>
    </row>
    <row r="315" spans="1:40" x14ac:dyDescent="0.25">
      <c r="A315">
        <f>IF(ISBLANK('Data Entry'!A315), "", 'Data Entry'!A315)</f>
      </c>
      <c r="B315">
        <f>IF(ISBLANK('Data Entry'!B315), "", 'Data Entry'!B315)</f>
      </c>
      <c r="C315">
        <f>IF(ISBLANK('Data Entry'!C315), "", 'Data Entry'!C315)</f>
      </c>
      <c r="D315">
        <f>IF(ISBLANK('Data Entry'!D315), "", 'Data Entry'!D315)</f>
      </c>
      <c r="E315">
        <f>IF(ISBLANK('Data Entry'!E315), "", 'Data Entry'!E315)</f>
      </c>
      <c r="F315">
        <f>IF(ISBLANK('Data Entry'!F315), "", 'Data Entry'!F315)</f>
      </c>
      <c r="G315">
        <f>IF(ISBLANK('Data Entry'!G315), "", 'Data Entry'!G315)</f>
      </c>
      <c r="H315">
        <f>IF(ISBLANK('Data Entry'!H315), "", 'Data Entry'!H315)</f>
      </c>
      <c r="I315">
        <f>IF(ISBLANK('Data Entry'!I315), "", 'Data Entry'!I315)</f>
      </c>
      <c r="J315">
        <f>IF(ISBLANK('Data Entry'!J315), "", 'Data Entry'!J315)</f>
      </c>
      <c r="K315">
        <f>IF(ISBLANK('Data Entry'!K315), "", 'Data Entry'!K315)</f>
      </c>
      <c r="L315">
        <f>IF(ISBLANK('Data Entry'!L315), "", 'Data Entry'!L315)</f>
      </c>
      <c r="M315">
        <f>IF(ISBLANK('Data Entry'!M315), "", 'Data Entry'!M315)</f>
      </c>
      <c r="N315">
        <f>IF(ISBLANK('Data Entry'!N315), "", 'Data Entry'!N315)</f>
      </c>
      <c r="O315">
        <f>IF(ISBLANK('Data Entry'!O315), "", 'Data Entry'!O315)</f>
      </c>
      <c r="P315">
        <f>IF(ISBLANK('Data Entry'!P315), "", 'Data Entry'!P315)</f>
      </c>
      <c r="Q315">
        <f>IF(ISBLANK('Data Entry'!Q315), "", 'Data Entry'!Q315)</f>
      </c>
      <c r="R315">
        <f>IF(ISBLANK('Data Entry'!R315), "", 'Data Entry'!R315)</f>
      </c>
      <c r="S315">
        <f>IF(ISBLANK('Data Entry'!S315), "", 'Data Entry'!S315)</f>
      </c>
      <c r="T315">
        <f>IF(ISBLANK('Data Entry'!T315), "", 'Data Entry'!T315)</f>
      </c>
      <c r="U315">
        <f>IF(ISBLANK('Data Entry'!U315), "", 'Data Entry'!U315)</f>
      </c>
      <c r="V315">
        <f>IF(ISBLANK('Data Entry'!V315), "", 'Data Entry'!V315)</f>
      </c>
      <c r="W315">
        <f>IF(ISBLANK('Data Entry'!W315), "", 'Data Entry'!W315)</f>
      </c>
      <c r="X315">
        <f>IF(ISBLANK('Data Entry'!X315), "", 'Data Entry'!X315)</f>
      </c>
      <c r="Y315">
        <f>IF(ISBLANK('Data Entry'!Y315), "", 'Data Entry'!Y315)</f>
      </c>
      <c r="Z315">
        <f>IF(ISBLANK('Data Entry'!Z315), "", 'Data Entry'!Z315)</f>
      </c>
      <c r="AA315">
        <f>IF(ISBLANK('Data Entry'![315), "", 'Data Entry'![315)</f>
      </c>
      <c r="AB315">
        <f>IF(ISBLANK('Data Entry'!\315), "", 'Data Entry'!\315)</f>
      </c>
      <c r="AC315">
        <f>IF(ISBLANK('Data Entry'!]315), "", 'Data Entry'!]315)</f>
      </c>
      <c r="AD315">
        <f>IF(ISBLANK('Data Entry'!^315), "", 'Data Entry'!^315)</f>
      </c>
      <c r="AE315">
        <f>IF(ISBLANK('Data Entry'!_315), "", 'Data Entry'!_315)</f>
      </c>
      <c r="AF315">
        <f>IF(ISBLANK('Data Entry'!`315), "", 'Data Entry'!`315)</f>
      </c>
      <c r="AG315">
        <f>IF(ISBLANK('Data Entry'!a315), "", 'Data Entry'!a315)</f>
      </c>
      <c r="AH315">
        <f>IF(ISBLANK('Data Entry'!b315), "", 'Data Entry'!b315)</f>
      </c>
      <c r="AI315">
        <f>IF(ISBLANK('Data Entry'!c315), "", 'Data Entry'!c315)</f>
      </c>
      <c r="AJ315">
        <f>IF(ISBLANK('Data Entry'!d315), "", 'Data Entry'!d315)</f>
      </c>
      <c r="AK315">
        <f>IF(ISBLANK('Data Entry'!e315), "", 'Data Entry'!e315)</f>
      </c>
      <c r="AL315">
        <f>IF(ISBLANK('Data Entry'!f315), "", 'Data Entry'!f315)</f>
      </c>
      <c r="AM315">
        <f>IF(ISBLANK('Data Entry'!g315), "", 'Data Entry'!g315)</f>
      </c>
      <c r="AN315">
        <f>IF(ISBLANK('Data Entry'!h315), "", 'Data Entry'!h315)</f>
      </c>
    </row>
    <row r="316" spans="1:40" x14ac:dyDescent="0.25">
      <c r="A316">
        <f>IF(ISBLANK('Data Entry'!A316), "", 'Data Entry'!A316)</f>
      </c>
      <c r="B316">
        <f>IF(ISBLANK('Data Entry'!B316), "", 'Data Entry'!B316)</f>
      </c>
      <c r="C316">
        <f>IF(ISBLANK('Data Entry'!C316), "", 'Data Entry'!C316)</f>
      </c>
      <c r="D316">
        <f>IF(ISBLANK('Data Entry'!D316), "", 'Data Entry'!D316)</f>
      </c>
      <c r="E316">
        <f>IF(ISBLANK('Data Entry'!E316), "", 'Data Entry'!E316)</f>
      </c>
      <c r="F316">
        <f>IF(ISBLANK('Data Entry'!F316), "", 'Data Entry'!F316)</f>
      </c>
      <c r="G316">
        <f>IF(ISBLANK('Data Entry'!G316), "", 'Data Entry'!G316)</f>
      </c>
      <c r="H316">
        <f>IF(ISBLANK('Data Entry'!H316), "", 'Data Entry'!H316)</f>
      </c>
      <c r="I316">
        <f>IF(ISBLANK('Data Entry'!I316), "", 'Data Entry'!I316)</f>
      </c>
      <c r="J316">
        <f>IF(ISBLANK('Data Entry'!J316), "", 'Data Entry'!J316)</f>
      </c>
      <c r="K316">
        <f>IF(ISBLANK('Data Entry'!K316), "", 'Data Entry'!K316)</f>
      </c>
      <c r="L316">
        <f>IF(ISBLANK('Data Entry'!L316), "", 'Data Entry'!L316)</f>
      </c>
      <c r="M316">
        <f>IF(ISBLANK('Data Entry'!M316), "", 'Data Entry'!M316)</f>
      </c>
      <c r="N316">
        <f>IF(ISBLANK('Data Entry'!N316), "", 'Data Entry'!N316)</f>
      </c>
      <c r="O316">
        <f>IF(ISBLANK('Data Entry'!O316), "", 'Data Entry'!O316)</f>
      </c>
      <c r="P316">
        <f>IF(ISBLANK('Data Entry'!P316), "", 'Data Entry'!P316)</f>
      </c>
      <c r="Q316">
        <f>IF(ISBLANK('Data Entry'!Q316), "", 'Data Entry'!Q316)</f>
      </c>
      <c r="R316">
        <f>IF(ISBLANK('Data Entry'!R316), "", 'Data Entry'!R316)</f>
      </c>
      <c r="S316">
        <f>IF(ISBLANK('Data Entry'!S316), "", 'Data Entry'!S316)</f>
      </c>
      <c r="T316">
        <f>IF(ISBLANK('Data Entry'!T316), "", 'Data Entry'!T316)</f>
      </c>
      <c r="U316">
        <f>IF(ISBLANK('Data Entry'!U316), "", 'Data Entry'!U316)</f>
      </c>
      <c r="V316">
        <f>IF(ISBLANK('Data Entry'!V316), "", 'Data Entry'!V316)</f>
      </c>
      <c r="W316">
        <f>IF(ISBLANK('Data Entry'!W316), "", 'Data Entry'!W316)</f>
      </c>
      <c r="X316">
        <f>IF(ISBLANK('Data Entry'!X316), "", 'Data Entry'!X316)</f>
      </c>
      <c r="Y316">
        <f>IF(ISBLANK('Data Entry'!Y316), "", 'Data Entry'!Y316)</f>
      </c>
      <c r="Z316">
        <f>IF(ISBLANK('Data Entry'!Z316), "", 'Data Entry'!Z316)</f>
      </c>
      <c r="AA316">
        <f>IF(ISBLANK('Data Entry'![316), "", 'Data Entry'![316)</f>
      </c>
      <c r="AB316">
        <f>IF(ISBLANK('Data Entry'!\316), "", 'Data Entry'!\316)</f>
      </c>
      <c r="AC316">
        <f>IF(ISBLANK('Data Entry'!]316), "", 'Data Entry'!]316)</f>
      </c>
      <c r="AD316">
        <f>IF(ISBLANK('Data Entry'!^316), "", 'Data Entry'!^316)</f>
      </c>
      <c r="AE316">
        <f>IF(ISBLANK('Data Entry'!_316), "", 'Data Entry'!_316)</f>
      </c>
      <c r="AF316">
        <f>IF(ISBLANK('Data Entry'!`316), "", 'Data Entry'!`316)</f>
      </c>
      <c r="AG316">
        <f>IF(ISBLANK('Data Entry'!a316), "", 'Data Entry'!a316)</f>
      </c>
      <c r="AH316">
        <f>IF(ISBLANK('Data Entry'!b316), "", 'Data Entry'!b316)</f>
      </c>
      <c r="AI316">
        <f>IF(ISBLANK('Data Entry'!c316), "", 'Data Entry'!c316)</f>
      </c>
      <c r="AJ316">
        <f>IF(ISBLANK('Data Entry'!d316), "", 'Data Entry'!d316)</f>
      </c>
      <c r="AK316">
        <f>IF(ISBLANK('Data Entry'!e316), "", 'Data Entry'!e316)</f>
      </c>
      <c r="AL316">
        <f>IF(ISBLANK('Data Entry'!f316), "", 'Data Entry'!f316)</f>
      </c>
      <c r="AM316">
        <f>IF(ISBLANK('Data Entry'!g316), "", 'Data Entry'!g316)</f>
      </c>
      <c r="AN316">
        <f>IF(ISBLANK('Data Entry'!h316), "", 'Data Entry'!h316)</f>
      </c>
    </row>
    <row r="317" spans="1:40" x14ac:dyDescent="0.25">
      <c r="A317">
        <f>IF(ISBLANK('Data Entry'!A317), "", 'Data Entry'!A317)</f>
      </c>
      <c r="B317">
        <f>IF(ISBLANK('Data Entry'!B317), "", 'Data Entry'!B317)</f>
      </c>
      <c r="C317">
        <f>IF(ISBLANK('Data Entry'!C317), "", 'Data Entry'!C317)</f>
      </c>
      <c r="D317">
        <f>IF(ISBLANK('Data Entry'!D317), "", 'Data Entry'!D317)</f>
      </c>
      <c r="E317">
        <f>IF(ISBLANK('Data Entry'!E317), "", 'Data Entry'!E317)</f>
      </c>
      <c r="F317">
        <f>IF(ISBLANK('Data Entry'!F317), "", 'Data Entry'!F317)</f>
      </c>
      <c r="G317">
        <f>IF(ISBLANK('Data Entry'!G317), "", 'Data Entry'!G317)</f>
      </c>
      <c r="H317">
        <f>IF(ISBLANK('Data Entry'!H317), "", 'Data Entry'!H317)</f>
      </c>
      <c r="I317">
        <f>IF(ISBLANK('Data Entry'!I317), "", 'Data Entry'!I317)</f>
      </c>
      <c r="J317">
        <f>IF(ISBLANK('Data Entry'!J317), "", 'Data Entry'!J317)</f>
      </c>
      <c r="K317">
        <f>IF(ISBLANK('Data Entry'!K317), "", 'Data Entry'!K317)</f>
      </c>
      <c r="L317">
        <f>IF(ISBLANK('Data Entry'!L317), "", 'Data Entry'!L317)</f>
      </c>
      <c r="M317">
        <f>IF(ISBLANK('Data Entry'!M317), "", 'Data Entry'!M317)</f>
      </c>
      <c r="N317">
        <f>IF(ISBLANK('Data Entry'!N317), "", 'Data Entry'!N317)</f>
      </c>
      <c r="O317">
        <f>IF(ISBLANK('Data Entry'!O317), "", 'Data Entry'!O317)</f>
      </c>
      <c r="P317">
        <f>IF(ISBLANK('Data Entry'!P317), "", 'Data Entry'!P317)</f>
      </c>
      <c r="Q317">
        <f>IF(ISBLANK('Data Entry'!Q317), "", 'Data Entry'!Q317)</f>
      </c>
      <c r="R317">
        <f>IF(ISBLANK('Data Entry'!R317), "", 'Data Entry'!R317)</f>
      </c>
      <c r="S317">
        <f>IF(ISBLANK('Data Entry'!S317), "", 'Data Entry'!S317)</f>
      </c>
      <c r="T317">
        <f>IF(ISBLANK('Data Entry'!T317), "", 'Data Entry'!T317)</f>
      </c>
      <c r="U317">
        <f>IF(ISBLANK('Data Entry'!U317), "", 'Data Entry'!U317)</f>
      </c>
      <c r="V317">
        <f>IF(ISBLANK('Data Entry'!V317), "", 'Data Entry'!V317)</f>
      </c>
      <c r="W317">
        <f>IF(ISBLANK('Data Entry'!W317), "", 'Data Entry'!W317)</f>
      </c>
      <c r="X317">
        <f>IF(ISBLANK('Data Entry'!X317), "", 'Data Entry'!X317)</f>
      </c>
      <c r="Y317">
        <f>IF(ISBLANK('Data Entry'!Y317), "", 'Data Entry'!Y317)</f>
      </c>
      <c r="Z317">
        <f>IF(ISBLANK('Data Entry'!Z317), "", 'Data Entry'!Z317)</f>
      </c>
      <c r="AA317">
        <f>IF(ISBLANK('Data Entry'![317), "", 'Data Entry'![317)</f>
      </c>
      <c r="AB317">
        <f>IF(ISBLANK('Data Entry'!\317), "", 'Data Entry'!\317)</f>
      </c>
      <c r="AC317">
        <f>IF(ISBLANK('Data Entry'!]317), "", 'Data Entry'!]317)</f>
      </c>
      <c r="AD317">
        <f>IF(ISBLANK('Data Entry'!^317), "", 'Data Entry'!^317)</f>
      </c>
      <c r="AE317">
        <f>IF(ISBLANK('Data Entry'!_317), "", 'Data Entry'!_317)</f>
      </c>
      <c r="AF317">
        <f>IF(ISBLANK('Data Entry'!`317), "", 'Data Entry'!`317)</f>
      </c>
      <c r="AG317">
        <f>IF(ISBLANK('Data Entry'!a317), "", 'Data Entry'!a317)</f>
      </c>
      <c r="AH317">
        <f>IF(ISBLANK('Data Entry'!b317), "", 'Data Entry'!b317)</f>
      </c>
      <c r="AI317">
        <f>IF(ISBLANK('Data Entry'!c317), "", 'Data Entry'!c317)</f>
      </c>
      <c r="AJ317">
        <f>IF(ISBLANK('Data Entry'!d317), "", 'Data Entry'!d317)</f>
      </c>
      <c r="AK317">
        <f>IF(ISBLANK('Data Entry'!e317), "", 'Data Entry'!e317)</f>
      </c>
      <c r="AL317">
        <f>IF(ISBLANK('Data Entry'!f317), "", 'Data Entry'!f317)</f>
      </c>
      <c r="AM317">
        <f>IF(ISBLANK('Data Entry'!g317), "", 'Data Entry'!g317)</f>
      </c>
      <c r="AN317">
        <f>IF(ISBLANK('Data Entry'!h317), "", 'Data Entry'!h317)</f>
      </c>
    </row>
    <row r="318" spans="1:40" x14ac:dyDescent="0.25">
      <c r="A318">
        <f>IF(ISBLANK('Data Entry'!A318), "", 'Data Entry'!A318)</f>
      </c>
      <c r="B318">
        <f>IF(ISBLANK('Data Entry'!B318), "", 'Data Entry'!B318)</f>
      </c>
      <c r="C318">
        <f>IF(ISBLANK('Data Entry'!C318), "", 'Data Entry'!C318)</f>
      </c>
      <c r="D318">
        <f>IF(ISBLANK('Data Entry'!D318), "", 'Data Entry'!D318)</f>
      </c>
      <c r="E318">
        <f>IF(ISBLANK('Data Entry'!E318), "", 'Data Entry'!E318)</f>
      </c>
      <c r="F318">
        <f>IF(ISBLANK('Data Entry'!F318), "", 'Data Entry'!F318)</f>
      </c>
      <c r="G318">
        <f>IF(ISBLANK('Data Entry'!G318), "", 'Data Entry'!G318)</f>
      </c>
      <c r="H318">
        <f>IF(ISBLANK('Data Entry'!H318), "", 'Data Entry'!H318)</f>
      </c>
      <c r="I318">
        <f>IF(ISBLANK('Data Entry'!I318), "", 'Data Entry'!I318)</f>
      </c>
      <c r="J318">
        <f>IF(ISBLANK('Data Entry'!J318), "", 'Data Entry'!J318)</f>
      </c>
      <c r="K318">
        <f>IF(ISBLANK('Data Entry'!K318), "", 'Data Entry'!K318)</f>
      </c>
      <c r="L318">
        <f>IF(ISBLANK('Data Entry'!L318), "", 'Data Entry'!L318)</f>
      </c>
      <c r="M318">
        <f>IF(ISBLANK('Data Entry'!M318), "", 'Data Entry'!M318)</f>
      </c>
      <c r="N318">
        <f>IF(ISBLANK('Data Entry'!N318), "", 'Data Entry'!N318)</f>
      </c>
      <c r="O318">
        <f>IF(ISBLANK('Data Entry'!O318), "", 'Data Entry'!O318)</f>
      </c>
      <c r="P318">
        <f>IF(ISBLANK('Data Entry'!P318), "", 'Data Entry'!P318)</f>
      </c>
      <c r="Q318">
        <f>IF(ISBLANK('Data Entry'!Q318), "", 'Data Entry'!Q318)</f>
      </c>
      <c r="R318">
        <f>IF(ISBLANK('Data Entry'!R318), "", 'Data Entry'!R318)</f>
      </c>
      <c r="S318">
        <f>IF(ISBLANK('Data Entry'!S318), "", 'Data Entry'!S318)</f>
      </c>
      <c r="T318">
        <f>IF(ISBLANK('Data Entry'!T318), "", 'Data Entry'!T318)</f>
      </c>
      <c r="U318">
        <f>IF(ISBLANK('Data Entry'!U318), "", 'Data Entry'!U318)</f>
      </c>
      <c r="V318">
        <f>IF(ISBLANK('Data Entry'!V318), "", 'Data Entry'!V318)</f>
      </c>
      <c r="W318">
        <f>IF(ISBLANK('Data Entry'!W318), "", 'Data Entry'!W318)</f>
      </c>
      <c r="X318">
        <f>IF(ISBLANK('Data Entry'!X318), "", 'Data Entry'!X318)</f>
      </c>
      <c r="Y318">
        <f>IF(ISBLANK('Data Entry'!Y318), "", 'Data Entry'!Y318)</f>
      </c>
      <c r="Z318">
        <f>IF(ISBLANK('Data Entry'!Z318), "", 'Data Entry'!Z318)</f>
      </c>
      <c r="AA318">
        <f>IF(ISBLANK('Data Entry'![318), "", 'Data Entry'![318)</f>
      </c>
      <c r="AB318">
        <f>IF(ISBLANK('Data Entry'!\318), "", 'Data Entry'!\318)</f>
      </c>
      <c r="AC318">
        <f>IF(ISBLANK('Data Entry'!]318), "", 'Data Entry'!]318)</f>
      </c>
      <c r="AD318">
        <f>IF(ISBLANK('Data Entry'!^318), "", 'Data Entry'!^318)</f>
      </c>
      <c r="AE318">
        <f>IF(ISBLANK('Data Entry'!_318), "", 'Data Entry'!_318)</f>
      </c>
      <c r="AF318">
        <f>IF(ISBLANK('Data Entry'!`318), "", 'Data Entry'!`318)</f>
      </c>
      <c r="AG318">
        <f>IF(ISBLANK('Data Entry'!a318), "", 'Data Entry'!a318)</f>
      </c>
      <c r="AH318">
        <f>IF(ISBLANK('Data Entry'!b318), "", 'Data Entry'!b318)</f>
      </c>
      <c r="AI318">
        <f>IF(ISBLANK('Data Entry'!c318), "", 'Data Entry'!c318)</f>
      </c>
      <c r="AJ318">
        <f>IF(ISBLANK('Data Entry'!d318), "", 'Data Entry'!d318)</f>
      </c>
      <c r="AK318">
        <f>IF(ISBLANK('Data Entry'!e318), "", 'Data Entry'!e318)</f>
      </c>
      <c r="AL318">
        <f>IF(ISBLANK('Data Entry'!f318), "", 'Data Entry'!f318)</f>
      </c>
      <c r="AM318">
        <f>IF(ISBLANK('Data Entry'!g318), "", 'Data Entry'!g318)</f>
      </c>
      <c r="AN318">
        <f>IF(ISBLANK('Data Entry'!h318), "", 'Data Entry'!h318)</f>
      </c>
    </row>
    <row r="319" spans="1:40" x14ac:dyDescent="0.25">
      <c r="A319">
        <f>IF(ISBLANK('Data Entry'!A319), "", 'Data Entry'!A319)</f>
      </c>
      <c r="B319">
        <f>IF(ISBLANK('Data Entry'!B319), "", 'Data Entry'!B319)</f>
      </c>
      <c r="C319">
        <f>IF(ISBLANK('Data Entry'!C319), "", 'Data Entry'!C319)</f>
      </c>
      <c r="D319">
        <f>IF(ISBLANK('Data Entry'!D319), "", 'Data Entry'!D319)</f>
      </c>
      <c r="E319">
        <f>IF(ISBLANK('Data Entry'!E319), "", 'Data Entry'!E319)</f>
      </c>
      <c r="F319">
        <f>IF(ISBLANK('Data Entry'!F319), "", 'Data Entry'!F319)</f>
      </c>
      <c r="G319">
        <f>IF(ISBLANK('Data Entry'!G319), "", 'Data Entry'!G319)</f>
      </c>
      <c r="H319">
        <f>IF(ISBLANK('Data Entry'!H319), "", 'Data Entry'!H319)</f>
      </c>
      <c r="I319">
        <f>IF(ISBLANK('Data Entry'!I319), "", 'Data Entry'!I319)</f>
      </c>
      <c r="J319">
        <f>IF(ISBLANK('Data Entry'!J319), "", 'Data Entry'!J319)</f>
      </c>
      <c r="K319">
        <f>IF(ISBLANK('Data Entry'!K319), "", 'Data Entry'!K319)</f>
      </c>
      <c r="L319">
        <f>IF(ISBLANK('Data Entry'!L319), "", 'Data Entry'!L319)</f>
      </c>
      <c r="M319">
        <f>IF(ISBLANK('Data Entry'!M319), "", 'Data Entry'!M319)</f>
      </c>
      <c r="N319">
        <f>IF(ISBLANK('Data Entry'!N319), "", 'Data Entry'!N319)</f>
      </c>
      <c r="O319">
        <f>IF(ISBLANK('Data Entry'!O319), "", 'Data Entry'!O319)</f>
      </c>
      <c r="P319">
        <f>IF(ISBLANK('Data Entry'!P319), "", 'Data Entry'!P319)</f>
      </c>
      <c r="Q319">
        <f>IF(ISBLANK('Data Entry'!Q319), "", 'Data Entry'!Q319)</f>
      </c>
      <c r="R319">
        <f>IF(ISBLANK('Data Entry'!R319), "", 'Data Entry'!R319)</f>
      </c>
      <c r="S319">
        <f>IF(ISBLANK('Data Entry'!S319), "", 'Data Entry'!S319)</f>
      </c>
      <c r="T319">
        <f>IF(ISBLANK('Data Entry'!T319), "", 'Data Entry'!T319)</f>
      </c>
      <c r="U319">
        <f>IF(ISBLANK('Data Entry'!U319), "", 'Data Entry'!U319)</f>
      </c>
      <c r="V319">
        <f>IF(ISBLANK('Data Entry'!V319), "", 'Data Entry'!V319)</f>
      </c>
      <c r="W319">
        <f>IF(ISBLANK('Data Entry'!W319), "", 'Data Entry'!W319)</f>
      </c>
      <c r="X319">
        <f>IF(ISBLANK('Data Entry'!X319), "", 'Data Entry'!X319)</f>
      </c>
      <c r="Y319">
        <f>IF(ISBLANK('Data Entry'!Y319), "", 'Data Entry'!Y319)</f>
      </c>
      <c r="Z319">
        <f>IF(ISBLANK('Data Entry'!Z319), "", 'Data Entry'!Z319)</f>
      </c>
      <c r="AA319">
        <f>IF(ISBLANK('Data Entry'![319), "", 'Data Entry'![319)</f>
      </c>
      <c r="AB319">
        <f>IF(ISBLANK('Data Entry'!\319), "", 'Data Entry'!\319)</f>
      </c>
      <c r="AC319">
        <f>IF(ISBLANK('Data Entry'!]319), "", 'Data Entry'!]319)</f>
      </c>
      <c r="AD319">
        <f>IF(ISBLANK('Data Entry'!^319), "", 'Data Entry'!^319)</f>
      </c>
      <c r="AE319">
        <f>IF(ISBLANK('Data Entry'!_319), "", 'Data Entry'!_319)</f>
      </c>
      <c r="AF319">
        <f>IF(ISBLANK('Data Entry'!`319), "", 'Data Entry'!`319)</f>
      </c>
      <c r="AG319">
        <f>IF(ISBLANK('Data Entry'!a319), "", 'Data Entry'!a319)</f>
      </c>
      <c r="AH319">
        <f>IF(ISBLANK('Data Entry'!b319), "", 'Data Entry'!b319)</f>
      </c>
      <c r="AI319">
        <f>IF(ISBLANK('Data Entry'!c319), "", 'Data Entry'!c319)</f>
      </c>
      <c r="AJ319">
        <f>IF(ISBLANK('Data Entry'!d319), "", 'Data Entry'!d319)</f>
      </c>
      <c r="AK319">
        <f>IF(ISBLANK('Data Entry'!e319), "", 'Data Entry'!e319)</f>
      </c>
      <c r="AL319">
        <f>IF(ISBLANK('Data Entry'!f319), "", 'Data Entry'!f319)</f>
      </c>
      <c r="AM319">
        <f>IF(ISBLANK('Data Entry'!g319), "", 'Data Entry'!g319)</f>
      </c>
      <c r="AN319">
        <f>IF(ISBLANK('Data Entry'!h319), "", 'Data Entry'!h319)</f>
      </c>
    </row>
    <row r="320" spans="1:40" x14ac:dyDescent="0.25">
      <c r="A320">
        <f>IF(ISBLANK('Data Entry'!A320), "", 'Data Entry'!A320)</f>
      </c>
      <c r="B320">
        <f>IF(ISBLANK('Data Entry'!B320), "", 'Data Entry'!B320)</f>
      </c>
      <c r="C320">
        <f>IF(ISBLANK('Data Entry'!C320), "", 'Data Entry'!C320)</f>
      </c>
      <c r="D320">
        <f>IF(ISBLANK('Data Entry'!D320), "", 'Data Entry'!D320)</f>
      </c>
      <c r="E320">
        <f>IF(ISBLANK('Data Entry'!E320), "", 'Data Entry'!E320)</f>
      </c>
      <c r="F320">
        <f>IF(ISBLANK('Data Entry'!F320), "", 'Data Entry'!F320)</f>
      </c>
      <c r="G320">
        <f>IF(ISBLANK('Data Entry'!G320), "", 'Data Entry'!G320)</f>
      </c>
      <c r="H320">
        <f>IF(ISBLANK('Data Entry'!H320), "", 'Data Entry'!H320)</f>
      </c>
      <c r="I320">
        <f>IF(ISBLANK('Data Entry'!I320), "", 'Data Entry'!I320)</f>
      </c>
      <c r="J320">
        <f>IF(ISBLANK('Data Entry'!J320), "", 'Data Entry'!J320)</f>
      </c>
      <c r="K320">
        <f>IF(ISBLANK('Data Entry'!K320), "", 'Data Entry'!K320)</f>
      </c>
      <c r="L320">
        <f>IF(ISBLANK('Data Entry'!L320), "", 'Data Entry'!L320)</f>
      </c>
      <c r="M320">
        <f>IF(ISBLANK('Data Entry'!M320), "", 'Data Entry'!M320)</f>
      </c>
      <c r="N320">
        <f>IF(ISBLANK('Data Entry'!N320), "", 'Data Entry'!N320)</f>
      </c>
      <c r="O320">
        <f>IF(ISBLANK('Data Entry'!O320), "", 'Data Entry'!O320)</f>
      </c>
      <c r="P320">
        <f>IF(ISBLANK('Data Entry'!P320), "", 'Data Entry'!P320)</f>
      </c>
      <c r="Q320">
        <f>IF(ISBLANK('Data Entry'!Q320), "", 'Data Entry'!Q320)</f>
      </c>
      <c r="R320">
        <f>IF(ISBLANK('Data Entry'!R320), "", 'Data Entry'!R320)</f>
      </c>
      <c r="S320">
        <f>IF(ISBLANK('Data Entry'!S320), "", 'Data Entry'!S320)</f>
      </c>
      <c r="T320">
        <f>IF(ISBLANK('Data Entry'!T320), "", 'Data Entry'!T320)</f>
      </c>
      <c r="U320">
        <f>IF(ISBLANK('Data Entry'!U320), "", 'Data Entry'!U320)</f>
      </c>
      <c r="V320">
        <f>IF(ISBLANK('Data Entry'!V320), "", 'Data Entry'!V320)</f>
      </c>
      <c r="W320">
        <f>IF(ISBLANK('Data Entry'!W320), "", 'Data Entry'!W320)</f>
      </c>
      <c r="X320">
        <f>IF(ISBLANK('Data Entry'!X320), "", 'Data Entry'!X320)</f>
      </c>
      <c r="Y320">
        <f>IF(ISBLANK('Data Entry'!Y320), "", 'Data Entry'!Y320)</f>
      </c>
      <c r="Z320">
        <f>IF(ISBLANK('Data Entry'!Z320), "", 'Data Entry'!Z320)</f>
      </c>
      <c r="AA320">
        <f>IF(ISBLANK('Data Entry'![320), "", 'Data Entry'![320)</f>
      </c>
      <c r="AB320">
        <f>IF(ISBLANK('Data Entry'!\320), "", 'Data Entry'!\320)</f>
      </c>
      <c r="AC320">
        <f>IF(ISBLANK('Data Entry'!]320), "", 'Data Entry'!]320)</f>
      </c>
      <c r="AD320">
        <f>IF(ISBLANK('Data Entry'!^320), "", 'Data Entry'!^320)</f>
      </c>
      <c r="AE320">
        <f>IF(ISBLANK('Data Entry'!_320), "", 'Data Entry'!_320)</f>
      </c>
      <c r="AF320">
        <f>IF(ISBLANK('Data Entry'!`320), "", 'Data Entry'!`320)</f>
      </c>
      <c r="AG320">
        <f>IF(ISBLANK('Data Entry'!a320), "", 'Data Entry'!a320)</f>
      </c>
      <c r="AH320">
        <f>IF(ISBLANK('Data Entry'!b320), "", 'Data Entry'!b320)</f>
      </c>
      <c r="AI320">
        <f>IF(ISBLANK('Data Entry'!c320), "", 'Data Entry'!c320)</f>
      </c>
      <c r="AJ320">
        <f>IF(ISBLANK('Data Entry'!d320), "", 'Data Entry'!d320)</f>
      </c>
      <c r="AK320">
        <f>IF(ISBLANK('Data Entry'!e320), "", 'Data Entry'!e320)</f>
      </c>
      <c r="AL320">
        <f>IF(ISBLANK('Data Entry'!f320), "", 'Data Entry'!f320)</f>
      </c>
      <c r="AM320">
        <f>IF(ISBLANK('Data Entry'!g320), "", 'Data Entry'!g320)</f>
      </c>
      <c r="AN320">
        <f>IF(ISBLANK('Data Entry'!h320), "", 'Data Entry'!h320)</f>
      </c>
    </row>
    <row r="321" spans="1:40" x14ac:dyDescent="0.25">
      <c r="A321">
        <f>IF(ISBLANK('Data Entry'!A321), "", 'Data Entry'!A321)</f>
      </c>
      <c r="B321">
        <f>IF(ISBLANK('Data Entry'!B321), "", 'Data Entry'!B321)</f>
      </c>
      <c r="C321">
        <f>IF(ISBLANK('Data Entry'!C321), "", 'Data Entry'!C321)</f>
      </c>
      <c r="D321">
        <f>IF(ISBLANK('Data Entry'!D321), "", 'Data Entry'!D321)</f>
      </c>
      <c r="E321">
        <f>IF(ISBLANK('Data Entry'!E321), "", 'Data Entry'!E321)</f>
      </c>
      <c r="F321">
        <f>IF(ISBLANK('Data Entry'!F321), "", 'Data Entry'!F321)</f>
      </c>
      <c r="G321">
        <f>IF(ISBLANK('Data Entry'!G321), "", 'Data Entry'!G321)</f>
      </c>
      <c r="H321">
        <f>IF(ISBLANK('Data Entry'!H321), "", 'Data Entry'!H321)</f>
      </c>
      <c r="I321">
        <f>IF(ISBLANK('Data Entry'!I321), "", 'Data Entry'!I321)</f>
      </c>
      <c r="J321">
        <f>IF(ISBLANK('Data Entry'!J321), "", 'Data Entry'!J321)</f>
      </c>
      <c r="K321">
        <f>IF(ISBLANK('Data Entry'!K321), "", 'Data Entry'!K321)</f>
      </c>
      <c r="L321">
        <f>IF(ISBLANK('Data Entry'!L321), "", 'Data Entry'!L321)</f>
      </c>
      <c r="M321">
        <f>IF(ISBLANK('Data Entry'!M321), "", 'Data Entry'!M321)</f>
      </c>
      <c r="N321">
        <f>IF(ISBLANK('Data Entry'!N321), "", 'Data Entry'!N321)</f>
      </c>
      <c r="O321">
        <f>IF(ISBLANK('Data Entry'!O321), "", 'Data Entry'!O321)</f>
      </c>
      <c r="P321">
        <f>IF(ISBLANK('Data Entry'!P321), "", 'Data Entry'!P321)</f>
      </c>
      <c r="Q321">
        <f>IF(ISBLANK('Data Entry'!Q321), "", 'Data Entry'!Q321)</f>
      </c>
      <c r="R321">
        <f>IF(ISBLANK('Data Entry'!R321), "", 'Data Entry'!R321)</f>
      </c>
      <c r="S321">
        <f>IF(ISBLANK('Data Entry'!S321), "", 'Data Entry'!S321)</f>
      </c>
      <c r="T321">
        <f>IF(ISBLANK('Data Entry'!T321), "", 'Data Entry'!T321)</f>
      </c>
      <c r="U321">
        <f>IF(ISBLANK('Data Entry'!U321), "", 'Data Entry'!U321)</f>
      </c>
      <c r="V321">
        <f>IF(ISBLANK('Data Entry'!V321), "", 'Data Entry'!V321)</f>
      </c>
      <c r="W321">
        <f>IF(ISBLANK('Data Entry'!W321), "", 'Data Entry'!W321)</f>
      </c>
      <c r="X321">
        <f>IF(ISBLANK('Data Entry'!X321), "", 'Data Entry'!X321)</f>
      </c>
      <c r="Y321">
        <f>IF(ISBLANK('Data Entry'!Y321), "", 'Data Entry'!Y321)</f>
      </c>
      <c r="Z321">
        <f>IF(ISBLANK('Data Entry'!Z321), "", 'Data Entry'!Z321)</f>
      </c>
      <c r="AA321">
        <f>IF(ISBLANK('Data Entry'![321), "", 'Data Entry'![321)</f>
      </c>
      <c r="AB321">
        <f>IF(ISBLANK('Data Entry'!\321), "", 'Data Entry'!\321)</f>
      </c>
      <c r="AC321">
        <f>IF(ISBLANK('Data Entry'!]321), "", 'Data Entry'!]321)</f>
      </c>
      <c r="AD321">
        <f>IF(ISBLANK('Data Entry'!^321), "", 'Data Entry'!^321)</f>
      </c>
      <c r="AE321">
        <f>IF(ISBLANK('Data Entry'!_321), "", 'Data Entry'!_321)</f>
      </c>
      <c r="AF321">
        <f>IF(ISBLANK('Data Entry'!`321), "", 'Data Entry'!`321)</f>
      </c>
      <c r="AG321">
        <f>IF(ISBLANK('Data Entry'!a321), "", 'Data Entry'!a321)</f>
      </c>
      <c r="AH321">
        <f>IF(ISBLANK('Data Entry'!b321), "", 'Data Entry'!b321)</f>
      </c>
      <c r="AI321">
        <f>IF(ISBLANK('Data Entry'!c321), "", 'Data Entry'!c321)</f>
      </c>
      <c r="AJ321">
        <f>IF(ISBLANK('Data Entry'!d321), "", 'Data Entry'!d321)</f>
      </c>
      <c r="AK321">
        <f>IF(ISBLANK('Data Entry'!e321), "", 'Data Entry'!e321)</f>
      </c>
      <c r="AL321">
        <f>IF(ISBLANK('Data Entry'!f321), "", 'Data Entry'!f321)</f>
      </c>
      <c r="AM321">
        <f>IF(ISBLANK('Data Entry'!g321), "", 'Data Entry'!g321)</f>
      </c>
      <c r="AN321">
        <f>IF(ISBLANK('Data Entry'!h321), "", 'Data Entry'!h321)</f>
      </c>
    </row>
    <row r="322" spans="1:40" x14ac:dyDescent="0.25">
      <c r="A322">
        <f>IF(ISBLANK('Data Entry'!A322), "", 'Data Entry'!A322)</f>
      </c>
      <c r="B322">
        <f>IF(ISBLANK('Data Entry'!B322), "", 'Data Entry'!B322)</f>
      </c>
      <c r="C322">
        <f>IF(ISBLANK('Data Entry'!C322), "", 'Data Entry'!C322)</f>
      </c>
      <c r="D322">
        <f>IF(ISBLANK('Data Entry'!D322), "", 'Data Entry'!D322)</f>
      </c>
      <c r="E322">
        <f>IF(ISBLANK('Data Entry'!E322), "", 'Data Entry'!E322)</f>
      </c>
      <c r="F322">
        <f>IF(ISBLANK('Data Entry'!F322), "", 'Data Entry'!F322)</f>
      </c>
      <c r="G322">
        <f>IF(ISBLANK('Data Entry'!G322), "", 'Data Entry'!G322)</f>
      </c>
      <c r="H322">
        <f>IF(ISBLANK('Data Entry'!H322), "", 'Data Entry'!H322)</f>
      </c>
      <c r="I322">
        <f>IF(ISBLANK('Data Entry'!I322), "", 'Data Entry'!I322)</f>
      </c>
      <c r="J322">
        <f>IF(ISBLANK('Data Entry'!J322), "", 'Data Entry'!J322)</f>
      </c>
      <c r="K322">
        <f>IF(ISBLANK('Data Entry'!K322), "", 'Data Entry'!K322)</f>
      </c>
      <c r="L322">
        <f>IF(ISBLANK('Data Entry'!L322), "", 'Data Entry'!L322)</f>
      </c>
      <c r="M322">
        <f>IF(ISBLANK('Data Entry'!M322), "", 'Data Entry'!M322)</f>
      </c>
      <c r="N322">
        <f>IF(ISBLANK('Data Entry'!N322), "", 'Data Entry'!N322)</f>
      </c>
      <c r="O322">
        <f>IF(ISBLANK('Data Entry'!O322), "", 'Data Entry'!O322)</f>
      </c>
      <c r="P322">
        <f>IF(ISBLANK('Data Entry'!P322), "", 'Data Entry'!P322)</f>
      </c>
      <c r="Q322">
        <f>IF(ISBLANK('Data Entry'!Q322), "", 'Data Entry'!Q322)</f>
      </c>
      <c r="R322">
        <f>IF(ISBLANK('Data Entry'!R322), "", 'Data Entry'!R322)</f>
      </c>
      <c r="S322">
        <f>IF(ISBLANK('Data Entry'!S322), "", 'Data Entry'!S322)</f>
      </c>
      <c r="T322">
        <f>IF(ISBLANK('Data Entry'!T322), "", 'Data Entry'!T322)</f>
      </c>
      <c r="U322">
        <f>IF(ISBLANK('Data Entry'!U322), "", 'Data Entry'!U322)</f>
      </c>
      <c r="V322">
        <f>IF(ISBLANK('Data Entry'!V322), "", 'Data Entry'!V322)</f>
      </c>
      <c r="W322">
        <f>IF(ISBLANK('Data Entry'!W322), "", 'Data Entry'!W322)</f>
      </c>
      <c r="X322">
        <f>IF(ISBLANK('Data Entry'!X322), "", 'Data Entry'!X322)</f>
      </c>
      <c r="Y322">
        <f>IF(ISBLANK('Data Entry'!Y322), "", 'Data Entry'!Y322)</f>
      </c>
      <c r="Z322">
        <f>IF(ISBLANK('Data Entry'!Z322), "", 'Data Entry'!Z322)</f>
      </c>
      <c r="AA322">
        <f>IF(ISBLANK('Data Entry'![322), "", 'Data Entry'![322)</f>
      </c>
      <c r="AB322">
        <f>IF(ISBLANK('Data Entry'!\322), "", 'Data Entry'!\322)</f>
      </c>
      <c r="AC322">
        <f>IF(ISBLANK('Data Entry'!]322), "", 'Data Entry'!]322)</f>
      </c>
      <c r="AD322">
        <f>IF(ISBLANK('Data Entry'!^322), "", 'Data Entry'!^322)</f>
      </c>
      <c r="AE322">
        <f>IF(ISBLANK('Data Entry'!_322), "", 'Data Entry'!_322)</f>
      </c>
      <c r="AF322">
        <f>IF(ISBLANK('Data Entry'!`322), "", 'Data Entry'!`322)</f>
      </c>
      <c r="AG322">
        <f>IF(ISBLANK('Data Entry'!a322), "", 'Data Entry'!a322)</f>
      </c>
      <c r="AH322">
        <f>IF(ISBLANK('Data Entry'!b322), "", 'Data Entry'!b322)</f>
      </c>
      <c r="AI322">
        <f>IF(ISBLANK('Data Entry'!c322), "", 'Data Entry'!c322)</f>
      </c>
      <c r="AJ322">
        <f>IF(ISBLANK('Data Entry'!d322), "", 'Data Entry'!d322)</f>
      </c>
      <c r="AK322">
        <f>IF(ISBLANK('Data Entry'!e322), "", 'Data Entry'!e322)</f>
      </c>
      <c r="AL322">
        <f>IF(ISBLANK('Data Entry'!f322), "", 'Data Entry'!f322)</f>
      </c>
      <c r="AM322">
        <f>IF(ISBLANK('Data Entry'!g322), "", 'Data Entry'!g322)</f>
      </c>
      <c r="AN322">
        <f>IF(ISBLANK('Data Entry'!h322), "", 'Data Entry'!h322)</f>
      </c>
    </row>
    <row r="323" spans="1:40" x14ac:dyDescent="0.25">
      <c r="A323">
        <f>IF(ISBLANK('Data Entry'!A323), "", 'Data Entry'!A323)</f>
      </c>
      <c r="B323">
        <f>IF(ISBLANK('Data Entry'!B323), "", 'Data Entry'!B323)</f>
      </c>
      <c r="C323">
        <f>IF(ISBLANK('Data Entry'!C323), "", 'Data Entry'!C323)</f>
      </c>
      <c r="D323">
        <f>IF(ISBLANK('Data Entry'!D323), "", 'Data Entry'!D323)</f>
      </c>
      <c r="E323">
        <f>IF(ISBLANK('Data Entry'!E323), "", 'Data Entry'!E323)</f>
      </c>
      <c r="F323">
        <f>IF(ISBLANK('Data Entry'!F323), "", 'Data Entry'!F323)</f>
      </c>
      <c r="G323">
        <f>IF(ISBLANK('Data Entry'!G323), "", 'Data Entry'!G323)</f>
      </c>
      <c r="H323">
        <f>IF(ISBLANK('Data Entry'!H323), "", 'Data Entry'!H323)</f>
      </c>
      <c r="I323">
        <f>IF(ISBLANK('Data Entry'!I323), "", 'Data Entry'!I323)</f>
      </c>
      <c r="J323">
        <f>IF(ISBLANK('Data Entry'!J323), "", 'Data Entry'!J323)</f>
      </c>
      <c r="K323">
        <f>IF(ISBLANK('Data Entry'!K323), "", 'Data Entry'!K323)</f>
      </c>
      <c r="L323">
        <f>IF(ISBLANK('Data Entry'!L323), "", 'Data Entry'!L323)</f>
      </c>
      <c r="M323">
        <f>IF(ISBLANK('Data Entry'!M323), "", 'Data Entry'!M323)</f>
      </c>
      <c r="N323">
        <f>IF(ISBLANK('Data Entry'!N323), "", 'Data Entry'!N323)</f>
      </c>
      <c r="O323">
        <f>IF(ISBLANK('Data Entry'!O323), "", 'Data Entry'!O323)</f>
      </c>
      <c r="P323">
        <f>IF(ISBLANK('Data Entry'!P323), "", 'Data Entry'!P323)</f>
      </c>
      <c r="Q323">
        <f>IF(ISBLANK('Data Entry'!Q323), "", 'Data Entry'!Q323)</f>
      </c>
      <c r="R323">
        <f>IF(ISBLANK('Data Entry'!R323), "", 'Data Entry'!R323)</f>
      </c>
      <c r="S323">
        <f>IF(ISBLANK('Data Entry'!S323), "", 'Data Entry'!S323)</f>
      </c>
      <c r="T323">
        <f>IF(ISBLANK('Data Entry'!T323), "", 'Data Entry'!T323)</f>
      </c>
      <c r="U323">
        <f>IF(ISBLANK('Data Entry'!U323), "", 'Data Entry'!U323)</f>
      </c>
      <c r="V323">
        <f>IF(ISBLANK('Data Entry'!V323), "", 'Data Entry'!V323)</f>
      </c>
      <c r="W323">
        <f>IF(ISBLANK('Data Entry'!W323), "", 'Data Entry'!W323)</f>
      </c>
      <c r="X323">
        <f>IF(ISBLANK('Data Entry'!X323), "", 'Data Entry'!X323)</f>
      </c>
      <c r="Y323">
        <f>IF(ISBLANK('Data Entry'!Y323), "", 'Data Entry'!Y323)</f>
      </c>
      <c r="Z323">
        <f>IF(ISBLANK('Data Entry'!Z323), "", 'Data Entry'!Z323)</f>
      </c>
      <c r="AA323">
        <f>IF(ISBLANK('Data Entry'![323), "", 'Data Entry'![323)</f>
      </c>
      <c r="AB323">
        <f>IF(ISBLANK('Data Entry'!\323), "", 'Data Entry'!\323)</f>
      </c>
      <c r="AC323">
        <f>IF(ISBLANK('Data Entry'!]323), "", 'Data Entry'!]323)</f>
      </c>
      <c r="AD323">
        <f>IF(ISBLANK('Data Entry'!^323), "", 'Data Entry'!^323)</f>
      </c>
      <c r="AE323">
        <f>IF(ISBLANK('Data Entry'!_323), "", 'Data Entry'!_323)</f>
      </c>
      <c r="AF323">
        <f>IF(ISBLANK('Data Entry'!`323), "", 'Data Entry'!`323)</f>
      </c>
      <c r="AG323">
        <f>IF(ISBLANK('Data Entry'!a323), "", 'Data Entry'!a323)</f>
      </c>
      <c r="AH323">
        <f>IF(ISBLANK('Data Entry'!b323), "", 'Data Entry'!b323)</f>
      </c>
      <c r="AI323">
        <f>IF(ISBLANK('Data Entry'!c323), "", 'Data Entry'!c323)</f>
      </c>
      <c r="AJ323">
        <f>IF(ISBLANK('Data Entry'!d323), "", 'Data Entry'!d323)</f>
      </c>
      <c r="AK323">
        <f>IF(ISBLANK('Data Entry'!e323), "", 'Data Entry'!e323)</f>
      </c>
      <c r="AL323">
        <f>IF(ISBLANK('Data Entry'!f323), "", 'Data Entry'!f323)</f>
      </c>
      <c r="AM323">
        <f>IF(ISBLANK('Data Entry'!g323), "", 'Data Entry'!g323)</f>
      </c>
      <c r="AN323">
        <f>IF(ISBLANK('Data Entry'!h323), "", 'Data Entry'!h323)</f>
      </c>
    </row>
    <row r="324" spans="1:40" x14ac:dyDescent="0.25">
      <c r="A324">
        <f>IF(ISBLANK('Data Entry'!A324), "", 'Data Entry'!A324)</f>
      </c>
      <c r="B324">
        <f>IF(ISBLANK('Data Entry'!B324), "", 'Data Entry'!B324)</f>
      </c>
      <c r="C324">
        <f>IF(ISBLANK('Data Entry'!C324), "", 'Data Entry'!C324)</f>
      </c>
      <c r="D324">
        <f>IF(ISBLANK('Data Entry'!D324), "", 'Data Entry'!D324)</f>
      </c>
      <c r="E324">
        <f>IF(ISBLANK('Data Entry'!E324), "", 'Data Entry'!E324)</f>
      </c>
      <c r="F324">
        <f>IF(ISBLANK('Data Entry'!F324), "", 'Data Entry'!F324)</f>
      </c>
      <c r="G324">
        <f>IF(ISBLANK('Data Entry'!G324), "", 'Data Entry'!G324)</f>
      </c>
      <c r="H324">
        <f>IF(ISBLANK('Data Entry'!H324), "", 'Data Entry'!H324)</f>
      </c>
      <c r="I324">
        <f>IF(ISBLANK('Data Entry'!I324), "", 'Data Entry'!I324)</f>
      </c>
      <c r="J324">
        <f>IF(ISBLANK('Data Entry'!J324), "", 'Data Entry'!J324)</f>
      </c>
      <c r="K324">
        <f>IF(ISBLANK('Data Entry'!K324), "", 'Data Entry'!K324)</f>
      </c>
      <c r="L324">
        <f>IF(ISBLANK('Data Entry'!L324), "", 'Data Entry'!L324)</f>
      </c>
      <c r="M324">
        <f>IF(ISBLANK('Data Entry'!M324), "", 'Data Entry'!M324)</f>
      </c>
      <c r="N324">
        <f>IF(ISBLANK('Data Entry'!N324), "", 'Data Entry'!N324)</f>
      </c>
      <c r="O324">
        <f>IF(ISBLANK('Data Entry'!O324), "", 'Data Entry'!O324)</f>
      </c>
      <c r="P324">
        <f>IF(ISBLANK('Data Entry'!P324), "", 'Data Entry'!P324)</f>
      </c>
      <c r="Q324">
        <f>IF(ISBLANK('Data Entry'!Q324), "", 'Data Entry'!Q324)</f>
      </c>
      <c r="R324">
        <f>IF(ISBLANK('Data Entry'!R324), "", 'Data Entry'!R324)</f>
      </c>
      <c r="S324">
        <f>IF(ISBLANK('Data Entry'!S324), "", 'Data Entry'!S324)</f>
      </c>
      <c r="T324">
        <f>IF(ISBLANK('Data Entry'!T324), "", 'Data Entry'!T324)</f>
      </c>
      <c r="U324">
        <f>IF(ISBLANK('Data Entry'!U324), "", 'Data Entry'!U324)</f>
      </c>
      <c r="V324">
        <f>IF(ISBLANK('Data Entry'!V324), "", 'Data Entry'!V324)</f>
      </c>
      <c r="W324">
        <f>IF(ISBLANK('Data Entry'!W324), "", 'Data Entry'!W324)</f>
      </c>
      <c r="X324">
        <f>IF(ISBLANK('Data Entry'!X324), "", 'Data Entry'!X324)</f>
      </c>
      <c r="Y324">
        <f>IF(ISBLANK('Data Entry'!Y324), "", 'Data Entry'!Y324)</f>
      </c>
      <c r="Z324">
        <f>IF(ISBLANK('Data Entry'!Z324), "", 'Data Entry'!Z324)</f>
      </c>
      <c r="AA324">
        <f>IF(ISBLANK('Data Entry'![324), "", 'Data Entry'![324)</f>
      </c>
      <c r="AB324">
        <f>IF(ISBLANK('Data Entry'!\324), "", 'Data Entry'!\324)</f>
      </c>
      <c r="AC324">
        <f>IF(ISBLANK('Data Entry'!]324), "", 'Data Entry'!]324)</f>
      </c>
      <c r="AD324">
        <f>IF(ISBLANK('Data Entry'!^324), "", 'Data Entry'!^324)</f>
      </c>
      <c r="AE324">
        <f>IF(ISBLANK('Data Entry'!_324), "", 'Data Entry'!_324)</f>
      </c>
      <c r="AF324">
        <f>IF(ISBLANK('Data Entry'!`324), "", 'Data Entry'!`324)</f>
      </c>
      <c r="AG324">
        <f>IF(ISBLANK('Data Entry'!a324), "", 'Data Entry'!a324)</f>
      </c>
      <c r="AH324">
        <f>IF(ISBLANK('Data Entry'!b324), "", 'Data Entry'!b324)</f>
      </c>
      <c r="AI324">
        <f>IF(ISBLANK('Data Entry'!c324), "", 'Data Entry'!c324)</f>
      </c>
      <c r="AJ324">
        <f>IF(ISBLANK('Data Entry'!d324), "", 'Data Entry'!d324)</f>
      </c>
      <c r="AK324">
        <f>IF(ISBLANK('Data Entry'!e324), "", 'Data Entry'!e324)</f>
      </c>
      <c r="AL324">
        <f>IF(ISBLANK('Data Entry'!f324), "", 'Data Entry'!f324)</f>
      </c>
      <c r="AM324">
        <f>IF(ISBLANK('Data Entry'!g324), "", 'Data Entry'!g324)</f>
      </c>
      <c r="AN324">
        <f>IF(ISBLANK('Data Entry'!h324), "", 'Data Entry'!h324)</f>
      </c>
    </row>
    <row r="325" spans="1:40" x14ac:dyDescent="0.25">
      <c r="A325">
        <f>IF(ISBLANK('Data Entry'!A325), "", 'Data Entry'!A325)</f>
      </c>
      <c r="B325">
        <f>IF(ISBLANK('Data Entry'!B325), "", 'Data Entry'!B325)</f>
      </c>
      <c r="C325">
        <f>IF(ISBLANK('Data Entry'!C325), "", 'Data Entry'!C325)</f>
      </c>
      <c r="D325">
        <f>IF(ISBLANK('Data Entry'!D325), "", 'Data Entry'!D325)</f>
      </c>
      <c r="E325">
        <f>IF(ISBLANK('Data Entry'!E325), "", 'Data Entry'!E325)</f>
      </c>
      <c r="F325">
        <f>IF(ISBLANK('Data Entry'!F325), "", 'Data Entry'!F325)</f>
      </c>
      <c r="G325">
        <f>IF(ISBLANK('Data Entry'!G325), "", 'Data Entry'!G325)</f>
      </c>
      <c r="H325">
        <f>IF(ISBLANK('Data Entry'!H325), "", 'Data Entry'!H325)</f>
      </c>
      <c r="I325">
        <f>IF(ISBLANK('Data Entry'!I325), "", 'Data Entry'!I325)</f>
      </c>
      <c r="J325">
        <f>IF(ISBLANK('Data Entry'!J325), "", 'Data Entry'!J325)</f>
      </c>
      <c r="K325">
        <f>IF(ISBLANK('Data Entry'!K325), "", 'Data Entry'!K325)</f>
      </c>
      <c r="L325">
        <f>IF(ISBLANK('Data Entry'!L325), "", 'Data Entry'!L325)</f>
      </c>
      <c r="M325">
        <f>IF(ISBLANK('Data Entry'!M325), "", 'Data Entry'!M325)</f>
      </c>
      <c r="N325">
        <f>IF(ISBLANK('Data Entry'!N325), "", 'Data Entry'!N325)</f>
      </c>
      <c r="O325">
        <f>IF(ISBLANK('Data Entry'!O325), "", 'Data Entry'!O325)</f>
      </c>
      <c r="P325">
        <f>IF(ISBLANK('Data Entry'!P325), "", 'Data Entry'!P325)</f>
      </c>
      <c r="Q325">
        <f>IF(ISBLANK('Data Entry'!Q325), "", 'Data Entry'!Q325)</f>
      </c>
      <c r="R325">
        <f>IF(ISBLANK('Data Entry'!R325), "", 'Data Entry'!R325)</f>
      </c>
      <c r="S325">
        <f>IF(ISBLANK('Data Entry'!S325), "", 'Data Entry'!S325)</f>
      </c>
      <c r="T325">
        <f>IF(ISBLANK('Data Entry'!T325), "", 'Data Entry'!T325)</f>
      </c>
      <c r="U325">
        <f>IF(ISBLANK('Data Entry'!U325), "", 'Data Entry'!U325)</f>
      </c>
      <c r="V325">
        <f>IF(ISBLANK('Data Entry'!V325), "", 'Data Entry'!V325)</f>
      </c>
      <c r="W325">
        <f>IF(ISBLANK('Data Entry'!W325), "", 'Data Entry'!W325)</f>
      </c>
      <c r="X325">
        <f>IF(ISBLANK('Data Entry'!X325), "", 'Data Entry'!X325)</f>
      </c>
      <c r="Y325">
        <f>IF(ISBLANK('Data Entry'!Y325), "", 'Data Entry'!Y325)</f>
      </c>
      <c r="Z325">
        <f>IF(ISBLANK('Data Entry'!Z325), "", 'Data Entry'!Z325)</f>
      </c>
      <c r="AA325">
        <f>IF(ISBLANK('Data Entry'![325), "", 'Data Entry'![325)</f>
      </c>
      <c r="AB325">
        <f>IF(ISBLANK('Data Entry'!\325), "", 'Data Entry'!\325)</f>
      </c>
      <c r="AC325">
        <f>IF(ISBLANK('Data Entry'!]325), "", 'Data Entry'!]325)</f>
      </c>
      <c r="AD325">
        <f>IF(ISBLANK('Data Entry'!^325), "", 'Data Entry'!^325)</f>
      </c>
      <c r="AE325">
        <f>IF(ISBLANK('Data Entry'!_325), "", 'Data Entry'!_325)</f>
      </c>
      <c r="AF325">
        <f>IF(ISBLANK('Data Entry'!`325), "", 'Data Entry'!`325)</f>
      </c>
      <c r="AG325">
        <f>IF(ISBLANK('Data Entry'!a325), "", 'Data Entry'!a325)</f>
      </c>
      <c r="AH325">
        <f>IF(ISBLANK('Data Entry'!b325), "", 'Data Entry'!b325)</f>
      </c>
      <c r="AI325">
        <f>IF(ISBLANK('Data Entry'!c325), "", 'Data Entry'!c325)</f>
      </c>
      <c r="AJ325">
        <f>IF(ISBLANK('Data Entry'!d325), "", 'Data Entry'!d325)</f>
      </c>
      <c r="AK325">
        <f>IF(ISBLANK('Data Entry'!e325), "", 'Data Entry'!e325)</f>
      </c>
      <c r="AL325">
        <f>IF(ISBLANK('Data Entry'!f325), "", 'Data Entry'!f325)</f>
      </c>
      <c r="AM325">
        <f>IF(ISBLANK('Data Entry'!g325), "", 'Data Entry'!g325)</f>
      </c>
      <c r="AN325">
        <f>IF(ISBLANK('Data Entry'!h325), "", 'Data Entry'!h325)</f>
      </c>
    </row>
    <row r="326" spans="1:40" x14ac:dyDescent="0.25">
      <c r="A326">
        <f>IF(ISBLANK('Data Entry'!A326), "", 'Data Entry'!A326)</f>
      </c>
      <c r="B326">
        <f>IF(ISBLANK('Data Entry'!B326), "", 'Data Entry'!B326)</f>
      </c>
      <c r="C326">
        <f>IF(ISBLANK('Data Entry'!C326), "", 'Data Entry'!C326)</f>
      </c>
      <c r="D326">
        <f>IF(ISBLANK('Data Entry'!D326), "", 'Data Entry'!D326)</f>
      </c>
      <c r="E326">
        <f>IF(ISBLANK('Data Entry'!E326), "", 'Data Entry'!E326)</f>
      </c>
      <c r="F326">
        <f>IF(ISBLANK('Data Entry'!F326), "", 'Data Entry'!F326)</f>
      </c>
      <c r="G326">
        <f>IF(ISBLANK('Data Entry'!G326), "", 'Data Entry'!G326)</f>
      </c>
      <c r="H326">
        <f>IF(ISBLANK('Data Entry'!H326), "", 'Data Entry'!H326)</f>
      </c>
      <c r="I326">
        <f>IF(ISBLANK('Data Entry'!I326), "", 'Data Entry'!I326)</f>
      </c>
      <c r="J326">
        <f>IF(ISBLANK('Data Entry'!J326), "", 'Data Entry'!J326)</f>
      </c>
      <c r="K326">
        <f>IF(ISBLANK('Data Entry'!K326), "", 'Data Entry'!K326)</f>
      </c>
      <c r="L326">
        <f>IF(ISBLANK('Data Entry'!L326), "", 'Data Entry'!L326)</f>
      </c>
      <c r="M326">
        <f>IF(ISBLANK('Data Entry'!M326), "", 'Data Entry'!M326)</f>
      </c>
      <c r="N326">
        <f>IF(ISBLANK('Data Entry'!N326), "", 'Data Entry'!N326)</f>
      </c>
      <c r="O326">
        <f>IF(ISBLANK('Data Entry'!O326), "", 'Data Entry'!O326)</f>
      </c>
      <c r="P326">
        <f>IF(ISBLANK('Data Entry'!P326), "", 'Data Entry'!P326)</f>
      </c>
      <c r="Q326">
        <f>IF(ISBLANK('Data Entry'!Q326), "", 'Data Entry'!Q326)</f>
      </c>
      <c r="R326">
        <f>IF(ISBLANK('Data Entry'!R326), "", 'Data Entry'!R326)</f>
      </c>
      <c r="S326">
        <f>IF(ISBLANK('Data Entry'!S326), "", 'Data Entry'!S326)</f>
      </c>
      <c r="T326">
        <f>IF(ISBLANK('Data Entry'!T326), "", 'Data Entry'!T326)</f>
      </c>
      <c r="U326">
        <f>IF(ISBLANK('Data Entry'!U326), "", 'Data Entry'!U326)</f>
      </c>
      <c r="V326">
        <f>IF(ISBLANK('Data Entry'!V326), "", 'Data Entry'!V326)</f>
      </c>
      <c r="W326">
        <f>IF(ISBLANK('Data Entry'!W326), "", 'Data Entry'!W326)</f>
      </c>
      <c r="X326">
        <f>IF(ISBLANK('Data Entry'!X326), "", 'Data Entry'!X326)</f>
      </c>
      <c r="Y326">
        <f>IF(ISBLANK('Data Entry'!Y326), "", 'Data Entry'!Y326)</f>
      </c>
      <c r="Z326">
        <f>IF(ISBLANK('Data Entry'!Z326), "", 'Data Entry'!Z326)</f>
      </c>
      <c r="AA326">
        <f>IF(ISBLANK('Data Entry'![326), "", 'Data Entry'![326)</f>
      </c>
      <c r="AB326">
        <f>IF(ISBLANK('Data Entry'!\326), "", 'Data Entry'!\326)</f>
      </c>
      <c r="AC326">
        <f>IF(ISBLANK('Data Entry'!]326), "", 'Data Entry'!]326)</f>
      </c>
      <c r="AD326">
        <f>IF(ISBLANK('Data Entry'!^326), "", 'Data Entry'!^326)</f>
      </c>
      <c r="AE326">
        <f>IF(ISBLANK('Data Entry'!_326), "", 'Data Entry'!_326)</f>
      </c>
      <c r="AF326">
        <f>IF(ISBLANK('Data Entry'!`326), "", 'Data Entry'!`326)</f>
      </c>
      <c r="AG326">
        <f>IF(ISBLANK('Data Entry'!a326), "", 'Data Entry'!a326)</f>
      </c>
      <c r="AH326">
        <f>IF(ISBLANK('Data Entry'!b326), "", 'Data Entry'!b326)</f>
      </c>
      <c r="AI326">
        <f>IF(ISBLANK('Data Entry'!c326), "", 'Data Entry'!c326)</f>
      </c>
      <c r="AJ326">
        <f>IF(ISBLANK('Data Entry'!d326), "", 'Data Entry'!d326)</f>
      </c>
      <c r="AK326">
        <f>IF(ISBLANK('Data Entry'!e326), "", 'Data Entry'!e326)</f>
      </c>
      <c r="AL326">
        <f>IF(ISBLANK('Data Entry'!f326), "", 'Data Entry'!f326)</f>
      </c>
      <c r="AM326">
        <f>IF(ISBLANK('Data Entry'!g326), "", 'Data Entry'!g326)</f>
      </c>
      <c r="AN326">
        <f>IF(ISBLANK('Data Entry'!h326), "", 'Data Entry'!h326)</f>
      </c>
    </row>
    <row r="327" spans="1:40" x14ac:dyDescent="0.25">
      <c r="A327">
        <f>IF(ISBLANK('Data Entry'!A327), "", 'Data Entry'!A327)</f>
      </c>
      <c r="B327">
        <f>IF(ISBLANK('Data Entry'!B327), "", 'Data Entry'!B327)</f>
      </c>
      <c r="C327">
        <f>IF(ISBLANK('Data Entry'!C327), "", 'Data Entry'!C327)</f>
      </c>
      <c r="D327">
        <f>IF(ISBLANK('Data Entry'!D327), "", 'Data Entry'!D327)</f>
      </c>
      <c r="E327">
        <f>IF(ISBLANK('Data Entry'!E327), "", 'Data Entry'!E327)</f>
      </c>
      <c r="F327">
        <f>IF(ISBLANK('Data Entry'!F327), "", 'Data Entry'!F327)</f>
      </c>
      <c r="G327">
        <f>IF(ISBLANK('Data Entry'!G327), "", 'Data Entry'!G327)</f>
      </c>
      <c r="H327">
        <f>IF(ISBLANK('Data Entry'!H327), "", 'Data Entry'!H327)</f>
      </c>
      <c r="I327">
        <f>IF(ISBLANK('Data Entry'!I327), "", 'Data Entry'!I327)</f>
      </c>
      <c r="J327">
        <f>IF(ISBLANK('Data Entry'!J327), "", 'Data Entry'!J327)</f>
      </c>
      <c r="K327">
        <f>IF(ISBLANK('Data Entry'!K327), "", 'Data Entry'!K327)</f>
      </c>
      <c r="L327">
        <f>IF(ISBLANK('Data Entry'!L327), "", 'Data Entry'!L327)</f>
      </c>
      <c r="M327">
        <f>IF(ISBLANK('Data Entry'!M327), "", 'Data Entry'!M327)</f>
      </c>
      <c r="N327">
        <f>IF(ISBLANK('Data Entry'!N327), "", 'Data Entry'!N327)</f>
      </c>
      <c r="O327">
        <f>IF(ISBLANK('Data Entry'!O327), "", 'Data Entry'!O327)</f>
      </c>
      <c r="P327">
        <f>IF(ISBLANK('Data Entry'!P327), "", 'Data Entry'!P327)</f>
      </c>
      <c r="Q327">
        <f>IF(ISBLANK('Data Entry'!Q327), "", 'Data Entry'!Q327)</f>
      </c>
      <c r="R327">
        <f>IF(ISBLANK('Data Entry'!R327), "", 'Data Entry'!R327)</f>
      </c>
      <c r="S327">
        <f>IF(ISBLANK('Data Entry'!S327), "", 'Data Entry'!S327)</f>
      </c>
      <c r="T327">
        <f>IF(ISBLANK('Data Entry'!T327), "", 'Data Entry'!T327)</f>
      </c>
      <c r="U327">
        <f>IF(ISBLANK('Data Entry'!U327), "", 'Data Entry'!U327)</f>
      </c>
      <c r="V327">
        <f>IF(ISBLANK('Data Entry'!V327), "", 'Data Entry'!V327)</f>
      </c>
      <c r="W327">
        <f>IF(ISBLANK('Data Entry'!W327), "", 'Data Entry'!W327)</f>
      </c>
      <c r="X327">
        <f>IF(ISBLANK('Data Entry'!X327), "", 'Data Entry'!X327)</f>
      </c>
      <c r="Y327">
        <f>IF(ISBLANK('Data Entry'!Y327), "", 'Data Entry'!Y327)</f>
      </c>
      <c r="Z327">
        <f>IF(ISBLANK('Data Entry'!Z327), "", 'Data Entry'!Z327)</f>
      </c>
      <c r="AA327">
        <f>IF(ISBLANK('Data Entry'![327), "", 'Data Entry'![327)</f>
      </c>
      <c r="AB327">
        <f>IF(ISBLANK('Data Entry'!\327), "", 'Data Entry'!\327)</f>
      </c>
      <c r="AC327">
        <f>IF(ISBLANK('Data Entry'!]327), "", 'Data Entry'!]327)</f>
      </c>
      <c r="AD327">
        <f>IF(ISBLANK('Data Entry'!^327), "", 'Data Entry'!^327)</f>
      </c>
      <c r="AE327">
        <f>IF(ISBLANK('Data Entry'!_327), "", 'Data Entry'!_327)</f>
      </c>
      <c r="AF327">
        <f>IF(ISBLANK('Data Entry'!`327), "", 'Data Entry'!`327)</f>
      </c>
      <c r="AG327">
        <f>IF(ISBLANK('Data Entry'!a327), "", 'Data Entry'!a327)</f>
      </c>
      <c r="AH327">
        <f>IF(ISBLANK('Data Entry'!b327), "", 'Data Entry'!b327)</f>
      </c>
      <c r="AI327">
        <f>IF(ISBLANK('Data Entry'!c327), "", 'Data Entry'!c327)</f>
      </c>
      <c r="AJ327">
        <f>IF(ISBLANK('Data Entry'!d327), "", 'Data Entry'!d327)</f>
      </c>
      <c r="AK327">
        <f>IF(ISBLANK('Data Entry'!e327), "", 'Data Entry'!e327)</f>
      </c>
      <c r="AL327">
        <f>IF(ISBLANK('Data Entry'!f327), "", 'Data Entry'!f327)</f>
      </c>
      <c r="AM327">
        <f>IF(ISBLANK('Data Entry'!g327), "", 'Data Entry'!g327)</f>
      </c>
      <c r="AN327">
        <f>IF(ISBLANK('Data Entry'!h327), "", 'Data Entry'!h327)</f>
      </c>
    </row>
    <row r="328" spans="1:40" x14ac:dyDescent="0.25">
      <c r="A328">
        <f>IF(ISBLANK('Data Entry'!A328), "", 'Data Entry'!A328)</f>
      </c>
      <c r="B328">
        <f>IF(ISBLANK('Data Entry'!B328), "", 'Data Entry'!B328)</f>
      </c>
      <c r="C328">
        <f>IF(ISBLANK('Data Entry'!C328), "", 'Data Entry'!C328)</f>
      </c>
      <c r="D328">
        <f>IF(ISBLANK('Data Entry'!D328), "", 'Data Entry'!D328)</f>
      </c>
      <c r="E328">
        <f>IF(ISBLANK('Data Entry'!E328), "", 'Data Entry'!E328)</f>
      </c>
      <c r="F328">
        <f>IF(ISBLANK('Data Entry'!F328), "", 'Data Entry'!F328)</f>
      </c>
      <c r="G328">
        <f>IF(ISBLANK('Data Entry'!G328), "", 'Data Entry'!G328)</f>
      </c>
      <c r="H328">
        <f>IF(ISBLANK('Data Entry'!H328), "", 'Data Entry'!H328)</f>
      </c>
      <c r="I328">
        <f>IF(ISBLANK('Data Entry'!I328), "", 'Data Entry'!I328)</f>
      </c>
      <c r="J328">
        <f>IF(ISBLANK('Data Entry'!J328), "", 'Data Entry'!J328)</f>
      </c>
      <c r="K328">
        <f>IF(ISBLANK('Data Entry'!K328), "", 'Data Entry'!K328)</f>
      </c>
      <c r="L328">
        <f>IF(ISBLANK('Data Entry'!L328), "", 'Data Entry'!L328)</f>
      </c>
      <c r="M328">
        <f>IF(ISBLANK('Data Entry'!M328), "", 'Data Entry'!M328)</f>
      </c>
      <c r="N328">
        <f>IF(ISBLANK('Data Entry'!N328), "", 'Data Entry'!N328)</f>
      </c>
      <c r="O328">
        <f>IF(ISBLANK('Data Entry'!O328), "", 'Data Entry'!O328)</f>
      </c>
      <c r="P328">
        <f>IF(ISBLANK('Data Entry'!P328), "", 'Data Entry'!P328)</f>
      </c>
      <c r="Q328">
        <f>IF(ISBLANK('Data Entry'!Q328), "", 'Data Entry'!Q328)</f>
      </c>
      <c r="R328">
        <f>IF(ISBLANK('Data Entry'!R328), "", 'Data Entry'!R328)</f>
      </c>
      <c r="S328">
        <f>IF(ISBLANK('Data Entry'!S328), "", 'Data Entry'!S328)</f>
      </c>
      <c r="T328">
        <f>IF(ISBLANK('Data Entry'!T328), "", 'Data Entry'!T328)</f>
      </c>
      <c r="U328">
        <f>IF(ISBLANK('Data Entry'!U328), "", 'Data Entry'!U328)</f>
      </c>
      <c r="V328">
        <f>IF(ISBLANK('Data Entry'!V328), "", 'Data Entry'!V328)</f>
      </c>
      <c r="W328">
        <f>IF(ISBLANK('Data Entry'!W328), "", 'Data Entry'!W328)</f>
      </c>
      <c r="X328">
        <f>IF(ISBLANK('Data Entry'!X328), "", 'Data Entry'!X328)</f>
      </c>
      <c r="Y328">
        <f>IF(ISBLANK('Data Entry'!Y328), "", 'Data Entry'!Y328)</f>
      </c>
      <c r="Z328">
        <f>IF(ISBLANK('Data Entry'!Z328), "", 'Data Entry'!Z328)</f>
      </c>
      <c r="AA328">
        <f>IF(ISBLANK('Data Entry'![328), "", 'Data Entry'![328)</f>
      </c>
      <c r="AB328">
        <f>IF(ISBLANK('Data Entry'!\328), "", 'Data Entry'!\328)</f>
      </c>
      <c r="AC328">
        <f>IF(ISBLANK('Data Entry'!]328), "", 'Data Entry'!]328)</f>
      </c>
      <c r="AD328">
        <f>IF(ISBLANK('Data Entry'!^328), "", 'Data Entry'!^328)</f>
      </c>
      <c r="AE328">
        <f>IF(ISBLANK('Data Entry'!_328), "", 'Data Entry'!_328)</f>
      </c>
      <c r="AF328">
        <f>IF(ISBLANK('Data Entry'!`328), "", 'Data Entry'!`328)</f>
      </c>
      <c r="AG328">
        <f>IF(ISBLANK('Data Entry'!a328), "", 'Data Entry'!a328)</f>
      </c>
      <c r="AH328">
        <f>IF(ISBLANK('Data Entry'!b328), "", 'Data Entry'!b328)</f>
      </c>
      <c r="AI328">
        <f>IF(ISBLANK('Data Entry'!c328), "", 'Data Entry'!c328)</f>
      </c>
      <c r="AJ328">
        <f>IF(ISBLANK('Data Entry'!d328), "", 'Data Entry'!d328)</f>
      </c>
      <c r="AK328">
        <f>IF(ISBLANK('Data Entry'!e328), "", 'Data Entry'!e328)</f>
      </c>
      <c r="AL328">
        <f>IF(ISBLANK('Data Entry'!f328), "", 'Data Entry'!f328)</f>
      </c>
      <c r="AM328">
        <f>IF(ISBLANK('Data Entry'!g328), "", 'Data Entry'!g328)</f>
      </c>
      <c r="AN328">
        <f>IF(ISBLANK('Data Entry'!h328), "", 'Data Entry'!h328)</f>
      </c>
    </row>
    <row r="329" spans="1:40" x14ac:dyDescent="0.25">
      <c r="A329">
        <f>IF(ISBLANK('Data Entry'!A329), "", 'Data Entry'!A329)</f>
      </c>
      <c r="B329">
        <f>IF(ISBLANK('Data Entry'!B329), "", 'Data Entry'!B329)</f>
      </c>
      <c r="C329">
        <f>IF(ISBLANK('Data Entry'!C329), "", 'Data Entry'!C329)</f>
      </c>
      <c r="D329">
        <f>IF(ISBLANK('Data Entry'!D329), "", 'Data Entry'!D329)</f>
      </c>
      <c r="E329">
        <f>IF(ISBLANK('Data Entry'!E329), "", 'Data Entry'!E329)</f>
      </c>
      <c r="F329">
        <f>IF(ISBLANK('Data Entry'!F329), "", 'Data Entry'!F329)</f>
      </c>
      <c r="G329">
        <f>IF(ISBLANK('Data Entry'!G329), "", 'Data Entry'!G329)</f>
      </c>
      <c r="H329">
        <f>IF(ISBLANK('Data Entry'!H329), "", 'Data Entry'!H329)</f>
      </c>
      <c r="I329">
        <f>IF(ISBLANK('Data Entry'!I329), "", 'Data Entry'!I329)</f>
      </c>
      <c r="J329">
        <f>IF(ISBLANK('Data Entry'!J329), "", 'Data Entry'!J329)</f>
      </c>
      <c r="K329">
        <f>IF(ISBLANK('Data Entry'!K329), "", 'Data Entry'!K329)</f>
      </c>
      <c r="L329">
        <f>IF(ISBLANK('Data Entry'!L329), "", 'Data Entry'!L329)</f>
      </c>
      <c r="M329">
        <f>IF(ISBLANK('Data Entry'!M329), "", 'Data Entry'!M329)</f>
      </c>
      <c r="N329">
        <f>IF(ISBLANK('Data Entry'!N329), "", 'Data Entry'!N329)</f>
      </c>
      <c r="O329">
        <f>IF(ISBLANK('Data Entry'!O329), "", 'Data Entry'!O329)</f>
      </c>
      <c r="P329">
        <f>IF(ISBLANK('Data Entry'!P329), "", 'Data Entry'!P329)</f>
      </c>
      <c r="Q329">
        <f>IF(ISBLANK('Data Entry'!Q329), "", 'Data Entry'!Q329)</f>
      </c>
      <c r="R329">
        <f>IF(ISBLANK('Data Entry'!R329), "", 'Data Entry'!R329)</f>
      </c>
      <c r="S329">
        <f>IF(ISBLANK('Data Entry'!S329), "", 'Data Entry'!S329)</f>
      </c>
      <c r="T329">
        <f>IF(ISBLANK('Data Entry'!T329), "", 'Data Entry'!T329)</f>
      </c>
      <c r="U329">
        <f>IF(ISBLANK('Data Entry'!U329), "", 'Data Entry'!U329)</f>
      </c>
      <c r="V329">
        <f>IF(ISBLANK('Data Entry'!V329), "", 'Data Entry'!V329)</f>
      </c>
      <c r="W329">
        <f>IF(ISBLANK('Data Entry'!W329), "", 'Data Entry'!W329)</f>
      </c>
      <c r="X329">
        <f>IF(ISBLANK('Data Entry'!X329), "", 'Data Entry'!X329)</f>
      </c>
      <c r="Y329">
        <f>IF(ISBLANK('Data Entry'!Y329), "", 'Data Entry'!Y329)</f>
      </c>
      <c r="Z329">
        <f>IF(ISBLANK('Data Entry'!Z329), "", 'Data Entry'!Z329)</f>
      </c>
      <c r="AA329">
        <f>IF(ISBLANK('Data Entry'![329), "", 'Data Entry'![329)</f>
      </c>
      <c r="AB329">
        <f>IF(ISBLANK('Data Entry'!\329), "", 'Data Entry'!\329)</f>
      </c>
      <c r="AC329">
        <f>IF(ISBLANK('Data Entry'!]329), "", 'Data Entry'!]329)</f>
      </c>
      <c r="AD329">
        <f>IF(ISBLANK('Data Entry'!^329), "", 'Data Entry'!^329)</f>
      </c>
      <c r="AE329">
        <f>IF(ISBLANK('Data Entry'!_329), "", 'Data Entry'!_329)</f>
      </c>
      <c r="AF329">
        <f>IF(ISBLANK('Data Entry'!`329), "", 'Data Entry'!`329)</f>
      </c>
      <c r="AG329">
        <f>IF(ISBLANK('Data Entry'!a329), "", 'Data Entry'!a329)</f>
      </c>
      <c r="AH329">
        <f>IF(ISBLANK('Data Entry'!b329), "", 'Data Entry'!b329)</f>
      </c>
      <c r="AI329">
        <f>IF(ISBLANK('Data Entry'!c329), "", 'Data Entry'!c329)</f>
      </c>
      <c r="AJ329">
        <f>IF(ISBLANK('Data Entry'!d329), "", 'Data Entry'!d329)</f>
      </c>
      <c r="AK329">
        <f>IF(ISBLANK('Data Entry'!e329), "", 'Data Entry'!e329)</f>
      </c>
      <c r="AL329">
        <f>IF(ISBLANK('Data Entry'!f329), "", 'Data Entry'!f329)</f>
      </c>
      <c r="AM329">
        <f>IF(ISBLANK('Data Entry'!g329), "", 'Data Entry'!g329)</f>
      </c>
      <c r="AN329">
        <f>IF(ISBLANK('Data Entry'!h329), "", 'Data Entry'!h329)</f>
      </c>
    </row>
    <row r="330" spans="1:40" x14ac:dyDescent="0.25">
      <c r="A330">
        <f>IF(ISBLANK('Data Entry'!A330), "", 'Data Entry'!A330)</f>
      </c>
      <c r="B330">
        <f>IF(ISBLANK('Data Entry'!B330), "", 'Data Entry'!B330)</f>
      </c>
      <c r="C330">
        <f>IF(ISBLANK('Data Entry'!C330), "", 'Data Entry'!C330)</f>
      </c>
      <c r="D330">
        <f>IF(ISBLANK('Data Entry'!D330), "", 'Data Entry'!D330)</f>
      </c>
      <c r="E330">
        <f>IF(ISBLANK('Data Entry'!E330), "", 'Data Entry'!E330)</f>
      </c>
      <c r="F330">
        <f>IF(ISBLANK('Data Entry'!F330), "", 'Data Entry'!F330)</f>
      </c>
      <c r="G330">
        <f>IF(ISBLANK('Data Entry'!G330), "", 'Data Entry'!G330)</f>
      </c>
      <c r="H330">
        <f>IF(ISBLANK('Data Entry'!H330), "", 'Data Entry'!H330)</f>
      </c>
      <c r="I330">
        <f>IF(ISBLANK('Data Entry'!I330), "", 'Data Entry'!I330)</f>
      </c>
      <c r="J330">
        <f>IF(ISBLANK('Data Entry'!J330), "", 'Data Entry'!J330)</f>
      </c>
      <c r="K330">
        <f>IF(ISBLANK('Data Entry'!K330), "", 'Data Entry'!K330)</f>
      </c>
      <c r="L330">
        <f>IF(ISBLANK('Data Entry'!L330), "", 'Data Entry'!L330)</f>
      </c>
      <c r="M330">
        <f>IF(ISBLANK('Data Entry'!M330), "", 'Data Entry'!M330)</f>
      </c>
      <c r="N330">
        <f>IF(ISBLANK('Data Entry'!N330), "", 'Data Entry'!N330)</f>
      </c>
      <c r="O330">
        <f>IF(ISBLANK('Data Entry'!O330), "", 'Data Entry'!O330)</f>
      </c>
      <c r="P330">
        <f>IF(ISBLANK('Data Entry'!P330), "", 'Data Entry'!P330)</f>
      </c>
      <c r="Q330">
        <f>IF(ISBLANK('Data Entry'!Q330), "", 'Data Entry'!Q330)</f>
      </c>
      <c r="R330">
        <f>IF(ISBLANK('Data Entry'!R330), "", 'Data Entry'!R330)</f>
      </c>
      <c r="S330">
        <f>IF(ISBLANK('Data Entry'!S330), "", 'Data Entry'!S330)</f>
      </c>
      <c r="T330">
        <f>IF(ISBLANK('Data Entry'!T330), "", 'Data Entry'!T330)</f>
      </c>
      <c r="U330">
        <f>IF(ISBLANK('Data Entry'!U330), "", 'Data Entry'!U330)</f>
      </c>
      <c r="V330">
        <f>IF(ISBLANK('Data Entry'!V330), "", 'Data Entry'!V330)</f>
      </c>
      <c r="W330">
        <f>IF(ISBLANK('Data Entry'!W330), "", 'Data Entry'!W330)</f>
      </c>
      <c r="X330">
        <f>IF(ISBLANK('Data Entry'!X330), "", 'Data Entry'!X330)</f>
      </c>
      <c r="Y330">
        <f>IF(ISBLANK('Data Entry'!Y330), "", 'Data Entry'!Y330)</f>
      </c>
      <c r="Z330">
        <f>IF(ISBLANK('Data Entry'!Z330), "", 'Data Entry'!Z330)</f>
      </c>
      <c r="AA330">
        <f>IF(ISBLANK('Data Entry'![330), "", 'Data Entry'![330)</f>
      </c>
      <c r="AB330">
        <f>IF(ISBLANK('Data Entry'!\330), "", 'Data Entry'!\330)</f>
      </c>
      <c r="AC330">
        <f>IF(ISBLANK('Data Entry'!]330), "", 'Data Entry'!]330)</f>
      </c>
      <c r="AD330">
        <f>IF(ISBLANK('Data Entry'!^330), "", 'Data Entry'!^330)</f>
      </c>
      <c r="AE330">
        <f>IF(ISBLANK('Data Entry'!_330), "", 'Data Entry'!_330)</f>
      </c>
      <c r="AF330">
        <f>IF(ISBLANK('Data Entry'!`330), "", 'Data Entry'!`330)</f>
      </c>
      <c r="AG330">
        <f>IF(ISBLANK('Data Entry'!a330), "", 'Data Entry'!a330)</f>
      </c>
      <c r="AH330">
        <f>IF(ISBLANK('Data Entry'!b330), "", 'Data Entry'!b330)</f>
      </c>
      <c r="AI330">
        <f>IF(ISBLANK('Data Entry'!c330), "", 'Data Entry'!c330)</f>
      </c>
      <c r="AJ330">
        <f>IF(ISBLANK('Data Entry'!d330), "", 'Data Entry'!d330)</f>
      </c>
      <c r="AK330">
        <f>IF(ISBLANK('Data Entry'!e330), "", 'Data Entry'!e330)</f>
      </c>
      <c r="AL330">
        <f>IF(ISBLANK('Data Entry'!f330), "", 'Data Entry'!f330)</f>
      </c>
      <c r="AM330">
        <f>IF(ISBLANK('Data Entry'!g330), "", 'Data Entry'!g330)</f>
      </c>
      <c r="AN330">
        <f>IF(ISBLANK('Data Entry'!h330), "", 'Data Entry'!h330)</f>
      </c>
    </row>
    <row r="331" spans="1:40" x14ac:dyDescent="0.25">
      <c r="A331">
        <f>IF(ISBLANK('Data Entry'!A331), "", 'Data Entry'!A331)</f>
      </c>
      <c r="B331">
        <f>IF(ISBLANK('Data Entry'!B331), "", 'Data Entry'!B331)</f>
      </c>
      <c r="C331">
        <f>IF(ISBLANK('Data Entry'!C331), "", 'Data Entry'!C331)</f>
      </c>
      <c r="D331">
        <f>IF(ISBLANK('Data Entry'!D331), "", 'Data Entry'!D331)</f>
      </c>
      <c r="E331">
        <f>IF(ISBLANK('Data Entry'!E331), "", 'Data Entry'!E331)</f>
      </c>
      <c r="F331">
        <f>IF(ISBLANK('Data Entry'!F331), "", 'Data Entry'!F331)</f>
      </c>
      <c r="G331">
        <f>IF(ISBLANK('Data Entry'!G331), "", 'Data Entry'!G331)</f>
      </c>
      <c r="H331">
        <f>IF(ISBLANK('Data Entry'!H331), "", 'Data Entry'!H331)</f>
      </c>
      <c r="I331">
        <f>IF(ISBLANK('Data Entry'!I331), "", 'Data Entry'!I331)</f>
      </c>
      <c r="J331">
        <f>IF(ISBLANK('Data Entry'!J331), "", 'Data Entry'!J331)</f>
      </c>
      <c r="K331">
        <f>IF(ISBLANK('Data Entry'!K331), "", 'Data Entry'!K331)</f>
      </c>
      <c r="L331">
        <f>IF(ISBLANK('Data Entry'!L331), "", 'Data Entry'!L331)</f>
      </c>
      <c r="M331">
        <f>IF(ISBLANK('Data Entry'!M331), "", 'Data Entry'!M331)</f>
      </c>
      <c r="N331">
        <f>IF(ISBLANK('Data Entry'!N331), "", 'Data Entry'!N331)</f>
      </c>
      <c r="O331">
        <f>IF(ISBLANK('Data Entry'!O331), "", 'Data Entry'!O331)</f>
      </c>
      <c r="P331">
        <f>IF(ISBLANK('Data Entry'!P331), "", 'Data Entry'!P331)</f>
      </c>
      <c r="Q331">
        <f>IF(ISBLANK('Data Entry'!Q331), "", 'Data Entry'!Q331)</f>
      </c>
      <c r="R331">
        <f>IF(ISBLANK('Data Entry'!R331), "", 'Data Entry'!R331)</f>
      </c>
      <c r="S331">
        <f>IF(ISBLANK('Data Entry'!S331), "", 'Data Entry'!S331)</f>
      </c>
      <c r="T331">
        <f>IF(ISBLANK('Data Entry'!T331), "", 'Data Entry'!T331)</f>
      </c>
      <c r="U331">
        <f>IF(ISBLANK('Data Entry'!U331), "", 'Data Entry'!U331)</f>
      </c>
      <c r="V331">
        <f>IF(ISBLANK('Data Entry'!V331), "", 'Data Entry'!V331)</f>
      </c>
      <c r="W331">
        <f>IF(ISBLANK('Data Entry'!W331), "", 'Data Entry'!W331)</f>
      </c>
      <c r="X331">
        <f>IF(ISBLANK('Data Entry'!X331), "", 'Data Entry'!X331)</f>
      </c>
      <c r="Y331">
        <f>IF(ISBLANK('Data Entry'!Y331), "", 'Data Entry'!Y331)</f>
      </c>
      <c r="Z331">
        <f>IF(ISBLANK('Data Entry'!Z331), "", 'Data Entry'!Z331)</f>
      </c>
      <c r="AA331">
        <f>IF(ISBLANK('Data Entry'![331), "", 'Data Entry'![331)</f>
      </c>
      <c r="AB331">
        <f>IF(ISBLANK('Data Entry'!\331), "", 'Data Entry'!\331)</f>
      </c>
      <c r="AC331">
        <f>IF(ISBLANK('Data Entry'!]331), "", 'Data Entry'!]331)</f>
      </c>
      <c r="AD331">
        <f>IF(ISBLANK('Data Entry'!^331), "", 'Data Entry'!^331)</f>
      </c>
      <c r="AE331">
        <f>IF(ISBLANK('Data Entry'!_331), "", 'Data Entry'!_331)</f>
      </c>
      <c r="AF331">
        <f>IF(ISBLANK('Data Entry'!`331), "", 'Data Entry'!`331)</f>
      </c>
      <c r="AG331">
        <f>IF(ISBLANK('Data Entry'!a331), "", 'Data Entry'!a331)</f>
      </c>
      <c r="AH331">
        <f>IF(ISBLANK('Data Entry'!b331), "", 'Data Entry'!b331)</f>
      </c>
      <c r="AI331">
        <f>IF(ISBLANK('Data Entry'!c331), "", 'Data Entry'!c331)</f>
      </c>
      <c r="AJ331">
        <f>IF(ISBLANK('Data Entry'!d331), "", 'Data Entry'!d331)</f>
      </c>
      <c r="AK331">
        <f>IF(ISBLANK('Data Entry'!e331), "", 'Data Entry'!e331)</f>
      </c>
      <c r="AL331">
        <f>IF(ISBLANK('Data Entry'!f331), "", 'Data Entry'!f331)</f>
      </c>
      <c r="AM331">
        <f>IF(ISBLANK('Data Entry'!g331), "", 'Data Entry'!g331)</f>
      </c>
      <c r="AN331">
        <f>IF(ISBLANK('Data Entry'!h331), "", 'Data Entry'!h331)</f>
      </c>
    </row>
    <row r="332" spans="1:40" x14ac:dyDescent="0.25">
      <c r="A332">
        <f>IF(ISBLANK('Data Entry'!A332), "", 'Data Entry'!A332)</f>
      </c>
      <c r="B332">
        <f>IF(ISBLANK('Data Entry'!B332), "", 'Data Entry'!B332)</f>
      </c>
      <c r="C332">
        <f>IF(ISBLANK('Data Entry'!C332), "", 'Data Entry'!C332)</f>
      </c>
      <c r="D332">
        <f>IF(ISBLANK('Data Entry'!D332), "", 'Data Entry'!D332)</f>
      </c>
      <c r="E332">
        <f>IF(ISBLANK('Data Entry'!E332), "", 'Data Entry'!E332)</f>
      </c>
      <c r="F332">
        <f>IF(ISBLANK('Data Entry'!F332), "", 'Data Entry'!F332)</f>
      </c>
      <c r="G332">
        <f>IF(ISBLANK('Data Entry'!G332), "", 'Data Entry'!G332)</f>
      </c>
      <c r="H332">
        <f>IF(ISBLANK('Data Entry'!H332), "", 'Data Entry'!H332)</f>
      </c>
      <c r="I332">
        <f>IF(ISBLANK('Data Entry'!I332), "", 'Data Entry'!I332)</f>
      </c>
      <c r="J332">
        <f>IF(ISBLANK('Data Entry'!J332), "", 'Data Entry'!J332)</f>
      </c>
      <c r="K332">
        <f>IF(ISBLANK('Data Entry'!K332), "", 'Data Entry'!K332)</f>
      </c>
      <c r="L332">
        <f>IF(ISBLANK('Data Entry'!L332), "", 'Data Entry'!L332)</f>
      </c>
      <c r="M332">
        <f>IF(ISBLANK('Data Entry'!M332), "", 'Data Entry'!M332)</f>
      </c>
      <c r="N332">
        <f>IF(ISBLANK('Data Entry'!N332), "", 'Data Entry'!N332)</f>
      </c>
      <c r="O332">
        <f>IF(ISBLANK('Data Entry'!O332), "", 'Data Entry'!O332)</f>
      </c>
      <c r="P332">
        <f>IF(ISBLANK('Data Entry'!P332), "", 'Data Entry'!P332)</f>
      </c>
      <c r="Q332">
        <f>IF(ISBLANK('Data Entry'!Q332), "", 'Data Entry'!Q332)</f>
      </c>
      <c r="R332">
        <f>IF(ISBLANK('Data Entry'!R332), "", 'Data Entry'!R332)</f>
      </c>
      <c r="S332">
        <f>IF(ISBLANK('Data Entry'!S332), "", 'Data Entry'!S332)</f>
      </c>
      <c r="T332">
        <f>IF(ISBLANK('Data Entry'!T332), "", 'Data Entry'!T332)</f>
      </c>
      <c r="U332">
        <f>IF(ISBLANK('Data Entry'!U332), "", 'Data Entry'!U332)</f>
      </c>
      <c r="V332">
        <f>IF(ISBLANK('Data Entry'!V332), "", 'Data Entry'!V332)</f>
      </c>
      <c r="W332">
        <f>IF(ISBLANK('Data Entry'!W332), "", 'Data Entry'!W332)</f>
      </c>
      <c r="X332">
        <f>IF(ISBLANK('Data Entry'!X332), "", 'Data Entry'!X332)</f>
      </c>
      <c r="Y332">
        <f>IF(ISBLANK('Data Entry'!Y332), "", 'Data Entry'!Y332)</f>
      </c>
      <c r="Z332">
        <f>IF(ISBLANK('Data Entry'!Z332), "", 'Data Entry'!Z332)</f>
      </c>
      <c r="AA332">
        <f>IF(ISBLANK('Data Entry'![332), "", 'Data Entry'![332)</f>
      </c>
      <c r="AB332">
        <f>IF(ISBLANK('Data Entry'!\332), "", 'Data Entry'!\332)</f>
      </c>
      <c r="AC332">
        <f>IF(ISBLANK('Data Entry'!]332), "", 'Data Entry'!]332)</f>
      </c>
      <c r="AD332">
        <f>IF(ISBLANK('Data Entry'!^332), "", 'Data Entry'!^332)</f>
      </c>
      <c r="AE332">
        <f>IF(ISBLANK('Data Entry'!_332), "", 'Data Entry'!_332)</f>
      </c>
      <c r="AF332">
        <f>IF(ISBLANK('Data Entry'!`332), "", 'Data Entry'!`332)</f>
      </c>
      <c r="AG332">
        <f>IF(ISBLANK('Data Entry'!a332), "", 'Data Entry'!a332)</f>
      </c>
      <c r="AH332">
        <f>IF(ISBLANK('Data Entry'!b332), "", 'Data Entry'!b332)</f>
      </c>
      <c r="AI332">
        <f>IF(ISBLANK('Data Entry'!c332), "", 'Data Entry'!c332)</f>
      </c>
      <c r="AJ332">
        <f>IF(ISBLANK('Data Entry'!d332), "", 'Data Entry'!d332)</f>
      </c>
      <c r="AK332">
        <f>IF(ISBLANK('Data Entry'!e332), "", 'Data Entry'!e332)</f>
      </c>
      <c r="AL332">
        <f>IF(ISBLANK('Data Entry'!f332), "", 'Data Entry'!f332)</f>
      </c>
      <c r="AM332">
        <f>IF(ISBLANK('Data Entry'!g332), "", 'Data Entry'!g332)</f>
      </c>
      <c r="AN332">
        <f>IF(ISBLANK('Data Entry'!h332), "", 'Data Entry'!h332)</f>
      </c>
    </row>
    <row r="333" spans="1:40" x14ac:dyDescent="0.25">
      <c r="A333">
        <f>IF(ISBLANK('Data Entry'!A333), "", 'Data Entry'!A333)</f>
      </c>
      <c r="B333">
        <f>IF(ISBLANK('Data Entry'!B333), "", 'Data Entry'!B333)</f>
      </c>
      <c r="C333">
        <f>IF(ISBLANK('Data Entry'!C333), "", 'Data Entry'!C333)</f>
      </c>
      <c r="D333">
        <f>IF(ISBLANK('Data Entry'!D333), "", 'Data Entry'!D333)</f>
      </c>
      <c r="E333">
        <f>IF(ISBLANK('Data Entry'!E333), "", 'Data Entry'!E333)</f>
      </c>
      <c r="F333">
        <f>IF(ISBLANK('Data Entry'!F333), "", 'Data Entry'!F333)</f>
      </c>
      <c r="G333">
        <f>IF(ISBLANK('Data Entry'!G333), "", 'Data Entry'!G333)</f>
      </c>
      <c r="H333">
        <f>IF(ISBLANK('Data Entry'!H333), "", 'Data Entry'!H333)</f>
      </c>
      <c r="I333">
        <f>IF(ISBLANK('Data Entry'!I333), "", 'Data Entry'!I333)</f>
      </c>
      <c r="J333">
        <f>IF(ISBLANK('Data Entry'!J333), "", 'Data Entry'!J333)</f>
      </c>
      <c r="K333">
        <f>IF(ISBLANK('Data Entry'!K333), "", 'Data Entry'!K333)</f>
      </c>
      <c r="L333">
        <f>IF(ISBLANK('Data Entry'!L333), "", 'Data Entry'!L333)</f>
      </c>
      <c r="M333">
        <f>IF(ISBLANK('Data Entry'!M333), "", 'Data Entry'!M333)</f>
      </c>
      <c r="N333">
        <f>IF(ISBLANK('Data Entry'!N333), "", 'Data Entry'!N333)</f>
      </c>
      <c r="O333">
        <f>IF(ISBLANK('Data Entry'!O333), "", 'Data Entry'!O333)</f>
      </c>
      <c r="P333">
        <f>IF(ISBLANK('Data Entry'!P333), "", 'Data Entry'!P333)</f>
      </c>
      <c r="Q333">
        <f>IF(ISBLANK('Data Entry'!Q333), "", 'Data Entry'!Q333)</f>
      </c>
      <c r="R333">
        <f>IF(ISBLANK('Data Entry'!R333), "", 'Data Entry'!R333)</f>
      </c>
      <c r="S333">
        <f>IF(ISBLANK('Data Entry'!S333), "", 'Data Entry'!S333)</f>
      </c>
      <c r="T333">
        <f>IF(ISBLANK('Data Entry'!T333), "", 'Data Entry'!T333)</f>
      </c>
      <c r="U333">
        <f>IF(ISBLANK('Data Entry'!U333), "", 'Data Entry'!U333)</f>
      </c>
      <c r="V333">
        <f>IF(ISBLANK('Data Entry'!V333), "", 'Data Entry'!V333)</f>
      </c>
      <c r="W333">
        <f>IF(ISBLANK('Data Entry'!W333), "", 'Data Entry'!W333)</f>
      </c>
      <c r="X333">
        <f>IF(ISBLANK('Data Entry'!X333), "", 'Data Entry'!X333)</f>
      </c>
      <c r="Y333">
        <f>IF(ISBLANK('Data Entry'!Y333), "", 'Data Entry'!Y333)</f>
      </c>
      <c r="Z333">
        <f>IF(ISBLANK('Data Entry'!Z333), "", 'Data Entry'!Z333)</f>
      </c>
      <c r="AA333">
        <f>IF(ISBLANK('Data Entry'![333), "", 'Data Entry'![333)</f>
      </c>
      <c r="AB333">
        <f>IF(ISBLANK('Data Entry'!\333), "", 'Data Entry'!\333)</f>
      </c>
      <c r="AC333">
        <f>IF(ISBLANK('Data Entry'!]333), "", 'Data Entry'!]333)</f>
      </c>
      <c r="AD333">
        <f>IF(ISBLANK('Data Entry'!^333), "", 'Data Entry'!^333)</f>
      </c>
      <c r="AE333">
        <f>IF(ISBLANK('Data Entry'!_333), "", 'Data Entry'!_333)</f>
      </c>
      <c r="AF333">
        <f>IF(ISBLANK('Data Entry'!`333), "", 'Data Entry'!`333)</f>
      </c>
      <c r="AG333">
        <f>IF(ISBLANK('Data Entry'!a333), "", 'Data Entry'!a333)</f>
      </c>
      <c r="AH333">
        <f>IF(ISBLANK('Data Entry'!b333), "", 'Data Entry'!b333)</f>
      </c>
      <c r="AI333">
        <f>IF(ISBLANK('Data Entry'!c333), "", 'Data Entry'!c333)</f>
      </c>
      <c r="AJ333">
        <f>IF(ISBLANK('Data Entry'!d333), "", 'Data Entry'!d333)</f>
      </c>
      <c r="AK333">
        <f>IF(ISBLANK('Data Entry'!e333), "", 'Data Entry'!e333)</f>
      </c>
      <c r="AL333">
        <f>IF(ISBLANK('Data Entry'!f333), "", 'Data Entry'!f333)</f>
      </c>
      <c r="AM333">
        <f>IF(ISBLANK('Data Entry'!g333), "", 'Data Entry'!g333)</f>
      </c>
      <c r="AN333">
        <f>IF(ISBLANK('Data Entry'!h333), "", 'Data Entry'!h333)</f>
      </c>
    </row>
    <row r="334" spans="1:40" x14ac:dyDescent="0.25">
      <c r="A334">
        <f>IF(ISBLANK('Data Entry'!A334), "", 'Data Entry'!A334)</f>
      </c>
      <c r="B334">
        <f>IF(ISBLANK('Data Entry'!B334), "", 'Data Entry'!B334)</f>
      </c>
      <c r="C334">
        <f>IF(ISBLANK('Data Entry'!C334), "", 'Data Entry'!C334)</f>
      </c>
      <c r="D334">
        <f>IF(ISBLANK('Data Entry'!D334), "", 'Data Entry'!D334)</f>
      </c>
      <c r="E334">
        <f>IF(ISBLANK('Data Entry'!E334), "", 'Data Entry'!E334)</f>
      </c>
      <c r="F334">
        <f>IF(ISBLANK('Data Entry'!F334), "", 'Data Entry'!F334)</f>
      </c>
      <c r="G334">
        <f>IF(ISBLANK('Data Entry'!G334), "", 'Data Entry'!G334)</f>
      </c>
      <c r="H334">
        <f>IF(ISBLANK('Data Entry'!H334), "", 'Data Entry'!H334)</f>
      </c>
      <c r="I334">
        <f>IF(ISBLANK('Data Entry'!I334), "", 'Data Entry'!I334)</f>
      </c>
      <c r="J334">
        <f>IF(ISBLANK('Data Entry'!J334), "", 'Data Entry'!J334)</f>
      </c>
      <c r="K334">
        <f>IF(ISBLANK('Data Entry'!K334), "", 'Data Entry'!K334)</f>
      </c>
      <c r="L334">
        <f>IF(ISBLANK('Data Entry'!L334), "", 'Data Entry'!L334)</f>
      </c>
      <c r="M334">
        <f>IF(ISBLANK('Data Entry'!M334), "", 'Data Entry'!M334)</f>
      </c>
      <c r="N334">
        <f>IF(ISBLANK('Data Entry'!N334), "", 'Data Entry'!N334)</f>
      </c>
      <c r="O334">
        <f>IF(ISBLANK('Data Entry'!O334), "", 'Data Entry'!O334)</f>
      </c>
      <c r="P334">
        <f>IF(ISBLANK('Data Entry'!P334), "", 'Data Entry'!P334)</f>
      </c>
      <c r="Q334">
        <f>IF(ISBLANK('Data Entry'!Q334), "", 'Data Entry'!Q334)</f>
      </c>
      <c r="R334">
        <f>IF(ISBLANK('Data Entry'!R334), "", 'Data Entry'!R334)</f>
      </c>
      <c r="S334">
        <f>IF(ISBLANK('Data Entry'!S334), "", 'Data Entry'!S334)</f>
      </c>
      <c r="T334">
        <f>IF(ISBLANK('Data Entry'!T334), "", 'Data Entry'!T334)</f>
      </c>
      <c r="U334">
        <f>IF(ISBLANK('Data Entry'!U334), "", 'Data Entry'!U334)</f>
      </c>
      <c r="V334">
        <f>IF(ISBLANK('Data Entry'!V334), "", 'Data Entry'!V334)</f>
      </c>
      <c r="W334">
        <f>IF(ISBLANK('Data Entry'!W334), "", 'Data Entry'!W334)</f>
      </c>
      <c r="X334">
        <f>IF(ISBLANK('Data Entry'!X334), "", 'Data Entry'!X334)</f>
      </c>
      <c r="Y334">
        <f>IF(ISBLANK('Data Entry'!Y334), "", 'Data Entry'!Y334)</f>
      </c>
      <c r="Z334">
        <f>IF(ISBLANK('Data Entry'!Z334), "", 'Data Entry'!Z334)</f>
      </c>
      <c r="AA334">
        <f>IF(ISBLANK('Data Entry'![334), "", 'Data Entry'![334)</f>
      </c>
      <c r="AB334">
        <f>IF(ISBLANK('Data Entry'!\334), "", 'Data Entry'!\334)</f>
      </c>
      <c r="AC334">
        <f>IF(ISBLANK('Data Entry'!]334), "", 'Data Entry'!]334)</f>
      </c>
      <c r="AD334">
        <f>IF(ISBLANK('Data Entry'!^334), "", 'Data Entry'!^334)</f>
      </c>
      <c r="AE334">
        <f>IF(ISBLANK('Data Entry'!_334), "", 'Data Entry'!_334)</f>
      </c>
      <c r="AF334">
        <f>IF(ISBLANK('Data Entry'!`334), "", 'Data Entry'!`334)</f>
      </c>
      <c r="AG334">
        <f>IF(ISBLANK('Data Entry'!a334), "", 'Data Entry'!a334)</f>
      </c>
      <c r="AH334">
        <f>IF(ISBLANK('Data Entry'!b334), "", 'Data Entry'!b334)</f>
      </c>
      <c r="AI334">
        <f>IF(ISBLANK('Data Entry'!c334), "", 'Data Entry'!c334)</f>
      </c>
      <c r="AJ334">
        <f>IF(ISBLANK('Data Entry'!d334), "", 'Data Entry'!d334)</f>
      </c>
      <c r="AK334">
        <f>IF(ISBLANK('Data Entry'!e334), "", 'Data Entry'!e334)</f>
      </c>
      <c r="AL334">
        <f>IF(ISBLANK('Data Entry'!f334), "", 'Data Entry'!f334)</f>
      </c>
      <c r="AM334">
        <f>IF(ISBLANK('Data Entry'!g334), "", 'Data Entry'!g334)</f>
      </c>
      <c r="AN334">
        <f>IF(ISBLANK('Data Entry'!h334), "", 'Data Entry'!h334)</f>
      </c>
    </row>
    <row r="335" spans="1:40" x14ac:dyDescent="0.25">
      <c r="A335">
        <f>IF(ISBLANK('Data Entry'!A335), "", 'Data Entry'!A335)</f>
      </c>
      <c r="B335">
        <f>IF(ISBLANK('Data Entry'!B335), "", 'Data Entry'!B335)</f>
      </c>
      <c r="C335">
        <f>IF(ISBLANK('Data Entry'!C335), "", 'Data Entry'!C335)</f>
      </c>
      <c r="D335">
        <f>IF(ISBLANK('Data Entry'!D335), "", 'Data Entry'!D335)</f>
      </c>
      <c r="E335">
        <f>IF(ISBLANK('Data Entry'!E335), "", 'Data Entry'!E335)</f>
      </c>
      <c r="F335">
        <f>IF(ISBLANK('Data Entry'!F335), "", 'Data Entry'!F335)</f>
      </c>
      <c r="G335">
        <f>IF(ISBLANK('Data Entry'!G335), "", 'Data Entry'!G335)</f>
      </c>
      <c r="H335">
        <f>IF(ISBLANK('Data Entry'!H335), "", 'Data Entry'!H335)</f>
      </c>
      <c r="I335">
        <f>IF(ISBLANK('Data Entry'!I335), "", 'Data Entry'!I335)</f>
      </c>
      <c r="J335">
        <f>IF(ISBLANK('Data Entry'!J335), "", 'Data Entry'!J335)</f>
      </c>
      <c r="K335">
        <f>IF(ISBLANK('Data Entry'!K335), "", 'Data Entry'!K335)</f>
      </c>
      <c r="L335">
        <f>IF(ISBLANK('Data Entry'!L335), "", 'Data Entry'!L335)</f>
      </c>
      <c r="M335">
        <f>IF(ISBLANK('Data Entry'!M335), "", 'Data Entry'!M335)</f>
      </c>
      <c r="N335">
        <f>IF(ISBLANK('Data Entry'!N335), "", 'Data Entry'!N335)</f>
      </c>
      <c r="O335">
        <f>IF(ISBLANK('Data Entry'!O335), "", 'Data Entry'!O335)</f>
      </c>
      <c r="P335">
        <f>IF(ISBLANK('Data Entry'!P335), "", 'Data Entry'!P335)</f>
      </c>
      <c r="Q335">
        <f>IF(ISBLANK('Data Entry'!Q335), "", 'Data Entry'!Q335)</f>
      </c>
      <c r="R335">
        <f>IF(ISBLANK('Data Entry'!R335), "", 'Data Entry'!R335)</f>
      </c>
      <c r="S335">
        <f>IF(ISBLANK('Data Entry'!S335), "", 'Data Entry'!S335)</f>
      </c>
      <c r="T335">
        <f>IF(ISBLANK('Data Entry'!T335), "", 'Data Entry'!T335)</f>
      </c>
      <c r="U335">
        <f>IF(ISBLANK('Data Entry'!U335), "", 'Data Entry'!U335)</f>
      </c>
      <c r="V335">
        <f>IF(ISBLANK('Data Entry'!V335), "", 'Data Entry'!V335)</f>
      </c>
      <c r="W335">
        <f>IF(ISBLANK('Data Entry'!W335), "", 'Data Entry'!W335)</f>
      </c>
      <c r="X335">
        <f>IF(ISBLANK('Data Entry'!X335), "", 'Data Entry'!X335)</f>
      </c>
      <c r="Y335">
        <f>IF(ISBLANK('Data Entry'!Y335), "", 'Data Entry'!Y335)</f>
      </c>
      <c r="Z335">
        <f>IF(ISBLANK('Data Entry'!Z335), "", 'Data Entry'!Z335)</f>
      </c>
      <c r="AA335">
        <f>IF(ISBLANK('Data Entry'![335), "", 'Data Entry'![335)</f>
      </c>
      <c r="AB335">
        <f>IF(ISBLANK('Data Entry'!\335), "", 'Data Entry'!\335)</f>
      </c>
      <c r="AC335">
        <f>IF(ISBLANK('Data Entry'!]335), "", 'Data Entry'!]335)</f>
      </c>
      <c r="AD335">
        <f>IF(ISBLANK('Data Entry'!^335), "", 'Data Entry'!^335)</f>
      </c>
      <c r="AE335">
        <f>IF(ISBLANK('Data Entry'!_335), "", 'Data Entry'!_335)</f>
      </c>
      <c r="AF335">
        <f>IF(ISBLANK('Data Entry'!`335), "", 'Data Entry'!`335)</f>
      </c>
      <c r="AG335">
        <f>IF(ISBLANK('Data Entry'!a335), "", 'Data Entry'!a335)</f>
      </c>
      <c r="AH335">
        <f>IF(ISBLANK('Data Entry'!b335), "", 'Data Entry'!b335)</f>
      </c>
      <c r="AI335">
        <f>IF(ISBLANK('Data Entry'!c335), "", 'Data Entry'!c335)</f>
      </c>
      <c r="AJ335">
        <f>IF(ISBLANK('Data Entry'!d335), "", 'Data Entry'!d335)</f>
      </c>
      <c r="AK335">
        <f>IF(ISBLANK('Data Entry'!e335), "", 'Data Entry'!e335)</f>
      </c>
      <c r="AL335">
        <f>IF(ISBLANK('Data Entry'!f335), "", 'Data Entry'!f335)</f>
      </c>
      <c r="AM335">
        <f>IF(ISBLANK('Data Entry'!g335), "", 'Data Entry'!g335)</f>
      </c>
      <c r="AN335">
        <f>IF(ISBLANK('Data Entry'!h335), "", 'Data Entry'!h335)</f>
      </c>
    </row>
    <row r="336" spans="1:40" x14ac:dyDescent="0.25">
      <c r="A336">
        <f>IF(ISBLANK('Data Entry'!A336), "", 'Data Entry'!A336)</f>
      </c>
      <c r="B336">
        <f>IF(ISBLANK('Data Entry'!B336), "", 'Data Entry'!B336)</f>
      </c>
      <c r="C336">
        <f>IF(ISBLANK('Data Entry'!C336), "", 'Data Entry'!C336)</f>
      </c>
      <c r="D336">
        <f>IF(ISBLANK('Data Entry'!D336), "", 'Data Entry'!D336)</f>
      </c>
      <c r="E336">
        <f>IF(ISBLANK('Data Entry'!E336), "", 'Data Entry'!E336)</f>
      </c>
      <c r="F336">
        <f>IF(ISBLANK('Data Entry'!F336), "", 'Data Entry'!F336)</f>
      </c>
      <c r="G336">
        <f>IF(ISBLANK('Data Entry'!G336), "", 'Data Entry'!G336)</f>
      </c>
      <c r="H336">
        <f>IF(ISBLANK('Data Entry'!H336), "", 'Data Entry'!H336)</f>
      </c>
      <c r="I336">
        <f>IF(ISBLANK('Data Entry'!I336), "", 'Data Entry'!I336)</f>
      </c>
      <c r="J336">
        <f>IF(ISBLANK('Data Entry'!J336), "", 'Data Entry'!J336)</f>
      </c>
      <c r="K336">
        <f>IF(ISBLANK('Data Entry'!K336), "", 'Data Entry'!K336)</f>
      </c>
      <c r="L336">
        <f>IF(ISBLANK('Data Entry'!L336), "", 'Data Entry'!L336)</f>
      </c>
      <c r="M336">
        <f>IF(ISBLANK('Data Entry'!M336), "", 'Data Entry'!M336)</f>
      </c>
      <c r="N336">
        <f>IF(ISBLANK('Data Entry'!N336), "", 'Data Entry'!N336)</f>
      </c>
      <c r="O336">
        <f>IF(ISBLANK('Data Entry'!O336), "", 'Data Entry'!O336)</f>
      </c>
      <c r="P336">
        <f>IF(ISBLANK('Data Entry'!P336), "", 'Data Entry'!P336)</f>
      </c>
      <c r="Q336">
        <f>IF(ISBLANK('Data Entry'!Q336), "", 'Data Entry'!Q336)</f>
      </c>
      <c r="R336">
        <f>IF(ISBLANK('Data Entry'!R336), "", 'Data Entry'!R336)</f>
      </c>
      <c r="S336">
        <f>IF(ISBLANK('Data Entry'!S336), "", 'Data Entry'!S336)</f>
      </c>
      <c r="T336">
        <f>IF(ISBLANK('Data Entry'!T336), "", 'Data Entry'!T336)</f>
      </c>
      <c r="U336">
        <f>IF(ISBLANK('Data Entry'!U336), "", 'Data Entry'!U336)</f>
      </c>
      <c r="V336">
        <f>IF(ISBLANK('Data Entry'!V336), "", 'Data Entry'!V336)</f>
      </c>
      <c r="W336">
        <f>IF(ISBLANK('Data Entry'!W336), "", 'Data Entry'!W336)</f>
      </c>
      <c r="X336">
        <f>IF(ISBLANK('Data Entry'!X336), "", 'Data Entry'!X336)</f>
      </c>
      <c r="Y336">
        <f>IF(ISBLANK('Data Entry'!Y336), "", 'Data Entry'!Y336)</f>
      </c>
      <c r="Z336">
        <f>IF(ISBLANK('Data Entry'!Z336), "", 'Data Entry'!Z336)</f>
      </c>
      <c r="AA336">
        <f>IF(ISBLANK('Data Entry'![336), "", 'Data Entry'![336)</f>
      </c>
      <c r="AB336">
        <f>IF(ISBLANK('Data Entry'!\336), "", 'Data Entry'!\336)</f>
      </c>
      <c r="AC336">
        <f>IF(ISBLANK('Data Entry'!]336), "", 'Data Entry'!]336)</f>
      </c>
      <c r="AD336">
        <f>IF(ISBLANK('Data Entry'!^336), "", 'Data Entry'!^336)</f>
      </c>
      <c r="AE336">
        <f>IF(ISBLANK('Data Entry'!_336), "", 'Data Entry'!_336)</f>
      </c>
      <c r="AF336">
        <f>IF(ISBLANK('Data Entry'!`336), "", 'Data Entry'!`336)</f>
      </c>
      <c r="AG336">
        <f>IF(ISBLANK('Data Entry'!a336), "", 'Data Entry'!a336)</f>
      </c>
      <c r="AH336">
        <f>IF(ISBLANK('Data Entry'!b336), "", 'Data Entry'!b336)</f>
      </c>
      <c r="AI336">
        <f>IF(ISBLANK('Data Entry'!c336), "", 'Data Entry'!c336)</f>
      </c>
      <c r="AJ336">
        <f>IF(ISBLANK('Data Entry'!d336), "", 'Data Entry'!d336)</f>
      </c>
      <c r="AK336">
        <f>IF(ISBLANK('Data Entry'!e336), "", 'Data Entry'!e336)</f>
      </c>
      <c r="AL336">
        <f>IF(ISBLANK('Data Entry'!f336), "", 'Data Entry'!f336)</f>
      </c>
      <c r="AM336">
        <f>IF(ISBLANK('Data Entry'!g336), "", 'Data Entry'!g336)</f>
      </c>
      <c r="AN336">
        <f>IF(ISBLANK('Data Entry'!h336), "", 'Data Entry'!h336)</f>
      </c>
    </row>
    <row r="337" spans="1:40" x14ac:dyDescent="0.25">
      <c r="A337">
        <f>IF(ISBLANK('Data Entry'!A337), "", 'Data Entry'!A337)</f>
      </c>
      <c r="B337">
        <f>IF(ISBLANK('Data Entry'!B337), "", 'Data Entry'!B337)</f>
      </c>
      <c r="C337">
        <f>IF(ISBLANK('Data Entry'!C337), "", 'Data Entry'!C337)</f>
      </c>
      <c r="D337">
        <f>IF(ISBLANK('Data Entry'!D337), "", 'Data Entry'!D337)</f>
      </c>
      <c r="E337">
        <f>IF(ISBLANK('Data Entry'!E337), "", 'Data Entry'!E337)</f>
      </c>
      <c r="F337">
        <f>IF(ISBLANK('Data Entry'!F337), "", 'Data Entry'!F337)</f>
      </c>
      <c r="G337">
        <f>IF(ISBLANK('Data Entry'!G337), "", 'Data Entry'!G337)</f>
      </c>
      <c r="H337">
        <f>IF(ISBLANK('Data Entry'!H337), "", 'Data Entry'!H337)</f>
      </c>
      <c r="I337">
        <f>IF(ISBLANK('Data Entry'!I337), "", 'Data Entry'!I337)</f>
      </c>
      <c r="J337">
        <f>IF(ISBLANK('Data Entry'!J337), "", 'Data Entry'!J337)</f>
      </c>
      <c r="K337">
        <f>IF(ISBLANK('Data Entry'!K337), "", 'Data Entry'!K337)</f>
      </c>
      <c r="L337">
        <f>IF(ISBLANK('Data Entry'!L337), "", 'Data Entry'!L337)</f>
      </c>
      <c r="M337">
        <f>IF(ISBLANK('Data Entry'!M337), "", 'Data Entry'!M337)</f>
      </c>
      <c r="N337">
        <f>IF(ISBLANK('Data Entry'!N337), "", 'Data Entry'!N337)</f>
      </c>
      <c r="O337">
        <f>IF(ISBLANK('Data Entry'!O337), "", 'Data Entry'!O337)</f>
      </c>
      <c r="P337">
        <f>IF(ISBLANK('Data Entry'!P337), "", 'Data Entry'!P337)</f>
      </c>
      <c r="Q337">
        <f>IF(ISBLANK('Data Entry'!Q337), "", 'Data Entry'!Q337)</f>
      </c>
      <c r="R337">
        <f>IF(ISBLANK('Data Entry'!R337), "", 'Data Entry'!R337)</f>
      </c>
      <c r="S337">
        <f>IF(ISBLANK('Data Entry'!S337), "", 'Data Entry'!S337)</f>
      </c>
      <c r="T337">
        <f>IF(ISBLANK('Data Entry'!T337), "", 'Data Entry'!T337)</f>
      </c>
      <c r="U337">
        <f>IF(ISBLANK('Data Entry'!U337), "", 'Data Entry'!U337)</f>
      </c>
      <c r="V337">
        <f>IF(ISBLANK('Data Entry'!V337), "", 'Data Entry'!V337)</f>
      </c>
      <c r="W337">
        <f>IF(ISBLANK('Data Entry'!W337), "", 'Data Entry'!W337)</f>
      </c>
      <c r="X337">
        <f>IF(ISBLANK('Data Entry'!X337), "", 'Data Entry'!X337)</f>
      </c>
      <c r="Y337">
        <f>IF(ISBLANK('Data Entry'!Y337), "", 'Data Entry'!Y337)</f>
      </c>
      <c r="Z337">
        <f>IF(ISBLANK('Data Entry'!Z337), "", 'Data Entry'!Z337)</f>
      </c>
      <c r="AA337">
        <f>IF(ISBLANK('Data Entry'![337), "", 'Data Entry'![337)</f>
      </c>
      <c r="AB337">
        <f>IF(ISBLANK('Data Entry'!\337), "", 'Data Entry'!\337)</f>
      </c>
      <c r="AC337">
        <f>IF(ISBLANK('Data Entry'!]337), "", 'Data Entry'!]337)</f>
      </c>
      <c r="AD337">
        <f>IF(ISBLANK('Data Entry'!^337), "", 'Data Entry'!^337)</f>
      </c>
      <c r="AE337">
        <f>IF(ISBLANK('Data Entry'!_337), "", 'Data Entry'!_337)</f>
      </c>
      <c r="AF337">
        <f>IF(ISBLANK('Data Entry'!`337), "", 'Data Entry'!`337)</f>
      </c>
      <c r="AG337">
        <f>IF(ISBLANK('Data Entry'!a337), "", 'Data Entry'!a337)</f>
      </c>
      <c r="AH337">
        <f>IF(ISBLANK('Data Entry'!b337), "", 'Data Entry'!b337)</f>
      </c>
      <c r="AI337">
        <f>IF(ISBLANK('Data Entry'!c337), "", 'Data Entry'!c337)</f>
      </c>
      <c r="AJ337">
        <f>IF(ISBLANK('Data Entry'!d337), "", 'Data Entry'!d337)</f>
      </c>
      <c r="AK337">
        <f>IF(ISBLANK('Data Entry'!e337), "", 'Data Entry'!e337)</f>
      </c>
      <c r="AL337">
        <f>IF(ISBLANK('Data Entry'!f337), "", 'Data Entry'!f337)</f>
      </c>
      <c r="AM337">
        <f>IF(ISBLANK('Data Entry'!g337), "", 'Data Entry'!g337)</f>
      </c>
      <c r="AN337">
        <f>IF(ISBLANK('Data Entry'!h337), "", 'Data Entry'!h337)</f>
      </c>
    </row>
    <row r="338" spans="1:40" x14ac:dyDescent="0.25">
      <c r="A338">
        <f>IF(ISBLANK('Data Entry'!A338), "", 'Data Entry'!A338)</f>
      </c>
      <c r="B338">
        <f>IF(ISBLANK('Data Entry'!B338), "", 'Data Entry'!B338)</f>
      </c>
      <c r="C338">
        <f>IF(ISBLANK('Data Entry'!C338), "", 'Data Entry'!C338)</f>
      </c>
      <c r="D338">
        <f>IF(ISBLANK('Data Entry'!D338), "", 'Data Entry'!D338)</f>
      </c>
      <c r="E338">
        <f>IF(ISBLANK('Data Entry'!E338), "", 'Data Entry'!E338)</f>
      </c>
      <c r="F338">
        <f>IF(ISBLANK('Data Entry'!F338), "", 'Data Entry'!F338)</f>
      </c>
      <c r="G338">
        <f>IF(ISBLANK('Data Entry'!G338), "", 'Data Entry'!G338)</f>
      </c>
      <c r="H338">
        <f>IF(ISBLANK('Data Entry'!H338), "", 'Data Entry'!H338)</f>
      </c>
      <c r="I338">
        <f>IF(ISBLANK('Data Entry'!I338), "", 'Data Entry'!I338)</f>
      </c>
      <c r="J338">
        <f>IF(ISBLANK('Data Entry'!J338), "", 'Data Entry'!J338)</f>
      </c>
      <c r="K338">
        <f>IF(ISBLANK('Data Entry'!K338), "", 'Data Entry'!K338)</f>
      </c>
      <c r="L338">
        <f>IF(ISBLANK('Data Entry'!L338), "", 'Data Entry'!L338)</f>
      </c>
      <c r="M338">
        <f>IF(ISBLANK('Data Entry'!M338), "", 'Data Entry'!M338)</f>
      </c>
      <c r="N338">
        <f>IF(ISBLANK('Data Entry'!N338), "", 'Data Entry'!N338)</f>
      </c>
      <c r="O338">
        <f>IF(ISBLANK('Data Entry'!O338), "", 'Data Entry'!O338)</f>
      </c>
      <c r="P338">
        <f>IF(ISBLANK('Data Entry'!P338), "", 'Data Entry'!P338)</f>
      </c>
      <c r="Q338">
        <f>IF(ISBLANK('Data Entry'!Q338), "", 'Data Entry'!Q338)</f>
      </c>
      <c r="R338">
        <f>IF(ISBLANK('Data Entry'!R338), "", 'Data Entry'!R338)</f>
      </c>
      <c r="S338">
        <f>IF(ISBLANK('Data Entry'!S338), "", 'Data Entry'!S338)</f>
      </c>
      <c r="T338">
        <f>IF(ISBLANK('Data Entry'!T338), "", 'Data Entry'!T338)</f>
      </c>
      <c r="U338">
        <f>IF(ISBLANK('Data Entry'!U338), "", 'Data Entry'!U338)</f>
      </c>
      <c r="V338">
        <f>IF(ISBLANK('Data Entry'!V338), "", 'Data Entry'!V338)</f>
      </c>
      <c r="W338">
        <f>IF(ISBLANK('Data Entry'!W338), "", 'Data Entry'!W338)</f>
      </c>
      <c r="X338">
        <f>IF(ISBLANK('Data Entry'!X338), "", 'Data Entry'!X338)</f>
      </c>
      <c r="Y338">
        <f>IF(ISBLANK('Data Entry'!Y338), "", 'Data Entry'!Y338)</f>
      </c>
      <c r="Z338">
        <f>IF(ISBLANK('Data Entry'!Z338), "", 'Data Entry'!Z338)</f>
      </c>
      <c r="AA338">
        <f>IF(ISBLANK('Data Entry'![338), "", 'Data Entry'![338)</f>
      </c>
      <c r="AB338">
        <f>IF(ISBLANK('Data Entry'!\338), "", 'Data Entry'!\338)</f>
      </c>
      <c r="AC338">
        <f>IF(ISBLANK('Data Entry'!]338), "", 'Data Entry'!]338)</f>
      </c>
      <c r="AD338">
        <f>IF(ISBLANK('Data Entry'!^338), "", 'Data Entry'!^338)</f>
      </c>
      <c r="AE338">
        <f>IF(ISBLANK('Data Entry'!_338), "", 'Data Entry'!_338)</f>
      </c>
      <c r="AF338">
        <f>IF(ISBLANK('Data Entry'!`338), "", 'Data Entry'!`338)</f>
      </c>
      <c r="AG338">
        <f>IF(ISBLANK('Data Entry'!a338), "", 'Data Entry'!a338)</f>
      </c>
      <c r="AH338">
        <f>IF(ISBLANK('Data Entry'!b338), "", 'Data Entry'!b338)</f>
      </c>
      <c r="AI338">
        <f>IF(ISBLANK('Data Entry'!c338), "", 'Data Entry'!c338)</f>
      </c>
      <c r="AJ338">
        <f>IF(ISBLANK('Data Entry'!d338), "", 'Data Entry'!d338)</f>
      </c>
      <c r="AK338">
        <f>IF(ISBLANK('Data Entry'!e338), "", 'Data Entry'!e338)</f>
      </c>
      <c r="AL338">
        <f>IF(ISBLANK('Data Entry'!f338), "", 'Data Entry'!f338)</f>
      </c>
      <c r="AM338">
        <f>IF(ISBLANK('Data Entry'!g338), "", 'Data Entry'!g338)</f>
      </c>
      <c r="AN338">
        <f>IF(ISBLANK('Data Entry'!h338), "", 'Data Entry'!h338)</f>
      </c>
    </row>
    <row r="339" spans="1:40" x14ac:dyDescent="0.25">
      <c r="A339">
        <f>IF(ISBLANK('Data Entry'!A339), "", 'Data Entry'!A339)</f>
      </c>
      <c r="B339">
        <f>IF(ISBLANK('Data Entry'!B339), "", 'Data Entry'!B339)</f>
      </c>
      <c r="C339">
        <f>IF(ISBLANK('Data Entry'!C339), "", 'Data Entry'!C339)</f>
      </c>
      <c r="D339">
        <f>IF(ISBLANK('Data Entry'!D339), "", 'Data Entry'!D339)</f>
      </c>
      <c r="E339">
        <f>IF(ISBLANK('Data Entry'!E339), "", 'Data Entry'!E339)</f>
      </c>
      <c r="F339">
        <f>IF(ISBLANK('Data Entry'!F339), "", 'Data Entry'!F339)</f>
      </c>
      <c r="G339">
        <f>IF(ISBLANK('Data Entry'!G339), "", 'Data Entry'!G339)</f>
      </c>
      <c r="H339">
        <f>IF(ISBLANK('Data Entry'!H339), "", 'Data Entry'!H339)</f>
      </c>
      <c r="I339">
        <f>IF(ISBLANK('Data Entry'!I339), "", 'Data Entry'!I339)</f>
      </c>
      <c r="J339">
        <f>IF(ISBLANK('Data Entry'!J339), "", 'Data Entry'!J339)</f>
      </c>
      <c r="K339">
        <f>IF(ISBLANK('Data Entry'!K339), "", 'Data Entry'!K339)</f>
      </c>
      <c r="L339">
        <f>IF(ISBLANK('Data Entry'!L339), "", 'Data Entry'!L339)</f>
      </c>
      <c r="M339">
        <f>IF(ISBLANK('Data Entry'!M339), "", 'Data Entry'!M339)</f>
      </c>
      <c r="N339">
        <f>IF(ISBLANK('Data Entry'!N339), "", 'Data Entry'!N339)</f>
      </c>
      <c r="O339">
        <f>IF(ISBLANK('Data Entry'!O339), "", 'Data Entry'!O339)</f>
      </c>
      <c r="P339">
        <f>IF(ISBLANK('Data Entry'!P339), "", 'Data Entry'!P339)</f>
      </c>
      <c r="Q339">
        <f>IF(ISBLANK('Data Entry'!Q339), "", 'Data Entry'!Q339)</f>
      </c>
      <c r="R339">
        <f>IF(ISBLANK('Data Entry'!R339), "", 'Data Entry'!R339)</f>
      </c>
      <c r="S339">
        <f>IF(ISBLANK('Data Entry'!S339), "", 'Data Entry'!S339)</f>
      </c>
      <c r="T339">
        <f>IF(ISBLANK('Data Entry'!T339), "", 'Data Entry'!T339)</f>
      </c>
      <c r="U339">
        <f>IF(ISBLANK('Data Entry'!U339), "", 'Data Entry'!U339)</f>
      </c>
      <c r="V339">
        <f>IF(ISBLANK('Data Entry'!V339), "", 'Data Entry'!V339)</f>
      </c>
      <c r="W339">
        <f>IF(ISBLANK('Data Entry'!W339), "", 'Data Entry'!W339)</f>
      </c>
      <c r="X339">
        <f>IF(ISBLANK('Data Entry'!X339), "", 'Data Entry'!X339)</f>
      </c>
      <c r="Y339">
        <f>IF(ISBLANK('Data Entry'!Y339), "", 'Data Entry'!Y339)</f>
      </c>
      <c r="Z339">
        <f>IF(ISBLANK('Data Entry'!Z339), "", 'Data Entry'!Z339)</f>
      </c>
      <c r="AA339">
        <f>IF(ISBLANK('Data Entry'![339), "", 'Data Entry'![339)</f>
      </c>
      <c r="AB339">
        <f>IF(ISBLANK('Data Entry'!\339), "", 'Data Entry'!\339)</f>
      </c>
      <c r="AC339">
        <f>IF(ISBLANK('Data Entry'!]339), "", 'Data Entry'!]339)</f>
      </c>
      <c r="AD339">
        <f>IF(ISBLANK('Data Entry'!^339), "", 'Data Entry'!^339)</f>
      </c>
      <c r="AE339">
        <f>IF(ISBLANK('Data Entry'!_339), "", 'Data Entry'!_339)</f>
      </c>
      <c r="AF339">
        <f>IF(ISBLANK('Data Entry'!`339), "", 'Data Entry'!`339)</f>
      </c>
      <c r="AG339">
        <f>IF(ISBLANK('Data Entry'!a339), "", 'Data Entry'!a339)</f>
      </c>
      <c r="AH339">
        <f>IF(ISBLANK('Data Entry'!b339), "", 'Data Entry'!b339)</f>
      </c>
      <c r="AI339">
        <f>IF(ISBLANK('Data Entry'!c339), "", 'Data Entry'!c339)</f>
      </c>
      <c r="AJ339">
        <f>IF(ISBLANK('Data Entry'!d339), "", 'Data Entry'!d339)</f>
      </c>
      <c r="AK339">
        <f>IF(ISBLANK('Data Entry'!e339), "", 'Data Entry'!e339)</f>
      </c>
      <c r="AL339">
        <f>IF(ISBLANK('Data Entry'!f339), "", 'Data Entry'!f339)</f>
      </c>
      <c r="AM339">
        <f>IF(ISBLANK('Data Entry'!g339), "", 'Data Entry'!g339)</f>
      </c>
      <c r="AN339">
        <f>IF(ISBLANK('Data Entry'!h339), "", 'Data Entry'!h339)</f>
      </c>
    </row>
    <row r="340" spans="1:40" x14ac:dyDescent="0.25">
      <c r="A340">
        <f>IF(ISBLANK('Data Entry'!A340), "", 'Data Entry'!A340)</f>
      </c>
      <c r="B340">
        <f>IF(ISBLANK('Data Entry'!B340), "", 'Data Entry'!B340)</f>
      </c>
      <c r="C340">
        <f>IF(ISBLANK('Data Entry'!C340), "", 'Data Entry'!C340)</f>
      </c>
      <c r="D340">
        <f>IF(ISBLANK('Data Entry'!D340), "", 'Data Entry'!D340)</f>
      </c>
      <c r="E340">
        <f>IF(ISBLANK('Data Entry'!E340), "", 'Data Entry'!E340)</f>
      </c>
      <c r="F340">
        <f>IF(ISBLANK('Data Entry'!F340), "", 'Data Entry'!F340)</f>
      </c>
      <c r="G340">
        <f>IF(ISBLANK('Data Entry'!G340), "", 'Data Entry'!G340)</f>
      </c>
      <c r="H340">
        <f>IF(ISBLANK('Data Entry'!H340), "", 'Data Entry'!H340)</f>
      </c>
      <c r="I340">
        <f>IF(ISBLANK('Data Entry'!I340), "", 'Data Entry'!I340)</f>
      </c>
      <c r="J340">
        <f>IF(ISBLANK('Data Entry'!J340), "", 'Data Entry'!J340)</f>
      </c>
      <c r="K340">
        <f>IF(ISBLANK('Data Entry'!K340), "", 'Data Entry'!K340)</f>
      </c>
      <c r="L340">
        <f>IF(ISBLANK('Data Entry'!L340), "", 'Data Entry'!L340)</f>
      </c>
      <c r="M340">
        <f>IF(ISBLANK('Data Entry'!M340), "", 'Data Entry'!M340)</f>
      </c>
      <c r="N340">
        <f>IF(ISBLANK('Data Entry'!N340), "", 'Data Entry'!N340)</f>
      </c>
      <c r="O340">
        <f>IF(ISBLANK('Data Entry'!O340), "", 'Data Entry'!O340)</f>
      </c>
      <c r="P340">
        <f>IF(ISBLANK('Data Entry'!P340), "", 'Data Entry'!P340)</f>
      </c>
      <c r="Q340">
        <f>IF(ISBLANK('Data Entry'!Q340), "", 'Data Entry'!Q340)</f>
      </c>
      <c r="R340">
        <f>IF(ISBLANK('Data Entry'!R340), "", 'Data Entry'!R340)</f>
      </c>
      <c r="S340">
        <f>IF(ISBLANK('Data Entry'!S340), "", 'Data Entry'!S340)</f>
      </c>
      <c r="T340">
        <f>IF(ISBLANK('Data Entry'!T340), "", 'Data Entry'!T340)</f>
      </c>
      <c r="U340">
        <f>IF(ISBLANK('Data Entry'!U340), "", 'Data Entry'!U340)</f>
      </c>
      <c r="V340">
        <f>IF(ISBLANK('Data Entry'!V340), "", 'Data Entry'!V340)</f>
      </c>
      <c r="W340">
        <f>IF(ISBLANK('Data Entry'!W340), "", 'Data Entry'!W340)</f>
      </c>
      <c r="X340">
        <f>IF(ISBLANK('Data Entry'!X340), "", 'Data Entry'!X340)</f>
      </c>
      <c r="Y340">
        <f>IF(ISBLANK('Data Entry'!Y340), "", 'Data Entry'!Y340)</f>
      </c>
      <c r="Z340">
        <f>IF(ISBLANK('Data Entry'!Z340), "", 'Data Entry'!Z340)</f>
      </c>
      <c r="AA340">
        <f>IF(ISBLANK('Data Entry'![340), "", 'Data Entry'![340)</f>
      </c>
      <c r="AB340">
        <f>IF(ISBLANK('Data Entry'!\340), "", 'Data Entry'!\340)</f>
      </c>
      <c r="AC340">
        <f>IF(ISBLANK('Data Entry'!]340), "", 'Data Entry'!]340)</f>
      </c>
      <c r="AD340">
        <f>IF(ISBLANK('Data Entry'!^340), "", 'Data Entry'!^340)</f>
      </c>
      <c r="AE340">
        <f>IF(ISBLANK('Data Entry'!_340), "", 'Data Entry'!_340)</f>
      </c>
      <c r="AF340">
        <f>IF(ISBLANK('Data Entry'!`340), "", 'Data Entry'!`340)</f>
      </c>
      <c r="AG340">
        <f>IF(ISBLANK('Data Entry'!a340), "", 'Data Entry'!a340)</f>
      </c>
      <c r="AH340">
        <f>IF(ISBLANK('Data Entry'!b340), "", 'Data Entry'!b340)</f>
      </c>
      <c r="AI340">
        <f>IF(ISBLANK('Data Entry'!c340), "", 'Data Entry'!c340)</f>
      </c>
      <c r="AJ340">
        <f>IF(ISBLANK('Data Entry'!d340), "", 'Data Entry'!d340)</f>
      </c>
      <c r="AK340">
        <f>IF(ISBLANK('Data Entry'!e340), "", 'Data Entry'!e340)</f>
      </c>
      <c r="AL340">
        <f>IF(ISBLANK('Data Entry'!f340), "", 'Data Entry'!f340)</f>
      </c>
      <c r="AM340">
        <f>IF(ISBLANK('Data Entry'!g340), "", 'Data Entry'!g340)</f>
      </c>
      <c r="AN340">
        <f>IF(ISBLANK('Data Entry'!h340), "", 'Data Entry'!h340)</f>
      </c>
    </row>
    <row r="341" spans="1:40" x14ac:dyDescent="0.25">
      <c r="A341">
        <f>IF(ISBLANK('Data Entry'!A341), "", 'Data Entry'!A341)</f>
      </c>
      <c r="B341">
        <f>IF(ISBLANK('Data Entry'!B341), "", 'Data Entry'!B341)</f>
      </c>
      <c r="C341">
        <f>IF(ISBLANK('Data Entry'!C341), "", 'Data Entry'!C341)</f>
      </c>
      <c r="D341">
        <f>IF(ISBLANK('Data Entry'!D341), "", 'Data Entry'!D341)</f>
      </c>
      <c r="E341">
        <f>IF(ISBLANK('Data Entry'!E341), "", 'Data Entry'!E341)</f>
      </c>
      <c r="F341">
        <f>IF(ISBLANK('Data Entry'!F341), "", 'Data Entry'!F341)</f>
      </c>
      <c r="G341">
        <f>IF(ISBLANK('Data Entry'!G341), "", 'Data Entry'!G341)</f>
      </c>
      <c r="H341">
        <f>IF(ISBLANK('Data Entry'!H341), "", 'Data Entry'!H341)</f>
      </c>
      <c r="I341">
        <f>IF(ISBLANK('Data Entry'!I341), "", 'Data Entry'!I341)</f>
      </c>
      <c r="J341">
        <f>IF(ISBLANK('Data Entry'!J341), "", 'Data Entry'!J341)</f>
      </c>
      <c r="K341">
        <f>IF(ISBLANK('Data Entry'!K341), "", 'Data Entry'!K341)</f>
      </c>
      <c r="L341">
        <f>IF(ISBLANK('Data Entry'!L341), "", 'Data Entry'!L341)</f>
      </c>
      <c r="M341">
        <f>IF(ISBLANK('Data Entry'!M341), "", 'Data Entry'!M341)</f>
      </c>
      <c r="N341">
        <f>IF(ISBLANK('Data Entry'!N341), "", 'Data Entry'!N341)</f>
      </c>
      <c r="O341">
        <f>IF(ISBLANK('Data Entry'!O341), "", 'Data Entry'!O341)</f>
      </c>
      <c r="P341">
        <f>IF(ISBLANK('Data Entry'!P341), "", 'Data Entry'!P341)</f>
      </c>
      <c r="Q341">
        <f>IF(ISBLANK('Data Entry'!Q341), "", 'Data Entry'!Q341)</f>
      </c>
      <c r="R341">
        <f>IF(ISBLANK('Data Entry'!R341), "", 'Data Entry'!R341)</f>
      </c>
      <c r="S341">
        <f>IF(ISBLANK('Data Entry'!S341), "", 'Data Entry'!S341)</f>
      </c>
      <c r="T341">
        <f>IF(ISBLANK('Data Entry'!T341), "", 'Data Entry'!T341)</f>
      </c>
      <c r="U341">
        <f>IF(ISBLANK('Data Entry'!U341), "", 'Data Entry'!U341)</f>
      </c>
      <c r="V341">
        <f>IF(ISBLANK('Data Entry'!V341), "", 'Data Entry'!V341)</f>
      </c>
      <c r="W341">
        <f>IF(ISBLANK('Data Entry'!W341), "", 'Data Entry'!W341)</f>
      </c>
      <c r="X341">
        <f>IF(ISBLANK('Data Entry'!X341), "", 'Data Entry'!X341)</f>
      </c>
      <c r="Y341">
        <f>IF(ISBLANK('Data Entry'!Y341), "", 'Data Entry'!Y341)</f>
      </c>
      <c r="Z341">
        <f>IF(ISBLANK('Data Entry'!Z341), "", 'Data Entry'!Z341)</f>
      </c>
      <c r="AA341">
        <f>IF(ISBLANK('Data Entry'![341), "", 'Data Entry'![341)</f>
      </c>
      <c r="AB341">
        <f>IF(ISBLANK('Data Entry'!\341), "", 'Data Entry'!\341)</f>
      </c>
      <c r="AC341">
        <f>IF(ISBLANK('Data Entry'!]341), "", 'Data Entry'!]341)</f>
      </c>
      <c r="AD341">
        <f>IF(ISBLANK('Data Entry'!^341), "", 'Data Entry'!^341)</f>
      </c>
      <c r="AE341">
        <f>IF(ISBLANK('Data Entry'!_341), "", 'Data Entry'!_341)</f>
      </c>
      <c r="AF341">
        <f>IF(ISBLANK('Data Entry'!`341), "", 'Data Entry'!`341)</f>
      </c>
      <c r="AG341">
        <f>IF(ISBLANK('Data Entry'!a341), "", 'Data Entry'!a341)</f>
      </c>
      <c r="AH341">
        <f>IF(ISBLANK('Data Entry'!b341), "", 'Data Entry'!b341)</f>
      </c>
      <c r="AI341">
        <f>IF(ISBLANK('Data Entry'!c341), "", 'Data Entry'!c341)</f>
      </c>
      <c r="AJ341">
        <f>IF(ISBLANK('Data Entry'!d341), "", 'Data Entry'!d341)</f>
      </c>
      <c r="AK341">
        <f>IF(ISBLANK('Data Entry'!e341), "", 'Data Entry'!e341)</f>
      </c>
      <c r="AL341">
        <f>IF(ISBLANK('Data Entry'!f341), "", 'Data Entry'!f341)</f>
      </c>
      <c r="AM341">
        <f>IF(ISBLANK('Data Entry'!g341), "", 'Data Entry'!g341)</f>
      </c>
      <c r="AN341">
        <f>IF(ISBLANK('Data Entry'!h341), "", 'Data Entry'!h341)</f>
      </c>
    </row>
    <row r="342" spans="1:40" x14ac:dyDescent="0.25">
      <c r="A342">
        <f>IF(ISBLANK('Data Entry'!A342), "", 'Data Entry'!A342)</f>
      </c>
      <c r="B342">
        <f>IF(ISBLANK('Data Entry'!B342), "", 'Data Entry'!B342)</f>
      </c>
      <c r="C342">
        <f>IF(ISBLANK('Data Entry'!C342), "", 'Data Entry'!C342)</f>
      </c>
      <c r="D342">
        <f>IF(ISBLANK('Data Entry'!D342), "", 'Data Entry'!D342)</f>
      </c>
      <c r="E342">
        <f>IF(ISBLANK('Data Entry'!E342), "", 'Data Entry'!E342)</f>
      </c>
      <c r="F342">
        <f>IF(ISBLANK('Data Entry'!F342), "", 'Data Entry'!F342)</f>
      </c>
      <c r="G342">
        <f>IF(ISBLANK('Data Entry'!G342), "", 'Data Entry'!G342)</f>
      </c>
      <c r="H342">
        <f>IF(ISBLANK('Data Entry'!H342), "", 'Data Entry'!H342)</f>
      </c>
      <c r="I342">
        <f>IF(ISBLANK('Data Entry'!I342), "", 'Data Entry'!I342)</f>
      </c>
      <c r="J342">
        <f>IF(ISBLANK('Data Entry'!J342), "", 'Data Entry'!J342)</f>
      </c>
      <c r="K342">
        <f>IF(ISBLANK('Data Entry'!K342), "", 'Data Entry'!K342)</f>
      </c>
      <c r="L342">
        <f>IF(ISBLANK('Data Entry'!L342), "", 'Data Entry'!L342)</f>
      </c>
      <c r="M342">
        <f>IF(ISBLANK('Data Entry'!M342), "", 'Data Entry'!M342)</f>
      </c>
      <c r="N342">
        <f>IF(ISBLANK('Data Entry'!N342), "", 'Data Entry'!N342)</f>
      </c>
      <c r="O342">
        <f>IF(ISBLANK('Data Entry'!O342), "", 'Data Entry'!O342)</f>
      </c>
      <c r="P342">
        <f>IF(ISBLANK('Data Entry'!P342), "", 'Data Entry'!P342)</f>
      </c>
      <c r="Q342">
        <f>IF(ISBLANK('Data Entry'!Q342), "", 'Data Entry'!Q342)</f>
      </c>
      <c r="R342">
        <f>IF(ISBLANK('Data Entry'!R342), "", 'Data Entry'!R342)</f>
      </c>
      <c r="S342">
        <f>IF(ISBLANK('Data Entry'!S342), "", 'Data Entry'!S342)</f>
      </c>
      <c r="T342">
        <f>IF(ISBLANK('Data Entry'!T342), "", 'Data Entry'!T342)</f>
      </c>
      <c r="U342">
        <f>IF(ISBLANK('Data Entry'!U342), "", 'Data Entry'!U342)</f>
      </c>
      <c r="V342">
        <f>IF(ISBLANK('Data Entry'!V342), "", 'Data Entry'!V342)</f>
      </c>
      <c r="W342">
        <f>IF(ISBLANK('Data Entry'!W342), "", 'Data Entry'!W342)</f>
      </c>
      <c r="X342">
        <f>IF(ISBLANK('Data Entry'!X342), "", 'Data Entry'!X342)</f>
      </c>
      <c r="Y342">
        <f>IF(ISBLANK('Data Entry'!Y342), "", 'Data Entry'!Y342)</f>
      </c>
      <c r="Z342">
        <f>IF(ISBLANK('Data Entry'!Z342), "", 'Data Entry'!Z342)</f>
      </c>
      <c r="AA342">
        <f>IF(ISBLANK('Data Entry'![342), "", 'Data Entry'![342)</f>
      </c>
      <c r="AB342">
        <f>IF(ISBLANK('Data Entry'!\342), "", 'Data Entry'!\342)</f>
      </c>
      <c r="AC342">
        <f>IF(ISBLANK('Data Entry'!]342), "", 'Data Entry'!]342)</f>
      </c>
      <c r="AD342">
        <f>IF(ISBLANK('Data Entry'!^342), "", 'Data Entry'!^342)</f>
      </c>
      <c r="AE342">
        <f>IF(ISBLANK('Data Entry'!_342), "", 'Data Entry'!_342)</f>
      </c>
      <c r="AF342">
        <f>IF(ISBLANK('Data Entry'!`342), "", 'Data Entry'!`342)</f>
      </c>
      <c r="AG342">
        <f>IF(ISBLANK('Data Entry'!a342), "", 'Data Entry'!a342)</f>
      </c>
      <c r="AH342">
        <f>IF(ISBLANK('Data Entry'!b342), "", 'Data Entry'!b342)</f>
      </c>
      <c r="AI342">
        <f>IF(ISBLANK('Data Entry'!c342), "", 'Data Entry'!c342)</f>
      </c>
      <c r="AJ342">
        <f>IF(ISBLANK('Data Entry'!d342), "", 'Data Entry'!d342)</f>
      </c>
      <c r="AK342">
        <f>IF(ISBLANK('Data Entry'!e342), "", 'Data Entry'!e342)</f>
      </c>
      <c r="AL342">
        <f>IF(ISBLANK('Data Entry'!f342), "", 'Data Entry'!f342)</f>
      </c>
      <c r="AM342">
        <f>IF(ISBLANK('Data Entry'!g342), "", 'Data Entry'!g342)</f>
      </c>
      <c r="AN342">
        <f>IF(ISBLANK('Data Entry'!h342), "", 'Data Entry'!h342)</f>
      </c>
    </row>
    <row r="343" spans="1:40" x14ac:dyDescent="0.25">
      <c r="A343">
        <f>IF(ISBLANK('Data Entry'!A343), "", 'Data Entry'!A343)</f>
      </c>
      <c r="B343">
        <f>IF(ISBLANK('Data Entry'!B343), "", 'Data Entry'!B343)</f>
      </c>
      <c r="C343">
        <f>IF(ISBLANK('Data Entry'!C343), "", 'Data Entry'!C343)</f>
      </c>
      <c r="D343">
        <f>IF(ISBLANK('Data Entry'!D343), "", 'Data Entry'!D343)</f>
      </c>
      <c r="E343">
        <f>IF(ISBLANK('Data Entry'!E343), "", 'Data Entry'!E343)</f>
      </c>
      <c r="F343">
        <f>IF(ISBLANK('Data Entry'!F343), "", 'Data Entry'!F343)</f>
      </c>
      <c r="G343">
        <f>IF(ISBLANK('Data Entry'!G343), "", 'Data Entry'!G343)</f>
      </c>
      <c r="H343">
        <f>IF(ISBLANK('Data Entry'!H343), "", 'Data Entry'!H343)</f>
      </c>
      <c r="I343">
        <f>IF(ISBLANK('Data Entry'!I343), "", 'Data Entry'!I343)</f>
      </c>
      <c r="J343">
        <f>IF(ISBLANK('Data Entry'!J343), "", 'Data Entry'!J343)</f>
      </c>
      <c r="K343">
        <f>IF(ISBLANK('Data Entry'!K343), "", 'Data Entry'!K343)</f>
      </c>
      <c r="L343">
        <f>IF(ISBLANK('Data Entry'!L343), "", 'Data Entry'!L343)</f>
      </c>
      <c r="M343">
        <f>IF(ISBLANK('Data Entry'!M343), "", 'Data Entry'!M343)</f>
      </c>
      <c r="N343">
        <f>IF(ISBLANK('Data Entry'!N343), "", 'Data Entry'!N343)</f>
      </c>
      <c r="O343">
        <f>IF(ISBLANK('Data Entry'!O343), "", 'Data Entry'!O343)</f>
      </c>
      <c r="P343">
        <f>IF(ISBLANK('Data Entry'!P343), "", 'Data Entry'!P343)</f>
      </c>
      <c r="Q343">
        <f>IF(ISBLANK('Data Entry'!Q343), "", 'Data Entry'!Q343)</f>
      </c>
      <c r="R343">
        <f>IF(ISBLANK('Data Entry'!R343), "", 'Data Entry'!R343)</f>
      </c>
      <c r="S343">
        <f>IF(ISBLANK('Data Entry'!S343), "", 'Data Entry'!S343)</f>
      </c>
      <c r="T343">
        <f>IF(ISBLANK('Data Entry'!T343), "", 'Data Entry'!T343)</f>
      </c>
      <c r="U343">
        <f>IF(ISBLANK('Data Entry'!U343), "", 'Data Entry'!U343)</f>
      </c>
      <c r="V343">
        <f>IF(ISBLANK('Data Entry'!V343), "", 'Data Entry'!V343)</f>
      </c>
      <c r="W343">
        <f>IF(ISBLANK('Data Entry'!W343), "", 'Data Entry'!W343)</f>
      </c>
      <c r="X343">
        <f>IF(ISBLANK('Data Entry'!X343), "", 'Data Entry'!X343)</f>
      </c>
      <c r="Y343">
        <f>IF(ISBLANK('Data Entry'!Y343), "", 'Data Entry'!Y343)</f>
      </c>
      <c r="Z343">
        <f>IF(ISBLANK('Data Entry'!Z343), "", 'Data Entry'!Z343)</f>
      </c>
      <c r="AA343">
        <f>IF(ISBLANK('Data Entry'![343), "", 'Data Entry'![343)</f>
      </c>
      <c r="AB343">
        <f>IF(ISBLANK('Data Entry'!\343), "", 'Data Entry'!\343)</f>
      </c>
      <c r="AC343">
        <f>IF(ISBLANK('Data Entry'!]343), "", 'Data Entry'!]343)</f>
      </c>
      <c r="AD343">
        <f>IF(ISBLANK('Data Entry'!^343), "", 'Data Entry'!^343)</f>
      </c>
      <c r="AE343">
        <f>IF(ISBLANK('Data Entry'!_343), "", 'Data Entry'!_343)</f>
      </c>
      <c r="AF343">
        <f>IF(ISBLANK('Data Entry'!`343), "", 'Data Entry'!`343)</f>
      </c>
      <c r="AG343">
        <f>IF(ISBLANK('Data Entry'!a343), "", 'Data Entry'!a343)</f>
      </c>
      <c r="AH343">
        <f>IF(ISBLANK('Data Entry'!b343), "", 'Data Entry'!b343)</f>
      </c>
      <c r="AI343">
        <f>IF(ISBLANK('Data Entry'!c343), "", 'Data Entry'!c343)</f>
      </c>
      <c r="AJ343">
        <f>IF(ISBLANK('Data Entry'!d343), "", 'Data Entry'!d343)</f>
      </c>
      <c r="AK343">
        <f>IF(ISBLANK('Data Entry'!e343), "", 'Data Entry'!e343)</f>
      </c>
      <c r="AL343">
        <f>IF(ISBLANK('Data Entry'!f343), "", 'Data Entry'!f343)</f>
      </c>
      <c r="AM343">
        <f>IF(ISBLANK('Data Entry'!g343), "", 'Data Entry'!g343)</f>
      </c>
      <c r="AN343">
        <f>IF(ISBLANK('Data Entry'!h343), "", 'Data Entry'!h343)</f>
      </c>
    </row>
    <row r="344" spans="1:40" x14ac:dyDescent="0.25">
      <c r="A344">
        <f>IF(ISBLANK('Data Entry'!A344), "", 'Data Entry'!A344)</f>
      </c>
      <c r="B344">
        <f>IF(ISBLANK('Data Entry'!B344), "", 'Data Entry'!B344)</f>
      </c>
      <c r="C344">
        <f>IF(ISBLANK('Data Entry'!C344), "", 'Data Entry'!C344)</f>
      </c>
      <c r="D344">
        <f>IF(ISBLANK('Data Entry'!D344), "", 'Data Entry'!D344)</f>
      </c>
      <c r="E344">
        <f>IF(ISBLANK('Data Entry'!E344), "", 'Data Entry'!E344)</f>
      </c>
      <c r="F344">
        <f>IF(ISBLANK('Data Entry'!F344), "", 'Data Entry'!F344)</f>
      </c>
      <c r="G344">
        <f>IF(ISBLANK('Data Entry'!G344), "", 'Data Entry'!G344)</f>
      </c>
      <c r="H344">
        <f>IF(ISBLANK('Data Entry'!H344), "", 'Data Entry'!H344)</f>
      </c>
      <c r="I344">
        <f>IF(ISBLANK('Data Entry'!I344), "", 'Data Entry'!I344)</f>
      </c>
      <c r="J344">
        <f>IF(ISBLANK('Data Entry'!J344), "", 'Data Entry'!J344)</f>
      </c>
      <c r="K344">
        <f>IF(ISBLANK('Data Entry'!K344), "", 'Data Entry'!K344)</f>
      </c>
      <c r="L344">
        <f>IF(ISBLANK('Data Entry'!L344), "", 'Data Entry'!L344)</f>
      </c>
      <c r="M344">
        <f>IF(ISBLANK('Data Entry'!M344), "", 'Data Entry'!M344)</f>
      </c>
      <c r="N344">
        <f>IF(ISBLANK('Data Entry'!N344), "", 'Data Entry'!N344)</f>
      </c>
      <c r="O344">
        <f>IF(ISBLANK('Data Entry'!O344), "", 'Data Entry'!O344)</f>
      </c>
      <c r="P344">
        <f>IF(ISBLANK('Data Entry'!P344), "", 'Data Entry'!P344)</f>
      </c>
      <c r="Q344">
        <f>IF(ISBLANK('Data Entry'!Q344), "", 'Data Entry'!Q344)</f>
      </c>
      <c r="R344">
        <f>IF(ISBLANK('Data Entry'!R344), "", 'Data Entry'!R344)</f>
      </c>
      <c r="S344">
        <f>IF(ISBLANK('Data Entry'!S344), "", 'Data Entry'!S344)</f>
      </c>
      <c r="T344">
        <f>IF(ISBLANK('Data Entry'!T344), "", 'Data Entry'!T344)</f>
      </c>
      <c r="U344">
        <f>IF(ISBLANK('Data Entry'!U344), "", 'Data Entry'!U344)</f>
      </c>
      <c r="V344">
        <f>IF(ISBLANK('Data Entry'!V344), "", 'Data Entry'!V344)</f>
      </c>
      <c r="W344">
        <f>IF(ISBLANK('Data Entry'!W344), "", 'Data Entry'!W344)</f>
      </c>
      <c r="X344">
        <f>IF(ISBLANK('Data Entry'!X344), "", 'Data Entry'!X344)</f>
      </c>
      <c r="Y344">
        <f>IF(ISBLANK('Data Entry'!Y344), "", 'Data Entry'!Y344)</f>
      </c>
      <c r="Z344">
        <f>IF(ISBLANK('Data Entry'!Z344), "", 'Data Entry'!Z344)</f>
      </c>
      <c r="AA344">
        <f>IF(ISBLANK('Data Entry'![344), "", 'Data Entry'![344)</f>
      </c>
      <c r="AB344">
        <f>IF(ISBLANK('Data Entry'!\344), "", 'Data Entry'!\344)</f>
      </c>
      <c r="AC344">
        <f>IF(ISBLANK('Data Entry'!]344), "", 'Data Entry'!]344)</f>
      </c>
      <c r="AD344">
        <f>IF(ISBLANK('Data Entry'!^344), "", 'Data Entry'!^344)</f>
      </c>
      <c r="AE344">
        <f>IF(ISBLANK('Data Entry'!_344), "", 'Data Entry'!_344)</f>
      </c>
      <c r="AF344">
        <f>IF(ISBLANK('Data Entry'!`344), "", 'Data Entry'!`344)</f>
      </c>
      <c r="AG344">
        <f>IF(ISBLANK('Data Entry'!a344), "", 'Data Entry'!a344)</f>
      </c>
      <c r="AH344">
        <f>IF(ISBLANK('Data Entry'!b344), "", 'Data Entry'!b344)</f>
      </c>
      <c r="AI344">
        <f>IF(ISBLANK('Data Entry'!c344), "", 'Data Entry'!c344)</f>
      </c>
      <c r="AJ344">
        <f>IF(ISBLANK('Data Entry'!d344), "", 'Data Entry'!d344)</f>
      </c>
      <c r="AK344">
        <f>IF(ISBLANK('Data Entry'!e344), "", 'Data Entry'!e344)</f>
      </c>
      <c r="AL344">
        <f>IF(ISBLANK('Data Entry'!f344), "", 'Data Entry'!f344)</f>
      </c>
      <c r="AM344">
        <f>IF(ISBLANK('Data Entry'!g344), "", 'Data Entry'!g344)</f>
      </c>
      <c r="AN344">
        <f>IF(ISBLANK('Data Entry'!h344), "", 'Data Entry'!h344)</f>
      </c>
    </row>
    <row r="345" spans="1:40" x14ac:dyDescent="0.25">
      <c r="A345">
        <f>IF(ISBLANK('Data Entry'!A345), "", 'Data Entry'!A345)</f>
      </c>
      <c r="B345">
        <f>IF(ISBLANK('Data Entry'!B345), "", 'Data Entry'!B345)</f>
      </c>
      <c r="C345">
        <f>IF(ISBLANK('Data Entry'!C345), "", 'Data Entry'!C345)</f>
      </c>
      <c r="D345">
        <f>IF(ISBLANK('Data Entry'!D345), "", 'Data Entry'!D345)</f>
      </c>
      <c r="E345">
        <f>IF(ISBLANK('Data Entry'!E345), "", 'Data Entry'!E345)</f>
      </c>
      <c r="F345">
        <f>IF(ISBLANK('Data Entry'!F345), "", 'Data Entry'!F345)</f>
      </c>
      <c r="G345">
        <f>IF(ISBLANK('Data Entry'!G345), "", 'Data Entry'!G345)</f>
      </c>
      <c r="H345">
        <f>IF(ISBLANK('Data Entry'!H345), "", 'Data Entry'!H345)</f>
      </c>
      <c r="I345">
        <f>IF(ISBLANK('Data Entry'!I345), "", 'Data Entry'!I345)</f>
      </c>
      <c r="J345">
        <f>IF(ISBLANK('Data Entry'!J345), "", 'Data Entry'!J345)</f>
      </c>
      <c r="K345">
        <f>IF(ISBLANK('Data Entry'!K345), "", 'Data Entry'!K345)</f>
      </c>
      <c r="L345">
        <f>IF(ISBLANK('Data Entry'!L345), "", 'Data Entry'!L345)</f>
      </c>
      <c r="M345">
        <f>IF(ISBLANK('Data Entry'!M345), "", 'Data Entry'!M345)</f>
      </c>
      <c r="N345">
        <f>IF(ISBLANK('Data Entry'!N345), "", 'Data Entry'!N345)</f>
      </c>
      <c r="O345">
        <f>IF(ISBLANK('Data Entry'!O345), "", 'Data Entry'!O345)</f>
      </c>
      <c r="P345">
        <f>IF(ISBLANK('Data Entry'!P345), "", 'Data Entry'!P345)</f>
      </c>
      <c r="Q345">
        <f>IF(ISBLANK('Data Entry'!Q345), "", 'Data Entry'!Q345)</f>
      </c>
      <c r="R345">
        <f>IF(ISBLANK('Data Entry'!R345), "", 'Data Entry'!R345)</f>
      </c>
      <c r="S345">
        <f>IF(ISBLANK('Data Entry'!S345), "", 'Data Entry'!S345)</f>
      </c>
      <c r="T345">
        <f>IF(ISBLANK('Data Entry'!T345), "", 'Data Entry'!T345)</f>
      </c>
      <c r="U345">
        <f>IF(ISBLANK('Data Entry'!U345), "", 'Data Entry'!U345)</f>
      </c>
      <c r="V345">
        <f>IF(ISBLANK('Data Entry'!V345), "", 'Data Entry'!V345)</f>
      </c>
      <c r="W345">
        <f>IF(ISBLANK('Data Entry'!W345), "", 'Data Entry'!W345)</f>
      </c>
      <c r="X345">
        <f>IF(ISBLANK('Data Entry'!X345), "", 'Data Entry'!X345)</f>
      </c>
      <c r="Y345">
        <f>IF(ISBLANK('Data Entry'!Y345), "", 'Data Entry'!Y345)</f>
      </c>
      <c r="Z345">
        <f>IF(ISBLANK('Data Entry'!Z345), "", 'Data Entry'!Z345)</f>
      </c>
      <c r="AA345">
        <f>IF(ISBLANK('Data Entry'![345), "", 'Data Entry'![345)</f>
      </c>
      <c r="AB345">
        <f>IF(ISBLANK('Data Entry'!\345), "", 'Data Entry'!\345)</f>
      </c>
      <c r="AC345">
        <f>IF(ISBLANK('Data Entry'!]345), "", 'Data Entry'!]345)</f>
      </c>
      <c r="AD345">
        <f>IF(ISBLANK('Data Entry'!^345), "", 'Data Entry'!^345)</f>
      </c>
      <c r="AE345">
        <f>IF(ISBLANK('Data Entry'!_345), "", 'Data Entry'!_345)</f>
      </c>
      <c r="AF345">
        <f>IF(ISBLANK('Data Entry'!`345), "", 'Data Entry'!`345)</f>
      </c>
      <c r="AG345">
        <f>IF(ISBLANK('Data Entry'!a345), "", 'Data Entry'!a345)</f>
      </c>
      <c r="AH345">
        <f>IF(ISBLANK('Data Entry'!b345), "", 'Data Entry'!b345)</f>
      </c>
      <c r="AI345">
        <f>IF(ISBLANK('Data Entry'!c345), "", 'Data Entry'!c345)</f>
      </c>
      <c r="AJ345">
        <f>IF(ISBLANK('Data Entry'!d345), "", 'Data Entry'!d345)</f>
      </c>
      <c r="AK345">
        <f>IF(ISBLANK('Data Entry'!e345), "", 'Data Entry'!e345)</f>
      </c>
      <c r="AL345">
        <f>IF(ISBLANK('Data Entry'!f345), "", 'Data Entry'!f345)</f>
      </c>
      <c r="AM345">
        <f>IF(ISBLANK('Data Entry'!g345), "", 'Data Entry'!g345)</f>
      </c>
      <c r="AN345">
        <f>IF(ISBLANK('Data Entry'!h345), "", 'Data Entry'!h345)</f>
      </c>
    </row>
    <row r="346" spans="1:40" x14ac:dyDescent="0.25">
      <c r="A346">
        <f>IF(ISBLANK('Data Entry'!A346), "", 'Data Entry'!A346)</f>
      </c>
      <c r="B346">
        <f>IF(ISBLANK('Data Entry'!B346), "", 'Data Entry'!B346)</f>
      </c>
      <c r="C346">
        <f>IF(ISBLANK('Data Entry'!C346), "", 'Data Entry'!C346)</f>
      </c>
      <c r="D346">
        <f>IF(ISBLANK('Data Entry'!D346), "", 'Data Entry'!D346)</f>
      </c>
      <c r="E346">
        <f>IF(ISBLANK('Data Entry'!E346), "", 'Data Entry'!E346)</f>
      </c>
      <c r="F346">
        <f>IF(ISBLANK('Data Entry'!F346), "", 'Data Entry'!F346)</f>
      </c>
      <c r="G346">
        <f>IF(ISBLANK('Data Entry'!G346), "", 'Data Entry'!G346)</f>
      </c>
      <c r="H346">
        <f>IF(ISBLANK('Data Entry'!H346), "", 'Data Entry'!H346)</f>
      </c>
      <c r="I346">
        <f>IF(ISBLANK('Data Entry'!I346), "", 'Data Entry'!I346)</f>
      </c>
      <c r="J346">
        <f>IF(ISBLANK('Data Entry'!J346), "", 'Data Entry'!J346)</f>
      </c>
      <c r="K346">
        <f>IF(ISBLANK('Data Entry'!K346), "", 'Data Entry'!K346)</f>
      </c>
      <c r="L346">
        <f>IF(ISBLANK('Data Entry'!L346), "", 'Data Entry'!L346)</f>
      </c>
      <c r="M346">
        <f>IF(ISBLANK('Data Entry'!M346), "", 'Data Entry'!M346)</f>
      </c>
      <c r="N346">
        <f>IF(ISBLANK('Data Entry'!N346), "", 'Data Entry'!N346)</f>
      </c>
      <c r="O346">
        <f>IF(ISBLANK('Data Entry'!O346), "", 'Data Entry'!O346)</f>
      </c>
      <c r="P346">
        <f>IF(ISBLANK('Data Entry'!P346), "", 'Data Entry'!P346)</f>
      </c>
      <c r="Q346">
        <f>IF(ISBLANK('Data Entry'!Q346), "", 'Data Entry'!Q346)</f>
      </c>
      <c r="R346">
        <f>IF(ISBLANK('Data Entry'!R346), "", 'Data Entry'!R346)</f>
      </c>
      <c r="S346">
        <f>IF(ISBLANK('Data Entry'!S346), "", 'Data Entry'!S346)</f>
      </c>
      <c r="T346">
        <f>IF(ISBLANK('Data Entry'!T346), "", 'Data Entry'!T346)</f>
      </c>
      <c r="U346">
        <f>IF(ISBLANK('Data Entry'!U346), "", 'Data Entry'!U346)</f>
      </c>
      <c r="V346">
        <f>IF(ISBLANK('Data Entry'!V346), "", 'Data Entry'!V346)</f>
      </c>
      <c r="W346">
        <f>IF(ISBLANK('Data Entry'!W346), "", 'Data Entry'!W346)</f>
      </c>
      <c r="X346">
        <f>IF(ISBLANK('Data Entry'!X346), "", 'Data Entry'!X346)</f>
      </c>
      <c r="Y346">
        <f>IF(ISBLANK('Data Entry'!Y346), "", 'Data Entry'!Y346)</f>
      </c>
      <c r="Z346">
        <f>IF(ISBLANK('Data Entry'!Z346), "", 'Data Entry'!Z346)</f>
      </c>
      <c r="AA346">
        <f>IF(ISBLANK('Data Entry'![346), "", 'Data Entry'![346)</f>
      </c>
      <c r="AB346">
        <f>IF(ISBLANK('Data Entry'!\346), "", 'Data Entry'!\346)</f>
      </c>
      <c r="AC346">
        <f>IF(ISBLANK('Data Entry'!]346), "", 'Data Entry'!]346)</f>
      </c>
      <c r="AD346">
        <f>IF(ISBLANK('Data Entry'!^346), "", 'Data Entry'!^346)</f>
      </c>
      <c r="AE346">
        <f>IF(ISBLANK('Data Entry'!_346), "", 'Data Entry'!_346)</f>
      </c>
      <c r="AF346">
        <f>IF(ISBLANK('Data Entry'!`346), "", 'Data Entry'!`346)</f>
      </c>
      <c r="AG346">
        <f>IF(ISBLANK('Data Entry'!a346), "", 'Data Entry'!a346)</f>
      </c>
      <c r="AH346">
        <f>IF(ISBLANK('Data Entry'!b346), "", 'Data Entry'!b346)</f>
      </c>
      <c r="AI346">
        <f>IF(ISBLANK('Data Entry'!c346), "", 'Data Entry'!c346)</f>
      </c>
      <c r="AJ346">
        <f>IF(ISBLANK('Data Entry'!d346), "", 'Data Entry'!d346)</f>
      </c>
      <c r="AK346">
        <f>IF(ISBLANK('Data Entry'!e346), "", 'Data Entry'!e346)</f>
      </c>
      <c r="AL346">
        <f>IF(ISBLANK('Data Entry'!f346), "", 'Data Entry'!f346)</f>
      </c>
      <c r="AM346">
        <f>IF(ISBLANK('Data Entry'!g346), "", 'Data Entry'!g346)</f>
      </c>
      <c r="AN346">
        <f>IF(ISBLANK('Data Entry'!h346), "", 'Data Entry'!h346)</f>
      </c>
    </row>
    <row r="347" spans="1:40" x14ac:dyDescent="0.25">
      <c r="A347">
        <f>IF(ISBLANK('Data Entry'!A347), "", 'Data Entry'!A347)</f>
      </c>
      <c r="B347">
        <f>IF(ISBLANK('Data Entry'!B347), "", 'Data Entry'!B347)</f>
      </c>
      <c r="C347">
        <f>IF(ISBLANK('Data Entry'!C347), "", 'Data Entry'!C347)</f>
      </c>
      <c r="D347">
        <f>IF(ISBLANK('Data Entry'!D347), "", 'Data Entry'!D347)</f>
      </c>
      <c r="E347">
        <f>IF(ISBLANK('Data Entry'!E347), "", 'Data Entry'!E347)</f>
      </c>
      <c r="F347">
        <f>IF(ISBLANK('Data Entry'!F347), "", 'Data Entry'!F347)</f>
      </c>
      <c r="G347">
        <f>IF(ISBLANK('Data Entry'!G347), "", 'Data Entry'!G347)</f>
      </c>
      <c r="H347">
        <f>IF(ISBLANK('Data Entry'!H347), "", 'Data Entry'!H347)</f>
      </c>
      <c r="I347">
        <f>IF(ISBLANK('Data Entry'!I347), "", 'Data Entry'!I347)</f>
      </c>
      <c r="J347">
        <f>IF(ISBLANK('Data Entry'!J347), "", 'Data Entry'!J347)</f>
      </c>
      <c r="K347">
        <f>IF(ISBLANK('Data Entry'!K347), "", 'Data Entry'!K347)</f>
      </c>
      <c r="L347">
        <f>IF(ISBLANK('Data Entry'!L347), "", 'Data Entry'!L347)</f>
      </c>
      <c r="M347">
        <f>IF(ISBLANK('Data Entry'!M347), "", 'Data Entry'!M347)</f>
      </c>
      <c r="N347">
        <f>IF(ISBLANK('Data Entry'!N347), "", 'Data Entry'!N347)</f>
      </c>
      <c r="O347">
        <f>IF(ISBLANK('Data Entry'!O347), "", 'Data Entry'!O347)</f>
      </c>
      <c r="P347">
        <f>IF(ISBLANK('Data Entry'!P347), "", 'Data Entry'!P347)</f>
      </c>
      <c r="Q347">
        <f>IF(ISBLANK('Data Entry'!Q347), "", 'Data Entry'!Q347)</f>
      </c>
      <c r="R347">
        <f>IF(ISBLANK('Data Entry'!R347), "", 'Data Entry'!R347)</f>
      </c>
      <c r="S347">
        <f>IF(ISBLANK('Data Entry'!S347), "", 'Data Entry'!S347)</f>
      </c>
      <c r="T347">
        <f>IF(ISBLANK('Data Entry'!T347), "", 'Data Entry'!T347)</f>
      </c>
      <c r="U347">
        <f>IF(ISBLANK('Data Entry'!U347), "", 'Data Entry'!U347)</f>
      </c>
      <c r="V347">
        <f>IF(ISBLANK('Data Entry'!V347), "", 'Data Entry'!V347)</f>
      </c>
      <c r="W347">
        <f>IF(ISBLANK('Data Entry'!W347), "", 'Data Entry'!W347)</f>
      </c>
      <c r="X347">
        <f>IF(ISBLANK('Data Entry'!X347), "", 'Data Entry'!X347)</f>
      </c>
      <c r="Y347">
        <f>IF(ISBLANK('Data Entry'!Y347), "", 'Data Entry'!Y347)</f>
      </c>
      <c r="Z347">
        <f>IF(ISBLANK('Data Entry'!Z347), "", 'Data Entry'!Z347)</f>
      </c>
      <c r="AA347">
        <f>IF(ISBLANK('Data Entry'![347), "", 'Data Entry'![347)</f>
      </c>
      <c r="AB347">
        <f>IF(ISBLANK('Data Entry'!\347), "", 'Data Entry'!\347)</f>
      </c>
      <c r="AC347">
        <f>IF(ISBLANK('Data Entry'!]347), "", 'Data Entry'!]347)</f>
      </c>
      <c r="AD347">
        <f>IF(ISBLANK('Data Entry'!^347), "", 'Data Entry'!^347)</f>
      </c>
      <c r="AE347">
        <f>IF(ISBLANK('Data Entry'!_347), "", 'Data Entry'!_347)</f>
      </c>
      <c r="AF347">
        <f>IF(ISBLANK('Data Entry'!`347), "", 'Data Entry'!`347)</f>
      </c>
      <c r="AG347">
        <f>IF(ISBLANK('Data Entry'!a347), "", 'Data Entry'!a347)</f>
      </c>
      <c r="AH347">
        <f>IF(ISBLANK('Data Entry'!b347), "", 'Data Entry'!b347)</f>
      </c>
      <c r="AI347">
        <f>IF(ISBLANK('Data Entry'!c347), "", 'Data Entry'!c347)</f>
      </c>
      <c r="AJ347">
        <f>IF(ISBLANK('Data Entry'!d347), "", 'Data Entry'!d347)</f>
      </c>
      <c r="AK347">
        <f>IF(ISBLANK('Data Entry'!e347), "", 'Data Entry'!e347)</f>
      </c>
      <c r="AL347">
        <f>IF(ISBLANK('Data Entry'!f347), "", 'Data Entry'!f347)</f>
      </c>
      <c r="AM347">
        <f>IF(ISBLANK('Data Entry'!g347), "", 'Data Entry'!g347)</f>
      </c>
      <c r="AN347">
        <f>IF(ISBLANK('Data Entry'!h347), "", 'Data Entry'!h347)</f>
      </c>
    </row>
    <row r="348" spans="1:40" x14ac:dyDescent="0.25">
      <c r="A348">
        <f>IF(ISBLANK('Data Entry'!A348), "", 'Data Entry'!A348)</f>
      </c>
      <c r="B348">
        <f>IF(ISBLANK('Data Entry'!B348), "", 'Data Entry'!B348)</f>
      </c>
      <c r="C348">
        <f>IF(ISBLANK('Data Entry'!C348), "", 'Data Entry'!C348)</f>
      </c>
      <c r="D348">
        <f>IF(ISBLANK('Data Entry'!D348), "", 'Data Entry'!D348)</f>
      </c>
      <c r="E348">
        <f>IF(ISBLANK('Data Entry'!E348), "", 'Data Entry'!E348)</f>
      </c>
      <c r="F348">
        <f>IF(ISBLANK('Data Entry'!F348), "", 'Data Entry'!F348)</f>
      </c>
      <c r="G348">
        <f>IF(ISBLANK('Data Entry'!G348), "", 'Data Entry'!G348)</f>
      </c>
      <c r="H348">
        <f>IF(ISBLANK('Data Entry'!H348), "", 'Data Entry'!H348)</f>
      </c>
      <c r="I348">
        <f>IF(ISBLANK('Data Entry'!I348), "", 'Data Entry'!I348)</f>
      </c>
      <c r="J348">
        <f>IF(ISBLANK('Data Entry'!J348), "", 'Data Entry'!J348)</f>
      </c>
      <c r="K348">
        <f>IF(ISBLANK('Data Entry'!K348), "", 'Data Entry'!K348)</f>
      </c>
      <c r="L348">
        <f>IF(ISBLANK('Data Entry'!L348), "", 'Data Entry'!L348)</f>
      </c>
      <c r="M348">
        <f>IF(ISBLANK('Data Entry'!M348), "", 'Data Entry'!M348)</f>
      </c>
      <c r="N348">
        <f>IF(ISBLANK('Data Entry'!N348), "", 'Data Entry'!N348)</f>
      </c>
      <c r="O348">
        <f>IF(ISBLANK('Data Entry'!O348), "", 'Data Entry'!O348)</f>
      </c>
      <c r="P348">
        <f>IF(ISBLANK('Data Entry'!P348), "", 'Data Entry'!P348)</f>
      </c>
      <c r="Q348">
        <f>IF(ISBLANK('Data Entry'!Q348), "", 'Data Entry'!Q348)</f>
      </c>
      <c r="R348">
        <f>IF(ISBLANK('Data Entry'!R348), "", 'Data Entry'!R348)</f>
      </c>
      <c r="S348">
        <f>IF(ISBLANK('Data Entry'!S348), "", 'Data Entry'!S348)</f>
      </c>
      <c r="T348">
        <f>IF(ISBLANK('Data Entry'!T348), "", 'Data Entry'!T348)</f>
      </c>
      <c r="U348">
        <f>IF(ISBLANK('Data Entry'!U348), "", 'Data Entry'!U348)</f>
      </c>
      <c r="V348">
        <f>IF(ISBLANK('Data Entry'!V348), "", 'Data Entry'!V348)</f>
      </c>
      <c r="W348">
        <f>IF(ISBLANK('Data Entry'!W348), "", 'Data Entry'!W348)</f>
      </c>
      <c r="X348">
        <f>IF(ISBLANK('Data Entry'!X348), "", 'Data Entry'!X348)</f>
      </c>
      <c r="Y348">
        <f>IF(ISBLANK('Data Entry'!Y348), "", 'Data Entry'!Y348)</f>
      </c>
      <c r="Z348">
        <f>IF(ISBLANK('Data Entry'!Z348), "", 'Data Entry'!Z348)</f>
      </c>
      <c r="AA348">
        <f>IF(ISBLANK('Data Entry'![348), "", 'Data Entry'![348)</f>
      </c>
      <c r="AB348">
        <f>IF(ISBLANK('Data Entry'!\348), "", 'Data Entry'!\348)</f>
      </c>
      <c r="AC348">
        <f>IF(ISBLANK('Data Entry'!]348), "", 'Data Entry'!]348)</f>
      </c>
      <c r="AD348">
        <f>IF(ISBLANK('Data Entry'!^348), "", 'Data Entry'!^348)</f>
      </c>
      <c r="AE348">
        <f>IF(ISBLANK('Data Entry'!_348), "", 'Data Entry'!_348)</f>
      </c>
      <c r="AF348">
        <f>IF(ISBLANK('Data Entry'!`348), "", 'Data Entry'!`348)</f>
      </c>
      <c r="AG348">
        <f>IF(ISBLANK('Data Entry'!a348), "", 'Data Entry'!a348)</f>
      </c>
      <c r="AH348">
        <f>IF(ISBLANK('Data Entry'!b348), "", 'Data Entry'!b348)</f>
      </c>
      <c r="AI348">
        <f>IF(ISBLANK('Data Entry'!c348), "", 'Data Entry'!c348)</f>
      </c>
      <c r="AJ348">
        <f>IF(ISBLANK('Data Entry'!d348), "", 'Data Entry'!d348)</f>
      </c>
      <c r="AK348">
        <f>IF(ISBLANK('Data Entry'!e348), "", 'Data Entry'!e348)</f>
      </c>
      <c r="AL348">
        <f>IF(ISBLANK('Data Entry'!f348), "", 'Data Entry'!f348)</f>
      </c>
      <c r="AM348">
        <f>IF(ISBLANK('Data Entry'!g348), "", 'Data Entry'!g348)</f>
      </c>
      <c r="AN348">
        <f>IF(ISBLANK('Data Entry'!h348), "", 'Data Entry'!h348)</f>
      </c>
    </row>
    <row r="349" spans="1:40" x14ac:dyDescent="0.25">
      <c r="A349">
        <f>IF(ISBLANK('Data Entry'!A349), "", 'Data Entry'!A349)</f>
      </c>
      <c r="B349">
        <f>IF(ISBLANK('Data Entry'!B349), "", 'Data Entry'!B349)</f>
      </c>
      <c r="C349">
        <f>IF(ISBLANK('Data Entry'!C349), "", 'Data Entry'!C349)</f>
      </c>
      <c r="D349">
        <f>IF(ISBLANK('Data Entry'!D349), "", 'Data Entry'!D349)</f>
      </c>
      <c r="E349">
        <f>IF(ISBLANK('Data Entry'!E349), "", 'Data Entry'!E349)</f>
      </c>
      <c r="F349">
        <f>IF(ISBLANK('Data Entry'!F349), "", 'Data Entry'!F349)</f>
      </c>
      <c r="G349">
        <f>IF(ISBLANK('Data Entry'!G349), "", 'Data Entry'!G349)</f>
      </c>
      <c r="H349">
        <f>IF(ISBLANK('Data Entry'!H349), "", 'Data Entry'!H349)</f>
      </c>
      <c r="I349">
        <f>IF(ISBLANK('Data Entry'!I349), "", 'Data Entry'!I349)</f>
      </c>
      <c r="J349">
        <f>IF(ISBLANK('Data Entry'!J349), "", 'Data Entry'!J349)</f>
      </c>
      <c r="K349">
        <f>IF(ISBLANK('Data Entry'!K349), "", 'Data Entry'!K349)</f>
      </c>
      <c r="L349">
        <f>IF(ISBLANK('Data Entry'!L349), "", 'Data Entry'!L349)</f>
      </c>
      <c r="M349">
        <f>IF(ISBLANK('Data Entry'!M349), "", 'Data Entry'!M349)</f>
      </c>
      <c r="N349">
        <f>IF(ISBLANK('Data Entry'!N349), "", 'Data Entry'!N349)</f>
      </c>
      <c r="O349">
        <f>IF(ISBLANK('Data Entry'!O349), "", 'Data Entry'!O349)</f>
      </c>
      <c r="P349">
        <f>IF(ISBLANK('Data Entry'!P349), "", 'Data Entry'!P349)</f>
      </c>
      <c r="Q349">
        <f>IF(ISBLANK('Data Entry'!Q349), "", 'Data Entry'!Q349)</f>
      </c>
      <c r="R349">
        <f>IF(ISBLANK('Data Entry'!R349), "", 'Data Entry'!R349)</f>
      </c>
      <c r="S349">
        <f>IF(ISBLANK('Data Entry'!S349), "", 'Data Entry'!S349)</f>
      </c>
      <c r="T349">
        <f>IF(ISBLANK('Data Entry'!T349), "", 'Data Entry'!T349)</f>
      </c>
      <c r="U349">
        <f>IF(ISBLANK('Data Entry'!U349), "", 'Data Entry'!U349)</f>
      </c>
      <c r="V349">
        <f>IF(ISBLANK('Data Entry'!V349), "", 'Data Entry'!V349)</f>
      </c>
      <c r="W349">
        <f>IF(ISBLANK('Data Entry'!W349), "", 'Data Entry'!W349)</f>
      </c>
      <c r="X349">
        <f>IF(ISBLANK('Data Entry'!X349), "", 'Data Entry'!X349)</f>
      </c>
      <c r="Y349">
        <f>IF(ISBLANK('Data Entry'!Y349), "", 'Data Entry'!Y349)</f>
      </c>
      <c r="Z349">
        <f>IF(ISBLANK('Data Entry'!Z349), "", 'Data Entry'!Z349)</f>
      </c>
      <c r="AA349">
        <f>IF(ISBLANK('Data Entry'![349), "", 'Data Entry'![349)</f>
      </c>
      <c r="AB349">
        <f>IF(ISBLANK('Data Entry'!\349), "", 'Data Entry'!\349)</f>
      </c>
      <c r="AC349">
        <f>IF(ISBLANK('Data Entry'!]349), "", 'Data Entry'!]349)</f>
      </c>
      <c r="AD349">
        <f>IF(ISBLANK('Data Entry'!^349), "", 'Data Entry'!^349)</f>
      </c>
      <c r="AE349">
        <f>IF(ISBLANK('Data Entry'!_349), "", 'Data Entry'!_349)</f>
      </c>
      <c r="AF349">
        <f>IF(ISBLANK('Data Entry'!`349), "", 'Data Entry'!`349)</f>
      </c>
      <c r="AG349">
        <f>IF(ISBLANK('Data Entry'!a349), "", 'Data Entry'!a349)</f>
      </c>
      <c r="AH349">
        <f>IF(ISBLANK('Data Entry'!b349), "", 'Data Entry'!b349)</f>
      </c>
      <c r="AI349">
        <f>IF(ISBLANK('Data Entry'!c349), "", 'Data Entry'!c349)</f>
      </c>
      <c r="AJ349">
        <f>IF(ISBLANK('Data Entry'!d349), "", 'Data Entry'!d349)</f>
      </c>
      <c r="AK349">
        <f>IF(ISBLANK('Data Entry'!e349), "", 'Data Entry'!e349)</f>
      </c>
      <c r="AL349">
        <f>IF(ISBLANK('Data Entry'!f349), "", 'Data Entry'!f349)</f>
      </c>
      <c r="AM349">
        <f>IF(ISBLANK('Data Entry'!g349), "", 'Data Entry'!g349)</f>
      </c>
      <c r="AN349">
        <f>IF(ISBLANK('Data Entry'!h349), "", 'Data Entry'!h349)</f>
      </c>
    </row>
    <row r="350" spans="1:40" x14ac:dyDescent="0.25">
      <c r="A350">
        <f>IF(ISBLANK('Data Entry'!A350), "", 'Data Entry'!A350)</f>
      </c>
      <c r="B350">
        <f>IF(ISBLANK('Data Entry'!B350), "", 'Data Entry'!B350)</f>
      </c>
      <c r="C350">
        <f>IF(ISBLANK('Data Entry'!C350), "", 'Data Entry'!C350)</f>
      </c>
      <c r="D350">
        <f>IF(ISBLANK('Data Entry'!D350), "", 'Data Entry'!D350)</f>
      </c>
      <c r="E350">
        <f>IF(ISBLANK('Data Entry'!E350), "", 'Data Entry'!E350)</f>
      </c>
      <c r="F350">
        <f>IF(ISBLANK('Data Entry'!F350), "", 'Data Entry'!F350)</f>
      </c>
      <c r="G350">
        <f>IF(ISBLANK('Data Entry'!G350), "", 'Data Entry'!G350)</f>
      </c>
      <c r="H350">
        <f>IF(ISBLANK('Data Entry'!H350), "", 'Data Entry'!H350)</f>
      </c>
      <c r="I350">
        <f>IF(ISBLANK('Data Entry'!I350), "", 'Data Entry'!I350)</f>
      </c>
      <c r="J350">
        <f>IF(ISBLANK('Data Entry'!J350), "", 'Data Entry'!J350)</f>
      </c>
      <c r="K350">
        <f>IF(ISBLANK('Data Entry'!K350), "", 'Data Entry'!K350)</f>
      </c>
      <c r="L350">
        <f>IF(ISBLANK('Data Entry'!L350), "", 'Data Entry'!L350)</f>
      </c>
      <c r="M350">
        <f>IF(ISBLANK('Data Entry'!M350), "", 'Data Entry'!M350)</f>
      </c>
      <c r="N350">
        <f>IF(ISBLANK('Data Entry'!N350), "", 'Data Entry'!N350)</f>
      </c>
      <c r="O350">
        <f>IF(ISBLANK('Data Entry'!O350), "", 'Data Entry'!O350)</f>
      </c>
      <c r="P350">
        <f>IF(ISBLANK('Data Entry'!P350), "", 'Data Entry'!P350)</f>
      </c>
      <c r="Q350">
        <f>IF(ISBLANK('Data Entry'!Q350), "", 'Data Entry'!Q350)</f>
      </c>
      <c r="R350">
        <f>IF(ISBLANK('Data Entry'!R350), "", 'Data Entry'!R350)</f>
      </c>
      <c r="S350">
        <f>IF(ISBLANK('Data Entry'!S350), "", 'Data Entry'!S350)</f>
      </c>
      <c r="T350">
        <f>IF(ISBLANK('Data Entry'!T350), "", 'Data Entry'!T350)</f>
      </c>
      <c r="U350">
        <f>IF(ISBLANK('Data Entry'!U350), "", 'Data Entry'!U350)</f>
      </c>
      <c r="V350">
        <f>IF(ISBLANK('Data Entry'!V350), "", 'Data Entry'!V350)</f>
      </c>
      <c r="W350">
        <f>IF(ISBLANK('Data Entry'!W350), "", 'Data Entry'!W350)</f>
      </c>
      <c r="X350">
        <f>IF(ISBLANK('Data Entry'!X350), "", 'Data Entry'!X350)</f>
      </c>
      <c r="Y350">
        <f>IF(ISBLANK('Data Entry'!Y350), "", 'Data Entry'!Y350)</f>
      </c>
      <c r="Z350">
        <f>IF(ISBLANK('Data Entry'!Z350), "", 'Data Entry'!Z350)</f>
      </c>
      <c r="AA350">
        <f>IF(ISBLANK('Data Entry'![350), "", 'Data Entry'![350)</f>
      </c>
      <c r="AB350">
        <f>IF(ISBLANK('Data Entry'!\350), "", 'Data Entry'!\350)</f>
      </c>
      <c r="AC350">
        <f>IF(ISBLANK('Data Entry'!]350), "", 'Data Entry'!]350)</f>
      </c>
      <c r="AD350">
        <f>IF(ISBLANK('Data Entry'!^350), "", 'Data Entry'!^350)</f>
      </c>
      <c r="AE350">
        <f>IF(ISBLANK('Data Entry'!_350), "", 'Data Entry'!_350)</f>
      </c>
      <c r="AF350">
        <f>IF(ISBLANK('Data Entry'!`350), "", 'Data Entry'!`350)</f>
      </c>
      <c r="AG350">
        <f>IF(ISBLANK('Data Entry'!a350), "", 'Data Entry'!a350)</f>
      </c>
      <c r="AH350">
        <f>IF(ISBLANK('Data Entry'!b350), "", 'Data Entry'!b350)</f>
      </c>
      <c r="AI350">
        <f>IF(ISBLANK('Data Entry'!c350), "", 'Data Entry'!c350)</f>
      </c>
      <c r="AJ350">
        <f>IF(ISBLANK('Data Entry'!d350), "", 'Data Entry'!d350)</f>
      </c>
      <c r="AK350">
        <f>IF(ISBLANK('Data Entry'!e350), "", 'Data Entry'!e350)</f>
      </c>
      <c r="AL350">
        <f>IF(ISBLANK('Data Entry'!f350), "", 'Data Entry'!f350)</f>
      </c>
      <c r="AM350">
        <f>IF(ISBLANK('Data Entry'!g350), "", 'Data Entry'!g350)</f>
      </c>
      <c r="AN350">
        <f>IF(ISBLANK('Data Entry'!h350), "", 'Data Entry'!h350)</f>
      </c>
    </row>
    <row r="351" spans="1:40" x14ac:dyDescent="0.25">
      <c r="A351">
        <f>IF(ISBLANK('Data Entry'!A351), "", 'Data Entry'!A351)</f>
      </c>
      <c r="B351">
        <f>IF(ISBLANK('Data Entry'!B351), "", 'Data Entry'!B351)</f>
      </c>
      <c r="C351">
        <f>IF(ISBLANK('Data Entry'!C351), "", 'Data Entry'!C351)</f>
      </c>
      <c r="D351">
        <f>IF(ISBLANK('Data Entry'!D351), "", 'Data Entry'!D351)</f>
      </c>
      <c r="E351">
        <f>IF(ISBLANK('Data Entry'!E351), "", 'Data Entry'!E351)</f>
      </c>
      <c r="F351">
        <f>IF(ISBLANK('Data Entry'!F351), "", 'Data Entry'!F351)</f>
      </c>
      <c r="G351">
        <f>IF(ISBLANK('Data Entry'!G351), "", 'Data Entry'!G351)</f>
      </c>
      <c r="H351">
        <f>IF(ISBLANK('Data Entry'!H351), "", 'Data Entry'!H351)</f>
      </c>
      <c r="I351">
        <f>IF(ISBLANK('Data Entry'!I351), "", 'Data Entry'!I351)</f>
      </c>
      <c r="J351">
        <f>IF(ISBLANK('Data Entry'!J351), "", 'Data Entry'!J351)</f>
      </c>
      <c r="K351">
        <f>IF(ISBLANK('Data Entry'!K351), "", 'Data Entry'!K351)</f>
      </c>
      <c r="L351">
        <f>IF(ISBLANK('Data Entry'!L351), "", 'Data Entry'!L351)</f>
      </c>
      <c r="M351">
        <f>IF(ISBLANK('Data Entry'!M351), "", 'Data Entry'!M351)</f>
      </c>
      <c r="N351">
        <f>IF(ISBLANK('Data Entry'!N351), "", 'Data Entry'!N351)</f>
      </c>
      <c r="O351">
        <f>IF(ISBLANK('Data Entry'!O351), "", 'Data Entry'!O351)</f>
      </c>
      <c r="P351">
        <f>IF(ISBLANK('Data Entry'!P351), "", 'Data Entry'!P351)</f>
      </c>
      <c r="Q351">
        <f>IF(ISBLANK('Data Entry'!Q351), "", 'Data Entry'!Q351)</f>
      </c>
      <c r="R351">
        <f>IF(ISBLANK('Data Entry'!R351), "", 'Data Entry'!R351)</f>
      </c>
      <c r="S351">
        <f>IF(ISBLANK('Data Entry'!S351), "", 'Data Entry'!S351)</f>
      </c>
      <c r="T351">
        <f>IF(ISBLANK('Data Entry'!T351), "", 'Data Entry'!T351)</f>
      </c>
      <c r="U351">
        <f>IF(ISBLANK('Data Entry'!U351), "", 'Data Entry'!U351)</f>
      </c>
      <c r="V351">
        <f>IF(ISBLANK('Data Entry'!V351), "", 'Data Entry'!V351)</f>
      </c>
      <c r="W351">
        <f>IF(ISBLANK('Data Entry'!W351), "", 'Data Entry'!W351)</f>
      </c>
      <c r="X351">
        <f>IF(ISBLANK('Data Entry'!X351), "", 'Data Entry'!X351)</f>
      </c>
      <c r="Y351">
        <f>IF(ISBLANK('Data Entry'!Y351), "", 'Data Entry'!Y351)</f>
      </c>
      <c r="Z351">
        <f>IF(ISBLANK('Data Entry'!Z351), "", 'Data Entry'!Z351)</f>
      </c>
      <c r="AA351">
        <f>IF(ISBLANK('Data Entry'![351), "", 'Data Entry'![351)</f>
      </c>
      <c r="AB351">
        <f>IF(ISBLANK('Data Entry'!\351), "", 'Data Entry'!\351)</f>
      </c>
      <c r="AC351">
        <f>IF(ISBLANK('Data Entry'!]351), "", 'Data Entry'!]351)</f>
      </c>
      <c r="AD351">
        <f>IF(ISBLANK('Data Entry'!^351), "", 'Data Entry'!^351)</f>
      </c>
      <c r="AE351">
        <f>IF(ISBLANK('Data Entry'!_351), "", 'Data Entry'!_351)</f>
      </c>
      <c r="AF351">
        <f>IF(ISBLANK('Data Entry'!`351), "", 'Data Entry'!`351)</f>
      </c>
      <c r="AG351">
        <f>IF(ISBLANK('Data Entry'!a351), "", 'Data Entry'!a351)</f>
      </c>
      <c r="AH351">
        <f>IF(ISBLANK('Data Entry'!b351), "", 'Data Entry'!b351)</f>
      </c>
      <c r="AI351">
        <f>IF(ISBLANK('Data Entry'!c351), "", 'Data Entry'!c351)</f>
      </c>
      <c r="AJ351">
        <f>IF(ISBLANK('Data Entry'!d351), "", 'Data Entry'!d351)</f>
      </c>
      <c r="AK351">
        <f>IF(ISBLANK('Data Entry'!e351), "", 'Data Entry'!e351)</f>
      </c>
      <c r="AL351">
        <f>IF(ISBLANK('Data Entry'!f351), "", 'Data Entry'!f351)</f>
      </c>
      <c r="AM351">
        <f>IF(ISBLANK('Data Entry'!g351), "", 'Data Entry'!g351)</f>
      </c>
      <c r="AN351">
        <f>IF(ISBLANK('Data Entry'!h351), "", 'Data Entry'!h351)</f>
      </c>
    </row>
    <row r="352" spans="1:40" x14ac:dyDescent="0.25">
      <c r="A352">
        <f>IF(ISBLANK('Data Entry'!A352), "", 'Data Entry'!A352)</f>
      </c>
      <c r="B352">
        <f>IF(ISBLANK('Data Entry'!B352), "", 'Data Entry'!B352)</f>
      </c>
      <c r="C352">
        <f>IF(ISBLANK('Data Entry'!C352), "", 'Data Entry'!C352)</f>
      </c>
      <c r="D352">
        <f>IF(ISBLANK('Data Entry'!D352), "", 'Data Entry'!D352)</f>
      </c>
      <c r="E352">
        <f>IF(ISBLANK('Data Entry'!E352), "", 'Data Entry'!E352)</f>
      </c>
      <c r="F352">
        <f>IF(ISBLANK('Data Entry'!F352), "", 'Data Entry'!F352)</f>
      </c>
      <c r="G352">
        <f>IF(ISBLANK('Data Entry'!G352), "", 'Data Entry'!G352)</f>
      </c>
      <c r="H352">
        <f>IF(ISBLANK('Data Entry'!H352), "", 'Data Entry'!H352)</f>
      </c>
      <c r="I352">
        <f>IF(ISBLANK('Data Entry'!I352), "", 'Data Entry'!I352)</f>
      </c>
      <c r="J352">
        <f>IF(ISBLANK('Data Entry'!J352), "", 'Data Entry'!J352)</f>
      </c>
      <c r="K352">
        <f>IF(ISBLANK('Data Entry'!K352), "", 'Data Entry'!K352)</f>
      </c>
      <c r="L352">
        <f>IF(ISBLANK('Data Entry'!L352), "", 'Data Entry'!L352)</f>
      </c>
      <c r="M352">
        <f>IF(ISBLANK('Data Entry'!M352), "", 'Data Entry'!M352)</f>
      </c>
      <c r="N352">
        <f>IF(ISBLANK('Data Entry'!N352), "", 'Data Entry'!N352)</f>
      </c>
      <c r="O352">
        <f>IF(ISBLANK('Data Entry'!O352), "", 'Data Entry'!O352)</f>
      </c>
      <c r="P352">
        <f>IF(ISBLANK('Data Entry'!P352), "", 'Data Entry'!P352)</f>
      </c>
      <c r="Q352">
        <f>IF(ISBLANK('Data Entry'!Q352), "", 'Data Entry'!Q352)</f>
      </c>
      <c r="R352">
        <f>IF(ISBLANK('Data Entry'!R352), "", 'Data Entry'!R352)</f>
      </c>
      <c r="S352">
        <f>IF(ISBLANK('Data Entry'!S352), "", 'Data Entry'!S352)</f>
      </c>
      <c r="T352">
        <f>IF(ISBLANK('Data Entry'!T352), "", 'Data Entry'!T352)</f>
      </c>
      <c r="U352">
        <f>IF(ISBLANK('Data Entry'!U352), "", 'Data Entry'!U352)</f>
      </c>
      <c r="V352">
        <f>IF(ISBLANK('Data Entry'!V352), "", 'Data Entry'!V352)</f>
      </c>
      <c r="W352">
        <f>IF(ISBLANK('Data Entry'!W352), "", 'Data Entry'!W352)</f>
      </c>
      <c r="X352">
        <f>IF(ISBLANK('Data Entry'!X352), "", 'Data Entry'!X352)</f>
      </c>
      <c r="Y352">
        <f>IF(ISBLANK('Data Entry'!Y352), "", 'Data Entry'!Y352)</f>
      </c>
      <c r="Z352">
        <f>IF(ISBLANK('Data Entry'!Z352), "", 'Data Entry'!Z352)</f>
      </c>
      <c r="AA352">
        <f>IF(ISBLANK('Data Entry'![352), "", 'Data Entry'![352)</f>
      </c>
      <c r="AB352">
        <f>IF(ISBLANK('Data Entry'!\352), "", 'Data Entry'!\352)</f>
      </c>
      <c r="AC352">
        <f>IF(ISBLANK('Data Entry'!]352), "", 'Data Entry'!]352)</f>
      </c>
      <c r="AD352">
        <f>IF(ISBLANK('Data Entry'!^352), "", 'Data Entry'!^352)</f>
      </c>
      <c r="AE352">
        <f>IF(ISBLANK('Data Entry'!_352), "", 'Data Entry'!_352)</f>
      </c>
      <c r="AF352">
        <f>IF(ISBLANK('Data Entry'!`352), "", 'Data Entry'!`352)</f>
      </c>
      <c r="AG352">
        <f>IF(ISBLANK('Data Entry'!a352), "", 'Data Entry'!a352)</f>
      </c>
      <c r="AH352">
        <f>IF(ISBLANK('Data Entry'!b352), "", 'Data Entry'!b352)</f>
      </c>
      <c r="AI352">
        <f>IF(ISBLANK('Data Entry'!c352), "", 'Data Entry'!c352)</f>
      </c>
      <c r="AJ352">
        <f>IF(ISBLANK('Data Entry'!d352), "", 'Data Entry'!d352)</f>
      </c>
      <c r="AK352">
        <f>IF(ISBLANK('Data Entry'!e352), "", 'Data Entry'!e352)</f>
      </c>
      <c r="AL352">
        <f>IF(ISBLANK('Data Entry'!f352), "", 'Data Entry'!f352)</f>
      </c>
      <c r="AM352">
        <f>IF(ISBLANK('Data Entry'!g352), "", 'Data Entry'!g352)</f>
      </c>
      <c r="AN352">
        <f>IF(ISBLANK('Data Entry'!h352), "", 'Data Entry'!h352)</f>
      </c>
    </row>
    <row r="353" spans="1:40" x14ac:dyDescent="0.25">
      <c r="A353">
        <f>IF(ISBLANK('Data Entry'!A353), "", 'Data Entry'!A353)</f>
      </c>
      <c r="B353">
        <f>IF(ISBLANK('Data Entry'!B353), "", 'Data Entry'!B353)</f>
      </c>
      <c r="C353">
        <f>IF(ISBLANK('Data Entry'!C353), "", 'Data Entry'!C353)</f>
      </c>
      <c r="D353">
        <f>IF(ISBLANK('Data Entry'!D353), "", 'Data Entry'!D353)</f>
      </c>
      <c r="E353">
        <f>IF(ISBLANK('Data Entry'!E353), "", 'Data Entry'!E353)</f>
      </c>
      <c r="F353">
        <f>IF(ISBLANK('Data Entry'!F353), "", 'Data Entry'!F353)</f>
      </c>
      <c r="G353">
        <f>IF(ISBLANK('Data Entry'!G353), "", 'Data Entry'!G353)</f>
      </c>
      <c r="H353">
        <f>IF(ISBLANK('Data Entry'!H353), "", 'Data Entry'!H353)</f>
      </c>
      <c r="I353">
        <f>IF(ISBLANK('Data Entry'!I353), "", 'Data Entry'!I353)</f>
      </c>
      <c r="J353">
        <f>IF(ISBLANK('Data Entry'!J353), "", 'Data Entry'!J353)</f>
      </c>
      <c r="K353">
        <f>IF(ISBLANK('Data Entry'!K353), "", 'Data Entry'!K353)</f>
      </c>
      <c r="L353">
        <f>IF(ISBLANK('Data Entry'!L353), "", 'Data Entry'!L353)</f>
      </c>
      <c r="M353">
        <f>IF(ISBLANK('Data Entry'!M353), "", 'Data Entry'!M353)</f>
      </c>
      <c r="N353">
        <f>IF(ISBLANK('Data Entry'!N353), "", 'Data Entry'!N353)</f>
      </c>
      <c r="O353">
        <f>IF(ISBLANK('Data Entry'!O353), "", 'Data Entry'!O353)</f>
      </c>
      <c r="P353">
        <f>IF(ISBLANK('Data Entry'!P353), "", 'Data Entry'!P353)</f>
      </c>
      <c r="Q353">
        <f>IF(ISBLANK('Data Entry'!Q353), "", 'Data Entry'!Q353)</f>
      </c>
      <c r="R353">
        <f>IF(ISBLANK('Data Entry'!R353), "", 'Data Entry'!R353)</f>
      </c>
      <c r="S353">
        <f>IF(ISBLANK('Data Entry'!S353), "", 'Data Entry'!S353)</f>
      </c>
      <c r="T353">
        <f>IF(ISBLANK('Data Entry'!T353), "", 'Data Entry'!T353)</f>
      </c>
      <c r="U353">
        <f>IF(ISBLANK('Data Entry'!U353), "", 'Data Entry'!U353)</f>
      </c>
      <c r="V353">
        <f>IF(ISBLANK('Data Entry'!V353), "", 'Data Entry'!V353)</f>
      </c>
      <c r="W353">
        <f>IF(ISBLANK('Data Entry'!W353), "", 'Data Entry'!W353)</f>
      </c>
      <c r="X353">
        <f>IF(ISBLANK('Data Entry'!X353), "", 'Data Entry'!X353)</f>
      </c>
      <c r="Y353">
        <f>IF(ISBLANK('Data Entry'!Y353), "", 'Data Entry'!Y353)</f>
      </c>
      <c r="Z353">
        <f>IF(ISBLANK('Data Entry'!Z353), "", 'Data Entry'!Z353)</f>
      </c>
      <c r="AA353">
        <f>IF(ISBLANK('Data Entry'![353), "", 'Data Entry'![353)</f>
      </c>
      <c r="AB353">
        <f>IF(ISBLANK('Data Entry'!\353), "", 'Data Entry'!\353)</f>
      </c>
      <c r="AC353">
        <f>IF(ISBLANK('Data Entry'!]353), "", 'Data Entry'!]353)</f>
      </c>
      <c r="AD353">
        <f>IF(ISBLANK('Data Entry'!^353), "", 'Data Entry'!^353)</f>
      </c>
      <c r="AE353">
        <f>IF(ISBLANK('Data Entry'!_353), "", 'Data Entry'!_353)</f>
      </c>
      <c r="AF353">
        <f>IF(ISBLANK('Data Entry'!`353), "", 'Data Entry'!`353)</f>
      </c>
      <c r="AG353">
        <f>IF(ISBLANK('Data Entry'!a353), "", 'Data Entry'!a353)</f>
      </c>
      <c r="AH353">
        <f>IF(ISBLANK('Data Entry'!b353), "", 'Data Entry'!b353)</f>
      </c>
      <c r="AI353">
        <f>IF(ISBLANK('Data Entry'!c353), "", 'Data Entry'!c353)</f>
      </c>
      <c r="AJ353">
        <f>IF(ISBLANK('Data Entry'!d353), "", 'Data Entry'!d353)</f>
      </c>
      <c r="AK353">
        <f>IF(ISBLANK('Data Entry'!e353), "", 'Data Entry'!e353)</f>
      </c>
      <c r="AL353">
        <f>IF(ISBLANK('Data Entry'!f353), "", 'Data Entry'!f353)</f>
      </c>
      <c r="AM353">
        <f>IF(ISBLANK('Data Entry'!g353), "", 'Data Entry'!g353)</f>
      </c>
      <c r="AN353">
        <f>IF(ISBLANK('Data Entry'!h353), "", 'Data Entry'!h353)</f>
      </c>
    </row>
    <row r="354" spans="1:40" x14ac:dyDescent="0.25">
      <c r="A354">
        <f>IF(ISBLANK('Data Entry'!A354), "", 'Data Entry'!A354)</f>
      </c>
      <c r="B354">
        <f>IF(ISBLANK('Data Entry'!B354), "", 'Data Entry'!B354)</f>
      </c>
      <c r="C354">
        <f>IF(ISBLANK('Data Entry'!C354), "", 'Data Entry'!C354)</f>
      </c>
      <c r="D354">
        <f>IF(ISBLANK('Data Entry'!D354), "", 'Data Entry'!D354)</f>
      </c>
      <c r="E354">
        <f>IF(ISBLANK('Data Entry'!E354), "", 'Data Entry'!E354)</f>
      </c>
      <c r="F354">
        <f>IF(ISBLANK('Data Entry'!F354), "", 'Data Entry'!F354)</f>
      </c>
      <c r="G354">
        <f>IF(ISBLANK('Data Entry'!G354), "", 'Data Entry'!G354)</f>
      </c>
      <c r="H354">
        <f>IF(ISBLANK('Data Entry'!H354), "", 'Data Entry'!H354)</f>
      </c>
      <c r="I354">
        <f>IF(ISBLANK('Data Entry'!I354), "", 'Data Entry'!I354)</f>
      </c>
      <c r="J354">
        <f>IF(ISBLANK('Data Entry'!J354), "", 'Data Entry'!J354)</f>
      </c>
      <c r="K354">
        <f>IF(ISBLANK('Data Entry'!K354), "", 'Data Entry'!K354)</f>
      </c>
      <c r="L354">
        <f>IF(ISBLANK('Data Entry'!L354), "", 'Data Entry'!L354)</f>
      </c>
      <c r="M354">
        <f>IF(ISBLANK('Data Entry'!M354), "", 'Data Entry'!M354)</f>
      </c>
      <c r="N354">
        <f>IF(ISBLANK('Data Entry'!N354), "", 'Data Entry'!N354)</f>
      </c>
      <c r="O354">
        <f>IF(ISBLANK('Data Entry'!O354), "", 'Data Entry'!O354)</f>
      </c>
      <c r="P354">
        <f>IF(ISBLANK('Data Entry'!P354), "", 'Data Entry'!P354)</f>
      </c>
      <c r="Q354">
        <f>IF(ISBLANK('Data Entry'!Q354), "", 'Data Entry'!Q354)</f>
      </c>
      <c r="R354">
        <f>IF(ISBLANK('Data Entry'!R354), "", 'Data Entry'!R354)</f>
      </c>
      <c r="S354">
        <f>IF(ISBLANK('Data Entry'!S354), "", 'Data Entry'!S354)</f>
      </c>
      <c r="T354">
        <f>IF(ISBLANK('Data Entry'!T354), "", 'Data Entry'!T354)</f>
      </c>
      <c r="U354">
        <f>IF(ISBLANK('Data Entry'!U354), "", 'Data Entry'!U354)</f>
      </c>
      <c r="V354">
        <f>IF(ISBLANK('Data Entry'!V354), "", 'Data Entry'!V354)</f>
      </c>
      <c r="W354">
        <f>IF(ISBLANK('Data Entry'!W354), "", 'Data Entry'!W354)</f>
      </c>
      <c r="X354">
        <f>IF(ISBLANK('Data Entry'!X354), "", 'Data Entry'!X354)</f>
      </c>
      <c r="Y354">
        <f>IF(ISBLANK('Data Entry'!Y354), "", 'Data Entry'!Y354)</f>
      </c>
      <c r="Z354">
        <f>IF(ISBLANK('Data Entry'!Z354), "", 'Data Entry'!Z354)</f>
      </c>
      <c r="AA354">
        <f>IF(ISBLANK('Data Entry'![354), "", 'Data Entry'![354)</f>
      </c>
      <c r="AB354">
        <f>IF(ISBLANK('Data Entry'!\354), "", 'Data Entry'!\354)</f>
      </c>
      <c r="AC354">
        <f>IF(ISBLANK('Data Entry'!]354), "", 'Data Entry'!]354)</f>
      </c>
      <c r="AD354">
        <f>IF(ISBLANK('Data Entry'!^354), "", 'Data Entry'!^354)</f>
      </c>
      <c r="AE354">
        <f>IF(ISBLANK('Data Entry'!_354), "", 'Data Entry'!_354)</f>
      </c>
      <c r="AF354">
        <f>IF(ISBLANK('Data Entry'!`354), "", 'Data Entry'!`354)</f>
      </c>
      <c r="AG354">
        <f>IF(ISBLANK('Data Entry'!a354), "", 'Data Entry'!a354)</f>
      </c>
      <c r="AH354">
        <f>IF(ISBLANK('Data Entry'!b354), "", 'Data Entry'!b354)</f>
      </c>
      <c r="AI354">
        <f>IF(ISBLANK('Data Entry'!c354), "", 'Data Entry'!c354)</f>
      </c>
      <c r="AJ354">
        <f>IF(ISBLANK('Data Entry'!d354), "", 'Data Entry'!d354)</f>
      </c>
      <c r="AK354">
        <f>IF(ISBLANK('Data Entry'!e354), "", 'Data Entry'!e354)</f>
      </c>
      <c r="AL354">
        <f>IF(ISBLANK('Data Entry'!f354), "", 'Data Entry'!f354)</f>
      </c>
      <c r="AM354">
        <f>IF(ISBLANK('Data Entry'!g354), "", 'Data Entry'!g354)</f>
      </c>
      <c r="AN354">
        <f>IF(ISBLANK('Data Entry'!h354), "", 'Data Entry'!h354)</f>
      </c>
    </row>
    <row r="355" spans="1:40" x14ac:dyDescent="0.25">
      <c r="A355">
        <f>IF(ISBLANK('Data Entry'!A355), "", 'Data Entry'!A355)</f>
      </c>
      <c r="B355">
        <f>IF(ISBLANK('Data Entry'!B355), "", 'Data Entry'!B355)</f>
      </c>
      <c r="C355">
        <f>IF(ISBLANK('Data Entry'!C355), "", 'Data Entry'!C355)</f>
      </c>
      <c r="D355">
        <f>IF(ISBLANK('Data Entry'!D355), "", 'Data Entry'!D355)</f>
      </c>
      <c r="E355">
        <f>IF(ISBLANK('Data Entry'!E355), "", 'Data Entry'!E355)</f>
      </c>
      <c r="F355">
        <f>IF(ISBLANK('Data Entry'!F355), "", 'Data Entry'!F355)</f>
      </c>
      <c r="G355">
        <f>IF(ISBLANK('Data Entry'!G355), "", 'Data Entry'!G355)</f>
      </c>
      <c r="H355">
        <f>IF(ISBLANK('Data Entry'!H355), "", 'Data Entry'!H355)</f>
      </c>
      <c r="I355">
        <f>IF(ISBLANK('Data Entry'!I355), "", 'Data Entry'!I355)</f>
      </c>
      <c r="J355">
        <f>IF(ISBLANK('Data Entry'!J355), "", 'Data Entry'!J355)</f>
      </c>
      <c r="K355">
        <f>IF(ISBLANK('Data Entry'!K355), "", 'Data Entry'!K355)</f>
      </c>
      <c r="L355">
        <f>IF(ISBLANK('Data Entry'!L355), "", 'Data Entry'!L355)</f>
      </c>
      <c r="M355">
        <f>IF(ISBLANK('Data Entry'!M355), "", 'Data Entry'!M355)</f>
      </c>
      <c r="N355">
        <f>IF(ISBLANK('Data Entry'!N355), "", 'Data Entry'!N355)</f>
      </c>
      <c r="O355">
        <f>IF(ISBLANK('Data Entry'!O355), "", 'Data Entry'!O355)</f>
      </c>
      <c r="P355">
        <f>IF(ISBLANK('Data Entry'!P355), "", 'Data Entry'!P355)</f>
      </c>
      <c r="Q355">
        <f>IF(ISBLANK('Data Entry'!Q355), "", 'Data Entry'!Q355)</f>
      </c>
      <c r="R355">
        <f>IF(ISBLANK('Data Entry'!R355), "", 'Data Entry'!R355)</f>
      </c>
      <c r="S355">
        <f>IF(ISBLANK('Data Entry'!S355), "", 'Data Entry'!S355)</f>
      </c>
      <c r="T355">
        <f>IF(ISBLANK('Data Entry'!T355), "", 'Data Entry'!T355)</f>
      </c>
      <c r="U355">
        <f>IF(ISBLANK('Data Entry'!U355), "", 'Data Entry'!U355)</f>
      </c>
      <c r="V355">
        <f>IF(ISBLANK('Data Entry'!V355), "", 'Data Entry'!V355)</f>
      </c>
      <c r="W355">
        <f>IF(ISBLANK('Data Entry'!W355), "", 'Data Entry'!W355)</f>
      </c>
      <c r="X355">
        <f>IF(ISBLANK('Data Entry'!X355), "", 'Data Entry'!X355)</f>
      </c>
      <c r="Y355">
        <f>IF(ISBLANK('Data Entry'!Y355), "", 'Data Entry'!Y355)</f>
      </c>
      <c r="Z355">
        <f>IF(ISBLANK('Data Entry'!Z355), "", 'Data Entry'!Z355)</f>
      </c>
      <c r="AA355">
        <f>IF(ISBLANK('Data Entry'![355), "", 'Data Entry'![355)</f>
      </c>
      <c r="AB355">
        <f>IF(ISBLANK('Data Entry'!\355), "", 'Data Entry'!\355)</f>
      </c>
      <c r="AC355">
        <f>IF(ISBLANK('Data Entry'!]355), "", 'Data Entry'!]355)</f>
      </c>
      <c r="AD355">
        <f>IF(ISBLANK('Data Entry'!^355), "", 'Data Entry'!^355)</f>
      </c>
      <c r="AE355">
        <f>IF(ISBLANK('Data Entry'!_355), "", 'Data Entry'!_355)</f>
      </c>
      <c r="AF355">
        <f>IF(ISBLANK('Data Entry'!`355), "", 'Data Entry'!`355)</f>
      </c>
      <c r="AG355">
        <f>IF(ISBLANK('Data Entry'!a355), "", 'Data Entry'!a355)</f>
      </c>
      <c r="AH355">
        <f>IF(ISBLANK('Data Entry'!b355), "", 'Data Entry'!b355)</f>
      </c>
      <c r="AI355">
        <f>IF(ISBLANK('Data Entry'!c355), "", 'Data Entry'!c355)</f>
      </c>
      <c r="AJ355">
        <f>IF(ISBLANK('Data Entry'!d355), "", 'Data Entry'!d355)</f>
      </c>
      <c r="AK355">
        <f>IF(ISBLANK('Data Entry'!e355), "", 'Data Entry'!e355)</f>
      </c>
      <c r="AL355">
        <f>IF(ISBLANK('Data Entry'!f355), "", 'Data Entry'!f355)</f>
      </c>
      <c r="AM355">
        <f>IF(ISBLANK('Data Entry'!g355), "", 'Data Entry'!g355)</f>
      </c>
      <c r="AN355">
        <f>IF(ISBLANK('Data Entry'!h355), "", 'Data Entry'!h355)</f>
      </c>
    </row>
    <row r="356" spans="1:40" x14ac:dyDescent="0.25">
      <c r="A356">
        <f>IF(ISBLANK('Data Entry'!A356), "", 'Data Entry'!A356)</f>
      </c>
      <c r="B356">
        <f>IF(ISBLANK('Data Entry'!B356), "", 'Data Entry'!B356)</f>
      </c>
      <c r="C356">
        <f>IF(ISBLANK('Data Entry'!C356), "", 'Data Entry'!C356)</f>
      </c>
      <c r="D356">
        <f>IF(ISBLANK('Data Entry'!D356), "", 'Data Entry'!D356)</f>
      </c>
      <c r="E356">
        <f>IF(ISBLANK('Data Entry'!E356), "", 'Data Entry'!E356)</f>
      </c>
      <c r="F356">
        <f>IF(ISBLANK('Data Entry'!F356), "", 'Data Entry'!F356)</f>
      </c>
      <c r="G356">
        <f>IF(ISBLANK('Data Entry'!G356), "", 'Data Entry'!G356)</f>
      </c>
      <c r="H356">
        <f>IF(ISBLANK('Data Entry'!H356), "", 'Data Entry'!H356)</f>
      </c>
      <c r="I356">
        <f>IF(ISBLANK('Data Entry'!I356), "", 'Data Entry'!I356)</f>
      </c>
      <c r="J356">
        <f>IF(ISBLANK('Data Entry'!J356), "", 'Data Entry'!J356)</f>
      </c>
      <c r="K356">
        <f>IF(ISBLANK('Data Entry'!K356), "", 'Data Entry'!K356)</f>
      </c>
      <c r="L356">
        <f>IF(ISBLANK('Data Entry'!L356), "", 'Data Entry'!L356)</f>
      </c>
      <c r="M356">
        <f>IF(ISBLANK('Data Entry'!M356), "", 'Data Entry'!M356)</f>
      </c>
      <c r="N356">
        <f>IF(ISBLANK('Data Entry'!N356), "", 'Data Entry'!N356)</f>
      </c>
      <c r="O356">
        <f>IF(ISBLANK('Data Entry'!O356), "", 'Data Entry'!O356)</f>
      </c>
      <c r="P356">
        <f>IF(ISBLANK('Data Entry'!P356), "", 'Data Entry'!P356)</f>
      </c>
      <c r="Q356">
        <f>IF(ISBLANK('Data Entry'!Q356), "", 'Data Entry'!Q356)</f>
      </c>
      <c r="R356">
        <f>IF(ISBLANK('Data Entry'!R356), "", 'Data Entry'!R356)</f>
      </c>
      <c r="S356">
        <f>IF(ISBLANK('Data Entry'!S356), "", 'Data Entry'!S356)</f>
      </c>
      <c r="T356">
        <f>IF(ISBLANK('Data Entry'!T356), "", 'Data Entry'!T356)</f>
      </c>
      <c r="U356">
        <f>IF(ISBLANK('Data Entry'!U356), "", 'Data Entry'!U356)</f>
      </c>
      <c r="V356">
        <f>IF(ISBLANK('Data Entry'!V356), "", 'Data Entry'!V356)</f>
      </c>
      <c r="W356">
        <f>IF(ISBLANK('Data Entry'!W356), "", 'Data Entry'!W356)</f>
      </c>
      <c r="X356">
        <f>IF(ISBLANK('Data Entry'!X356), "", 'Data Entry'!X356)</f>
      </c>
      <c r="Y356">
        <f>IF(ISBLANK('Data Entry'!Y356), "", 'Data Entry'!Y356)</f>
      </c>
      <c r="Z356">
        <f>IF(ISBLANK('Data Entry'!Z356), "", 'Data Entry'!Z356)</f>
      </c>
      <c r="AA356">
        <f>IF(ISBLANK('Data Entry'![356), "", 'Data Entry'![356)</f>
      </c>
      <c r="AB356">
        <f>IF(ISBLANK('Data Entry'!\356), "", 'Data Entry'!\356)</f>
      </c>
      <c r="AC356">
        <f>IF(ISBLANK('Data Entry'!]356), "", 'Data Entry'!]356)</f>
      </c>
      <c r="AD356">
        <f>IF(ISBLANK('Data Entry'!^356), "", 'Data Entry'!^356)</f>
      </c>
      <c r="AE356">
        <f>IF(ISBLANK('Data Entry'!_356), "", 'Data Entry'!_356)</f>
      </c>
      <c r="AF356">
        <f>IF(ISBLANK('Data Entry'!`356), "", 'Data Entry'!`356)</f>
      </c>
      <c r="AG356">
        <f>IF(ISBLANK('Data Entry'!a356), "", 'Data Entry'!a356)</f>
      </c>
      <c r="AH356">
        <f>IF(ISBLANK('Data Entry'!b356), "", 'Data Entry'!b356)</f>
      </c>
      <c r="AI356">
        <f>IF(ISBLANK('Data Entry'!c356), "", 'Data Entry'!c356)</f>
      </c>
      <c r="AJ356">
        <f>IF(ISBLANK('Data Entry'!d356), "", 'Data Entry'!d356)</f>
      </c>
      <c r="AK356">
        <f>IF(ISBLANK('Data Entry'!e356), "", 'Data Entry'!e356)</f>
      </c>
      <c r="AL356">
        <f>IF(ISBLANK('Data Entry'!f356), "", 'Data Entry'!f356)</f>
      </c>
      <c r="AM356">
        <f>IF(ISBLANK('Data Entry'!g356), "", 'Data Entry'!g356)</f>
      </c>
      <c r="AN356">
        <f>IF(ISBLANK('Data Entry'!h356), "", 'Data Entry'!h356)</f>
      </c>
    </row>
    <row r="357" spans="1:40" x14ac:dyDescent="0.25">
      <c r="A357">
        <f>IF(ISBLANK('Data Entry'!A357), "", 'Data Entry'!A357)</f>
      </c>
      <c r="B357">
        <f>IF(ISBLANK('Data Entry'!B357), "", 'Data Entry'!B357)</f>
      </c>
      <c r="C357">
        <f>IF(ISBLANK('Data Entry'!C357), "", 'Data Entry'!C357)</f>
      </c>
      <c r="D357">
        <f>IF(ISBLANK('Data Entry'!D357), "", 'Data Entry'!D357)</f>
      </c>
      <c r="E357">
        <f>IF(ISBLANK('Data Entry'!E357), "", 'Data Entry'!E357)</f>
      </c>
      <c r="F357">
        <f>IF(ISBLANK('Data Entry'!F357), "", 'Data Entry'!F357)</f>
      </c>
      <c r="G357">
        <f>IF(ISBLANK('Data Entry'!G357), "", 'Data Entry'!G357)</f>
      </c>
      <c r="H357">
        <f>IF(ISBLANK('Data Entry'!H357), "", 'Data Entry'!H357)</f>
      </c>
      <c r="I357">
        <f>IF(ISBLANK('Data Entry'!I357), "", 'Data Entry'!I357)</f>
      </c>
      <c r="J357">
        <f>IF(ISBLANK('Data Entry'!J357), "", 'Data Entry'!J357)</f>
      </c>
      <c r="K357">
        <f>IF(ISBLANK('Data Entry'!K357), "", 'Data Entry'!K357)</f>
      </c>
      <c r="L357">
        <f>IF(ISBLANK('Data Entry'!L357), "", 'Data Entry'!L357)</f>
      </c>
      <c r="M357">
        <f>IF(ISBLANK('Data Entry'!M357), "", 'Data Entry'!M357)</f>
      </c>
      <c r="N357">
        <f>IF(ISBLANK('Data Entry'!N357), "", 'Data Entry'!N357)</f>
      </c>
      <c r="O357">
        <f>IF(ISBLANK('Data Entry'!O357), "", 'Data Entry'!O357)</f>
      </c>
      <c r="P357">
        <f>IF(ISBLANK('Data Entry'!P357), "", 'Data Entry'!P357)</f>
      </c>
      <c r="Q357">
        <f>IF(ISBLANK('Data Entry'!Q357), "", 'Data Entry'!Q357)</f>
      </c>
      <c r="R357">
        <f>IF(ISBLANK('Data Entry'!R357), "", 'Data Entry'!R357)</f>
      </c>
      <c r="S357">
        <f>IF(ISBLANK('Data Entry'!S357), "", 'Data Entry'!S357)</f>
      </c>
      <c r="T357">
        <f>IF(ISBLANK('Data Entry'!T357), "", 'Data Entry'!T357)</f>
      </c>
      <c r="U357">
        <f>IF(ISBLANK('Data Entry'!U357), "", 'Data Entry'!U357)</f>
      </c>
      <c r="V357">
        <f>IF(ISBLANK('Data Entry'!V357), "", 'Data Entry'!V357)</f>
      </c>
      <c r="W357">
        <f>IF(ISBLANK('Data Entry'!W357), "", 'Data Entry'!W357)</f>
      </c>
      <c r="X357">
        <f>IF(ISBLANK('Data Entry'!X357), "", 'Data Entry'!X357)</f>
      </c>
      <c r="Y357">
        <f>IF(ISBLANK('Data Entry'!Y357), "", 'Data Entry'!Y357)</f>
      </c>
      <c r="Z357">
        <f>IF(ISBLANK('Data Entry'!Z357), "", 'Data Entry'!Z357)</f>
      </c>
      <c r="AA357">
        <f>IF(ISBLANK('Data Entry'![357), "", 'Data Entry'![357)</f>
      </c>
      <c r="AB357">
        <f>IF(ISBLANK('Data Entry'!\357), "", 'Data Entry'!\357)</f>
      </c>
      <c r="AC357">
        <f>IF(ISBLANK('Data Entry'!]357), "", 'Data Entry'!]357)</f>
      </c>
      <c r="AD357">
        <f>IF(ISBLANK('Data Entry'!^357), "", 'Data Entry'!^357)</f>
      </c>
      <c r="AE357">
        <f>IF(ISBLANK('Data Entry'!_357), "", 'Data Entry'!_357)</f>
      </c>
      <c r="AF357">
        <f>IF(ISBLANK('Data Entry'!`357), "", 'Data Entry'!`357)</f>
      </c>
      <c r="AG357">
        <f>IF(ISBLANK('Data Entry'!a357), "", 'Data Entry'!a357)</f>
      </c>
      <c r="AH357">
        <f>IF(ISBLANK('Data Entry'!b357), "", 'Data Entry'!b357)</f>
      </c>
      <c r="AI357">
        <f>IF(ISBLANK('Data Entry'!c357), "", 'Data Entry'!c357)</f>
      </c>
      <c r="AJ357">
        <f>IF(ISBLANK('Data Entry'!d357), "", 'Data Entry'!d357)</f>
      </c>
      <c r="AK357">
        <f>IF(ISBLANK('Data Entry'!e357), "", 'Data Entry'!e357)</f>
      </c>
      <c r="AL357">
        <f>IF(ISBLANK('Data Entry'!f357), "", 'Data Entry'!f357)</f>
      </c>
      <c r="AM357">
        <f>IF(ISBLANK('Data Entry'!g357), "", 'Data Entry'!g357)</f>
      </c>
      <c r="AN357">
        <f>IF(ISBLANK('Data Entry'!h357), "", 'Data Entry'!h357)</f>
      </c>
    </row>
    <row r="358" spans="1:40" x14ac:dyDescent="0.25">
      <c r="A358">
        <f>IF(ISBLANK('Data Entry'!A358), "", 'Data Entry'!A358)</f>
      </c>
      <c r="B358">
        <f>IF(ISBLANK('Data Entry'!B358), "", 'Data Entry'!B358)</f>
      </c>
      <c r="C358">
        <f>IF(ISBLANK('Data Entry'!C358), "", 'Data Entry'!C358)</f>
      </c>
      <c r="D358">
        <f>IF(ISBLANK('Data Entry'!D358), "", 'Data Entry'!D358)</f>
      </c>
      <c r="E358">
        <f>IF(ISBLANK('Data Entry'!E358), "", 'Data Entry'!E358)</f>
      </c>
      <c r="F358">
        <f>IF(ISBLANK('Data Entry'!F358), "", 'Data Entry'!F358)</f>
      </c>
      <c r="G358">
        <f>IF(ISBLANK('Data Entry'!G358), "", 'Data Entry'!G358)</f>
      </c>
      <c r="H358">
        <f>IF(ISBLANK('Data Entry'!H358), "", 'Data Entry'!H358)</f>
      </c>
      <c r="I358">
        <f>IF(ISBLANK('Data Entry'!I358), "", 'Data Entry'!I358)</f>
      </c>
      <c r="J358">
        <f>IF(ISBLANK('Data Entry'!J358), "", 'Data Entry'!J358)</f>
      </c>
      <c r="K358">
        <f>IF(ISBLANK('Data Entry'!K358), "", 'Data Entry'!K358)</f>
      </c>
      <c r="L358">
        <f>IF(ISBLANK('Data Entry'!L358), "", 'Data Entry'!L358)</f>
      </c>
      <c r="M358">
        <f>IF(ISBLANK('Data Entry'!M358), "", 'Data Entry'!M358)</f>
      </c>
      <c r="N358">
        <f>IF(ISBLANK('Data Entry'!N358), "", 'Data Entry'!N358)</f>
      </c>
      <c r="O358">
        <f>IF(ISBLANK('Data Entry'!O358), "", 'Data Entry'!O358)</f>
      </c>
      <c r="P358">
        <f>IF(ISBLANK('Data Entry'!P358), "", 'Data Entry'!P358)</f>
      </c>
      <c r="Q358">
        <f>IF(ISBLANK('Data Entry'!Q358), "", 'Data Entry'!Q358)</f>
      </c>
      <c r="R358">
        <f>IF(ISBLANK('Data Entry'!R358), "", 'Data Entry'!R358)</f>
      </c>
      <c r="S358">
        <f>IF(ISBLANK('Data Entry'!S358), "", 'Data Entry'!S358)</f>
      </c>
      <c r="T358">
        <f>IF(ISBLANK('Data Entry'!T358), "", 'Data Entry'!T358)</f>
      </c>
      <c r="U358">
        <f>IF(ISBLANK('Data Entry'!U358), "", 'Data Entry'!U358)</f>
      </c>
      <c r="V358">
        <f>IF(ISBLANK('Data Entry'!V358), "", 'Data Entry'!V358)</f>
      </c>
      <c r="W358">
        <f>IF(ISBLANK('Data Entry'!W358), "", 'Data Entry'!W358)</f>
      </c>
      <c r="X358">
        <f>IF(ISBLANK('Data Entry'!X358), "", 'Data Entry'!X358)</f>
      </c>
      <c r="Y358">
        <f>IF(ISBLANK('Data Entry'!Y358), "", 'Data Entry'!Y358)</f>
      </c>
      <c r="Z358">
        <f>IF(ISBLANK('Data Entry'!Z358), "", 'Data Entry'!Z358)</f>
      </c>
      <c r="AA358">
        <f>IF(ISBLANK('Data Entry'![358), "", 'Data Entry'![358)</f>
      </c>
      <c r="AB358">
        <f>IF(ISBLANK('Data Entry'!\358), "", 'Data Entry'!\358)</f>
      </c>
      <c r="AC358">
        <f>IF(ISBLANK('Data Entry'!]358), "", 'Data Entry'!]358)</f>
      </c>
      <c r="AD358">
        <f>IF(ISBLANK('Data Entry'!^358), "", 'Data Entry'!^358)</f>
      </c>
      <c r="AE358">
        <f>IF(ISBLANK('Data Entry'!_358), "", 'Data Entry'!_358)</f>
      </c>
      <c r="AF358">
        <f>IF(ISBLANK('Data Entry'!`358), "", 'Data Entry'!`358)</f>
      </c>
      <c r="AG358">
        <f>IF(ISBLANK('Data Entry'!a358), "", 'Data Entry'!a358)</f>
      </c>
      <c r="AH358">
        <f>IF(ISBLANK('Data Entry'!b358), "", 'Data Entry'!b358)</f>
      </c>
      <c r="AI358">
        <f>IF(ISBLANK('Data Entry'!c358), "", 'Data Entry'!c358)</f>
      </c>
      <c r="AJ358">
        <f>IF(ISBLANK('Data Entry'!d358), "", 'Data Entry'!d358)</f>
      </c>
      <c r="AK358">
        <f>IF(ISBLANK('Data Entry'!e358), "", 'Data Entry'!e358)</f>
      </c>
      <c r="AL358">
        <f>IF(ISBLANK('Data Entry'!f358), "", 'Data Entry'!f358)</f>
      </c>
      <c r="AM358">
        <f>IF(ISBLANK('Data Entry'!g358), "", 'Data Entry'!g358)</f>
      </c>
      <c r="AN358">
        <f>IF(ISBLANK('Data Entry'!h358), "", 'Data Entry'!h358)</f>
      </c>
    </row>
    <row r="359" spans="1:40" x14ac:dyDescent="0.25">
      <c r="A359">
        <f>IF(ISBLANK('Data Entry'!A359), "", 'Data Entry'!A359)</f>
      </c>
      <c r="B359">
        <f>IF(ISBLANK('Data Entry'!B359), "", 'Data Entry'!B359)</f>
      </c>
      <c r="C359">
        <f>IF(ISBLANK('Data Entry'!C359), "", 'Data Entry'!C359)</f>
      </c>
      <c r="D359">
        <f>IF(ISBLANK('Data Entry'!D359), "", 'Data Entry'!D359)</f>
      </c>
      <c r="E359">
        <f>IF(ISBLANK('Data Entry'!E359), "", 'Data Entry'!E359)</f>
      </c>
      <c r="F359">
        <f>IF(ISBLANK('Data Entry'!F359), "", 'Data Entry'!F359)</f>
      </c>
      <c r="G359">
        <f>IF(ISBLANK('Data Entry'!G359), "", 'Data Entry'!G359)</f>
      </c>
      <c r="H359">
        <f>IF(ISBLANK('Data Entry'!H359), "", 'Data Entry'!H359)</f>
      </c>
      <c r="I359">
        <f>IF(ISBLANK('Data Entry'!I359), "", 'Data Entry'!I359)</f>
      </c>
      <c r="J359">
        <f>IF(ISBLANK('Data Entry'!J359), "", 'Data Entry'!J359)</f>
      </c>
      <c r="K359">
        <f>IF(ISBLANK('Data Entry'!K359), "", 'Data Entry'!K359)</f>
      </c>
      <c r="L359">
        <f>IF(ISBLANK('Data Entry'!L359), "", 'Data Entry'!L359)</f>
      </c>
      <c r="M359">
        <f>IF(ISBLANK('Data Entry'!M359), "", 'Data Entry'!M359)</f>
      </c>
      <c r="N359">
        <f>IF(ISBLANK('Data Entry'!N359), "", 'Data Entry'!N359)</f>
      </c>
      <c r="O359">
        <f>IF(ISBLANK('Data Entry'!O359), "", 'Data Entry'!O359)</f>
      </c>
      <c r="P359">
        <f>IF(ISBLANK('Data Entry'!P359), "", 'Data Entry'!P359)</f>
      </c>
      <c r="Q359">
        <f>IF(ISBLANK('Data Entry'!Q359), "", 'Data Entry'!Q359)</f>
      </c>
      <c r="R359">
        <f>IF(ISBLANK('Data Entry'!R359), "", 'Data Entry'!R359)</f>
      </c>
      <c r="S359">
        <f>IF(ISBLANK('Data Entry'!S359), "", 'Data Entry'!S359)</f>
      </c>
      <c r="T359">
        <f>IF(ISBLANK('Data Entry'!T359), "", 'Data Entry'!T359)</f>
      </c>
      <c r="U359">
        <f>IF(ISBLANK('Data Entry'!U359), "", 'Data Entry'!U359)</f>
      </c>
      <c r="V359">
        <f>IF(ISBLANK('Data Entry'!V359), "", 'Data Entry'!V359)</f>
      </c>
      <c r="W359">
        <f>IF(ISBLANK('Data Entry'!W359), "", 'Data Entry'!W359)</f>
      </c>
      <c r="X359">
        <f>IF(ISBLANK('Data Entry'!X359), "", 'Data Entry'!X359)</f>
      </c>
      <c r="Y359">
        <f>IF(ISBLANK('Data Entry'!Y359), "", 'Data Entry'!Y359)</f>
      </c>
      <c r="Z359">
        <f>IF(ISBLANK('Data Entry'!Z359), "", 'Data Entry'!Z359)</f>
      </c>
      <c r="AA359">
        <f>IF(ISBLANK('Data Entry'![359), "", 'Data Entry'![359)</f>
      </c>
      <c r="AB359">
        <f>IF(ISBLANK('Data Entry'!\359), "", 'Data Entry'!\359)</f>
      </c>
      <c r="AC359">
        <f>IF(ISBLANK('Data Entry'!]359), "", 'Data Entry'!]359)</f>
      </c>
      <c r="AD359">
        <f>IF(ISBLANK('Data Entry'!^359), "", 'Data Entry'!^359)</f>
      </c>
      <c r="AE359">
        <f>IF(ISBLANK('Data Entry'!_359), "", 'Data Entry'!_359)</f>
      </c>
      <c r="AF359">
        <f>IF(ISBLANK('Data Entry'!`359), "", 'Data Entry'!`359)</f>
      </c>
      <c r="AG359">
        <f>IF(ISBLANK('Data Entry'!a359), "", 'Data Entry'!a359)</f>
      </c>
      <c r="AH359">
        <f>IF(ISBLANK('Data Entry'!b359), "", 'Data Entry'!b359)</f>
      </c>
      <c r="AI359">
        <f>IF(ISBLANK('Data Entry'!c359), "", 'Data Entry'!c359)</f>
      </c>
      <c r="AJ359">
        <f>IF(ISBLANK('Data Entry'!d359), "", 'Data Entry'!d359)</f>
      </c>
      <c r="AK359">
        <f>IF(ISBLANK('Data Entry'!e359), "", 'Data Entry'!e359)</f>
      </c>
      <c r="AL359">
        <f>IF(ISBLANK('Data Entry'!f359), "", 'Data Entry'!f359)</f>
      </c>
      <c r="AM359">
        <f>IF(ISBLANK('Data Entry'!g359), "", 'Data Entry'!g359)</f>
      </c>
      <c r="AN359">
        <f>IF(ISBLANK('Data Entry'!h359), "", 'Data Entry'!h359)</f>
      </c>
    </row>
    <row r="360" spans="1:40" x14ac:dyDescent="0.25">
      <c r="A360">
        <f>IF(ISBLANK('Data Entry'!A360), "", 'Data Entry'!A360)</f>
      </c>
      <c r="B360">
        <f>IF(ISBLANK('Data Entry'!B360), "", 'Data Entry'!B360)</f>
      </c>
      <c r="C360">
        <f>IF(ISBLANK('Data Entry'!C360), "", 'Data Entry'!C360)</f>
      </c>
      <c r="D360">
        <f>IF(ISBLANK('Data Entry'!D360), "", 'Data Entry'!D360)</f>
      </c>
      <c r="E360">
        <f>IF(ISBLANK('Data Entry'!E360), "", 'Data Entry'!E360)</f>
      </c>
      <c r="F360">
        <f>IF(ISBLANK('Data Entry'!F360), "", 'Data Entry'!F360)</f>
      </c>
      <c r="G360">
        <f>IF(ISBLANK('Data Entry'!G360), "", 'Data Entry'!G360)</f>
      </c>
      <c r="H360">
        <f>IF(ISBLANK('Data Entry'!H360), "", 'Data Entry'!H360)</f>
      </c>
      <c r="I360">
        <f>IF(ISBLANK('Data Entry'!I360), "", 'Data Entry'!I360)</f>
      </c>
      <c r="J360">
        <f>IF(ISBLANK('Data Entry'!J360), "", 'Data Entry'!J360)</f>
      </c>
      <c r="K360">
        <f>IF(ISBLANK('Data Entry'!K360), "", 'Data Entry'!K360)</f>
      </c>
      <c r="L360">
        <f>IF(ISBLANK('Data Entry'!L360), "", 'Data Entry'!L360)</f>
      </c>
      <c r="M360">
        <f>IF(ISBLANK('Data Entry'!M360), "", 'Data Entry'!M360)</f>
      </c>
      <c r="N360">
        <f>IF(ISBLANK('Data Entry'!N360), "", 'Data Entry'!N360)</f>
      </c>
      <c r="O360">
        <f>IF(ISBLANK('Data Entry'!O360), "", 'Data Entry'!O360)</f>
      </c>
      <c r="P360">
        <f>IF(ISBLANK('Data Entry'!P360), "", 'Data Entry'!P360)</f>
      </c>
      <c r="Q360">
        <f>IF(ISBLANK('Data Entry'!Q360), "", 'Data Entry'!Q360)</f>
      </c>
      <c r="R360">
        <f>IF(ISBLANK('Data Entry'!R360), "", 'Data Entry'!R360)</f>
      </c>
      <c r="S360">
        <f>IF(ISBLANK('Data Entry'!S360), "", 'Data Entry'!S360)</f>
      </c>
      <c r="T360">
        <f>IF(ISBLANK('Data Entry'!T360), "", 'Data Entry'!T360)</f>
      </c>
      <c r="U360">
        <f>IF(ISBLANK('Data Entry'!U360), "", 'Data Entry'!U360)</f>
      </c>
      <c r="V360">
        <f>IF(ISBLANK('Data Entry'!V360), "", 'Data Entry'!V360)</f>
      </c>
      <c r="W360">
        <f>IF(ISBLANK('Data Entry'!W360), "", 'Data Entry'!W360)</f>
      </c>
      <c r="X360">
        <f>IF(ISBLANK('Data Entry'!X360), "", 'Data Entry'!X360)</f>
      </c>
      <c r="Y360">
        <f>IF(ISBLANK('Data Entry'!Y360), "", 'Data Entry'!Y360)</f>
      </c>
      <c r="Z360">
        <f>IF(ISBLANK('Data Entry'!Z360), "", 'Data Entry'!Z360)</f>
      </c>
      <c r="AA360">
        <f>IF(ISBLANK('Data Entry'![360), "", 'Data Entry'![360)</f>
      </c>
      <c r="AB360">
        <f>IF(ISBLANK('Data Entry'!\360), "", 'Data Entry'!\360)</f>
      </c>
      <c r="AC360">
        <f>IF(ISBLANK('Data Entry'!]360), "", 'Data Entry'!]360)</f>
      </c>
      <c r="AD360">
        <f>IF(ISBLANK('Data Entry'!^360), "", 'Data Entry'!^360)</f>
      </c>
      <c r="AE360">
        <f>IF(ISBLANK('Data Entry'!_360), "", 'Data Entry'!_360)</f>
      </c>
      <c r="AF360">
        <f>IF(ISBLANK('Data Entry'!`360), "", 'Data Entry'!`360)</f>
      </c>
      <c r="AG360">
        <f>IF(ISBLANK('Data Entry'!a360), "", 'Data Entry'!a360)</f>
      </c>
      <c r="AH360">
        <f>IF(ISBLANK('Data Entry'!b360), "", 'Data Entry'!b360)</f>
      </c>
      <c r="AI360">
        <f>IF(ISBLANK('Data Entry'!c360), "", 'Data Entry'!c360)</f>
      </c>
      <c r="AJ360">
        <f>IF(ISBLANK('Data Entry'!d360), "", 'Data Entry'!d360)</f>
      </c>
      <c r="AK360">
        <f>IF(ISBLANK('Data Entry'!e360), "", 'Data Entry'!e360)</f>
      </c>
      <c r="AL360">
        <f>IF(ISBLANK('Data Entry'!f360), "", 'Data Entry'!f360)</f>
      </c>
      <c r="AM360">
        <f>IF(ISBLANK('Data Entry'!g360), "", 'Data Entry'!g360)</f>
      </c>
      <c r="AN360">
        <f>IF(ISBLANK('Data Entry'!h360), "", 'Data Entry'!h360)</f>
      </c>
    </row>
    <row r="361" spans="1:40" x14ac:dyDescent="0.25">
      <c r="A361">
        <f>IF(ISBLANK('Data Entry'!A361), "", 'Data Entry'!A361)</f>
      </c>
      <c r="B361">
        <f>IF(ISBLANK('Data Entry'!B361), "", 'Data Entry'!B361)</f>
      </c>
      <c r="C361">
        <f>IF(ISBLANK('Data Entry'!C361), "", 'Data Entry'!C361)</f>
      </c>
      <c r="D361">
        <f>IF(ISBLANK('Data Entry'!D361), "", 'Data Entry'!D361)</f>
      </c>
      <c r="E361">
        <f>IF(ISBLANK('Data Entry'!E361), "", 'Data Entry'!E361)</f>
      </c>
      <c r="F361">
        <f>IF(ISBLANK('Data Entry'!F361), "", 'Data Entry'!F361)</f>
      </c>
      <c r="G361">
        <f>IF(ISBLANK('Data Entry'!G361), "", 'Data Entry'!G361)</f>
      </c>
      <c r="H361">
        <f>IF(ISBLANK('Data Entry'!H361), "", 'Data Entry'!H361)</f>
      </c>
      <c r="I361">
        <f>IF(ISBLANK('Data Entry'!I361), "", 'Data Entry'!I361)</f>
      </c>
      <c r="J361">
        <f>IF(ISBLANK('Data Entry'!J361), "", 'Data Entry'!J361)</f>
      </c>
      <c r="K361">
        <f>IF(ISBLANK('Data Entry'!K361), "", 'Data Entry'!K361)</f>
      </c>
      <c r="L361">
        <f>IF(ISBLANK('Data Entry'!L361), "", 'Data Entry'!L361)</f>
      </c>
      <c r="M361">
        <f>IF(ISBLANK('Data Entry'!M361), "", 'Data Entry'!M361)</f>
      </c>
      <c r="N361">
        <f>IF(ISBLANK('Data Entry'!N361), "", 'Data Entry'!N361)</f>
      </c>
      <c r="O361">
        <f>IF(ISBLANK('Data Entry'!O361), "", 'Data Entry'!O361)</f>
      </c>
      <c r="P361">
        <f>IF(ISBLANK('Data Entry'!P361), "", 'Data Entry'!P361)</f>
      </c>
      <c r="Q361">
        <f>IF(ISBLANK('Data Entry'!Q361), "", 'Data Entry'!Q361)</f>
      </c>
      <c r="R361">
        <f>IF(ISBLANK('Data Entry'!R361), "", 'Data Entry'!R361)</f>
      </c>
      <c r="S361">
        <f>IF(ISBLANK('Data Entry'!S361), "", 'Data Entry'!S361)</f>
      </c>
      <c r="T361">
        <f>IF(ISBLANK('Data Entry'!T361), "", 'Data Entry'!T361)</f>
      </c>
      <c r="U361">
        <f>IF(ISBLANK('Data Entry'!U361), "", 'Data Entry'!U361)</f>
      </c>
      <c r="V361">
        <f>IF(ISBLANK('Data Entry'!V361), "", 'Data Entry'!V361)</f>
      </c>
      <c r="W361">
        <f>IF(ISBLANK('Data Entry'!W361), "", 'Data Entry'!W361)</f>
      </c>
      <c r="X361">
        <f>IF(ISBLANK('Data Entry'!X361), "", 'Data Entry'!X361)</f>
      </c>
      <c r="Y361">
        <f>IF(ISBLANK('Data Entry'!Y361), "", 'Data Entry'!Y361)</f>
      </c>
      <c r="Z361">
        <f>IF(ISBLANK('Data Entry'!Z361), "", 'Data Entry'!Z361)</f>
      </c>
      <c r="AA361">
        <f>IF(ISBLANK('Data Entry'![361), "", 'Data Entry'![361)</f>
      </c>
      <c r="AB361">
        <f>IF(ISBLANK('Data Entry'!\361), "", 'Data Entry'!\361)</f>
      </c>
      <c r="AC361">
        <f>IF(ISBLANK('Data Entry'!]361), "", 'Data Entry'!]361)</f>
      </c>
      <c r="AD361">
        <f>IF(ISBLANK('Data Entry'!^361), "", 'Data Entry'!^361)</f>
      </c>
      <c r="AE361">
        <f>IF(ISBLANK('Data Entry'!_361), "", 'Data Entry'!_361)</f>
      </c>
      <c r="AF361">
        <f>IF(ISBLANK('Data Entry'!`361), "", 'Data Entry'!`361)</f>
      </c>
      <c r="AG361">
        <f>IF(ISBLANK('Data Entry'!a361), "", 'Data Entry'!a361)</f>
      </c>
      <c r="AH361">
        <f>IF(ISBLANK('Data Entry'!b361), "", 'Data Entry'!b361)</f>
      </c>
      <c r="AI361">
        <f>IF(ISBLANK('Data Entry'!c361), "", 'Data Entry'!c361)</f>
      </c>
      <c r="AJ361">
        <f>IF(ISBLANK('Data Entry'!d361), "", 'Data Entry'!d361)</f>
      </c>
      <c r="AK361">
        <f>IF(ISBLANK('Data Entry'!e361), "", 'Data Entry'!e361)</f>
      </c>
      <c r="AL361">
        <f>IF(ISBLANK('Data Entry'!f361), "", 'Data Entry'!f361)</f>
      </c>
      <c r="AM361">
        <f>IF(ISBLANK('Data Entry'!g361), "", 'Data Entry'!g361)</f>
      </c>
      <c r="AN361">
        <f>IF(ISBLANK('Data Entry'!h361), "", 'Data Entry'!h361)</f>
      </c>
    </row>
    <row r="362" spans="1:40" x14ac:dyDescent="0.25">
      <c r="A362">
        <f>IF(ISBLANK('Data Entry'!A362), "", 'Data Entry'!A362)</f>
      </c>
      <c r="B362">
        <f>IF(ISBLANK('Data Entry'!B362), "", 'Data Entry'!B362)</f>
      </c>
      <c r="C362">
        <f>IF(ISBLANK('Data Entry'!C362), "", 'Data Entry'!C362)</f>
      </c>
      <c r="D362">
        <f>IF(ISBLANK('Data Entry'!D362), "", 'Data Entry'!D362)</f>
      </c>
      <c r="E362">
        <f>IF(ISBLANK('Data Entry'!E362), "", 'Data Entry'!E362)</f>
      </c>
      <c r="F362">
        <f>IF(ISBLANK('Data Entry'!F362), "", 'Data Entry'!F362)</f>
      </c>
      <c r="G362">
        <f>IF(ISBLANK('Data Entry'!G362), "", 'Data Entry'!G362)</f>
      </c>
      <c r="H362">
        <f>IF(ISBLANK('Data Entry'!H362), "", 'Data Entry'!H362)</f>
      </c>
      <c r="I362">
        <f>IF(ISBLANK('Data Entry'!I362), "", 'Data Entry'!I362)</f>
      </c>
      <c r="J362">
        <f>IF(ISBLANK('Data Entry'!J362), "", 'Data Entry'!J362)</f>
      </c>
      <c r="K362">
        <f>IF(ISBLANK('Data Entry'!K362), "", 'Data Entry'!K362)</f>
      </c>
      <c r="L362">
        <f>IF(ISBLANK('Data Entry'!L362), "", 'Data Entry'!L362)</f>
      </c>
      <c r="M362">
        <f>IF(ISBLANK('Data Entry'!M362), "", 'Data Entry'!M362)</f>
      </c>
      <c r="N362">
        <f>IF(ISBLANK('Data Entry'!N362), "", 'Data Entry'!N362)</f>
      </c>
      <c r="O362">
        <f>IF(ISBLANK('Data Entry'!O362), "", 'Data Entry'!O362)</f>
      </c>
      <c r="P362">
        <f>IF(ISBLANK('Data Entry'!P362), "", 'Data Entry'!P362)</f>
      </c>
      <c r="Q362">
        <f>IF(ISBLANK('Data Entry'!Q362), "", 'Data Entry'!Q362)</f>
      </c>
      <c r="R362">
        <f>IF(ISBLANK('Data Entry'!R362), "", 'Data Entry'!R362)</f>
      </c>
      <c r="S362">
        <f>IF(ISBLANK('Data Entry'!S362), "", 'Data Entry'!S362)</f>
      </c>
      <c r="T362">
        <f>IF(ISBLANK('Data Entry'!T362), "", 'Data Entry'!T362)</f>
      </c>
      <c r="U362">
        <f>IF(ISBLANK('Data Entry'!U362), "", 'Data Entry'!U362)</f>
      </c>
      <c r="V362">
        <f>IF(ISBLANK('Data Entry'!V362), "", 'Data Entry'!V362)</f>
      </c>
      <c r="W362">
        <f>IF(ISBLANK('Data Entry'!W362), "", 'Data Entry'!W362)</f>
      </c>
      <c r="X362">
        <f>IF(ISBLANK('Data Entry'!X362), "", 'Data Entry'!X362)</f>
      </c>
      <c r="Y362">
        <f>IF(ISBLANK('Data Entry'!Y362), "", 'Data Entry'!Y362)</f>
      </c>
      <c r="Z362">
        <f>IF(ISBLANK('Data Entry'!Z362), "", 'Data Entry'!Z362)</f>
      </c>
      <c r="AA362">
        <f>IF(ISBLANK('Data Entry'![362), "", 'Data Entry'![362)</f>
      </c>
      <c r="AB362">
        <f>IF(ISBLANK('Data Entry'!\362), "", 'Data Entry'!\362)</f>
      </c>
      <c r="AC362">
        <f>IF(ISBLANK('Data Entry'!]362), "", 'Data Entry'!]362)</f>
      </c>
      <c r="AD362">
        <f>IF(ISBLANK('Data Entry'!^362), "", 'Data Entry'!^362)</f>
      </c>
      <c r="AE362">
        <f>IF(ISBLANK('Data Entry'!_362), "", 'Data Entry'!_362)</f>
      </c>
      <c r="AF362">
        <f>IF(ISBLANK('Data Entry'!`362), "", 'Data Entry'!`362)</f>
      </c>
      <c r="AG362">
        <f>IF(ISBLANK('Data Entry'!a362), "", 'Data Entry'!a362)</f>
      </c>
      <c r="AH362">
        <f>IF(ISBLANK('Data Entry'!b362), "", 'Data Entry'!b362)</f>
      </c>
      <c r="AI362">
        <f>IF(ISBLANK('Data Entry'!c362), "", 'Data Entry'!c362)</f>
      </c>
      <c r="AJ362">
        <f>IF(ISBLANK('Data Entry'!d362), "", 'Data Entry'!d362)</f>
      </c>
      <c r="AK362">
        <f>IF(ISBLANK('Data Entry'!e362), "", 'Data Entry'!e362)</f>
      </c>
      <c r="AL362">
        <f>IF(ISBLANK('Data Entry'!f362), "", 'Data Entry'!f362)</f>
      </c>
      <c r="AM362">
        <f>IF(ISBLANK('Data Entry'!g362), "", 'Data Entry'!g362)</f>
      </c>
      <c r="AN362">
        <f>IF(ISBLANK('Data Entry'!h362), "", 'Data Entry'!h362)</f>
      </c>
    </row>
    <row r="363" spans="1:40" x14ac:dyDescent="0.25">
      <c r="A363">
        <f>IF(ISBLANK('Data Entry'!A363), "", 'Data Entry'!A363)</f>
      </c>
      <c r="B363">
        <f>IF(ISBLANK('Data Entry'!B363), "", 'Data Entry'!B363)</f>
      </c>
      <c r="C363">
        <f>IF(ISBLANK('Data Entry'!C363), "", 'Data Entry'!C363)</f>
      </c>
      <c r="D363">
        <f>IF(ISBLANK('Data Entry'!D363), "", 'Data Entry'!D363)</f>
      </c>
      <c r="E363">
        <f>IF(ISBLANK('Data Entry'!E363), "", 'Data Entry'!E363)</f>
      </c>
      <c r="F363">
        <f>IF(ISBLANK('Data Entry'!F363), "", 'Data Entry'!F363)</f>
      </c>
      <c r="G363">
        <f>IF(ISBLANK('Data Entry'!G363), "", 'Data Entry'!G363)</f>
      </c>
      <c r="H363">
        <f>IF(ISBLANK('Data Entry'!H363), "", 'Data Entry'!H363)</f>
      </c>
      <c r="I363">
        <f>IF(ISBLANK('Data Entry'!I363), "", 'Data Entry'!I363)</f>
      </c>
      <c r="J363">
        <f>IF(ISBLANK('Data Entry'!J363), "", 'Data Entry'!J363)</f>
      </c>
      <c r="K363">
        <f>IF(ISBLANK('Data Entry'!K363), "", 'Data Entry'!K363)</f>
      </c>
      <c r="L363">
        <f>IF(ISBLANK('Data Entry'!L363), "", 'Data Entry'!L363)</f>
      </c>
      <c r="M363">
        <f>IF(ISBLANK('Data Entry'!M363), "", 'Data Entry'!M363)</f>
      </c>
      <c r="N363">
        <f>IF(ISBLANK('Data Entry'!N363), "", 'Data Entry'!N363)</f>
      </c>
      <c r="O363">
        <f>IF(ISBLANK('Data Entry'!O363), "", 'Data Entry'!O363)</f>
      </c>
      <c r="P363">
        <f>IF(ISBLANK('Data Entry'!P363), "", 'Data Entry'!P363)</f>
      </c>
      <c r="Q363">
        <f>IF(ISBLANK('Data Entry'!Q363), "", 'Data Entry'!Q363)</f>
      </c>
      <c r="R363">
        <f>IF(ISBLANK('Data Entry'!R363), "", 'Data Entry'!R363)</f>
      </c>
      <c r="S363">
        <f>IF(ISBLANK('Data Entry'!S363), "", 'Data Entry'!S363)</f>
      </c>
      <c r="T363">
        <f>IF(ISBLANK('Data Entry'!T363), "", 'Data Entry'!T363)</f>
      </c>
      <c r="U363">
        <f>IF(ISBLANK('Data Entry'!U363), "", 'Data Entry'!U363)</f>
      </c>
      <c r="V363">
        <f>IF(ISBLANK('Data Entry'!V363), "", 'Data Entry'!V363)</f>
      </c>
      <c r="W363">
        <f>IF(ISBLANK('Data Entry'!W363), "", 'Data Entry'!W363)</f>
      </c>
      <c r="X363">
        <f>IF(ISBLANK('Data Entry'!X363), "", 'Data Entry'!X363)</f>
      </c>
      <c r="Y363">
        <f>IF(ISBLANK('Data Entry'!Y363), "", 'Data Entry'!Y363)</f>
      </c>
      <c r="Z363">
        <f>IF(ISBLANK('Data Entry'!Z363), "", 'Data Entry'!Z363)</f>
      </c>
      <c r="AA363">
        <f>IF(ISBLANK('Data Entry'![363), "", 'Data Entry'![363)</f>
      </c>
      <c r="AB363">
        <f>IF(ISBLANK('Data Entry'!\363), "", 'Data Entry'!\363)</f>
      </c>
      <c r="AC363">
        <f>IF(ISBLANK('Data Entry'!]363), "", 'Data Entry'!]363)</f>
      </c>
      <c r="AD363">
        <f>IF(ISBLANK('Data Entry'!^363), "", 'Data Entry'!^363)</f>
      </c>
      <c r="AE363">
        <f>IF(ISBLANK('Data Entry'!_363), "", 'Data Entry'!_363)</f>
      </c>
      <c r="AF363">
        <f>IF(ISBLANK('Data Entry'!`363), "", 'Data Entry'!`363)</f>
      </c>
      <c r="AG363">
        <f>IF(ISBLANK('Data Entry'!a363), "", 'Data Entry'!a363)</f>
      </c>
      <c r="AH363">
        <f>IF(ISBLANK('Data Entry'!b363), "", 'Data Entry'!b363)</f>
      </c>
      <c r="AI363">
        <f>IF(ISBLANK('Data Entry'!c363), "", 'Data Entry'!c363)</f>
      </c>
      <c r="AJ363">
        <f>IF(ISBLANK('Data Entry'!d363), "", 'Data Entry'!d363)</f>
      </c>
      <c r="AK363">
        <f>IF(ISBLANK('Data Entry'!e363), "", 'Data Entry'!e363)</f>
      </c>
      <c r="AL363">
        <f>IF(ISBLANK('Data Entry'!f363), "", 'Data Entry'!f363)</f>
      </c>
      <c r="AM363">
        <f>IF(ISBLANK('Data Entry'!g363), "", 'Data Entry'!g363)</f>
      </c>
      <c r="AN363">
        <f>IF(ISBLANK('Data Entry'!h363), "", 'Data Entry'!h363)</f>
      </c>
    </row>
    <row r="364" spans="1:40" x14ac:dyDescent="0.25">
      <c r="A364">
        <f>IF(ISBLANK('Data Entry'!A364), "", 'Data Entry'!A364)</f>
      </c>
      <c r="B364">
        <f>IF(ISBLANK('Data Entry'!B364), "", 'Data Entry'!B364)</f>
      </c>
      <c r="C364">
        <f>IF(ISBLANK('Data Entry'!C364), "", 'Data Entry'!C364)</f>
      </c>
      <c r="D364">
        <f>IF(ISBLANK('Data Entry'!D364), "", 'Data Entry'!D364)</f>
      </c>
      <c r="E364">
        <f>IF(ISBLANK('Data Entry'!E364), "", 'Data Entry'!E364)</f>
      </c>
      <c r="F364">
        <f>IF(ISBLANK('Data Entry'!F364), "", 'Data Entry'!F364)</f>
      </c>
      <c r="G364">
        <f>IF(ISBLANK('Data Entry'!G364), "", 'Data Entry'!G364)</f>
      </c>
      <c r="H364">
        <f>IF(ISBLANK('Data Entry'!H364), "", 'Data Entry'!H364)</f>
      </c>
      <c r="I364">
        <f>IF(ISBLANK('Data Entry'!I364), "", 'Data Entry'!I364)</f>
      </c>
      <c r="J364">
        <f>IF(ISBLANK('Data Entry'!J364), "", 'Data Entry'!J364)</f>
      </c>
      <c r="K364">
        <f>IF(ISBLANK('Data Entry'!K364), "", 'Data Entry'!K364)</f>
      </c>
      <c r="L364">
        <f>IF(ISBLANK('Data Entry'!L364), "", 'Data Entry'!L364)</f>
      </c>
      <c r="M364">
        <f>IF(ISBLANK('Data Entry'!M364), "", 'Data Entry'!M364)</f>
      </c>
      <c r="N364">
        <f>IF(ISBLANK('Data Entry'!N364), "", 'Data Entry'!N364)</f>
      </c>
      <c r="O364">
        <f>IF(ISBLANK('Data Entry'!O364), "", 'Data Entry'!O364)</f>
      </c>
      <c r="P364">
        <f>IF(ISBLANK('Data Entry'!P364), "", 'Data Entry'!P364)</f>
      </c>
      <c r="Q364">
        <f>IF(ISBLANK('Data Entry'!Q364), "", 'Data Entry'!Q364)</f>
      </c>
      <c r="R364">
        <f>IF(ISBLANK('Data Entry'!R364), "", 'Data Entry'!R364)</f>
      </c>
      <c r="S364">
        <f>IF(ISBLANK('Data Entry'!S364), "", 'Data Entry'!S364)</f>
      </c>
      <c r="T364">
        <f>IF(ISBLANK('Data Entry'!T364), "", 'Data Entry'!T364)</f>
      </c>
      <c r="U364">
        <f>IF(ISBLANK('Data Entry'!U364), "", 'Data Entry'!U364)</f>
      </c>
      <c r="V364">
        <f>IF(ISBLANK('Data Entry'!V364), "", 'Data Entry'!V364)</f>
      </c>
      <c r="W364">
        <f>IF(ISBLANK('Data Entry'!W364), "", 'Data Entry'!W364)</f>
      </c>
      <c r="X364">
        <f>IF(ISBLANK('Data Entry'!X364), "", 'Data Entry'!X364)</f>
      </c>
      <c r="Y364">
        <f>IF(ISBLANK('Data Entry'!Y364), "", 'Data Entry'!Y364)</f>
      </c>
      <c r="Z364">
        <f>IF(ISBLANK('Data Entry'!Z364), "", 'Data Entry'!Z364)</f>
      </c>
      <c r="AA364">
        <f>IF(ISBLANK('Data Entry'![364), "", 'Data Entry'![364)</f>
      </c>
      <c r="AB364">
        <f>IF(ISBLANK('Data Entry'!\364), "", 'Data Entry'!\364)</f>
      </c>
      <c r="AC364">
        <f>IF(ISBLANK('Data Entry'!]364), "", 'Data Entry'!]364)</f>
      </c>
      <c r="AD364">
        <f>IF(ISBLANK('Data Entry'!^364), "", 'Data Entry'!^364)</f>
      </c>
      <c r="AE364">
        <f>IF(ISBLANK('Data Entry'!_364), "", 'Data Entry'!_364)</f>
      </c>
      <c r="AF364">
        <f>IF(ISBLANK('Data Entry'!`364), "", 'Data Entry'!`364)</f>
      </c>
      <c r="AG364">
        <f>IF(ISBLANK('Data Entry'!a364), "", 'Data Entry'!a364)</f>
      </c>
      <c r="AH364">
        <f>IF(ISBLANK('Data Entry'!b364), "", 'Data Entry'!b364)</f>
      </c>
      <c r="AI364">
        <f>IF(ISBLANK('Data Entry'!c364), "", 'Data Entry'!c364)</f>
      </c>
      <c r="AJ364">
        <f>IF(ISBLANK('Data Entry'!d364), "", 'Data Entry'!d364)</f>
      </c>
      <c r="AK364">
        <f>IF(ISBLANK('Data Entry'!e364), "", 'Data Entry'!e364)</f>
      </c>
      <c r="AL364">
        <f>IF(ISBLANK('Data Entry'!f364), "", 'Data Entry'!f364)</f>
      </c>
      <c r="AM364">
        <f>IF(ISBLANK('Data Entry'!g364), "", 'Data Entry'!g364)</f>
      </c>
      <c r="AN364">
        <f>IF(ISBLANK('Data Entry'!h364), "", 'Data Entry'!h364)</f>
      </c>
    </row>
    <row r="365" spans="1:40" x14ac:dyDescent="0.25">
      <c r="A365">
        <f>IF(ISBLANK('Data Entry'!A365), "", 'Data Entry'!A365)</f>
      </c>
      <c r="B365">
        <f>IF(ISBLANK('Data Entry'!B365), "", 'Data Entry'!B365)</f>
      </c>
      <c r="C365">
        <f>IF(ISBLANK('Data Entry'!C365), "", 'Data Entry'!C365)</f>
      </c>
      <c r="D365">
        <f>IF(ISBLANK('Data Entry'!D365), "", 'Data Entry'!D365)</f>
      </c>
      <c r="E365">
        <f>IF(ISBLANK('Data Entry'!E365), "", 'Data Entry'!E365)</f>
      </c>
      <c r="F365">
        <f>IF(ISBLANK('Data Entry'!F365), "", 'Data Entry'!F365)</f>
      </c>
      <c r="G365">
        <f>IF(ISBLANK('Data Entry'!G365), "", 'Data Entry'!G365)</f>
      </c>
      <c r="H365">
        <f>IF(ISBLANK('Data Entry'!H365), "", 'Data Entry'!H365)</f>
      </c>
      <c r="I365">
        <f>IF(ISBLANK('Data Entry'!I365), "", 'Data Entry'!I365)</f>
      </c>
      <c r="J365">
        <f>IF(ISBLANK('Data Entry'!J365), "", 'Data Entry'!J365)</f>
      </c>
      <c r="K365">
        <f>IF(ISBLANK('Data Entry'!K365), "", 'Data Entry'!K365)</f>
      </c>
      <c r="L365">
        <f>IF(ISBLANK('Data Entry'!L365), "", 'Data Entry'!L365)</f>
      </c>
      <c r="M365">
        <f>IF(ISBLANK('Data Entry'!M365), "", 'Data Entry'!M365)</f>
      </c>
      <c r="N365">
        <f>IF(ISBLANK('Data Entry'!N365), "", 'Data Entry'!N365)</f>
      </c>
      <c r="O365">
        <f>IF(ISBLANK('Data Entry'!O365), "", 'Data Entry'!O365)</f>
      </c>
      <c r="P365">
        <f>IF(ISBLANK('Data Entry'!P365), "", 'Data Entry'!P365)</f>
      </c>
      <c r="Q365">
        <f>IF(ISBLANK('Data Entry'!Q365), "", 'Data Entry'!Q365)</f>
      </c>
      <c r="R365">
        <f>IF(ISBLANK('Data Entry'!R365), "", 'Data Entry'!R365)</f>
      </c>
      <c r="S365">
        <f>IF(ISBLANK('Data Entry'!S365), "", 'Data Entry'!S365)</f>
      </c>
      <c r="T365">
        <f>IF(ISBLANK('Data Entry'!T365), "", 'Data Entry'!T365)</f>
      </c>
      <c r="U365">
        <f>IF(ISBLANK('Data Entry'!U365), "", 'Data Entry'!U365)</f>
      </c>
      <c r="V365">
        <f>IF(ISBLANK('Data Entry'!V365), "", 'Data Entry'!V365)</f>
      </c>
      <c r="W365">
        <f>IF(ISBLANK('Data Entry'!W365), "", 'Data Entry'!W365)</f>
      </c>
      <c r="X365">
        <f>IF(ISBLANK('Data Entry'!X365), "", 'Data Entry'!X365)</f>
      </c>
      <c r="Y365">
        <f>IF(ISBLANK('Data Entry'!Y365), "", 'Data Entry'!Y365)</f>
      </c>
      <c r="Z365">
        <f>IF(ISBLANK('Data Entry'!Z365), "", 'Data Entry'!Z365)</f>
      </c>
      <c r="AA365">
        <f>IF(ISBLANK('Data Entry'![365), "", 'Data Entry'![365)</f>
      </c>
      <c r="AB365">
        <f>IF(ISBLANK('Data Entry'!\365), "", 'Data Entry'!\365)</f>
      </c>
      <c r="AC365">
        <f>IF(ISBLANK('Data Entry'!]365), "", 'Data Entry'!]365)</f>
      </c>
      <c r="AD365">
        <f>IF(ISBLANK('Data Entry'!^365), "", 'Data Entry'!^365)</f>
      </c>
      <c r="AE365">
        <f>IF(ISBLANK('Data Entry'!_365), "", 'Data Entry'!_365)</f>
      </c>
      <c r="AF365">
        <f>IF(ISBLANK('Data Entry'!`365), "", 'Data Entry'!`365)</f>
      </c>
      <c r="AG365">
        <f>IF(ISBLANK('Data Entry'!a365), "", 'Data Entry'!a365)</f>
      </c>
      <c r="AH365">
        <f>IF(ISBLANK('Data Entry'!b365), "", 'Data Entry'!b365)</f>
      </c>
      <c r="AI365">
        <f>IF(ISBLANK('Data Entry'!c365), "", 'Data Entry'!c365)</f>
      </c>
      <c r="AJ365">
        <f>IF(ISBLANK('Data Entry'!d365), "", 'Data Entry'!d365)</f>
      </c>
      <c r="AK365">
        <f>IF(ISBLANK('Data Entry'!e365), "", 'Data Entry'!e365)</f>
      </c>
      <c r="AL365">
        <f>IF(ISBLANK('Data Entry'!f365), "", 'Data Entry'!f365)</f>
      </c>
      <c r="AM365">
        <f>IF(ISBLANK('Data Entry'!g365), "", 'Data Entry'!g365)</f>
      </c>
      <c r="AN365">
        <f>IF(ISBLANK('Data Entry'!h365), "", 'Data Entry'!h365)</f>
      </c>
    </row>
    <row r="366" spans="1:40" x14ac:dyDescent="0.25">
      <c r="A366">
        <f>IF(ISBLANK('Data Entry'!A366), "", 'Data Entry'!A366)</f>
      </c>
      <c r="B366">
        <f>IF(ISBLANK('Data Entry'!B366), "", 'Data Entry'!B366)</f>
      </c>
      <c r="C366">
        <f>IF(ISBLANK('Data Entry'!C366), "", 'Data Entry'!C366)</f>
      </c>
      <c r="D366">
        <f>IF(ISBLANK('Data Entry'!D366), "", 'Data Entry'!D366)</f>
      </c>
      <c r="E366">
        <f>IF(ISBLANK('Data Entry'!E366), "", 'Data Entry'!E366)</f>
      </c>
      <c r="F366">
        <f>IF(ISBLANK('Data Entry'!F366), "", 'Data Entry'!F366)</f>
      </c>
      <c r="G366">
        <f>IF(ISBLANK('Data Entry'!G366), "", 'Data Entry'!G366)</f>
      </c>
      <c r="H366">
        <f>IF(ISBLANK('Data Entry'!H366), "", 'Data Entry'!H366)</f>
      </c>
      <c r="I366">
        <f>IF(ISBLANK('Data Entry'!I366), "", 'Data Entry'!I366)</f>
      </c>
      <c r="J366">
        <f>IF(ISBLANK('Data Entry'!J366), "", 'Data Entry'!J366)</f>
      </c>
      <c r="K366">
        <f>IF(ISBLANK('Data Entry'!K366), "", 'Data Entry'!K366)</f>
      </c>
      <c r="L366">
        <f>IF(ISBLANK('Data Entry'!L366), "", 'Data Entry'!L366)</f>
      </c>
      <c r="M366">
        <f>IF(ISBLANK('Data Entry'!M366), "", 'Data Entry'!M366)</f>
      </c>
      <c r="N366">
        <f>IF(ISBLANK('Data Entry'!N366), "", 'Data Entry'!N366)</f>
      </c>
      <c r="O366">
        <f>IF(ISBLANK('Data Entry'!O366), "", 'Data Entry'!O366)</f>
      </c>
      <c r="P366">
        <f>IF(ISBLANK('Data Entry'!P366), "", 'Data Entry'!P366)</f>
      </c>
      <c r="Q366">
        <f>IF(ISBLANK('Data Entry'!Q366), "", 'Data Entry'!Q366)</f>
      </c>
      <c r="R366">
        <f>IF(ISBLANK('Data Entry'!R366), "", 'Data Entry'!R366)</f>
      </c>
      <c r="S366">
        <f>IF(ISBLANK('Data Entry'!S366), "", 'Data Entry'!S366)</f>
      </c>
      <c r="T366">
        <f>IF(ISBLANK('Data Entry'!T366), "", 'Data Entry'!T366)</f>
      </c>
      <c r="U366">
        <f>IF(ISBLANK('Data Entry'!U366), "", 'Data Entry'!U366)</f>
      </c>
      <c r="V366">
        <f>IF(ISBLANK('Data Entry'!V366), "", 'Data Entry'!V366)</f>
      </c>
      <c r="W366">
        <f>IF(ISBLANK('Data Entry'!W366), "", 'Data Entry'!W366)</f>
      </c>
      <c r="X366">
        <f>IF(ISBLANK('Data Entry'!X366), "", 'Data Entry'!X366)</f>
      </c>
      <c r="Y366">
        <f>IF(ISBLANK('Data Entry'!Y366), "", 'Data Entry'!Y366)</f>
      </c>
      <c r="Z366">
        <f>IF(ISBLANK('Data Entry'!Z366), "", 'Data Entry'!Z366)</f>
      </c>
      <c r="AA366">
        <f>IF(ISBLANK('Data Entry'![366), "", 'Data Entry'![366)</f>
      </c>
      <c r="AB366">
        <f>IF(ISBLANK('Data Entry'!\366), "", 'Data Entry'!\366)</f>
      </c>
      <c r="AC366">
        <f>IF(ISBLANK('Data Entry'!]366), "", 'Data Entry'!]366)</f>
      </c>
      <c r="AD366">
        <f>IF(ISBLANK('Data Entry'!^366), "", 'Data Entry'!^366)</f>
      </c>
      <c r="AE366">
        <f>IF(ISBLANK('Data Entry'!_366), "", 'Data Entry'!_366)</f>
      </c>
      <c r="AF366">
        <f>IF(ISBLANK('Data Entry'!`366), "", 'Data Entry'!`366)</f>
      </c>
      <c r="AG366">
        <f>IF(ISBLANK('Data Entry'!a366), "", 'Data Entry'!a366)</f>
      </c>
      <c r="AH366">
        <f>IF(ISBLANK('Data Entry'!b366), "", 'Data Entry'!b366)</f>
      </c>
      <c r="AI366">
        <f>IF(ISBLANK('Data Entry'!c366), "", 'Data Entry'!c366)</f>
      </c>
      <c r="AJ366">
        <f>IF(ISBLANK('Data Entry'!d366), "", 'Data Entry'!d366)</f>
      </c>
      <c r="AK366">
        <f>IF(ISBLANK('Data Entry'!e366), "", 'Data Entry'!e366)</f>
      </c>
      <c r="AL366">
        <f>IF(ISBLANK('Data Entry'!f366), "", 'Data Entry'!f366)</f>
      </c>
      <c r="AM366">
        <f>IF(ISBLANK('Data Entry'!g366), "", 'Data Entry'!g366)</f>
      </c>
      <c r="AN366">
        <f>IF(ISBLANK('Data Entry'!h366), "", 'Data Entry'!h366)</f>
      </c>
    </row>
    <row r="367" spans="1:40" x14ac:dyDescent="0.25">
      <c r="A367">
        <f>IF(ISBLANK('Data Entry'!A367), "", 'Data Entry'!A367)</f>
      </c>
      <c r="B367">
        <f>IF(ISBLANK('Data Entry'!B367), "", 'Data Entry'!B367)</f>
      </c>
      <c r="C367">
        <f>IF(ISBLANK('Data Entry'!C367), "", 'Data Entry'!C367)</f>
      </c>
      <c r="D367">
        <f>IF(ISBLANK('Data Entry'!D367), "", 'Data Entry'!D367)</f>
      </c>
      <c r="E367">
        <f>IF(ISBLANK('Data Entry'!E367), "", 'Data Entry'!E367)</f>
      </c>
      <c r="F367">
        <f>IF(ISBLANK('Data Entry'!F367), "", 'Data Entry'!F367)</f>
      </c>
      <c r="G367">
        <f>IF(ISBLANK('Data Entry'!G367), "", 'Data Entry'!G367)</f>
      </c>
      <c r="H367">
        <f>IF(ISBLANK('Data Entry'!H367), "", 'Data Entry'!H367)</f>
      </c>
      <c r="I367">
        <f>IF(ISBLANK('Data Entry'!I367), "", 'Data Entry'!I367)</f>
      </c>
      <c r="J367">
        <f>IF(ISBLANK('Data Entry'!J367), "", 'Data Entry'!J367)</f>
      </c>
      <c r="K367">
        <f>IF(ISBLANK('Data Entry'!K367), "", 'Data Entry'!K367)</f>
      </c>
      <c r="L367">
        <f>IF(ISBLANK('Data Entry'!L367), "", 'Data Entry'!L367)</f>
      </c>
      <c r="M367">
        <f>IF(ISBLANK('Data Entry'!M367), "", 'Data Entry'!M367)</f>
      </c>
      <c r="N367">
        <f>IF(ISBLANK('Data Entry'!N367), "", 'Data Entry'!N367)</f>
      </c>
      <c r="O367">
        <f>IF(ISBLANK('Data Entry'!O367), "", 'Data Entry'!O367)</f>
      </c>
      <c r="P367">
        <f>IF(ISBLANK('Data Entry'!P367), "", 'Data Entry'!P367)</f>
      </c>
      <c r="Q367">
        <f>IF(ISBLANK('Data Entry'!Q367), "", 'Data Entry'!Q367)</f>
      </c>
      <c r="R367">
        <f>IF(ISBLANK('Data Entry'!R367), "", 'Data Entry'!R367)</f>
      </c>
      <c r="S367">
        <f>IF(ISBLANK('Data Entry'!S367), "", 'Data Entry'!S367)</f>
      </c>
      <c r="T367">
        <f>IF(ISBLANK('Data Entry'!T367), "", 'Data Entry'!T367)</f>
      </c>
      <c r="U367">
        <f>IF(ISBLANK('Data Entry'!U367), "", 'Data Entry'!U367)</f>
      </c>
      <c r="V367">
        <f>IF(ISBLANK('Data Entry'!V367), "", 'Data Entry'!V367)</f>
      </c>
      <c r="W367">
        <f>IF(ISBLANK('Data Entry'!W367), "", 'Data Entry'!W367)</f>
      </c>
      <c r="X367">
        <f>IF(ISBLANK('Data Entry'!X367), "", 'Data Entry'!X367)</f>
      </c>
      <c r="Y367">
        <f>IF(ISBLANK('Data Entry'!Y367), "", 'Data Entry'!Y367)</f>
      </c>
      <c r="Z367">
        <f>IF(ISBLANK('Data Entry'!Z367), "", 'Data Entry'!Z367)</f>
      </c>
      <c r="AA367">
        <f>IF(ISBLANK('Data Entry'![367), "", 'Data Entry'![367)</f>
      </c>
      <c r="AB367">
        <f>IF(ISBLANK('Data Entry'!\367), "", 'Data Entry'!\367)</f>
      </c>
      <c r="AC367">
        <f>IF(ISBLANK('Data Entry'!]367), "", 'Data Entry'!]367)</f>
      </c>
      <c r="AD367">
        <f>IF(ISBLANK('Data Entry'!^367), "", 'Data Entry'!^367)</f>
      </c>
      <c r="AE367">
        <f>IF(ISBLANK('Data Entry'!_367), "", 'Data Entry'!_367)</f>
      </c>
      <c r="AF367">
        <f>IF(ISBLANK('Data Entry'!`367), "", 'Data Entry'!`367)</f>
      </c>
      <c r="AG367">
        <f>IF(ISBLANK('Data Entry'!a367), "", 'Data Entry'!a367)</f>
      </c>
      <c r="AH367">
        <f>IF(ISBLANK('Data Entry'!b367), "", 'Data Entry'!b367)</f>
      </c>
      <c r="AI367">
        <f>IF(ISBLANK('Data Entry'!c367), "", 'Data Entry'!c367)</f>
      </c>
      <c r="AJ367">
        <f>IF(ISBLANK('Data Entry'!d367), "", 'Data Entry'!d367)</f>
      </c>
      <c r="AK367">
        <f>IF(ISBLANK('Data Entry'!e367), "", 'Data Entry'!e367)</f>
      </c>
      <c r="AL367">
        <f>IF(ISBLANK('Data Entry'!f367), "", 'Data Entry'!f367)</f>
      </c>
      <c r="AM367">
        <f>IF(ISBLANK('Data Entry'!g367), "", 'Data Entry'!g367)</f>
      </c>
      <c r="AN367">
        <f>IF(ISBLANK('Data Entry'!h367), "", 'Data Entry'!h367)</f>
      </c>
    </row>
    <row r="368" spans="1:40" x14ac:dyDescent="0.25">
      <c r="A368">
        <f>IF(ISBLANK('Data Entry'!A368), "", 'Data Entry'!A368)</f>
      </c>
      <c r="B368">
        <f>IF(ISBLANK('Data Entry'!B368), "", 'Data Entry'!B368)</f>
      </c>
      <c r="C368">
        <f>IF(ISBLANK('Data Entry'!C368), "", 'Data Entry'!C368)</f>
      </c>
      <c r="D368">
        <f>IF(ISBLANK('Data Entry'!D368), "", 'Data Entry'!D368)</f>
      </c>
      <c r="E368">
        <f>IF(ISBLANK('Data Entry'!E368), "", 'Data Entry'!E368)</f>
      </c>
      <c r="F368">
        <f>IF(ISBLANK('Data Entry'!F368), "", 'Data Entry'!F368)</f>
      </c>
      <c r="G368">
        <f>IF(ISBLANK('Data Entry'!G368), "", 'Data Entry'!G368)</f>
      </c>
      <c r="H368">
        <f>IF(ISBLANK('Data Entry'!H368), "", 'Data Entry'!H368)</f>
      </c>
      <c r="I368">
        <f>IF(ISBLANK('Data Entry'!I368), "", 'Data Entry'!I368)</f>
      </c>
      <c r="J368">
        <f>IF(ISBLANK('Data Entry'!J368), "", 'Data Entry'!J368)</f>
      </c>
      <c r="K368">
        <f>IF(ISBLANK('Data Entry'!K368), "", 'Data Entry'!K368)</f>
      </c>
      <c r="L368">
        <f>IF(ISBLANK('Data Entry'!L368), "", 'Data Entry'!L368)</f>
      </c>
      <c r="M368">
        <f>IF(ISBLANK('Data Entry'!M368), "", 'Data Entry'!M368)</f>
      </c>
      <c r="N368">
        <f>IF(ISBLANK('Data Entry'!N368), "", 'Data Entry'!N368)</f>
      </c>
      <c r="O368">
        <f>IF(ISBLANK('Data Entry'!O368), "", 'Data Entry'!O368)</f>
      </c>
      <c r="P368">
        <f>IF(ISBLANK('Data Entry'!P368), "", 'Data Entry'!P368)</f>
      </c>
      <c r="Q368">
        <f>IF(ISBLANK('Data Entry'!Q368), "", 'Data Entry'!Q368)</f>
      </c>
      <c r="R368">
        <f>IF(ISBLANK('Data Entry'!R368), "", 'Data Entry'!R368)</f>
      </c>
      <c r="S368">
        <f>IF(ISBLANK('Data Entry'!S368), "", 'Data Entry'!S368)</f>
      </c>
      <c r="T368">
        <f>IF(ISBLANK('Data Entry'!T368), "", 'Data Entry'!T368)</f>
      </c>
      <c r="U368">
        <f>IF(ISBLANK('Data Entry'!U368), "", 'Data Entry'!U368)</f>
      </c>
      <c r="V368">
        <f>IF(ISBLANK('Data Entry'!V368), "", 'Data Entry'!V368)</f>
      </c>
      <c r="W368">
        <f>IF(ISBLANK('Data Entry'!W368), "", 'Data Entry'!W368)</f>
      </c>
      <c r="X368">
        <f>IF(ISBLANK('Data Entry'!X368), "", 'Data Entry'!X368)</f>
      </c>
      <c r="Y368">
        <f>IF(ISBLANK('Data Entry'!Y368), "", 'Data Entry'!Y368)</f>
      </c>
      <c r="Z368">
        <f>IF(ISBLANK('Data Entry'!Z368), "", 'Data Entry'!Z368)</f>
      </c>
      <c r="AA368">
        <f>IF(ISBLANK('Data Entry'![368), "", 'Data Entry'![368)</f>
      </c>
      <c r="AB368">
        <f>IF(ISBLANK('Data Entry'!\368), "", 'Data Entry'!\368)</f>
      </c>
      <c r="AC368">
        <f>IF(ISBLANK('Data Entry'!]368), "", 'Data Entry'!]368)</f>
      </c>
      <c r="AD368">
        <f>IF(ISBLANK('Data Entry'!^368), "", 'Data Entry'!^368)</f>
      </c>
      <c r="AE368">
        <f>IF(ISBLANK('Data Entry'!_368), "", 'Data Entry'!_368)</f>
      </c>
      <c r="AF368">
        <f>IF(ISBLANK('Data Entry'!`368), "", 'Data Entry'!`368)</f>
      </c>
      <c r="AG368">
        <f>IF(ISBLANK('Data Entry'!a368), "", 'Data Entry'!a368)</f>
      </c>
      <c r="AH368">
        <f>IF(ISBLANK('Data Entry'!b368), "", 'Data Entry'!b368)</f>
      </c>
      <c r="AI368">
        <f>IF(ISBLANK('Data Entry'!c368), "", 'Data Entry'!c368)</f>
      </c>
      <c r="AJ368">
        <f>IF(ISBLANK('Data Entry'!d368), "", 'Data Entry'!d368)</f>
      </c>
      <c r="AK368">
        <f>IF(ISBLANK('Data Entry'!e368), "", 'Data Entry'!e368)</f>
      </c>
      <c r="AL368">
        <f>IF(ISBLANK('Data Entry'!f368), "", 'Data Entry'!f368)</f>
      </c>
      <c r="AM368">
        <f>IF(ISBLANK('Data Entry'!g368), "", 'Data Entry'!g368)</f>
      </c>
      <c r="AN368">
        <f>IF(ISBLANK('Data Entry'!h368), "", 'Data Entry'!h368)</f>
      </c>
    </row>
    <row r="369" spans="1:40" x14ac:dyDescent="0.25">
      <c r="A369">
        <f>IF(ISBLANK('Data Entry'!A369), "", 'Data Entry'!A369)</f>
      </c>
      <c r="B369">
        <f>IF(ISBLANK('Data Entry'!B369), "", 'Data Entry'!B369)</f>
      </c>
      <c r="C369">
        <f>IF(ISBLANK('Data Entry'!C369), "", 'Data Entry'!C369)</f>
      </c>
      <c r="D369">
        <f>IF(ISBLANK('Data Entry'!D369), "", 'Data Entry'!D369)</f>
      </c>
      <c r="E369">
        <f>IF(ISBLANK('Data Entry'!E369), "", 'Data Entry'!E369)</f>
      </c>
      <c r="F369">
        <f>IF(ISBLANK('Data Entry'!F369), "", 'Data Entry'!F369)</f>
      </c>
      <c r="G369">
        <f>IF(ISBLANK('Data Entry'!G369), "", 'Data Entry'!G369)</f>
      </c>
      <c r="H369">
        <f>IF(ISBLANK('Data Entry'!H369), "", 'Data Entry'!H369)</f>
      </c>
      <c r="I369">
        <f>IF(ISBLANK('Data Entry'!I369), "", 'Data Entry'!I369)</f>
      </c>
      <c r="J369">
        <f>IF(ISBLANK('Data Entry'!J369), "", 'Data Entry'!J369)</f>
      </c>
      <c r="K369">
        <f>IF(ISBLANK('Data Entry'!K369), "", 'Data Entry'!K369)</f>
      </c>
      <c r="L369">
        <f>IF(ISBLANK('Data Entry'!L369), "", 'Data Entry'!L369)</f>
      </c>
      <c r="M369">
        <f>IF(ISBLANK('Data Entry'!M369), "", 'Data Entry'!M369)</f>
      </c>
      <c r="N369">
        <f>IF(ISBLANK('Data Entry'!N369), "", 'Data Entry'!N369)</f>
      </c>
      <c r="O369">
        <f>IF(ISBLANK('Data Entry'!O369), "", 'Data Entry'!O369)</f>
      </c>
      <c r="P369">
        <f>IF(ISBLANK('Data Entry'!P369), "", 'Data Entry'!P369)</f>
      </c>
      <c r="Q369">
        <f>IF(ISBLANK('Data Entry'!Q369), "", 'Data Entry'!Q369)</f>
      </c>
      <c r="R369">
        <f>IF(ISBLANK('Data Entry'!R369), "", 'Data Entry'!R369)</f>
      </c>
      <c r="S369">
        <f>IF(ISBLANK('Data Entry'!S369), "", 'Data Entry'!S369)</f>
      </c>
      <c r="T369">
        <f>IF(ISBLANK('Data Entry'!T369), "", 'Data Entry'!T369)</f>
      </c>
      <c r="U369">
        <f>IF(ISBLANK('Data Entry'!U369), "", 'Data Entry'!U369)</f>
      </c>
      <c r="V369">
        <f>IF(ISBLANK('Data Entry'!V369), "", 'Data Entry'!V369)</f>
      </c>
      <c r="W369">
        <f>IF(ISBLANK('Data Entry'!W369), "", 'Data Entry'!W369)</f>
      </c>
      <c r="X369">
        <f>IF(ISBLANK('Data Entry'!X369), "", 'Data Entry'!X369)</f>
      </c>
      <c r="Y369">
        <f>IF(ISBLANK('Data Entry'!Y369), "", 'Data Entry'!Y369)</f>
      </c>
      <c r="Z369">
        <f>IF(ISBLANK('Data Entry'!Z369), "", 'Data Entry'!Z369)</f>
      </c>
      <c r="AA369">
        <f>IF(ISBLANK('Data Entry'![369), "", 'Data Entry'![369)</f>
      </c>
      <c r="AB369">
        <f>IF(ISBLANK('Data Entry'!\369), "", 'Data Entry'!\369)</f>
      </c>
      <c r="AC369">
        <f>IF(ISBLANK('Data Entry'!]369), "", 'Data Entry'!]369)</f>
      </c>
      <c r="AD369">
        <f>IF(ISBLANK('Data Entry'!^369), "", 'Data Entry'!^369)</f>
      </c>
      <c r="AE369">
        <f>IF(ISBLANK('Data Entry'!_369), "", 'Data Entry'!_369)</f>
      </c>
      <c r="AF369">
        <f>IF(ISBLANK('Data Entry'!`369), "", 'Data Entry'!`369)</f>
      </c>
      <c r="AG369">
        <f>IF(ISBLANK('Data Entry'!a369), "", 'Data Entry'!a369)</f>
      </c>
      <c r="AH369">
        <f>IF(ISBLANK('Data Entry'!b369), "", 'Data Entry'!b369)</f>
      </c>
      <c r="AI369">
        <f>IF(ISBLANK('Data Entry'!c369), "", 'Data Entry'!c369)</f>
      </c>
      <c r="AJ369">
        <f>IF(ISBLANK('Data Entry'!d369), "", 'Data Entry'!d369)</f>
      </c>
      <c r="AK369">
        <f>IF(ISBLANK('Data Entry'!e369), "", 'Data Entry'!e369)</f>
      </c>
      <c r="AL369">
        <f>IF(ISBLANK('Data Entry'!f369), "", 'Data Entry'!f369)</f>
      </c>
      <c r="AM369">
        <f>IF(ISBLANK('Data Entry'!g369), "", 'Data Entry'!g369)</f>
      </c>
      <c r="AN369">
        <f>IF(ISBLANK('Data Entry'!h369), "", 'Data Entry'!h369)</f>
      </c>
    </row>
    <row r="370" spans="1:40" x14ac:dyDescent="0.25">
      <c r="A370">
        <f>IF(ISBLANK('Data Entry'!A370), "", 'Data Entry'!A370)</f>
      </c>
      <c r="B370">
        <f>IF(ISBLANK('Data Entry'!B370), "", 'Data Entry'!B370)</f>
      </c>
      <c r="C370">
        <f>IF(ISBLANK('Data Entry'!C370), "", 'Data Entry'!C370)</f>
      </c>
      <c r="D370">
        <f>IF(ISBLANK('Data Entry'!D370), "", 'Data Entry'!D370)</f>
      </c>
      <c r="E370">
        <f>IF(ISBLANK('Data Entry'!E370), "", 'Data Entry'!E370)</f>
      </c>
      <c r="F370">
        <f>IF(ISBLANK('Data Entry'!F370), "", 'Data Entry'!F370)</f>
      </c>
      <c r="G370">
        <f>IF(ISBLANK('Data Entry'!G370), "", 'Data Entry'!G370)</f>
      </c>
      <c r="H370">
        <f>IF(ISBLANK('Data Entry'!H370), "", 'Data Entry'!H370)</f>
      </c>
      <c r="I370">
        <f>IF(ISBLANK('Data Entry'!I370), "", 'Data Entry'!I370)</f>
      </c>
      <c r="J370">
        <f>IF(ISBLANK('Data Entry'!J370), "", 'Data Entry'!J370)</f>
      </c>
      <c r="K370">
        <f>IF(ISBLANK('Data Entry'!K370), "", 'Data Entry'!K370)</f>
      </c>
      <c r="L370">
        <f>IF(ISBLANK('Data Entry'!L370), "", 'Data Entry'!L370)</f>
      </c>
      <c r="M370">
        <f>IF(ISBLANK('Data Entry'!M370), "", 'Data Entry'!M370)</f>
      </c>
      <c r="N370">
        <f>IF(ISBLANK('Data Entry'!N370), "", 'Data Entry'!N370)</f>
      </c>
      <c r="O370">
        <f>IF(ISBLANK('Data Entry'!O370), "", 'Data Entry'!O370)</f>
      </c>
      <c r="P370">
        <f>IF(ISBLANK('Data Entry'!P370), "", 'Data Entry'!P370)</f>
      </c>
      <c r="Q370">
        <f>IF(ISBLANK('Data Entry'!Q370), "", 'Data Entry'!Q370)</f>
      </c>
      <c r="R370">
        <f>IF(ISBLANK('Data Entry'!R370), "", 'Data Entry'!R370)</f>
      </c>
      <c r="S370">
        <f>IF(ISBLANK('Data Entry'!S370), "", 'Data Entry'!S370)</f>
      </c>
      <c r="T370">
        <f>IF(ISBLANK('Data Entry'!T370), "", 'Data Entry'!T370)</f>
      </c>
      <c r="U370">
        <f>IF(ISBLANK('Data Entry'!U370), "", 'Data Entry'!U370)</f>
      </c>
      <c r="V370">
        <f>IF(ISBLANK('Data Entry'!V370), "", 'Data Entry'!V370)</f>
      </c>
      <c r="W370">
        <f>IF(ISBLANK('Data Entry'!W370), "", 'Data Entry'!W370)</f>
      </c>
      <c r="X370">
        <f>IF(ISBLANK('Data Entry'!X370), "", 'Data Entry'!X370)</f>
      </c>
      <c r="Y370">
        <f>IF(ISBLANK('Data Entry'!Y370), "", 'Data Entry'!Y370)</f>
      </c>
      <c r="Z370">
        <f>IF(ISBLANK('Data Entry'!Z370), "", 'Data Entry'!Z370)</f>
      </c>
      <c r="AA370">
        <f>IF(ISBLANK('Data Entry'![370), "", 'Data Entry'![370)</f>
      </c>
      <c r="AB370">
        <f>IF(ISBLANK('Data Entry'!\370), "", 'Data Entry'!\370)</f>
      </c>
      <c r="AC370">
        <f>IF(ISBLANK('Data Entry'!]370), "", 'Data Entry'!]370)</f>
      </c>
      <c r="AD370">
        <f>IF(ISBLANK('Data Entry'!^370), "", 'Data Entry'!^370)</f>
      </c>
      <c r="AE370">
        <f>IF(ISBLANK('Data Entry'!_370), "", 'Data Entry'!_370)</f>
      </c>
      <c r="AF370">
        <f>IF(ISBLANK('Data Entry'!`370), "", 'Data Entry'!`370)</f>
      </c>
      <c r="AG370">
        <f>IF(ISBLANK('Data Entry'!a370), "", 'Data Entry'!a370)</f>
      </c>
      <c r="AH370">
        <f>IF(ISBLANK('Data Entry'!b370), "", 'Data Entry'!b370)</f>
      </c>
      <c r="AI370">
        <f>IF(ISBLANK('Data Entry'!c370), "", 'Data Entry'!c370)</f>
      </c>
      <c r="AJ370">
        <f>IF(ISBLANK('Data Entry'!d370), "", 'Data Entry'!d370)</f>
      </c>
      <c r="AK370">
        <f>IF(ISBLANK('Data Entry'!e370), "", 'Data Entry'!e370)</f>
      </c>
      <c r="AL370">
        <f>IF(ISBLANK('Data Entry'!f370), "", 'Data Entry'!f370)</f>
      </c>
      <c r="AM370">
        <f>IF(ISBLANK('Data Entry'!g370), "", 'Data Entry'!g370)</f>
      </c>
      <c r="AN370">
        <f>IF(ISBLANK('Data Entry'!h370), "", 'Data Entry'!h370)</f>
      </c>
    </row>
    <row r="371" spans="1:40" x14ac:dyDescent="0.25">
      <c r="A371">
        <f>IF(ISBLANK('Data Entry'!A371), "", 'Data Entry'!A371)</f>
      </c>
      <c r="B371">
        <f>IF(ISBLANK('Data Entry'!B371), "", 'Data Entry'!B371)</f>
      </c>
      <c r="C371">
        <f>IF(ISBLANK('Data Entry'!C371), "", 'Data Entry'!C371)</f>
      </c>
      <c r="D371">
        <f>IF(ISBLANK('Data Entry'!D371), "", 'Data Entry'!D371)</f>
      </c>
      <c r="E371">
        <f>IF(ISBLANK('Data Entry'!E371), "", 'Data Entry'!E371)</f>
      </c>
      <c r="F371">
        <f>IF(ISBLANK('Data Entry'!F371), "", 'Data Entry'!F371)</f>
      </c>
      <c r="G371">
        <f>IF(ISBLANK('Data Entry'!G371), "", 'Data Entry'!G371)</f>
      </c>
      <c r="H371">
        <f>IF(ISBLANK('Data Entry'!H371), "", 'Data Entry'!H371)</f>
      </c>
      <c r="I371">
        <f>IF(ISBLANK('Data Entry'!I371), "", 'Data Entry'!I371)</f>
      </c>
      <c r="J371">
        <f>IF(ISBLANK('Data Entry'!J371), "", 'Data Entry'!J371)</f>
      </c>
      <c r="K371">
        <f>IF(ISBLANK('Data Entry'!K371), "", 'Data Entry'!K371)</f>
      </c>
      <c r="L371">
        <f>IF(ISBLANK('Data Entry'!L371), "", 'Data Entry'!L371)</f>
      </c>
      <c r="M371">
        <f>IF(ISBLANK('Data Entry'!M371), "", 'Data Entry'!M371)</f>
      </c>
      <c r="N371">
        <f>IF(ISBLANK('Data Entry'!N371), "", 'Data Entry'!N371)</f>
      </c>
      <c r="O371">
        <f>IF(ISBLANK('Data Entry'!O371), "", 'Data Entry'!O371)</f>
      </c>
      <c r="P371">
        <f>IF(ISBLANK('Data Entry'!P371), "", 'Data Entry'!P371)</f>
      </c>
      <c r="Q371">
        <f>IF(ISBLANK('Data Entry'!Q371), "", 'Data Entry'!Q371)</f>
      </c>
      <c r="R371">
        <f>IF(ISBLANK('Data Entry'!R371), "", 'Data Entry'!R371)</f>
      </c>
      <c r="S371">
        <f>IF(ISBLANK('Data Entry'!S371), "", 'Data Entry'!S371)</f>
      </c>
      <c r="T371">
        <f>IF(ISBLANK('Data Entry'!T371), "", 'Data Entry'!T371)</f>
      </c>
      <c r="U371">
        <f>IF(ISBLANK('Data Entry'!U371), "", 'Data Entry'!U371)</f>
      </c>
      <c r="V371">
        <f>IF(ISBLANK('Data Entry'!V371), "", 'Data Entry'!V371)</f>
      </c>
      <c r="W371">
        <f>IF(ISBLANK('Data Entry'!W371), "", 'Data Entry'!W371)</f>
      </c>
      <c r="X371">
        <f>IF(ISBLANK('Data Entry'!X371), "", 'Data Entry'!X371)</f>
      </c>
      <c r="Y371">
        <f>IF(ISBLANK('Data Entry'!Y371), "", 'Data Entry'!Y371)</f>
      </c>
      <c r="Z371">
        <f>IF(ISBLANK('Data Entry'!Z371), "", 'Data Entry'!Z371)</f>
      </c>
      <c r="AA371">
        <f>IF(ISBLANK('Data Entry'![371), "", 'Data Entry'![371)</f>
      </c>
      <c r="AB371">
        <f>IF(ISBLANK('Data Entry'!\371), "", 'Data Entry'!\371)</f>
      </c>
      <c r="AC371">
        <f>IF(ISBLANK('Data Entry'!]371), "", 'Data Entry'!]371)</f>
      </c>
      <c r="AD371">
        <f>IF(ISBLANK('Data Entry'!^371), "", 'Data Entry'!^371)</f>
      </c>
      <c r="AE371">
        <f>IF(ISBLANK('Data Entry'!_371), "", 'Data Entry'!_371)</f>
      </c>
      <c r="AF371">
        <f>IF(ISBLANK('Data Entry'!`371), "", 'Data Entry'!`371)</f>
      </c>
      <c r="AG371">
        <f>IF(ISBLANK('Data Entry'!a371), "", 'Data Entry'!a371)</f>
      </c>
      <c r="AH371">
        <f>IF(ISBLANK('Data Entry'!b371), "", 'Data Entry'!b371)</f>
      </c>
      <c r="AI371">
        <f>IF(ISBLANK('Data Entry'!c371), "", 'Data Entry'!c371)</f>
      </c>
      <c r="AJ371">
        <f>IF(ISBLANK('Data Entry'!d371), "", 'Data Entry'!d371)</f>
      </c>
      <c r="AK371">
        <f>IF(ISBLANK('Data Entry'!e371), "", 'Data Entry'!e371)</f>
      </c>
      <c r="AL371">
        <f>IF(ISBLANK('Data Entry'!f371), "", 'Data Entry'!f371)</f>
      </c>
      <c r="AM371">
        <f>IF(ISBLANK('Data Entry'!g371), "", 'Data Entry'!g371)</f>
      </c>
      <c r="AN371">
        <f>IF(ISBLANK('Data Entry'!h371), "", 'Data Entry'!h371)</f>
      </c>
    </row>
    <row r="372" spans="1:40" x14ac:dyDescent="0.25">
      <c r="A372">
        <f>IF(ISBLANK('Data Entry'!A372), "", 'Data Entry'!A372)</f>
      </c>
      <c r="B372">
        <f>IF(ISBLANK('Data Entry'!B372), "", 'Data Entry'!B372)</f>
      </c>
      <c r="C372">
        <f>IF(ISBLANK('Data Entry'!C372), "", 'Data Entry'!C372)</f>
      </c>
      <c r="D372">
        <f>IF(ISBLANK('Data Entry'!D372), "", 'Data Entry'!D372)</f>
      </c>
      <c r="E372">
        <f>IF(ISBLANK('Data Entry'!E372), "", 'Data Entry'!E372)</f>
      </c>
      <c r="F372">
        <f>IF(ISBLANK('Data Entry'!F372), "", 'Data Entry'!F372)</f>
      </c>
      <c r="G372">
        <f>IF(ISBLANK('Data Entry'!G372), "", 'Data Entry'!G372)</f>
      </c>
      <c r="H372">
        <f>IF(ISBLANK('Data Entry'!H372), "", 'Data Entry'!H372)</f>
      </c>
      <c r="I372">
        <f>IF(ISBLANK('Data Entry'!I372), "", 'Data Entry'!I372)</f>
      </c>
      <c r="J372">
        <f>IF(ISBLANK('Data Entry'!J372), "", 'Data Entry'!J372)</f>
      </c>
      <c r="K372">
        <f>IF(ISBLANK('Data Entry'!K372), "", 'Data Entry'!K372)</f>
      </c>
      <c r="L372">
        <f>IF(ISBLANK('Data Entry'!L372), "", 'Data Entry'!L372)</f>
      </c>
      <c r="M372">
        <f>IF(ISBLANK('Data Entry'!M372), "", 'Data Entry'!M372)</f>
      </c>
      <c r="N372">
        <f>IF(ISBLANK('Data Entry'!N372), "", 'Data Entry'!N372)</f>
      </c>
      <c r="O372">
        <f>IF(ISBLANK('Data Entry'!O372), "", 'Data Entry'!O372)</f>
      </c>
      <c r="P372">
        <f>IF(ISBLANK('Data Entry'!P372), "", 'Data Entry'!P372)</f>
      </c>
      <c r="Q372">
        <f>IF(ISBLANK('Data Entry'!Q372), "", 'Data Entry'!Q372)</f>
      </c>
      <c r="R372">
        <f>IF(ISBLANK('Data Entry'!R372), "", 'Data Entry'!R372)</f>
      </c>
      <c r="S372">
        <f>IF(ISBLANK('Data Entry'!S372), "", 'Data Entry'!S372)</f>
      </c>
      <c r="T372">
        <f>IF(ISBLANK('Data Entry'!T372), "", 'Data Entry'!T372)</f>
      </c>
      <c r="U372">
        <f>IF(ISBLANK('Data Entry'!U372), "", 'Data Entry'!U372)</f>
      </c>
      <c r="V372">
        <f>IF(ISBLANK('Data Entry'!V372), "", 'Data Entry'!V372)</f>
      </c>
      <c r="W372">
        <f>IF(ISBLANK('Data Entry'!W372), "", 'Data Entry'!W372)</f>
      </c>
      <c r="X372">
        <f>IF(ISBLANK('Data Entry'!X372), "", 'Data Entry'!X372)</f>
      </c>
      <c r="Y372">
        <f>IF(ISBLANK('Data Entry'!Y372), "", 'Data Entry'!Y372)</f>
      </c>
      <c r="Z372">
        <f>IF(ISBLANK('Data Entry'!Z372), "", 'Data Entry'!Z372)</f>
      </c>
      <c r="AA372">
        <f>IF(ISBLANK('Data Entry'![372), "", 'Data Entry'![372)</f>
      </c>
      <c r="AB372">
        <f>IF(ISBLANK('Data Entry'!\372), "", 'Data Entry'!\372)</f>
      </c>
      <c r="AC372">
        <f>IF(ISBLANK('Data Entry'!]372), "", 'Data Entry'!]372)</f>
      </c>
      <c r="AD372">
        <f>IF(ISBLANK('Data Entry'!^372), "", 'Data Entry'!^372)</f>
      </c>
      <c r="AE372">
        <f>IF(ISBLANK('Data Entry'!_372), "", 'Data Entry'!_372)</f>
      </c>
      <c r="AF372">
        <f>IF(ISBLANK('Data Entry'!`372), "", 'Data Entry'!`372)</f>
      </c>
      <c r="AG372">
        <f>IF(ISBLANK('Data Entry'!a372), "", 'Data Entry'!a372)</f>
      </c>
      <c r="AH372">
        <f>IF(ISBLANK('Data Entry'!b372), "", 'Data Entry'!b372)</f>
      </c>
      <c r="AI372">
        <f>IF(ISBLANK('Data Entry'!c372), "", 'Data Entry'!c372)</f>
      </c>
      <c r="AJ372">
        <f>IF(ISBLANK('Data Entry'!d372), "", 'Data Entry'!d372)</f>
      </c>
      <c r="AK372">
        <f>IF(ISBLANK('Data Entry'!e372), "", 'Data Entry'!e372)</f>
      </c>
      <c r="AL372">
        <f>IF(ISBLANK('Data Entry'!f372), "", 'Data Entry'!f372)</f>
      </c>
      <c r="AM372">
        <f>IF(ISBLANK('Data Entry'!g372), "", 'Data Entry'!g372)</f>
      </c>
      <c r="AN372">
        <f>IF(ISBLANK('Data Entry'!h372), "", 'Data Entry'!h372)</f>
      </c>
    </row>
    <row r="373" spans="1:40" x14ac:dyDescent="0.25">
      <c r="A373">
        <f>IF(ISBLANK('Data Entry'!A373), "", 'Data Entry'!A373)</f>
      </c>
      <c r="B373">
        <f>IF(ISBLANK('Data Entry'!B373), "", 'Data Entry'!B373)</f>
      </c>
      <c r="C373">
        <f>IF(ISBLANK('Data Entry'!C373), "", 'Data Entry'!C373)</f>
      </c>
      <c r="D373">
        <f>IF(ISBLANK('Data Entry'!D373), "", 'Data Entry'!D373)</f>
      </c>
      <c r="E373">
        <f>IF(ISBLANK('Data Entry'!E373), "", 'Data Entry'!E373)</f>
      </c>
      <c r="F373">
        <f>IF(ISBLANK('Data Entry'!F373), "", 'Data Entry'!F373)</f>
      </c>
      <c r="G373">
        <f>IF(ISBLANK('Data Entry'!G373), "", 'Data Entry'!G373)</f>
      </c>
      <c r="H373">
        <f>IF(ISBLANK('Data Entry'!H373), "", 'Data Entry'!H373)</f>
      </c>
      <c r="I373">
        <f>IF(ISBLANK('Data Entry'!I373), "", 'Data Entry'!I373)</f>
      </c>
      <c r="J373">
        <f>IF(ISBLANK('Data Entry'!J373), "", 'Data Entry'!J373)</f>
      </c>
      <c r="K373">
        <f>IF(ISBLANK('Data Entry'!K373), "", 'Data Entry'!K373)</f>
      </c>
      <c r="L373">
        <f>IF(ISBLANK('Data Entry'!L373), "", 'Data Entry'!L373)</f>
      </c>
      <c r="M373">
        <f>IF(ISBLANK('Data Entry'!M373), "", 'Data Entry'!M373)</f>
      </c>
      <c r="N373">
        <f>IF(ISBLANK('Data Entry'!N373), "", 'Data Entry'!N373)</f>
      </c>
      <c r="O373">
        <f>IF(ISBLANK('Data Entry'!O373), "", 'Data Entry'!O373)</f>
      </c>
      <c r="P373">
        <f>IF(ISBLANK('Data Entry'!P373), "", 'Data Entry'!P373)</f>
      </c>
      <c r="Q373">
        <f>IF(ISBLANK('Data Entry'!Q373), "", 'Data Entry'!Q373)</f>
      </c>
      <c r="R373">
        <f>IF(ISBLANK('Data Entry'!R373), "", 'Data Entry'!R373)</f>
      </c>
      <c r="S373">
        <f>IF(ISBLANK('Data Entry'!S373), "", 'Data Entry'!S373)</f>
      </c>
      <c r="T373">
        <f>IF(ISBLANK('Data Entry'!T373), "", 'Data Entry'!T373)</f>
      </c>
      <c r="U373">
        <f>IF(ISBLANK('Data Entry'!U373), "", 'Data Entry'!U373)</f>
      </c>
      <c r="V373">
        <f>IF(ISBLANK('Data Entry'!V373), "", 'Data Entry'!V373)</f>
      </c>
      <c r="W373">
        <f>IF(ISBLANK('Data Entry'!W373), "", 'Data Entry'!W373)</f>
      </c>
      <c r="X373">
        <f>IF(ISBLANK('Data Entry'!X373), "", 'Data Entry'!X373)</f>
      </c>
      <c r="Y373">
        <f>IF(ISBLANK('Data Entry'!Y373), "", 'Data Entry'!Y373)</f>
      </c>
      <c r="Z373">
        <f>IF(ISBLANK('Data Entry'!Z373), "", 'Data Entry'!Z373)</f>
      </c>
      <c r="AA373">
        <f>IF(ISBLANK('Data Entry'![373), "", 'Data Entry'![373)</f>
      </c>
      <c r="AB373">
        <f>IF(ISBLANK('Data Entry'!\373), "", 'Data Entry'!\373)</f>
      </c>
      <c r="AC373">
        <f>IF(ISBLANK('Data Entry'!]373), "", 'Data Entry'!]373)</f>
      </c>
      <c r="AD373">
        <f>IF(ISBLANK('Data Entry'!^373), "", 'Data Entry'!^373)</f>
      </c>
      <c r="AE373">
        <f>IF(ISBLANK('Data Entry'!_373), "", 'Data Entry'!_373)</f>
      </c>
      <c r="AF373">
        <f>IF(ISBLANK('Data Entry'!`373), "", 'Data Entry'!`373)</f>
      </c>
      <c r="AG373">
        <f>IF(ISBLANK('Data Entry'!a373), "", 'Data Entry'!a373)</f>
      </c>
      <c r="AH373">
        <f>IF(ISBLANK('Data Entry'!b373), "", 'Data Entry'!b373)</f>
      </c>
      <c r="AI373">
        <f>IF(ISBLANK('Data Entry'!c373), "", 'Data Entry'!c373)</f>
      </c>
      <c r="AJ373">
        <f>IF(ISBLANK('Data Entry'!d373), "", 'Data Entry'!d373)</f>
      </c>
      <c r="AK373">
        <f>IF(ISBLANK('Data Entry'!e373), "", 'Data Entry'!e373)</f>
      </c>
      <c r="AL373">
        <f>IF(ISBLANK('Data Entry'!f373), "", 'Data Entry'!f373)</f>
      </c>
      <c r="AM373">
        <f>IF(ISBLANK('Data Entry'!g373), "", 'Data Entry'!g373)</f>
      </c>
      <c r="AN373">
        <f>IF(ISBLANK('Data Entry'!h373), "", 'Data Entry'!h373)</f>
      </c>
    </row>
    <row r="374" spans="1:40" x14ac:dyDescent="0.25">
      <c r="A374">
        <f>IF(ISBLANK('Data Entry'!A374), "", 'Data Entry'!A374)</f>
      </c>
      <c r="B374">
        <f>IF(ISBLANK('Data Entry'!B374), "", 'Data Entry'!B374)</f>
      </c>
      <c r="C374">
        <f>IF(ISBLANK('Data Entry'!C374), "", 'Data Entry'!C374)</f>
      </c>
      <c r="D374">
        <f>IF(ISBLANK('Data Entry'!D374), "", 'Data Entry'!D374)</f>
      </c>
      <c r="E374">
        <f>IF(ISBLANK('Data Entry'!E374), "", 'Data Entry'!E374)</f>
      </c>
      <c r="F374">
        <f>IF(ISBLANK('Data Entry'!F374), "", 'Data Entry'!F374)</f>
      </c>
      <c r="G374">
        <f>IF(ISBLANK('Data Entry'!G374), "", 'Data Entry'!G374)</f>
      </c>
      <c r="H374">
        <f>IF(ISBLANK('Data Entry'!H374), "", 'Data Entry'!H374)</f>
      </c>
      <c r="I374">
        <f>IF(ISBLANK('Data Entry'!I374), "", 'Data Entry'!I374)</f>
      </c>
      <c r="J374">
        <f>IF(ISBLANK('Data Entry'!J374), "", 'Data Entry'!J374)</f>
      </c>
      <c r="K374">
        <f>IF(ISBLANK('Data Entry'!K374), "", 'Data Entry'!K374)</f>
      </c>
      <c r="L374">
        <f>IF(ISBLANK('Data Entry'!L374), "", 'Data Entry'!L374)</f>
      </c>
      <c r="M374">
        <f>IF(ISBLANK('Data Entry'!M374), "", 'Data Entry'!M374)</f>
      </c>
      <c r="N374">
        <f>IF(ISBLANK('Data Entry'!N374), "", 'Data Entry'!N374)</f>
      </c>
      <c r="O374">
        <f>IF(ISBLANK('Data Entry'!O374), "", 'Data Entry'!O374)</f>
      </c>
      <c r="P374">
        <f>IF(ISBLANK('Data Entry'!P374), "", 'Data Entry'!P374)</f>
      </c>
      <c r="Q374">
        <f>IF(ISBLANK('Data Entry'!Q374), "", 'Data Entry'!Q374)</f>
      </c>
      <c r="R374">
        <f>IF(ISBLANK('Data Entry'!R374), "", 'Data Entry'!R374)</f>
      </c>
      <c r="S374">
        <f>IF(ISBLANK('Data Entry'!S374), "", 'Data Entry'!S374)</f>
      </c>
      <c r="T374">
        <f>IF(ISBLANK('Data Entry'!T374), "", 'Data Entry'!T374)</f>
      </c>
      <c r="U374">
        <f>IF(ISBLANK('Data Entry'!U374), "", 'Data Entry'!U374)</f>
      </c>
      <c r="V374">
        <f>IF(ISBLANK('Data Entry'!V374), "", 'Data Entry'!V374)</f>
      </c>
      <c r="W374">
        <f>IF(ISBLANK('Data Entry'!W374), "", 'Data Entry'!W374)</f>
      </c>
      <c r="X374">
        <f>IF(ISBLANK('Data Entry'!X374), "", 'Data Entry'!X374)</f>
      </c>
      <c r="Y374">
        <f>IF(ISBLANK('Data Entry'!Y374), "", 'Data Entry'!Y374)</f>
      </c>
      <c r="Z374">
        <f>IF(ISBLANK('Data Entry'!Z374), "", 'Data Entry'!Z374)</f>
      </c>
      <c r="AA374">
        <f>IF(ISBLANK('Data Entry'![374), "", 'Data Entry'![374)</f>
      </c>
      <c r="AB374">
        <f>IF(ISBLANK('Data Entry'!\374), "", 'Data Entry'!\374)</f>
      </c>
      <c r="AC374">
        <f>IF(ISBLANK('Data Entry'!]374), "", 'Data Entry'!]374)</f>
      </c>
      <c r="AD374">
        <f>IF(ISBLANK('Data Entry'!^374), "", 'Data Entry'!^374)</f>
      </c>
      <c r="AE374">
        <f>IF(ISBLANK('Data Entry'!_374), "", 'Data Entry'!_374)</f>
      </c>
      <c r="AF374">
        <f>IF(ISBLANK('Data Entry'!`374), "", 'Data Entry'!`374)</f>
      </c>
      <c r="AG374">
        <f>IF(ISBLANK('Data Entry'!a374), "", 'Data Entry'!a374)</f>
      </c>
      <c r="AH374">
        <f>IF(ISBLANK('Data Entry'!b374), "", 'Data Entry'!b374)</f>
      </c>
      <c r="AI374">
        <f>IF(ISBLANK('Data Entry'!c374), "", 'Data Entry'!c374)</f>
      </c>
      <c r="AJ374">
        <f>IF(ISBLANK('Data Entry'!d374), "", 'Data Entry'!d374)</f>
      </c>
      <c r="AK374">
        <f>IF(ISBLANK('Data Entry'!e374), "", 'Data Entry'!e374)</f>
      </c>
      <c r="AL374">
        <f>IF(ISBLANK('Data Entry'!f374), "", 'Data Entry'!f374)</f>
      </c>
      <c r="AM374">
        <f>IF(ISBLANK('Data Entry'!g374), "", 'Data Entry'!g374)</f>
      </c>
      <c r="AN374">
        <f>IF(ISBLANK('Data Entry'!h374), "", 'Data Entry'!h374)</f>
      </c>
    </row>
    <row r="375" spans="1:40" x14ac:dyDescent="0.25">
      <c r="A375">
        <f>IF(ISBLANK('Data Entry'!A375), "", 'Data Entry'!A375)</f>
      </c>
      <c r="B375">
        <f>IF(ISBLANK('Data Entry'!B375), "", 'Data Entry'!B375)</f>
      </c>
      <c r="C375">
        <f>IF(ISBLANK('Data Entry'!C375), "", 'Data Entry'!C375)</f>
      </c>
      <c r="D375">
        <f>IF(ISBLANK('Data Entry'!D375), "", 'Data Entry'!D375)</f>
      </c>
      <c r="E375">
        <f>IF(ISBLANK('Data Entry'!E375), "", 'Data Entry'!E375)</f>
      </c>
      <c r="F375">
        <f>IF(ISBLANK('Data Entry'!F375), "", 'Data Entry'!F375)</f>
      </c>
      <c r="G375">
        <f>IF(ISBLANK('Data Entry'!G375), "", 'Data Entry'!G375)</f>
      </c>
      <c r="H375">
        <f>IF(ISBLANK('Data Entry'!H375), "", 'Data Entry'!H375)</f>
      </c>
      <c r="I375">
        <f>IF(ISBLANK('Data Entry'!I375), "", 'Data Entry'!I375)</f>
      </c>
      <c r="J375">
        <f>IF(ISBLANK('Data Entry'!J375), "", 'Data Entry'!J375)</f>
      </c>
      <c r="K375">
        <f>IF(ISBLANK('Data Entry'!K375), "", 'Data Entry'!K375)</f>
      </c>
      <c r="L375">
        <f>IF(ISBLANK('Data Entry'!L375), "", 'Data Entry'!L375)</f>
      </c>
      <c r="M375">
        <f>IF(ISBLANK('Data Entry'!M375), "", 'Data Entry'!M375)</f>
      </c>
      <c r="N375">
        <f>IF(ISBLANK('Data Entry'!N375), "", 'Data Entry'!N375)</f>
      </c>
      <c r="O375">
        <f>IF(ISBLANK('Data Entry'!O375), "", 'Data Entry'!O375)</f>
      </c>
      <c r="P375">
        <f>IF(ISBLANK('Data Entry'!P375), "", 'Data Entry'!P375)</f>
      </c>
      <c r="Q375">
        <f>IF(ISBLANK('Data Entry'!Q375), "", 'Data Entry'!Q375)</f>
      </c>
      <c r="R375">
        <f>IF(ISBLANK('Data Entry'!R375), "", 'Data Entry'!R375)</f>
      </c>
      <c r="S375">
        <f>IF(ISBLANK('Data Entry'!S375), "", 'Data Entry'!S375)</f>
      </c>
      <c r="T375">
        <f>IF(ISBLANK('Data Entry'!T375), "", 'Data Entry'!T375)</f>
      </c>
      <c r="U375">
        <f>IF(ISBLANK('Data Entry'!U375), "", 'Data Entry'!U375)</f>
      </c>
      <c r="V375">
        <f>IF(ISBLANK('Data Entry'!V375), "", 'Data Entry'!V375)</f>
      </c>
      <c r="W375">
        <f>IF(ISBLANK('Data Entry'!W375), "", 'Data Entry'!W375)</f>
      </c>
      <c r="X375">
        <f>IF(ISBLANK('Data Entry'!X375), "", 'Data Entry'!X375)</f>
      </c>
      <c r="Y375">
        <f>IF(ISBLANK('Data Entry'!Y375), "", 'Data Entry'!Y375)</f>
      </c>
      <c r="Z375">
        <f>IF(ISBLANK('Data Entry'!Z375), "", 'Data Entry'!Z375)</f>
      </c>
      <c r="AA375">
        <f>IF(ISBLANK('Data Entry'![375), "", 'Data Entry'![375)</f>
      </c>
      <c r="AB375">
        <f>IF(ISBLANK('Data Entry'!\375), "", 'Data Entry'!\375)</f>
      </c>
      <c r="AC375">
        <f>IF(ISBLANK('Data Entry'!]375), "", 'Data Entry'!]375)</f>
      </c>
      <c r="AD375">
        <f>IF(ISBLANK('Data Entry'!^375), "", 'Data Entry'!^375)</f>
      </c>
      <c r="AE375">
        <f>IF(ISBLANK('Data Entry'!_375), "", 'Data Entry'!_375)</f>
      </c>
      <c r="AF375">
        <f>IF(ISBLANK('Data Entry'!`375), "", 'Data Entry'!`375)</f>
      </c>
      <c r="AG375">
        <f>IF(ISBLANK('Data Entry'!a375), "", 'Data Entry'!a375)</f>
      </c>
      <c r="AH375">
        <f>IF(ISBLANK('Data Entry'!b375), "", 'Data Entry'!b375)</f>
      </c>
      <c r="AI375">
        <f>IF(ISBLANK('Data Entry'!c375), "", 'Data Entry'!c375)</f>
      </c>
      <c r="AJ375">
        <f>IF(ISBLANK('Data Entry'!d375), "", 'Data Entry'!d375)</f>
      </c>
      <c r="AK375">
        <f>IF(ISBLANK('Data Entry'!e375), "", 'Data Entry'!e375)</f>
      </c>
      <c r="AL375">
        <f>IF(ISBLANK('Data Entry'!f375), "", 'Data Entry'!f375)</f>
      </c>
      <c r="AM375">
        <f>IF(ISBLANK('Data Entry'!g375), "", 'Data Entry'!g375)</f>
      </c>
      <c r="AN375">
        <f>IF(ISBLANK('Data Entry'!h375), "", 'Data Entry'!h375)</f>
      </c>
    </row>
    <row r="376" spans="1:40" x14ac:dyDescent="0.25">
      <c r="A376">
        <f>IF(ISBLANK('Data Entry'!A376), "", 'Data Entry'!A376)</f>
      </c>
      <c r="B376">
        <f>IF(ISBLANK('Data Entry'!B376), "", 'Data Entry'!B376)</f>
      </c>
      <c r="C376">
        <f>IF(ISBLANK('Data Entry'!C376), "", 'Data Entry'!C376)</f>
      </c>
      <c r="D376">
        <f>IF(ISBLANK('Data Entry'!D376), "", 'Data Entry'!D376)</f>
      </c>
      <c r="E376">
        <f>IF(ISBLANK('Data Entry'!E376), "", 'Data Entry'!E376)</f>
      </c>
      <c r="F376">
        <f>IF(ISBLANK('Data Entry'!F376), "", 'Data Entry'!F376)</f>
      </c>
      <c r="G376">
        <f>IF(ISBLANK('Data Entry'!G376), "", 'Data Entry'!G376)</f>
      </c>
      <c r="H376">
        <f>IF(ISBLANK('Data Entry'!H376), "", 'Data Entry'!H376)</f>
      </c>
      <c r="I376">
        <f>IF(ISBLANK('Data Entry'!I376), "", 'Data Entry'!I376)</f>
      </c>
      <c r="J376">
        <f>IF(ISBLANK('Data Entry'!J376), "", 'Data Entry'!J376)</f>
      </c>
      <c r="K376">
        <f>IF(ISBLANK('Data Entry'!K376), "", 'Data Entry'!K376)</f>
      </c>
      <c r="L376">
        <f>IF(ISBLANK('Data Entry'!L376), "", 'Data Entry'!L376)</f>
      </c>
      <c r="M376">
        <f>IF(ISBLANK('Data Entry'!M376), "", 'Data Entry'!M376)</f>
      </c>
      <c r="N376">
        <f>IF(ISBLANK('Data Entry'!N376), "", 'Data Entry'!N376)</f>
      </c>
      <c r="O376">
        <f>IF(ISBLANK('Data Entry'!O376), "", 'Data Entry'!O376)</f>
      </c>
      <c r="P376">
        <f>IF(ISBLANK('Data Entry'!P376), "", 'Data Entry'!P376)</f>
      </c>
      <c r="Q376">
        <f>IF(ISBLANK('Data Entry'!Q376), "", 'Data Entry'!Q376)</f>
      </c>
      <c r="R376">
        <f>IF(ISBLANK('Data Entry'!R376), "", 'Data Entry'!R376)</f>
      </c>
      <c r="S376">
        <f>IF(ISBLANK('Data Entry'!S376), "", 'Data Entry'!S376)</f>
      </c>
      <c r="T376">
        <f>IF(ISBLANK('Data Entry'!T376), "", 'Data Entry'!T376)</f>
      </c>
      <c r="U376">
        <f>IF(ISBLANK('Data Entry'!U376), "", 'Data Entry'!U376)</f>
      </c>
      <c r="V376">
        <f>IF(ISBLANK('Data Entry'!V376), "", 'Data Entry'!V376)</f>
      </c>
      <c r="W376">
        <f>IF(ISBLANK('Data Entry'!W376), "", 'Data Entry'!W376)</f>
      </c>
      <c r="X376">
        <f>IF(ISBLANK('Data Entry'!X376), "", 'Data Entry'!X376)</f>
      </c>
      <c r="Y376">
        <f>IF(ISBLANK('Data Entry'!Y376), "", 'Data Entry'!Y376)</f>
      </c>
      <c r="Z376">
        <f>IF(ISBLANK('Data Entry'!Z376), "", 'Data Entry'!Z376)</f>
      </c>
      <c r="AA376">
        <f>IF(ISBLANK('Data Entry'![376), "", 'Data Entry'![376)</f>
      </c>
      <c r="AB376">
        <f>IF(ISBLANK('Data Entry'!\376), "", 'Data Entry'!\376)</f>
      </c>
      <c r="AC376">
        <f>IF(ISBLANK('Data Entry'!]376), "", 'Data Entry'!]376)</f>
      </c>
      <c r="AD376">
        <f>IF(ISBLANK('Data Entry'!^376), "", 'Data Entry'!^376)</f>
      </c>
      <c r="AE376">
        <f>IF(ISBLANK('Data Entry'!_376), "", 'Data Entry'!_376)</f>
      </c>
      <c r="AF376">
        <f>IF(ISBLANK('Data Entry'!`376), "", 'Data Entry'!`376)</f>
      </c>
      <c r="AG376">
        <f>IF(ISBLANK('Data Entry'!a376), "", 'Data Entry'!a376)</f>
      </c>
      <c r="AH376">
        <f>IF(ISBLANK('Data Entry'!b376), "", 'Data Entry'!b376)</f>
      </c>
      <c r="AI376">
        <f>IF(ISBLANK('Data Entry'!c376), "", 'Data Entry'!c376)</f>
      </c>
      <c r="AJ376">
        <f>IF(ISBLANK('Data Entry'!d376), "", 'Data Entry'!d376)</f>
      </c>
      <c r="AK376">
        <f>IF(ISBLANK('Data Entry'!e376), "", 'Data Entry'!e376)</f>
      </c>
      <c r="AL376">
        <f>IF(ISBLANK('Data Entry'!f376), "", 'Data Entry'!f376)</f>
      </c>
      <c r="AM376">
        <f>IF(ISBLANK('Data Entry'!g376), "", 'Data Entry'!g376)</f>
      </c>
      <c r="AN376">
        <f>IF(ISBLANK('Data Entry'!h376), "", 'Data Entry'!h376)</f>
      </c>
    </row>
    <row r="377" spans="1:40" x14ac:dyDescent="0.25">
      <c r="A377">
        <f>IF(ISBLANK('Data Entry'!A377), "", 'Data Entry'!A377)</f>
      </c>
      <c r="B377">
        <f>IF(ISBLANK('Data Entry'!B377), "", 'Data Entry'!B377)</f>
      </c>
      <c r="C377">
        <f>IF(ISBLANK('Data Entry'!C377), "", 'Data Entry'!C377)</f>
      </c>
      <c r="D377">
        <f>IF(ISBLANK('Data Entry'!D377), "", 'Data Entry'!D377)</f>
      </c>
      <c r="E377">
        <f>IF(ISBLANK('Data Entry'!E377), "", 'Data Entry'!E377)</f>
      </c>
      <c r="F377">
        <f>IF(ISBLANK('Data Entry'!F377), "", 'Data Entry'!F377)</f>
      </c>
      <c r="G377">
        <f>IF(ISBLANK('Data Entry'!G377), "", 'Data Entry'!G377)</f>
      </c>
      <c r="H377">
        <f>IF(ISBLANK('Data Entry'!H377), "", 'Data Entry'!H377)</f>
      </c>
      <c r="I377">
        <f>IF(ISBLANK('Data Entry'!I377), "", 'Data Entry'!I377)</f>
      </c>
      <c r="J377">
        <f>IF(ISBLANK('Data Entry'!J377), "", 'Data Entry'!J377)</f>
      </c>
      <c r="K377">
        <f>IF(ISBLANK('Data Entry'!K377), "", 'Data Entry'!K377)</f>
      </c>
      <c r="L377">
        <f>IF(ISBLANK('Data Entry'!L377), "", 'Data Entry'!L377)</f>
      </c>
      <c r="M377">
        <f>IF(ISBLANK('Data Entry'!M377), "", 'Data Entry'!M377)</f>
      </c>
      <c r="N377">
        <f>IF(ISBLANK('Data Entry'!N377), "", 'Data Entry'!N377)</f>
      </c>
      <c r="O377">
        <f>IF(ISBLANK('Data Entry'!O377), "", 'Data Entry'!O377)</f>
      </c>
      <c r="P377">
        <f>IF(ISBLANK('Data Entry'!P377), "", 'Data Entry'!P377)</f>
      </c>
      <c r="Q377">
        <f>IF(ISBLANK('Data Entry'!Q377), "", 'Data Entry'!Q377)</f>
      </c>
      <c r="R377">
        <f>IF(ISBLANK('Data Entry'!R377), "", 'Data Entry'!R377)</f>
      </c>
      <c r="S377">
        <f>IF(ISBLANK('Data Entry'!S377), "", 'Data Entry'!S377)</f>
      </c>
      <c r="T377">
        <f>IF(ISBLANK('Data Entry'!T377), "", 'Data Entry'!T377)</f>
      </c>
      <c r="U377">
        <f>IF(ISBLANK('Data Entry'!U377), "", 'Data Entry'!U377)</f>
      </c>
      <c r="V377">
        <f>IF(ISBLANK('Data Entry'!V377), "", 'Data Entry'!V377)</f>
      </c>
      <c r="W377">
        <f>IF(ISBLANK('Data Entry'!W377), "", 'Data Entry'!W377)</f>
      </c>
      <c r="X377">
        <f>IF(ISBLANK('Data Entry'!X377), "", 'Data Entry'!X377)</f>
      </c>
      <c r="Y377">
        <f>IF(ISBLANK('Data Entry'!Y377), "", 'Data Entry'!Y377)</f>
      </c>
      <c r="Z377">
        <f>IF(ISBLANK('Data Entry'!Z377), "", 'Data Entry'!Z377)</f>
      </c>
      <c r="AA377">
        <f>IF(ISBLANK('Data Entry'![377), "", 'Data Entry'![377)</f>
      </c>
      <c r="AB377">
        <f>IF(ISBLANK('Data Entry'!\377), "", 'Data Entry'!\377)</f>
      </c>
      <c r="AC377">
        <f>IF(ISBLANK('Data Entry'!]377), "", 'Data Entry'!]377)</f>
      </c>
      <c r="AD377">
        <f>IF(ISBLANK('Data Entry'!^377), "", 'Data Entry'!^377)</f>
      </c>
      <c r="AE377">
        <f>IF(ISBLANK('Data Entry'!_377), "", 'Data Entry'!_377)</f>
      </c>
      <c r="AF377">
        <f>IF(ISBLANK('Data Entry'!`377), "", 'Data Entry'!`377)</f>
      </c>
      <c r="AG377">
        <f>IF(ISBLANK('Data Entry'!a377), "", 'Data Entry'!a377)</f>
      </c>
      <c r="AH377">
        <f>IF(ISBLANK('Data Entry'!b377), "", 'Data Entry'!b377)</f>
      </c>
      <c r="AI377">
        <f>IF(ISBLANK('Data Entry'!c377), "", 'Data Entry'!c377)</f>
      </c>
      <c r="AJ377">
        <f>IF(ISBLANK('Data Entry'!d377), "", 'Data Entry'!d377)</f>
      </c>
      <c r="AK377">
        <f>IF(ISBLANK('Data Entry'!e377), "", 'Data Entry'!e377)</f>
      </c>
      <c r="AL377">
        <f>IF(ISBLANK('Data Entry'!f377), "", 'Data Entry'!f377)</f>
      </c>
      <c r="AM377">
        <f>IF(ISBLANK('Data Entry'!g377), "", 'Data Entry'!g377)</f>
      </c>
      <c r="AN377">
        <f>IF(ISBLANK('Data Entry'!h377), "", 'Data Entry'!h377)</f>
      </c>
    </row>
    <row r="378" spans="1:40" x14ac:dyDescent="0.25">
      <c r="A378">
        <f>IF(ISBLANK('Data Entry'!A378), "", 'Data Entry'!A378)</f>
      </c>
      <c r="B378">
        <f>IF(ISBLANK('Data Entry'!B378), "", 'Data Entry'!B378)</f>
      </c>
      <c r="C378">
        <f>IF(ISBLANK('Data Entry'!C378), "", 'Data Entry'!C378)</f>
      </c>
      <c r="D378">
        <f>IF(ISBLANK('Data Entry'!D378), "", 'Data Entry'!D378)</f>
      </c>
      <c r="E378">
        <f>IF(ISBLANK('Data Entry'!E378), "", 'Data Entry'!E378)</f>
      </c>
      <c r="F378">
        <f>IF(ISBLANK('Data Entry'!F378), "", 'Data Entry'!F378)</f>
      </c>
      <c r="G378">
        <f>IF(ISBLANK('Data Entry'!G378), "", 'Data Entry'!G378)</f>
      </c>
      <c r="H378">
        <f>IF(ISBLANK('Data Entry'!H378), "", 'Data Entry'!H378)</f>
      </c>
      <c r="I378">
        <f>IF(ISBLANK('Data Entry'!I378), "", 'Data Entry'!I378)</f>
      </c>
      <c r="J378">
        <f>IF(ISBLANK('Data Entry'!J378), "", 'Data Entry'!J378)</f>
      </c>
      <c r="K378">
        <f>IF(ISBLANK('Data Entry'!K378), "", 'Data Entry'!K378)</f>
      </c>
      <c r="L378">
        <f>IF(ISBLANK('Data Entry'!L378), "", 'Data Entry'!L378)</f>
      </c>
      <c r="M378">
        <f>IF(ISBLANK('Data Entry'!M378), "", 'Data Entry'!M378)</f>
      </c>
      <c r="N378">
        <f>IF(ISBLANK('Data Entry'!N378), "", 'Data Entry'!N378)</f>
      </c>
      <c r="O378">
        <f>IF(ISBLANK('Data Entry'!O378), "", 'Data Entry'!O378)</f>
      </c>
      <c r="P378">
        <f>IF(ISBLANK('Data Entry'!P378), "", 'Data Entry'!P378)</f>
      </c>
      <c r="Q378">
        <f>IF(ISBLANK('Data Entry'!Q378), "", 'Data Entry'!Q378)</f>
      </c>
      <c r="R378">
        <f>IF(ISBLANK('Data Entry'!R378), "", 'Data Entry'!R378)</f>
      </c>
      <c r="S378">
        <f>IF(ISBLANK('Data Entry'!S378), "", 'Data Entry'!S378)</f>
      </c>
      <c r="T378">
        <f>IF(ISBLANK('Data Entry'!T378), "", 'Data Entry'!T378)</f>
      </c>
      <c r="U378">
        <f>IF(ISBLANK('Data Entry'!U378), "", 'Data Entry'!U378)</f>
      </c>
      <c r="V378">
        <f>IF(ISBLANK('Data Entry'!V378), "", 'Data Entry'!V378)</f>
      </c>
      <c r="W378">
        <f>IF(ISBLANK('Data Entry'!W378), "", 'Data Entry'!W378)</f>
      </c>
      <c r="X378">
        <f>IF(ISBLANK('Data Entry'!X378), "", 'Data Entry'!X378)</f>
      </c>
      <c r="Y378">
        <f>IF(ISBLANK('Data Entry'!Y378), "", 'Data Entry'!Y378)</f>
      </c>
      <c r="Z378">
        <f>IF(ISBLANK('Data Entry'!Z378), "", 'Data Entry'!Z378)</f>
      </c>
      <c r="AA378">
        <f>IF(ISBLANK('Data Entry'![378), "", 'Data Entry'![378)</f>
      </c>
      <c r="AB378">
        <f>IF(ISBLANK('Data Entry'!\378), "", 'Data Entry'!\378)</f>
      </c>
      <c r="AC378">
        <f>IF(ISBLANK('Data Entry'!]378), "", 'Data Entry'!]378)</f>
      </c>
      <c r="AD378">
        <f>IF(ISBLANK('Data Entry'!^378), "", 'Data Entry'!^378)</f>
      </c>
      <c r="AE378">
        <f>IF(ISBLANK('Data Entry'!_378), "", 'Data Entry'!_378)</f>
      </c>
      <c r="AF378">
        <f>IF(ISBLANK('Data Entry'!`378), "", 'Data Entry'!`378)</f>
      </c>
      <c r="AG378">
        <f>IF(ISBLANK('Data Entry'!a378), "", 'Data Entry'!a378)</f>
      </c>
      <c r="AH378">
        <f>IF(ISBLANK('Data Entry'!b378), "", 'Data Entry'!b378)</f>
      </c>
      <c r="AI378">
        <f>IF(ISBLANK('Data Entry'!c378), "", 'Data Entry'!c378)</f>
      </c>
      <c r="AJ378">
        <f>IF(ISBLANK('Data Entry'!d378), "", 'Data Entry'!d378)</f>
      </c>
      <c r="AK378">
        <f>IF(ISBLANK('Data Entry'!e378), "", 'Data Entry'!e378)</f>
      </c>
      <c r="AL378">
        <f>IF(ISBLANK('Data Entry'!f378), "", 'Data Entry'!f378)</f>
      </c>
      <c r="AM378">
        <f>IF(ISBLANK('Data Entry'!g378), "", 'Data Entry'!g378)</f>
      </c>
      <c r="AN378">
        <f>IF(ISBLANK('Data Entry'!h378), "", 'Data Entry'!h378)</f>
      </c>
    </row>
    <row r="379" spans="1:40" x14ac:dyDescent="0.25">
      <c r="A379">
        <f>IF(ISBLANK('Data Entry'!A379), "", 'Data Entry'!A379)</f>
      </c>
      <c r="B379">
        <f>IF(ISBLANK('Data Entry'!B379), "", 'Data Entry'!B379)</f>
      </c>
      <c r="C379">
        <f>IF(ISBLANK('Data Entry'!C379), "", 'Data Entry'!C379)</f>
      </c>
      <c r="D379">
        <f>IF(ISBLANK('Data Entry'!D379), "", 'Data Entry'!D379)</f>
      </c>
      <c r="E379">
        <f>IF(ISBLANK('Data Entry'!E379), "", 'Data Entry'!E379)</f>
      </c>
      <c r="F379">
        <f>IF(ISBLANK('Data Entry'!F379), "", 'Data Entry'!F379)</f>
      </c>
      <c r="G379">
        <f>IF(ISBLANK('Data Entry'!G379), "", 'Data Entry'!G379)</f>
      </c>
      <c r="H379">
        <f>IF(ISBLANK('Data Entry'!H379), "", 'Data Entry'!H379)</f>
      </c>
      <c r="I379">
        <f>IF(ISBLANK('Data Entry'!I379), "", 'Data Entry'!I379)</f>
      </c>
      <c r="J379">
        <f>IF(ISBLANK('Data Entry'!J379), "", 'Data Entry'!J379)</f>
      </c>
      <c r="K379">
        <f>IF(ISBLANK('Data Entry'!K379), "", 'Data Entry'!K379)</f>
      </c>
      <c r="L379">
        <f>IF(ISBLANK('Data Entry'!L379), "", 'Data Entry'!L379)</f>
      </c>
      <c r="M379">
        <f>IF(ISBLANK('Data Entry'!M379), "", 'Data Entry'!M379)</f>
      </c>
      <c r="N379">
        <f>IF(ISBLANK('Data Entry'!N379), "", 'Data Entry'!N379)</f>
      </c>
      <c r="O379">
        <f>IF(ISBLANK('Data Entry'!O379), "", 'Data Entry'!O379)</f>
      </c>
      <c r="P379">
        <f>IF(ISBLANK('Data Entry'!P379), "", 'Data Entry'!P379)</f>
      </c>
      <c r="Q379">
        <f>IF(ISBLANK('Data Entry'!Q379), "", 'Data Entry'!Q379)</f>
      </c>
      <c r="R379">
        <f>IF(ISBLANK('Data Entry'!R379), "", 'Data Entry'!R379)</f>
      </c>
      <c r="S379">
        <f>IF(ISBLANK('Data Entry'!S379), "", 'Data Entry'!S379)</f>
      </c>
      <c r="T379">
        <f>IF(ISBLANK('Data Entry'!T379), "", 'Data Entry'!T379)</f>
      </c>
      <c r="U379">
        <f>IF(ISBLANK('Data Entry'!U379), "", 'Data Entry'!U379)</f>
      </c>
      <c r="V379">
        <f>IF(ISBLANK('Data Entry'!V379), "", 'Data Entry'!V379)</f>
      </c>
      <c r="W379">
        <f>IF(ISBLANK('Data Entry'!W379), "", 'Data Entry'!W379)</f>
      </c>
      <c r="X379">
        <f>IF(ISBLANK('Data Entry'!X379), "", 'Data Entry'!X379)</f>
      </c>
      <c r="Y379">
        <f>IF(ISBLANK('Data Entry'!Y379), "", 'Data Entry'!Y379)</f>
      </c>
      <c r="Z379">
        <f>IF(ISBLANK('Data Entry'!Z379), "", 'Data Entry'!Z379)</f>
      </c>
      <c r="AA379">
        <f>IF(ISBLANK('Data Entry'![379), "", 'Data Entry'![379)</f>
      </c>
      <c r="AB379">
        <f>IF(ISBLANK('Data Entry'!\379), "", 'Data Entry'!\379)</f>
      </c>
      <c r="AC379">
        <f>IF(ISBLANK('Data Entry'!]379), "", 'Data Entry'!]379)</f>
      </c>
      <c r="AD379">
        <f>IF(ISBLANK('Data Entry'!^379), "", 'Data Entry'!^379)</f>
      </c>
      <c r="AE379">
        <f>IF(ISBLANK('Data Entry'!_379), "", 'Data Entry'!_379)</f>
      </c>
      <c r="AF379">
        <f>IF(ISBLANK('Data Entry'!`379), "", 'Data Entry'!`379)</f>
      </c>
      <c r="AG379">
        <f>IF(ISBLANK('Data Entry'!a379), "", 'Data Entry'!a379)</f>
      </c>
      <c r="AH379">
        <f>IF(ISBLANK('Data Entry'!b379), "", 'Data Entry'!b379)</f>
      </c>
      <c r="AI379">
        <f>IF(ISBLANK('Data Entry'!c379), "", 'Data Entry'!c379)</f>
      </c>
      <c r="AJ379">
        <f>IF(ISBLANK('Data Entry'!d379), "", 'Data Entry'!d379)</f>
      </c>
      <c r="AK379">
        <f>IF(ISBLANK('Data Entry'!e379), "", 'Data Entry'!e379)</f>
      </c>
      <c r="AL379">
        <f>IF(ISBLANK('Data Entry'!f379), "", 'Data Entry'!f379)</f>
      </c>
      <c r="AM379">
        <f>IF(ISBLANK('Data Entry'!g379), "", 'Data Entry'!g379)</f>
      </c>
      <c r="AN379">
        <f>IF(ISBLANK('Data Entry'!h379), "", 'Data Entry'!h379)</f>
      </c>
    </row>
    <row r="380" spans="1:40" x14ac:dyDescent="0.25">
      <c r="A380">
        <f>IF(ISBLANK('Data Entry'!A380), "", 'Data Entry'!A380)</f>
      </c>
      <c r="B380">
        <f>IF(ISBLANK('Data Entry'!B380), "", 'Data Entry'!B380)</f>
      </c>
      <c r="C380">
        <f>IF(ISBLANK('Data Entry'!C380), "", 'Data Entry'!C380)</f>
      </c>
      <c r="D380">
        <f>IF(ISBLANK('Data Entry'!D380), "", 'Data Entry'!D380)</f>
      </c>
      <c r="E380">
        <f>IF(ISBLANK('Data Entry'!E380), "", 'Data Entry'!E380)</f>
      </c>
      <c r="F380">
        <f>IF(ISBLANK('Data Entry'!F380), "", 'Data Entry'!F380)</f>
      </c>
      <c r="G380">
        <f>IF(ISBLANK('Data Entry'!G380), "", 'Data Entry'!G380)</f>
      </c>
      <c r="H380">
        <f>IF(ISBLANK('Data Entry'!H380), "", 'Data Entry'!H380)</f>
      </c>
      <c r="I380">
        <f>IF(ISBLANK('Data Entry'!I380), "", 'Data Entry'!I380)</f>
      </c>
      <c r="J380">
        <f>IF(ISBLANK('Data Entry'!J380), "", 'Data Entry'!J380)</f>
      </c>
      <c r="K380">
        <f>IF(ISBLANK('Data Entry'!K380), "", 'Data Entry'!K380)</f>
      </c>
      <c r="L380">
        <f>IF(ISBLANK('Data Entry'!L380), "", 'Data Entry'!L380)</f>
      </c>
      <c r="M380">
        <f>IF(ISBLANK('Data Entry'!M380), "", 'Data Entry'!M380)</f>
      </c>
      <c r="N380">
        <f>IF(ISBLANK('Data Entry'!N380), "", 'Data Entry'!N380)</f>
      </c>
      <c r="O380">
        <f>IF(ISBLANK('Data Entry'!O380), "", 'Data Entry'!O380)</f>
      </c>
      <c r="P380">
        <f>IF(ISBLANK('Data Entry'!P380), "", 'Data Entry'!P380)</f>
      </c>
      <c r="Q380">
        <f>IF(ISBLANK('Data Entry'!Q380), "", 'Data Entry'!Q380)</f>
      </c>
      <c r="R380">
        <f>IF(ISBLANK('Data Entry'!R380), "", 'Data Entry'!R380)</f>
      </c>
      <c r="S380">
        <f>IF(ISBLANK('Data Entry'!S380), "", 'Data Entry'!S380)</f>
      </c>
      <c r="T380">
        <f>IF(ISBLANK('Data Entry'!T380), "", 'Data Entry'!T380)</f>
      </c>
      <c r="U380">
        <f>IF(ISBLANK('Data Entry'!U380), "", 'Data Entry'!U380)</f>
      </c>
      <c r="V380">
        <f>IF(ISBLANK('Data Entry'!V380), "", 'Data Entry'!V380)</f>
      </c>
      <c r="W380">
        <f>IF(ISBLANK('Data Entry'!W380), "", 'Data Entry'!W380)</f>
      </c>
      <c r="X380">
        <f>IF(ISBLANK('Data Entry'!X380), "", 'Data Entry'!X380)</f>
      </c>
      <c r="Y380">
        <f>IF(ISBLANK('Data Entry'!Y380), "", 'Data Entry'!Y380)</f>
      </c>
      <c r="Z380">
        <f>IF(ISBLANK('Data Entry'!Z380), "", 'Data Entry'!Z380)</f>
      </c>
      <c r="AA380">
        <f>IF(ISBLANK('Data Entry'![380), "", 'Data Entry'![380)</f>
      </c>
      <c r="AB380">
        <f>IF(ISBLANK('Data Entry'!\380), "", 'Data Entry'!\380)</f>
      </c>
      <c r="AC380">
        <f>IF(ISBLANK('Data Entry'!]380), "", 'Data Entry'!]380)</f>
      </c>
      <c r="AD380">
        <f>IF(ISBLANK('Data Entry'!^380), "", 'Data Entry'!^380)</f>
      </c>
      <c r="AE380">
        <f>IF(ISBLANK('Data Entry'!_380), "", 'Data Entry'!_380)</f>
      </c>
      <c r="AF380">
        <f>IF(ISBLANK('Data Entry'!`380), "", 'Data Entry'!`380)</f>
      </c>
      <c r="AG380">
        <f>IF(ISBLANK('Data Entry'!a380), "", 'Data Entry'!a380)</f>
      </c>
      <c r="AH380">
        <f>IF(ISBLANK('Data Entry'!b380), "", 'Data Entry'!b380)</f>
      </c>
      <c r="AI380">
        <f>IF(ISBLANK('Data Entry'!c380), "", 'Data Entry'!c380)</f>
      </c>
      <c r="AJ380">
        <f>IF(ISBLANK('Data Entry'!d380), "", 'Data Entry'!d380)</f>
      </c>
      <c r="AK380">
        <f>IF(ISBLANK('Data Entry'!e380), "", 'Data Entry'!e380)</f>
      </c>
      <c r="AL380">
        <f>IF(ISBLANK('Data Entry'!f380), "", 'Data Entry'!f380)</f>
      </c>
      <c r="AM380">
        <f>IF(ISBLANK('Data Entry'!g380), "", 'Data Entry'!g380)</f>
      </c>
      <c r="AN380">
        <f>IF(ISBLANK('Data Entry'!h380), "", 'Data Entry'!h380)</f>
      </c>
    </row>
    <row r="381" spans="1:40" x14ac:dyDescent="0.25">
      <c r="A381">
        <f>IF(ISBLANK('Data Entry'!A381), "", 'Data Entry'!A381)</f>
      </c>
      <c r="B381">
        <f>IF(ISBLANK('Data Entry'!B381), "", 'Data Entry'!B381)</f>
      </c>
      <c r="C381">
        <f>IF(ISBLANK('Data Entry'!C381), "", 'Data Entry'!C381)</f>
      </c>
      <c r="D381">
        <f>IF(ISBLANK('Data Entry'!D381), "", 'Data Entry'!D381)</f>
      </c>
      <c r="E381">
        <f>IF(ISBLANK('Data Entry'!E381), "", 'Data Entry'!E381)</f>
      </c>
      <c r="F381">
        <f>IF(ISBLANK('Data Entry'!F381), "", 'Data Entry'!F381)</f>
      </c>
      <c r="G381">
        <f>IF(ISBLANK('Data Entry'!G381), "", 'Data Entry'!G381)</f>
      </c>
      <c r="H381">
        <f>IF(ISBLANK('Data Entry'!H381), "", 'Data Entry'!H381)</f>
      </c>
      <c r="I381">
        <f>IF(ISBLANK('Data Entry'!I381), "", 'Data Entry'!I381)</f>
      </c>
      <c r="J381">
        <f>IF(ISBLANK('Data Entry'!J381), "", 'Data Entry'!J381)</f>
      </c>
      <c r="K381">
        <f>IF(ISBLANK('Data Entry'!K381), "", 'Data Entry'!K381)</f>
      </c>
      <c r="L381">
        <f>IF(ISBLANK('Data Entry'!L381), "", 'Data Entry'!L381)</f>
      </c>
      <c r="M381">
        <f>IF(ISBLANK('Data Entry'!M381), "", 'Data Entry'!M381)</f>
      </c>
      <c r="N381">
        <f>IF(ISBLANK('Data Entry'!N381), "", 'Data Entry'!N381)</f>
      </c>
      <c r="O381">
        <f>IF(ISBLANK('Data Entry'!O381), "", 'Data Entry'!O381)</f>
      </c>
      <c r="P381">
        <f>IF(ISBLANK('Data Entry'!P381), "", 'Data Entry'!P381)</f>
      </c>
      <c r="Q381">
        <f>IF(ISBLANK('Data Entry'!Q381), "", 'Data Entry'!Q381)</f>
      </c>
      <c r="R381">
        <f>IF(ISBLANK('Data Entry'!R381), "", 'Data Entry'!R381)</f>
      </c>
      <c r="S381">
        <f>IF(ISBLANK('Data Entry'!S381), "", 'Data Entry'!S381)</f>
      </c>
      <c r="T381">
        <f>IF(ISBLANK('Data Entry'!T381), "", 'Data Entry'!T381)</f>
      </c>
      <c r="U381">
        <f>IF(ISBLANK('Data Entry'!U381), "", 'Data Entry'!U381)</f>
      </c>
      <c r="V381">
        <f>IF(ISBLANK('Data Entry'!V381), "", 'Data Entry'!V381)</f>
      </c>
      <c r="W381">
        <f>IF(ISBLANK('Data Entry'!W381), "", 'Data Entry'!W381)</f>
      </c>
      <c r="X381">
        <f>IF(ISBLANK('Data Entry'!X381), "", 'Data Entry'!X381)</f>
      </c>
      <c r="Y381">
        <f>IF(ISBLANK('Data Entry'!Y381), "", 'Data Entry'!Y381)</f>
      </c>
      <c r="Z381">
        <f>IF(ISBLANK('Data Entry'!Z381), "", 'Data Entry'!Z381)</f>
      </c>
      <c r="AA381">
        <f>IF(ISBLANK('Data Entry'![381), "", 'Data Entry'![381)</f>
      </c>
      <c r="AB381">
        <f>IF(ISBLANK('Data Entry'!\381), "", 'Data Entry'!\381)</f>
      </c>
      <c r="AC381">
        <f>IF(ISBLANK('Data Entry'!]381), "", 'Data Entry'!]381)</f>
      </c>
      <c r="AD381">
        <f>IF(ISBLANK('Data Entry'!^381), "", 'Data Entry'!^381)</f>
      </c>
      <c r="AE381">
        <f>IF(ISBLANK('Data Entry'!_381), "", 'Data Entry'!_381)</f>
      </c>
      <c r="AF381">
        <f>IF(ISBLANK('Data Entry'!`381), "", 'Data Entry'!`381)</f>
      </c>
      <c r="AG381">
        <f>IF(ISBLANK('Data Entry'!a381), "", 'Data Entry'!a381)</f>
      </c>
      <c r="AH381">
        <f>IF(ISBLANK('Data Entry'!b381), "", 'Data Entry'!b381)</f>
      </c>
      <c r="AI381">
        <f>IF(ISBLANK('Data Entry'!c381), "", 'Data Entry'!c381)</f>
      </c>
      <c r="AJ381">
        <f>IF(ISBLANK('Data Entry'!d381), "", 'Data Entry'!d381)</f>
      </c>
      <c r="AK381">
        <f>IF(ISBLANK('Data Entry'!e381), "", 'Data Entry'!e381)</f>
      </c>
      <c r="AL381">
        <f>IF(ISBLANK('Data Entry'!f381), "", 'Data Entry'!f381)</f>
      </c>
      <c r="AM381">
        <f>IF(ISBLANK('Data Entry'!g381), "", 'Data Entry'!g381)</f>
      </c>
      <c r="AN381">
        <f>IF(ISBLANK('Data Entry'!h381), "", 'Data Entry'!h381)</f>
      </c>
    </row>
    <row r="382" spans="1:40" x14ac:dyDescent="0.25">
      <c r="A382">
        <f>IF(ISBLANK('Data Entry'!A382), "", 'Data Entry'!A382)</f>
      </c>
      <c r="B382">
        <f>IF(ISBLANK('Data Entry'!B382), "", 'Data Entry'!B382)</f>
      </c>
      <c r="C382">
        <f>IF(ISBLANK('Data Entry'!C382), "", 'Data Entry'!C382)</f>
      </c>
      <c r="D382">
        <f>IF(ISBLANK('Data Entry'!D382), "", 'Data Entry'!D382)</f>
      </c>
      <c r="E382">
        <f>IF(ISBLANK('Data Entry'!E382), "", 'Data Entry'!E382)</f>
      </c>
      <c r="F382">
        <f>IF(ISBLANK('Data Entry'!F382), "", 'Data Entry'!F382)</f>
      </c>
      <c r="G382">
        <f>IF(ISBLANK('Data Entry'!G382), "", 'Data Entry'!G382)</f>
      </c>
      <c r="H382">
        <f>IF(ISBLANK('Data Entry'!H382), "", 'Data Entry'!H382)</f>
      </c>
      <c r="I382">
        <f>IF(ISBLANK('Data Entry'!I382), "", 'Data Entry'!I382)</f>
      </c>
      <c r="J382">
        <f>IF(ISBLANK('Data Entry'!J382), "", 'Data Entry'!J382)</f>
      </c>
      <c r="K382">
        <f>IF(ISBLANK('Data Entry'!K382), "", 'Data Entry'!K382)</f>
      </c>
      <c r="L382">
        <f>IF(ISBLANK('Data Entry'!L382), "", 'Data Entry'!L382)</f>
      </c>
      <c r="M382">
        <f>IF(ISBLANK('Data Entry'!M382), "", 'Data Entry'!M382)</f>
      </c>
      <c r="N382">
        <f>IF(ISBLANK('Data Entry'!N382), "", 'Data Entry'!N382)</f>
      </c>
      <c r="O382">
        <f>IF(ISBLANK('Data Entry'!O382), "", 'Data Entry'!O382)</f>
      </c>
      <c r="P382">
        <f>IF(ISBLANK('Data Entry'!P382), "", 'Data Entry'!P382)</f>
      </c>
      <c r="Q382">
        <f>IF(ISBLANK('Data Entry'!Q382), "", 'Data Entry'!Q382)</f>
      </c>
      <c r="R382">
        <f>IF(ISBLANK('Data Entry'!R382), "", 'Data Entry'!R382)</f>
      </c>
      <c r="S382">
        <f>IF(ISBLANK('Data Entry'!S382), "", 'Data Entry'!S382)</f>
      </c>
      <c r="T382">
        <f>IF(ISBLANK('Data Entry'!T382), "", 'Data Entry'!T382)</f>
      </c>
      <c r="U382">
        <f>IF(ISBLANK('Data Entry'!U382), "", 'Data Entry'!U382)</f>
      </c>
      <c r="V382">
        <f>IF(ISBLANK('Data Entry'!V382), "", 'Data Entry'!V382)</f>
      </c>
      <c r="W382">
        <f>IF(ISBLANK('Data Entry'!W382), "", 'Data Entry'!W382)</f>
      </c>
      <c r="X382">
        <f>IF(ISBLANK('Data Entry'!X382), "", 'Data Entry'!X382)</f>
      </c>
      <c r="Y382">
        <f>IF(ISBLANK('Data Entry'!Y382), "", 'Data Entry'!Y382)</f>
      </c>
      <c r="Z382">
        <f>IF(ISBLANK('Data Entry'!Z382), "", 'Data Entry'!Z382)</f>
      </c>
      <c r="AA382">
        <f>IF(ISBLANK('Data Entry'![382), "", 'Data Entry'![382)</f>
      </c>
      <c r="AB382">
        <f>IF(ISBLANK('Data Entry'!\382), "", 'Data Entry'!\382)</f>
      </c>
      <c r="AC382">
        <f>IF(ISBLANK('Data Entry'!]382), "", 'Data Entry'!]382)</f>
      </c>
      <c r="AD382">
        <f>IF(ISBLANK('Data Entry'!^382), "", 'Data Entry'!^382)</f>
      </c>
      <c r="AE382">
        <f>IF(ISBLANK('Data Entry'!_382), "", 'Data Entry'!_382)</f>
      </c>
      <c r="AF382">
        <f>IF(ISBLANK('Data Entry'!`382), "", 'Data Entry'!`382)</f>
      </c>
      <c r="AG382">
        <f>IF(ISBLANK('Data Entry'!a382), "", 'Data Entry'!a382)</f>
      </c>
      <c r="AH382">
        <f>IF(ISBLANK('Data Entry'!b382), "", 'Data Entry'!b382)</f>
      </c>
      <c r="AI382">
        <f>IF(ISBLANK('Data Entry'!c382), "", 'Data Entry'!c382)</f>
      </c>
      <c r="AJ382">
        <f>IF(ISBLANK('Data Entry'!d382), "", 'Data Entry'!d382)</f>
      </c>
      <c r="AK382">
        <f>IF(ISBLANK('Data Entry'!e382), "", 'Data Entry'!e382)</f>
      </c>
      <c r="AL382">
        <f>IF(ISBLANK('Data Entry'!f382), "", 'Data Entry'!f382)</f>
      </c>
      <c r="AM382">
        <f>IF(ISBLANK('Data Entry'!g382), "", 'Data Entry'!g382)</f>
      </c>
      <c r="AN382">
        <f>IF(ISBLANK('Data Entry'!h382), "", 'Data Entry'!h382)</f>
      </c>
    </row>
    <row r="383" spans="1:40" x14ac:dyDescent="0.25">
      <c r="A383">
        <f>IF(ISBLANK('Data Entry'!A383), "", 'Data Entry'!A383)</f>
      </c>
      <c r="B383">
        <f>IF(ISBLANK('Data Entry'!B383), "", 'Data Entry'!B383)</f>
      </c>
      <c r="C383">
        <f>IF(ISBLANK('Data Entry'!C383), "", 'Data Entry'!C383)</f>
      </c>
      <c r="D383">
        <f>IF(ISBLANK('Data Entry'!D383), "", 'Data Entry'!D383)</f>
      </c>
      <c r="E383">
        <f>IF(ISBLANK('Data Entry'!E383), "", 'Data Entry'!E383)</f>
      </c>
      <c r="F383">
        <f>IF(ISBLANK('Data Entry'!F383), "", 'Data Entry'!F383)</f>
      </c>
      <c r="G383">
        <f>IF(ISBLANK('Data Entry'!G383), "", 'Data Entry'!G383)</f>
      </c>
      <c r="H383">
        <f>IF(ISBLANK('Data Entry'!H383), "", 'Data Entry'!H383)</f>
      </c>
      <c r="I383">
        <f>IF(ISBLANK('Data Entry'!I383), "", 'Data Entry'!I383)</f>
      </c>
      <c r="J383">
        <f>IF(ISBLANK('Data Entry'!J383), "", 'Data Entry'!J383)</f>
      </c>
      <c r="K383">
        <f>IF(ISBLANK('Data Entry'!K383), "", 'Data Entry'!K383)</f>
      </c>
      <c r="L383">
        <f>IF(ISBLANK('Data Entry'!L383), "", 'Data Entry'!L383)</f>
      </c>
      <c r="M383">
        <f>IF(ISBLANK('Data Entry'!M383), "", 'Data Entry'!M383)</f>
      </c>
      <c r="N383">
        <f>IF(ISBLANK('Data Entry'!N383), "", 'Data Entry'!N383)</f>
      </c>
      <c r="O383">
        <f>IF(ISBLANK('Data Entry'!O383), "", 'Data Entry'!O383)</f>
      </c>
      <c r="P383">
        <f>IF(ISBLANK('Data Entry'!P383), "", 'Data Entry'!P383)</f>
      </c>
      <c r="Q383">
        <f>IF(ISBLANK('Data Entry'!Q383), "", 'Data Entry'!Q383)</f>
      </c>
      <c r="R383">
        <f>IF(ISBLANK('Data Entry'!R383), "", 'Data Entry'!R383)</f>
      </c>
      <c r="S383">
        <f>IF(ISBLANK('Data Entry'!S383), "", 'Data Entry'!S383)</f>
      </c>
      <c r="T383">
        <f>IF(ISBLANK('Data Entry'!T383), "", 'Data Entry'!T383)</f>
      </c>
      <c r="U383">
        <f>IF(ISBLANK('Data Entry'!U383), "", 'Data Entry'!U383)</f>
      </c>
      <c r="V383">
        <f>IF(ISBLANK('Data Entry'!V383), "", 'Data Entry'!V383)</f>
      </c>
      <c r="W383">
        <f>IF(ISBLANK('Data Entry'!W383), "", 'Data Entry'!W383)</f>
      </c>
      <c r="X383">
        <f>IF(ISBLANK('Data Entry'!X383), "", 'Data Entry'!X383)</f>
      </c>
      <c r="Y383">
        <f>IF(ISBLANK('Data Entry'!Y383), "", 'Data Entry'!Y383)</f>
      </c>
      <c r="Z383">
        <f>IF(ISBLANK('Data Entry'!Z383), "", 'Data Entry'!Z383)</f>
      </c>
      <c r="AA383">
        <f>IF(ISBLANK('Data Entry'![383), "", 'Data Entry'![383)</f>
      </c>
      <c r="AB383">
        <f>IF(ISBLANK('Data Entry'!\383), "", 'Data Entry'!\383)</f>
      </c>
      <c r="AC383">
        <f>IF(ISBLANK('Data Entry'!]383), "", 'Data Entry'!]383)</f>
      </c>
      <c r="AD383">
        <f>IF(ISBLANK('Data Entry'!^383), "", 'Data Entry'!^383)</f>
      </c>
      <c r="AE383">
        <f>IF(ISBLANK('Data Entry'!_383), "", 'Data Entry'!_383)</f>
      </c>
      <c r="AF383">
        <f>IF(ISBLANK('Data Entry'!`383), "", 'Data Entry'!`383)</f>
      </c>
      <c r="AG383">
        <f>IF(ISBLANK('Data Entry'!a383), "", 'Data Entry'!a383)</f>
      </c>
      <c r="AH383">
        <f>IF(ISBLANK('Data Entry'!b383), "", 'Data Entry'!b383)</f>
      </c>
      <c r="AI383">
        <f>IF(ISBLANK('Data Entry'!c383), "", 'Data Entry'!c383)</f>
      </c>
      <c r="AJ383">
        <f>IF(ISBLANK('Data Entry'!d383), "", 'Data Entry'!d383)</f>
      </c>
      <c r="AK383">
        <f>IF(ISBLANK('Data Entry'!e383), "", 'Data Entry'!e383)</f>
      </c>
      <c r="AL383">
        <f>IF(ISBLANK('Data Entry'!f383), "", 'Data Entry'!f383)</f>
      </c>
      <c r="AM383">
        <f>IF(ISBLANK('Data Entry'!g383), "", 'Data Entry'!g383)</f>
      </c>
      <c r="AN383">
        <f>IF(ISBLANK('Data Entry'!h383), "", 'Data Entry'!h383)</f>
      </c>
    </row>
    <row r="384" spans="1:40" x14ac:dyDescent="0.25">
      <c r="A384">
        <f>IF(ISBLANK('Data Entry'!A384), "", 'Data Entry'!A384)</f>
      </c>
      <c r="B384">
        <f>IF(ISBLANK('Data Entry'!B384), "", 'Data Entry'!B384)</f>
      </c>
      <c r="C384">
        <f>IF(ISBLANK('Data Entry'!C384), "", 'Data Entry'!C384)</f>
      </c>
      <c r="D384">
        <f>IF(ISBLANK('Data Entry'!D384), "", 'Data Entry'!D384)</f>
      </c>
      <c r="E384">
        <f>IF(ISBLANK('Data Entry'!E384), "", 'Data Entry'!E384)</f>
      </c>
      <c r="F384">
        <f>IF(ISBLANK('Data Entry'!F384), "", 'Data Entry'!F384)</f>
      </c>
      <c r="G384">
        <f>IF(ISBLANK('Data Entry'!G384), "", 'Data Entry'!G384)</f>
      </c>
      <c r="H384">
        <f>IF(ISBLANK('Data Entry'!H384), "", 'Data Entry'!H384)</f>
      </c>
      <c r="I384">
        <f>IF(ISBLANK('Data Entry'!I384), "", 'Data Entry'!I384)</f>
      </c>
      <c r="J384">
        <f>IF(ISBLANK('Data Entry'!J384), "", 'Data Entry'!J384)</f>
      </c>
      <c r="K384">
        <f>IF(ISBLANK('Data Entry'!K384), "", 'Data Entry'!K384)</f>
      </c>
      <c r="L384">
        <f>IF(ISBLANK('Data Entry'!L384), "", 'Data Entry'!L384)</f>
      </c>
      <c r="M384">
        <f>IF(ISBLANK('Data Entry'!M384), "", 'Data Entry'!M384)</f>
      </c>
      <c r="N384">
        <f>IF(ISBLANK('Data Entry'!N384), "", 'Data Entry'!N384)</f>
      </c>
      <c r="O384">
        <f>IF(ISBLANK('Data Entry'!O384), "", 'Data Entry'!O384)</f>
      </c>
      <c r="P384">
        <f>IF(ISBLANK('Data Entry'!P384), "", 'Data Entry'!P384)</f>
      </c>
      <c r="Q384">
        <f>IF(ISBLANK('Data Entry'!Q384), "", 'Data Entry'!Q384)</f>
      </c>
      <c r="R384">
        <f>IF(ISBLANK('Data Entry'!R384), "", 'Data Entry'!R384)</f>
      </c>
      <c r="S384">
        <f>IF(ISBLANK('Data Entry'!S384), "", 'Data Entry'!S384)</f>
      </c>
      <c r="T384">
        <f>IF(ISBLANK('Data Entry'!T384), "", 'Data Entry'!T384)</f>
      </c>
      <c r="U384">
        <f>IF(ISBLANK('Data Entry'!U384), "", 'Data Entry'!U384)</f>
      </c>
      <c r="V384">
        <f>IF(ISBLANK('Data Entry'!V384), "", 'Data Entry'!V384)</f>
      </c>
      <c r="W384">
        <f>IF(ISBLANK('Data Entry'!W384), "", 'Data Entry'!W384)</f>
      </c>
      <c r="X384">
        <f>IF(ISBLANK('Data Entry'!X384), "", 'Data Entry'!X384)</f>
      </c>
      <c r="Y384">
        <f>IF(ISBLANK('Data Entry'!Y384), "", 'Data Entry'!Y384)</f>
      </c>
      <c r="Z384">
        <f>IF(ISBLANK('Data Entry'!Z384), "", 'Data Entry'!Z384)</f>
      </c>
      <c r="AA384">
        <f>IF(ISBLANK('Data Entry'![384), "", 'Data Entry'![384)</f>
      </c>
      <c r="AB384">
        <f>IF(ISBLANK('Data Entry'!\384), "", 'Data Entry'!\384)</f>
      </c>
      <c r="AC384">
        <f>IF(ISBLANK('Data Entry'!]384), "", 'Data Entry'!]384)</f>
      </c>
      <c r="AD384">
        <f>IF(ISBLANK('Data Entry'!^384), "", 'Data Entry'!^384)</f>
      </c>
      <c r="AE384">
        <f>IF(ISBLANK('Data Entry'!_384), "", 'Data Entry'!_384)</f>
      </c>
      <c r="AF384">
        <f>IF(ISBLANK('Data Entry'!`384), "", 'Data Entry'!`384)</f>
      </c>
      <c r="AG384">
        <f>IF(ISBLANK('Data Entry'!a384), "", 'Data Entry'!a384)</f>
      </c>
      <c r="AH384">
        <f>IF(ISBLANK('Data Entry'!b384), "", 'Data Entry'!b384)</f>
      </c>
      <c r="AI384">
        <f>IF(ISBLANK('Data Entry'!c384), "", 'Data Entry'!c384)</f>
      </c>
      <c r="AJ384">
        <f>IF(ISBLANK('Data Entry'!d384), "", 'Data Entry'!d384)</f>
      </c>
      <c r="AK384">
        <f>IF(ISBLANK('Data Entry'!e384), "", 'Data Entry'!e384)</f>
      </c>
      <c r="AL384">
        <f>IF(ISBLANK('Data Entry'!f384), "", 'Data Entry'!f384)</f>
      </c>
      <c r="AM384">
        <f>IF(ISBLANK('Data Entry'!g384), "", 'Data Entry'!g384)</f>
      </c>
      <c r="AN384">
        <f>IF(ISBLANK('Data Entry'!h384), "", 'Data Entry'!h384)</f>
      </c>
    </row>
    <row r="385" spans="1:40" x14ac:dyDescent="0.25">
      <c r="A385">
        <f>IF(ISBLANK('Data Entry'!A385), "", 'Data Entry'!A385)</f>
      </c>
      <c r="B385">
        <f>IF(ISBLANK('Data Entry'!B385), "", 'Data Entry'!B385)</f>
      </c>
      <c r="C385">
        <f>IF(ISBLANK('Data Entry'!C385), "", 'Data Entry'!C385)</f>
      </c>
      <c r="D385">
        <f>IF(ISBLANK('Data Entry'!D385), "", 'Data Entry'!D385)</f>
      </c>
      <c r="E385">
        <f>IF(ISBLANK('Data Entry'!E385), "", 'Data Entry'!E385)</f>
      </c>
      <c r="F385">
        <f>IF(ISBLANK('Data Entry'!F385), "", 'Data Entry'!F385)</f>
      </c>
      <c r="G385">
        <f>IF(ISBLANK('Data Entry'!G385), "", 'Data Entry'!G385)</f>
      </c>
      <c r="H385">
        <f>IF(ISBLANK('Data Entry'!H385), "", 'Data Entry'!H385)</f>
      </c>
      <c r="I385">
        <f>IF(ISBLANK('Data Entry'!I385), "", 'Data Entry'!I385)</f>
      </c>
      <c r="J385">
        <f>IF(ISBLANK('Data Entry'!J385), "", 'Data Entry'!J385)</f>
      </c>
      <c r="K385">
        <f>IF(ISBLANK('Data Entry'!K385), "", 'Data Entry'!K385)</f>
      </c>
      <c r="L385">
        <f>IF(ISBLANK('Data Entry'!L385), "", 'Data Entry'!L385)</f>
      </c>
      <c r="M385">
        <f>IF(ISBLANK('Data Entry'!M385), "", 'Data Entry'!M385)</f>
      </c>
      <c r="N385">
        <f>IF(ISBLANK('Data Entry'!N385), "", 'Data Entry'!N385)</f>
      </c>
      <c r="O385">
        <f>IF(ISBLANK('Data Entry'!O385), "", 'Data Entry'!O385)</f>
      </c>
      <c r="P385">
        <f>IF(ISBLANK('Data Entry'!P385), "", 'Data Entry'!P385)</f>
      </c>
      <c r="Q385">
        <f>IF(ISBLANK('Data Entry'!Q385), "", 'Data Entry'!Q385)</f>
      </c>
      <c r="R385">
        <f>IF(ISBLANK('Data Entry'!R385), "", 'Data Entry'!R385)</f>
      </c>
      <c r="S385">
        <f>IF(ISBLANK('Data Entry'!S385), "", 'Data Entry'!S385)</f>
      </c>
      <c r="T385">
        <f>IF(ISBLANK('Data Entry'!T385), "", 'Data Entry'!T385)</f>
      </c>
      <c r="U385">
        <f>IF(ISBLANK('Data Entry'!U385), "", 'Data Entry'!U385)</f>
      </c>
      <c r="V385">
        <f>IF(ISBLANK('Data Entry'!V385), "", 'Data Entry'!V385)</f>
      </c>
      <c r="W385">
        <f>IF(ISBLANK('Data Entry'!W385), "", 'Data Entry'!W385)</f>
      </c>
      <c r="X385">
        <f>IF(ISBLANK('Data Entry'!X385), "", 'Data Entry'!X385)</f>
      </c>
      <c r="Y385">
        <f>IF(ISBLANK('Data Entry'!Y385), "", 'Data Entry'!Y385)</f>
      </c>
      <c r="Z385">
        <f>IF(ISBLANK('Data Entry'!Z385), "", 'Data Entry'!Z385)</f>
      </c>
      <c r="AA385">
        <f>IF(ISBLANK('Data Entry'![385), "", 'Data Entry'![385)</f>
      </c>
      <c r="AB385">
        <f>IF(ISBLANK('Data Entry'!\385), "", 'Data Entry'!\385)</f>
      </c>
      <c r="AC385">
        <f>IF(ISBLANK('Data Entry'!]385), "", 'Data Entry'!]385)</f>
      </c>
      <c r="AD385">
        <f>IF(ISBLANK('Data Entry'!^385), "", 'Data Entry'!^385)</f>
      </c>
      <c r="AE385">
        <f>IF(ISBLANK('Data Entry'!_385), "", 'Data Entry'!_385)</f>
      </c>
      <c r="AF385">
        <f>IF(ISBLANK('Data Entry'!`385), "", 'Data Entry'!`385)</f>
      </c>
      <c r="AG385">
        <f>IF(ISBLANK('Data Entry'!a385), "", 'Data Entry'!a385)</f>
      </c>
      <c r="AH385">
        <f>IF(ISBLANK('Data Entry'!b385), "", 'Data Entry'!b385)</f>
      </c>
      <c r="AI385">
        <f>IF(ISBLANK('Data Entry'!c385), "", 'Data Entry'!c385)</f>
      </c>
      <c r="AJ385">
        <f>IF(ISBLANK('Data Entry'!d385), "", 'Data Entry'!d385)</f>
      </c>
      <c r="AK385">
        <f>IF(ISBLANK('Data Entry'!e385), "", 'Data Entry'!e385)</f>
      </c>
      <c r="AL385">
        <f>IF(ISBLANK('Data Entry'!f385), "", 'Data Entry'!f385)</f>
      </c>
      <c r="AM385">
        <f>IF(ISBLANK('Data Entry'!g385), "", 'Data Entry'!g385)</f>
      </c>
      <c r="AN385">
        <f>IF(ISBLANK('Data Entry'!h385), "", 'Data Entry'!h385)</f>
      </c>
    </row>
    <row r="386" spans="1:40" x14ac:dyDescent="0.25">
      <c r="A386">
        <f>IF(ISBLANK('Data Entry'!A386), "", 'Data Entry'!A386)</f>
      </c>
      <c r="B386">
        <f>IF(ISBLANK('Data Entry'!B386), "", 'Data Entry'!B386)</f>
      </c>
      <c r="C386">
        <f>IF(ISBLANK('Data Entry'!C386), "", 'Data Entry'!C386)</f>
      </c>
      <c r="D386">
        <f>IF(ISBLANK('Data Entry'!D386), "", 'Data Entry'!D386)</f>
      </c>
      <c r="E386">
        <f>IF(ISBLANK('Data Entry'!E386), "", 'Data Entry'!E386)</f>
      </c>
      <c r="F386">
        <f>IF(ISBLANK('Data Entry'!F386), "", 'Data Entry'!F386)</f>
      </c>
      <c r="G386">
        <f>IF(ISBLANK('Data Entry'!G386), "", 'Data Entry'!G386)</f>
      </c>
      <c r="H386">
        <f>IF(ISBLANK('Data Entry'!H386), "", 'Data Entry'!H386)</f>
      </c>
      <c r="I386">
        <f>IF(ISBLANK('Data Entry'!I386), "", 'Data Entry'!I386)</f>
      </c>
      <c r="J386">
        <f>IF(ISBLANK('Data Entry'!J386), "", 'Data Entry'!J386)</f>
      </c>
      <c r="K386">
        <f>IF(ISBLANK('Data Entry'!K386), "", 'Data Entry'!K386)</f>
      </c>
      <c r="L386">
        <f>IF(ISBLANK('Data Entry'!L386), "", 'Data Entry'!L386)</f>
      </c>
      <c r="M386">
        <f>IF(ISBLANK('Data Entry'!M386), "", 'Data Entry'!M386)</f>
      </c>
      <c r="N386">
        <f>IF(ISBLANK('Data Entry'!N386), "", 'Data Entry'!N386)</f>
      </c>
      <c r="O386">
        <f>IF(ISBLANK('Data Entry'!O386), "", 'Data Entry'!O386)</f>
      </c>
      <c r="P386">
        <f>IF(ISBLANK('Data Entry'!P386), "", 'Data Entry'!P386)</f>
      </c>
      <c r="Q386">
        <f>IF(ISBLANK('Data Entry'!Q386), "", 'Data Entry'!Q386)</f>
      </c>
      <c r="R386">
        <f>IF(ISBLANK('Data Entry'!R386), "", 'Data Entry'!R386)</f>
      </c>
      <c r="S386">
        <f>IF(ISBLANK('Data Entry'!S386), "", 'Data Entry'!S386)</f>
      </c>
      <c r="T386">
        <f>IF(ISBLANK('Data Entry'!T386), "", 'Data Entry'!T386)</f>
      </c>
      <c r="U386">
        <f>IF(ISBLANK('Data Entry'!U386), "", 'Data Entry'!U386)</f>
      </c>
      <c r="V386">
        <f>IF(ISBLANK('Data Entry'!V386), "", 'Data Entry'!V386)</f>
      </c>
      <c r="W386">
        <f>IF(ISBLANK('Data Entry'!W386), "", 'Data Entry'!W386)</f>
      </c>
      <c r="X386">
        <f>IF(ISBLANK('Data Entry'!X386), "", 'Data Entry'!X386)</f>
      </c>
      <c r="Y386">
        <f>IF(ISBLANK('Data Entry'!Y386), "", 'Data Entry'!Y386)</f>
      </c>
      <c r="Z386">
        <f>IF(ISBLANK('Data Entry'!Z386), "", 'Data Entry'!Z386)</f>
      </c>
      <c r="AA386">
        <f>IF(ISBLANK('Data Entry'![386), "", 'Data Entry'![386)</f>
      </c>
      <c r="AB386">
        <f>IF(ISBLANK('Data Entry'!\386), "", 'Data Entry'!\386)</f>
      </c>
      <c r="AC386">
        <f>IF(ISBLANK('Data Entry'!]386), "", 'Data Entry'!]386)</f>
      </c>
      <c r="AD386">
        <f>IF(ISBLANK('Data Entry'!^386), "", 'Data Entry'!^386)</f>
      </c>
      <c r="AE386">
        <f>IF(ISBLANK('Data Entry'!_386), "", 'Data Entry'!_386)</f>
      </c>
      <c r="AF386">
        <f>IF(ISBLANK('Data Entry'!`386), "", 'Data Entry'!`386)</f>
      </c>
      <c r="AG386">
        <f>IF(ISBLANK('Data Entry'!a386), "", 'Data Entry'!a386)</f>
      </c>
      <c r="AH386">
        <f>IF(ISBLANK('Data Entry'!b386), "", 'Data Entry'!b386)</f>
      </c>
      <c r="AI386">
        <f>IF(ISBLANK('Data Entry'!c386), "", 'Data Entry'!c386)</f>
      </c>
      <c r="AJ386">
        <f>IF(ISBLANK('Data Entry'!d386), "", 'Data Entry'!d386)</f>
      </c>
      <c r="AK386">
        <f>IF(ISBLANK('Data Entry'!e386), "", 'Data Entry'!e386)</f>
      </c>
      <c r="AL386">
        <f>IF(ISBLANK('Data Entry'!f386), "", 'Data Entry'!f386)</f>
      </c>
      <c r="AM386">
        <f>IF(ISBLANK('Data Entry'!g386), "", 'Data Entry'!g386)</f>
      </c>
      <c r="AN386">
        <f>IF(ISBLANK('Data Entry'!h386), "", 'Data Entry'!h386)</f>
      </c>
    </row>
    <row r="387" spans="1:40" x14ac:dyDescent="0.25">
      <c r="A387">
        <f>IF(ISBLANK('Data Entry'!A387), "", 'Data Entry'!A387)</f>
      </c>
      <c r="B387">
        <f>IF(ISBLANK('Data Entry'!B387), "", 'Data Entry'!B387)</f>
      </c>
      <c r="C387">
        <f>IF(ISBLANK('Data Entry'!C387), "", 'Data Entry'!C387)</f>
      </c>
      <c r="D387">
        <f>IF(ISBLANK('Data Entry'!D387), "", 'Data Entry'!D387)</f>
      </c>
      <c r="E387">
        <f>IF(ISBLANK('Data Entry'!E387), "", 'Data Entry'!E387)</f>
      </c>
      <c r="F387">
        <f>IF(ISBLANK('Data Entry'!F387), "", 'Data Entry'!F387)</f>
      </c>
      <c r="G387">
        <f>IF(ISBLANK('Data Entry'!G387), "", 'Data Entry'!G387)</f>
      </c>
      <c r="H387">
        <f>IF(ISBLANK('Data Entry'!H387), "", 'Data Entry'!H387)</f>
      </c>
      <c r="I387">
        <f>IF(ISBLANK('Data Entry'!I387), "", 'Data Entry'!I387)</f>
      </c>
      <c r="J387">
        <f>IF(ISBLANK('Data Entry'!J387), "", 'Data Entry'!J387)</f>
      </c>
      <c r="K387">
        <f>IF(ISBLANK('Data Entry'!K387), "", 'Data Entry'!K387)</f>
      </c>
      <c r="L387">
        <f>IF(ISBLANK('Data Entry'!L387), "", 'Data Entry'!L387)</f>
      </c>
      <c r="M387">
        <f>IF(ISBLANK('Data Entry'!M387), "", 'Data Entry'!M387)</f>
      </c>
      <c r="N387">
        <f>IF(ISBLANK('Data Entry'!N387), "", 'Data Entry'!N387)</f>
      </c>
      <c r="O387">
        <f>IF(ISBLANK('Data Entry'!O387), "", 'Data Entry'!O387)</f>
      </c>
      <c r="P387">
        <f>IF(ISBLANK('Data Entry'!P387), "", 'Data Entry'!P387)</f>
      </c>
      <c r="Q387">
        <f>IF(ISBLANK('Data Entry'!Q387), "", 'Data Entry'!Q387)</f>
      </c>
      <c r="R387">
        <f>IF(ISBLANK('Data Entry'!R387), "", 'Data Entry'!R387)</f>
      </c>
      <c r="S387">
        <f>IF(ISBLANK('Data Entry'!S387), "", 'Data Entry'!S387)</f>
      </c>
      <c r="T387">
        <f>IF(ISBLANK('Data Entry'!T387), "", 'Data Entry'!T387)</f>
      </c>
      <c r="U387">
        <f>IF(ISBLANK('Data Entry'!U387), "", 'Data Entry'!U387)</f>
      </c>
      <c r="V387">
        <f>IF(ISBLANK('Data Entry'!V387), "", 'Data Entry'!V387)</f>
      </c>
      <c r="W387">
        <f>IF(ISBLANK('Data Entry'!W387), "", 'Data Entry'!W387)</f>
      </c>
      <c r="X387">
        <f>IF(ISBLANK('Data Entry'!X387), "", 'Data Entry'!X387)</f>
      </c>
      <c r="Y387">
        <f>IF(ISBLANK('Data Entry'!Y387), "", 'Data Entry'!Y387)</f>
      </c>
      <c r="Z387">
        <f>IF(ISBLANK('Data Entry'!Z387), "", 'Data Entry'!Z387)</f>
      </c>
      <c r="AA387">
        <f>IF(ISBLANK('Data Entry'![387), "", 'Data Entry'![387)</f>
      </c>
      <c r="AB387">
        <f>IF(ISBLANK('Data Entry'!\387), "", 'Data Entry'!\387)</f>
      </c>
      <c r="AC387">
        <f>IF(ISBLANK('Data Entry'!]387), "", 'Data Entry'!]387)</f>
      </c>
      <c r="AD387">
        <f>IF(ISBLANK('Data Entry'!^387), "", 'Data Entry'!^387)</f>
      </c>
      <c r="AE387">
        <f>IF(ISBLANK('Data Entry'!_387), "", 'Data Entry'!_387)</f>
      </c>
      <c r="AF387">
        <f>IF(ISBLANK('Data Entry'!`387), "", 'Data Entry'!`387)</f>
      </c>
      <c r="AG387">
        <f>IF(ISBLANK('Data Entry'!a387), "", 'Data Entry'!a387)</f>
      </c>
      <c r="AH387">
        <f>IF(ISBLANK('Data Entry'!b387), "", 'Data Entry'!b387)</f>
      </c>
      <c r="AI387">
        <f>IF(ISBLANK('Data Entry'!c387), "", 'Data Entry'!c387)</f>
      </c>
      <c r="AJ387">
        <f>IF(ISBLANK('Data Entry'!d387), "", 'Data Entry'!d387)</f>
      </c>
      <c r="AK387">
        <f>IF(ISBLANK('Data Entry'!e387), "", 'Data Entry'!e387)</f>
      </c>
      <c r="AL387">
        <f>IF(ISBLANK('Data Entry'!f387), "", 'Data Entry'!f387)</f>
      </c>
      <c r="AM387">
        <f>IF(ISBLANK('Data Entry'!g387), "", 'Data Entry'!g387)</f>
      </c>
      <c r="AN387">
        <f>IF(ISBLANK('Data Entry'!h387), "", 'Data Entry'!h387)</f>
      </c>
    </row>
    <row r="388" spans="1:40" x14ac:dyDescent="0.25">
      <c r="A388">
        <f>IF(ISBLANK('Data Entry'!A388), "", 'Data Entry'!A388)</f>
      </c>
      <c r="B388">
        <f>IF(ISBLANK('Data Entry'!B388), "", 'Data Entry'!B388)</f>
      </c>
      <c r="C388">
        <f>IF(ISBLANK('Data Entry'!C388), "", 'Data Entry'!C388)</f>
      </c>
      <c r="D388">
        <f>IF(ISBLANK('Data Entry'!D388), "", 'Data Entry'!D388)</f>
      </c>
      <c r="E388">
        <f>IF(ISBLANK('Data Entry'!E388), "", 'Data Entry'!E388)</f>
      </c>
      <c r="F388">
        <f>IF(ISBLANK('Data Entry'!F388), "", 'Data Entry'!F388)</f>
      </c>
      <c r="G388">
        <f>IF(ISBLANK('Data Entry'!G388), "", 'Data Entry'!G388)</f>
      </c>
      <c r="H388">
        <f>IF(ISBLANK('Data Entry'!H388), "", 'Data Entry'!H388)</f>
      </c>
      <c r="I388">
        <f>IF(ISBLANK('Data Entry'!I388), "", 'Data Entry'!I388)</f>
      </c>
      <c r="J388">
        <f>IF(ISBLANK('Data Entry'!J388), "", 'Data Entry'!J388)</f>
      </c>
      <c r="K388">
        <f>IF(ISBLANK('Data Entry'!K388), "", 'Data Entry'!K388)</f>
      </c>
      <c r="L388">
        <f>IF(ISBLANK('Data Entry'!L388), "", 'Data Entry'!L388)</f>
      </c>
      <c r="M388">
        <f>IF(ISBLANK('Data Entry'!M388), "", 'Data Entry'!M388)</f>
      </c>
      <c r="N388">
        <f>IF(ISBLANK('Data Entry'!N388), "", 'Data Entry'!N388)</f>
      </c>
      <c r="O388">
        <f>IF(ISBLANK('Data Entry'!O388), "", 'Data Entry'!O388)</f>
      </c>
      <c r="P388">
        <f>IF(ISBLANK('Data Entry'!P388), "", 'Data Entry'!P388)</f>
      </c>
      <c r="Q388">
        <f>IF(ISBLANK('Data Entry'!Q388), "", 'Data Entry'!Q388)</f>
      </c>
      <c r="R388">
        <f>IF(ISBLANK('Data Entry'!R388), "", 'Data Entry'!R388)</f>
      </c>
      <c r="S388">
        <f>IF(ISBLANK('Data Entry'!S388), "", 'Data Entry'!S388)</f>
      </c>
      <c r="T388">
        <f>IF(ISBLANK('Data Entry'!T388), "", 'Data Entry'!T388)</f>
      </c>
      <c r="U388">
        <f>IF(ISBLANK('Data Entry'!U388), "", 'Data Entry'!U388)</f>
      </c>
      <c r="V388">
        <f>IF(ISBLANK('Data Entry'!V388), "", 'Data Entry'!V388)</f>
      </c>
      <c r="W388">
        <f>IF(ISBLANK('Data Entry'!W388), "", 'Data Entry'!W388)</f>
      </c>
      <c r="X388">
        <f>IF(ISBLANK('Data Entry'!X388), "", 'Data Entry'!X388)</f>
      </c>
      <c r="Y388">
        <f>IF(ISBLANK('Data Entry'!Y388), "", 'Data Entry'!Y388)</f>
      </c>
      <c r="Z388">
        <f>IF(ISBLANK('Data Entry'!Z388), "", 'Data Entry'!Z388)</f>
      </c>
      <c r="AA388">
        <f>IF(ISBLANK('Data Entry'![388), "", 'Data Entry'![388)</f>
      </c>
      <c r="AB388">
        <f>IF(ISBLANK('Data Entry'!\388), "", 'Data Entry'!\388)</f>
      </c>
      <c r="AC388">
        <f>IF(ISBLANK('Data Entry'!]388), "", 'Data Entry'!]388)</f>
      </c>
      <c r="AD388">
        <f>IF(ISBLANK('Data Entry'!^388), "", 'Data Entry'!^388)</f>
      </c>
      <c r="AE388">
        <f>IF(ISBLANK('Data Entry'!_388), "", 'Data Entry'!_388)</f>
      </c>
      <c r="AF388">
        <f>IF(ISBLANK('Data Entry'!`388), "", 'Data Entry'!`388)</f>
      </c>
      <c r="AG388">
        <f>IF(ISBLANK('Data Entry'!a388), "", 'Data Entry'!a388)</f>
      </c>
      <c r="AH388">
        <f>IF(ISBLANK('Data Entry'!b388), "", 'Data Entry'!b388)</f>
      </c>
      <c r="AI388">
        <f>IF(ISBLANK('Data Entry'!c388), "", 'Data Entry'!c388)</f>
      </c>
      <c r="AJ388">
        <f>IF(ISBLANK('Data Entry'!d388), "", 'Data Entry'!d388)</f>
      </c>
      <c r="AK388">
        <f>IF(ISBLANK('Data Entry'!e388), "", 'Data Entry'!e388)</f>
      </c>
      <c r="AL388">
        <f>IF(ISBLANK('Data Entry'!f388), "", 'Data Entry'!f388)</f>
      </c>
      <c r="AM388">
        <f>IF(ISBLANK('Data Entry'!g388), "", 'Data Entry'!g388)</f>
      </c>
      <c r="AN388">
        <f>IF(ISBLANK('Data Entry'!h388), "", 'Data Entry'!h388)</f>
      </c>
    </row>
    <row r="389" spans="1:40" x14ac:dyDescent="0.25">
      <c r="A389">
        <f>IF(ISBLANK('Data Entry'!A389), "", 'Data Entry'!A389)</f>
      </c>
      <c r="B389">
        <f>IF(ISBLANK('Data Entry'!B389), "", 'Data Entry'!B389)</f>
      </c>
      <c r="C389">
        <f>IF(ISBLANK('Data Entry'!C389), "", 'Data Entry'!C389)</f>
      </c>
      <c r="D389">
        <f>IF(ISBLANK('Data Entry'!D389), "", 'Data Entry'!D389)</f>
      </c>
      <c r="E389">
        <f>IF(ISBLANK('Data Entry'!E389), "", 'Data Entry'!E389)</f>
      </c>
      <c r="F389">
        <f>IF(ISBLANK('Data Entry'!F389), "", 'Data Entry'!F389)</f>
      </c>
      <c r="G389">
        <f>IF(ISBLANK('Data Entry'!G389), "", 'Data Entry'!G389)</f>
      </c>
      <c r="H389">
        <f>IF(ISBLANK('Data Entry'!H389), "", 'Data Entry'!H389)</f>
      </c>
      <c r="I389">
        <f>IF(ISBLANK('Data Entry'!I389), "", 'Data Entry'!I389)</f>
      </c>
      <c r="J389">
        <f>IF(ISBLANK('Data Entry'!J389), "", 'Data Entry'!J389)</f>
      </c>
      <c r="K389">
        <f>IF(ISBLANK('Data Entry'!K389), "", 'Data Entry'!K389)</f>
      </c>
      <c r="L389">
        <f>IF(ISBLANK('Data Entry'!L389), "", 'Data Entry'!L389)</f>
      </c>
      <c r="M389">
        <f>IF(ISBLANK('Data Entry'!M389), "", 'Data Entry'!M389)</f>
      </c>
      <c r="N389">
        <f>IF(ISBLANK('Data Entry'!N389), "", 'Data Entry'!N389)</f>
      </c>
      <c r="O389">
        <f>IF(ISBLANK('Data Entry'!O389), "", 'Data Entry'!O389)</f>
      </c>
      <c r="P389">
        <f>IF(ISBLANK('Data Entry'!P389), "", 'Data Entry'!P389)</f>
      </c>
      <c r="Q389">
        <f>IF(ISBLANK('Data Entry'!Q389), "", 'Data Entry'!Q389)</f>
      </c>
      <c r="R389">
        <f>IF(ISBLANK('Data Entry'!R389), "", 'Data Entry'!R389)</f>
      </c>
      <c r="S389">
        <f>IF(ISBLANK('Data Entry'!S389), "", 'Data Entry'!S389)</f>
      </c>
      <c r="T389">
        <f>IF(ISBLANK('Data Entry'!T389), "", 'Data Entry'!T389)</f>
      </c>
      <c r="U389">
        <f>IF(ISBLANK('Data Entry'!U389), "", 'Data Entry'!U389)</f>
      </c>
      <c r="V389">
        <f>IF(ISBLANK('Data Entry'!V389), "", 'Data Entry'!V389)</f>
      </c>
      <c r="W389">
        <f>IF(ISBLANK('Data Entry'!W389), "", 'Data Entry'!W389)</f>
      </c>
      <c r="X389">
        <f>IF(ISBLANK('Data Entry'!X389), "", 'Data Entry'!X389)</f>
      </c>
      <c r="Y389">
        <f>IF(ISBLANK('Data Entry'!Y389), "", 'Data Entry'!Y389)</f>
      </c>
      <c r="Z389">
        <f>IF(ISBLANK('Data Entry'!Z389), "", 'Data Entry'!Z389)</f>
      </c>
      <c r="AA389">
        <f>IF(ISBLANK('Data Entry'![389), "", 'Data Entry'![389)</f>
      </c>
      <c r="AB389">
        <f>IF(ISBLANK('Data Entry'!\389), "", 'Data Entry'!\389)</f>
      </c>
      <c r="AC389">
        <f>IF(ISBLANK('Data Entry'!]389), "", 'Data Entry'!]389)</f>
      </c>
      <c r="AD389">
        <f>IF(ISBLANK('Data Entry'!^389), "", 'Data Entry'!^389)</f>
      </c>
      <c r="AE389">
        <f>IF(ISBLANK('Data Entry'!_389), "", 'Data Entry'!_389)</f>
      </c>
      <c r="AF389">
        <f>IF(ISBLANK('Data Entry'!`389), "", 'Data Entry'!`389)</f>
      </c>
      <c r="AG389">
        <f>IF(ISBLANK('Data Entry'!a389), "", 'Data Entry'!a389)</f>
      </c>
      <c r="AH389">
        <f>IF(ISBLANK('Data Entry'!b389), "", 'Data Entry'!b389)</f>
      </c>
      <c r="AI389">
        <f>IF(ISBLANK('Data Entry'!c389), "", 'Data Entry'!c389)</f>
      </c>
      <c r="AJ389">
        <f>IF(ISBLANK('Data Entry'!d389), "", 'Data Entry'!d389)</f>
      </c>
      <c r="AK389">
        <f>IF(ISBLANK('Data Entry'!e389), "", 'Data Entry'!e389)</f>
      </c>
      <c r="AL389">
        <f>IF(ISBLANK('Data Entry'!f389), "", 'Data Entry'!f389)</f>
      </c>
      <c r="AM389">
        <f>IF(ISBLANK('Data Entry'!g389), "", 'Data Entry'!g389)</f>
      </c>
      <c r="AN389">
        <f>IF(ISBLANK('Data Entry'!h389), "", 'Data Entry'!h389)</f>
      </c>
    </row>
    <row r="390" spans="1:40" x14ac:dyDescent="0.25">
      <c r="A390">
        <f>IF(ISBLANK('Data Entry'!A390), "", 'Data Entry'!A390)</f>
      </c>
      <c r="B390">
        <f>IF(ISBLANK('Data Entry'!B390), "", 'Data Entry'!B390)</f>
      </c>
      <c r="C390">
        <f>IF(ISBLANK('Data Entry'!C390), "", 'Data Entry'!C390)</f>
      </c>
      <c r="D390">
        <f>IF(ISBLANK('Data Entry'!D390), "", 'Data Entry'!D390)</f>
      </c>
      <c r="E390">
        <f>IF(ISBLANK('Data Entry'!E390), "", 'Data Entry'!E390)</f>
      </c>
      <c r="F390">
        <f>IF(ISBLANK('Data Entry'!F390), "", 'Data Entry'!F390)</f>
      </c>
      <c r="G390">
        <f>IF(ISBLANK('Data Entry'!G390), "", 'Data Entry'!G390)</f>
      </c>
      <c r="H390">
        <f>IF(ISBLANK('Data Entry'!H390), "", 'Data Entry'!H390)</f>
      </c>
      <c r="I390">
        <f>IF(ISBLANK('Data Entry'!I390), "", 'Data Entry'!I390)</f>
      </c>
      <c r="J390">
        <f>IF(ISBLANK('Data Entry'!J390), "", 'Data Entry'!J390)</f>
      </c>
      <c r="K390">
        <f>IF(ISBLANK('Data Entry'!K390), "", 'Data Entry'!K390)</f>
      </c>
      <c r="L390">
        <f>IF(ISBLANK('Data Entry'!L390), "", 'Data Entry'!L390)</f>
      </c>
      <c r="M390">
        <f>IF(ISBLANK('Data Entry'!M390), "", 'Data Entry'!M390)</f>
      </c>
      <c r="N390">
        <f>IF(ISBLANK('Data Entry'!N390), "", 'Data Entry'!N390)</f>
      </c>
      <c r="O390">
        <f>IF(ISBLANK('Data Entry'!O390), "", 'Data Entry'!O390)</f>
      </c>
      <c r="P390">
        <f>IF(ISBLANK('Data Entry'!P390), "", 'Data Entry'!P390)</f>
      </c>
      <c r="Q390">
        <f>IF(ISBLANK('Data Entry'!Q390), "", 'Data Entry'!Q390)</f>
      </c>
      <c r="R390">
        <f>IF(ISBLANK('Data Entry'!R390), "", 'Data Entry'!R390)</f>
      </c>
      <c r="S390">
        <f>IF(ISBLANK('Data Entry'!S390), "", 'Data Entry'!S390)</f>
      </c>
      <c r="T390">
        <f>IF(ISBLANK('Data Entry'!T390), "", 'Data Entry'!T390)</f>
      </c>
      <c r="U390">
        <f>IF(ISBLANK('Data Entry'!U390), "", 'Data Entry'!U390)</f>
      </c>
      <c r="V390">
        <f>IF(ISBLANK('Data Entry'!V390), "", 'Data Entry'!V390)</f>
      </c>
      <c r="W390">
        <f>IF(ISBLANK('Data Entry'!W390), "", 'Data Entry'!W390)</f>
      </c>
      <c r="X390">
        <f>IF(ISBLANK('Data Entry'!X390), "", 'Data Entry'!X390)</f>
      </c>
      <c r="Y390">
        <f>IF(ISBLANK('Data Entry'!Y390), "", 'Data Entry'!Y390)</f>
      </c>
      <c r="Z390">
        <f>IF(ISBLANK('Data Entry'!Z390), "", 'Data Entry'!Z390)</f>
      </c>
      <c r="AA390">
        <f>IF(ISBLANK('Data Entry'![390), "", 'Data Entry'![390)</f>
      </c>
      <c r="AB390">
        <f>IF(ISBLANK('Data Entry'!\390), "", 'Data Entry'!\390)</f>
      </c>
      <c r="AC390">
        <f>IF(ISBLANK('Data Entry'!]390), "", 'Data Entry'!]390)</f>
      </c>
      <c r="AD390">
        <f>IF(ISBLANK('Data Entry'!^390), "", 'Data Entry'!^390)</f>
      </c>
      <c r="AE390">
        <f>IF(ISBLANK('Data Entry'!_390), "", 'Data Entry'!_390)</f>
      </c>
      <c r="AF390">
        <f>IF(ISBLANK('Data Entry'!`390), "", 'Data Entry'!`390)</f>
      </c>
      <c r="AG390">
        <f>IF(ISBLANK('Data Entry'!a390), "", 'Data Entry'!a390)</f>
      </c>
      <c r="AH390">
        <f>IF(ISBLANK('Data Entry'!b390), "", 'Data Entry'!b390)</f>
      </c>
      <c r="AI390">
        <f>IF(ISBLANK('Data Entry'!c390), "", 'Data Entry'!c390)</f>
      </c>
      <c r="AJ390">
        <f>IF(ISBLANK('Data Entry'!d390), "", 'Data Entry'!d390)</f>
      </c>
      <c r="AK390">
        <f>IF(ISBLANK('Data Entry'!e390), "", 'Data Entry'!e390)</f>
      </c>
      <c r="AL390">
        <f>IF(ISBLANK('Data Entry'!f390), "", 'Data Entry'!f390)</f>
      </c>
      <c r="AM390">
        <f>IF(ISBLANK('Data Entry'!g390), "", 'Data Entry'!g390)</f>
      </c>
      <c r="AN390">
        <f>IF(ISBLANK('Data Entry'!h390), "", 'Data Entry'!h390)</f>
      </c>
    </row>
    <row r="391" spans="1:40" x14ac:dyDescent="0.25">
      <c r="A391">
        <f>IF(ISBLANK('Data Entry'!A391), "", 'Data Entry'!A391)</f>
      </c>
      <c r="B391">
        <f>IF(ISBLANK('Data Entry'!B391), "", 'Data Entry'!B391)</f>
      </c>
      <c r="C391">
        <f>IF(ISBLANK('Data Entry'!C391), "", 'Data Entry'!C391)</f>
      </c>
      <c r="D391">
        <f>IF(ISBLANK('Data Entry'!D391), "", 'Data Entry'!D391)</f>
      </c>
      <c r="E391">
        <f>IF(ISBLANK('Data Entry'!E391), "", 'Data Entry'!E391)</f>
      </c>
      <c r="F391">
        <f>IF(ISBLANK('Data Entry'!F391), "", 'Data Entry'!F391)</f>
      </c>
      <c r="G391">
        <f>IF(ISBLANK('Data Entry'!G391), "", 'Data Entry'!G391)</f>
      </c>
      <c r="H391">
        <f>IF(ISBLANK('Data Entry'!H391), "", 'Data Entry'!H391)</f>
      </c>
      <c r="I391">
        <f>IF(ISBLANK('Data Entry'!I391), "", 'Data Entry'!I391)</f>
      </c>
      <c r="J391">
        <f>IF(ISBLANK('Data Entry'!J391), "", 'Data Entry'!J391)</f>
      </c>
      <c r="K391">
        <f>IF(ISBLANK('Data Entry'!K391), "", 'Data Entry'!K391)</f>
      </c>
      <c r="L391">
        <f>IF(ISBLANK('Data Entry'!L391), "", 'Data Entry'!L391)</f>
      </c>
      <c r="M391">
        <f>IF(ISBLANK('Data Entry'!M391), "", 'Data Entry'!M391)</f>
      </c>
      <c r="N391">
        <f>IF(ISBLANK('Data Entry'!N391), "", 'Data Entry'!N391)</f>
      </c>
      <c r="O391">
        <f>IF(ISBLANK('Data Entry'!O391), "", 'Data Entry'!O391)</f>
      </c>
      <c r="P391">
        <f>IF(ISBLANK('Data Entry'!P391), "", 'Data Entry'!P391)</f>
      </c>
      <c r="Q391">
        <f>IF(ISBLANK('Data Entry'!Q391), "", 'Data Entry'!Q391)</f>
      </c>
      <c r="R391">
        <f>IF(ISBLANK('Data Entry'!R391), "", 'Data Entry'!R391)</f>
      </c>
      <c r="S391">
        <f>IF(ISBLANK('Data Entry'!S391), "", 'Data Entry'!S391)</f>
      </c>
      <c r="T391">
        <f>IF(ISBLANK('Data Entry'!T391), "", 'Data Entry'!T391)</f>
      </c>
      <c r="U391">
        <f>IF(ISBLANK('Data Entry'!U391), "", 'Data Entry'!U391)</f>
      </c>
      <c r="V391">
        <f>IF(ISBLANK('Data Entry'!V391), "", 'Data Entry'!V391)</f>
      </c>
      <c r="W391">
        <f>IF(ISBLANK('Data Entry'!W391), "", 'Data Entry'!W391)</f>
      </c>
      <c r="X391">
        <f>IF(ISBLANK('Data Entry'!X391), "", 'Data Entry'!X391)</f>
      </c>
      <c r="Y391">
        <f>IF(ISBLANK('Data Entry'!Y391), "", 'Data Entry'!Y391)</f>
      </c>
      <c r="Z391">
        <f>IF(ISBLANK('Data Entry'!Z391), "", 'Data Entry'!Z391)</f>
      </c>
      <c r="AA391">
        <f>IF(ISBLANK('Data Entry'![391), "", 'Data Entry'![391)</f>
      </c>
      <c r="AB391">
        <f>IF(ISBLANK('Data Entry'!\391), "", 'Data Entry'!\391)</f>
      </c>
      <c r="AC391">
        <f>IF(ISBLANK('Data Entry'!]391), "", 'Data Entry'!]391)</f>
      </c>
      <c r="AD391">
        <f>IF(ISBLANK('Data Entry'!^391), "", 'Data Entry'!^391)</f>
      </c>
      <c r="AE391">
        <f>IF(ISBLANK('Data Entry'!_391), "", 'Data Entry'!_391)</f>
      </c>
      <c r="AF391">
        <f>IF(ISBLANK('Data Entry'!`391), "", 'Data Entry'!`391)</f>
      </c>
      <c r="AG391">
        <f>IF(ISBLANK('Data Entry'!a391), "", 'Data Entry'!a391)</f>
      </c>
      <c r="AH391">
        <f>IF(ISBLANK('Data Entry'!b391), "", 'Data Entry'!b391)</f>
      </c>
      <c r="AI391">
        <f>IF(ISBLANK('Data Entry'!c391), "", 'Data Entry'!c391)</f>
      </c>
      <c r="AJ391">
        <f>IF(ISBLANK('Data Entry'!d391), "", 'Data Entry'!d391)</f>
      </c>
      <c r="AK391">
        <f>IF(ISBLANK('Data Entry'!e391), "", 'Data Entry'!e391)</f>
      </c>
      <c r="AL391">
        <f>IF(ISBLANK('Data Entry'!f391), "", 'Data Entry'!f391)</f>
      </c>
      <c r="AM391">
        <f>IF(ISBLANK('Data Entry'!g391), "", 'Data Entry'!g391)</f>
      </c>
      <c r="AN391">
        <f>IF(ISBLANK('Data Entry'!h391), "", 'Data Entry'!h391)</f>
      </c>
    </row>
    <row r="392" spans="1:40" x14ac:dyDescent="0.25">
      <c r="A392">
        <f>IF(ISBLANK('Data Entry'!A392), "", 'Data Entry'!A392)</f>
      </c>
      <c r="B392">
        <f>IF(ISBLANK('Data Entry'!B392), "", 'Data Entry'!B392)</f>
      </c>
      <c r="C392">
        <f>IF(ISBLANK('Data Entry'!C392), "", 'Data Entry'!C392)</f>
      </c>
      <c r="D392">
        <f>IF(ISBLANK('Data Entry'!D392), "", 'Data Entry'!D392)</f>
      </c>
      <c r="E392">
        <f>IF(ISBLANK('Data Entry'!E392), "", 'Data Entry'!E392)</f>
      </c>
      <c r="F392">
        <f>IF(ISBLANK('Data Entry'!F392), "", 'Data Entry'!F392)</f>
      </c>
      <c r="G392">
        <f>IF(ISBLANK('Data Entry'!G392), "", 'Data Entry'!G392)</f>
      </c>
      <c r="H392">
        <f>IF(ISBLANK('Data Entry'!H392), "", 'Data Entry'!H392)</f>
      </c>
      <c r="I392">
        <f>IF(ISBLANK('Data Entry'!I392), "", 'Data Entry'!I392)</f>
      </c>
      <c r="J392">
        <f>IF(ISBLANK('Data Entry'!J392), "", 'Data Entry'!J392)</f>
      </c>
      <c r="K392">
        <f>IF(ISBLANK('Data Entry'!K392), "", 'Data Entry'!K392)</f>
      </c>
      <c r="L392">
        <f>IF(ISBLANK('Data Entry'!L392), "", 'Data Entry'!L392)</f>
      </c>
      <c r="M392">
        <f>IF(ISBLANK('Data Entry'!M392), "", 'Data Entry'!M392)</f>
      </c>
      <c r="N392">
        <f>IF(ISBLANK('Data Entry'!N392), "", 'Data Entry'!N392)</f>
      </c>
      <c r="O392">
        <f>IF(ISBLANK('Data Entry'!O392), "", 'Data Entry'!O392)</f>
      </c>
      <c r="P392">
        <f>IF(ISBLANK('Data Entry'!P392), "", 'Data Entry'!P392)</f>
      </c>
      <c r="Q392">
        <f>IF(ISBLANK('Data Entry'!Q392), "", 'Data Entry'!Q392)</f>
      </c>
      <c r="R392">
        <f>IF(ISBLANK('Data Entry'!R392), "", 'Data Entry'!R392)</f>
      </c>
      <c r="S392">
        <f>IF(ISBLANK('Data Entry'!S392), "", 'Data Entry'!S392)</f>
      </c>
      <c r="T392">
        <f>IF(ISBLANK('Data Entry'!T392), "", 'Data Entry'!T392)</f>
      </c>
      <c r="U392">
        <f>IF(ISBLANK('Data Entry'!U392), "", 'Data Entry'!U392)</f>
      </c>
      <c r="V392">
        <f>IF(ISBLANK('Data Entry'!V392), "", 'Data Entry'!V392)</f>
      </c>
      <c r="W392">
        <f>IF(ISBLANK('Data Entry'!W392), "", 'Data Entry'!W392)</f>
      </c>
      <c r="X392">
        <f>IF(ISBLANK('Data Entry'!X392), "", 'Data Entry'!X392)</f>
      </c>
      <c r="Y392">
        <f>IF(ISBLANK('Data Entry'!Y392), "", 'Data Entry'!Y392)</f>
      </c>
      <c r="Z392">
        <f>IF(ISBLANK('Data Entry'!Z392), "", 'Data Entry'!Z392)</f>
      </c>
      <c r="AA392">
        <f>IF(ISBLANK('Data Entry'![392), "", 'Data Entry'![392)</f>
      </c>
      <c r="AB392">
        <f>IF(ISBLANK('Data Entry'!\392), "", 'Data Entry'!\392)</f>
      </c>
      <c r="AC392">
        <f>IF(ISBLANK('Data Entry'!]392), "", 'Data Entry'!]392)</f>
      </c>
      <c r="AD392">
        <f>IF(ISBLANK('Data Entry'!^392), "", 'Data Entry'!^392)</f>
      </c>
      <c r="AE392">
        <f>IF(ISBLANK('Data Entry'!_392), "", 'Data Entry'!_392)</f>
      </c>
      <c r="AF392">
        <f>IF(ISBLANK('Data Entry'!`392), "", 'Data Entry'!`392)</f>
      </c>
      <c r="AG392">
        <f>IF(ISBLANK('Data Entry'!a392), "", 'Data Entry'!a392)</f>
      </c>
      <c r="AH392">
        <f>IF(ISBLANK('Data Entry'!b392), "", 'Data Entry'!b392)</f>
      </c>
      <c r="AI392">
        <f>IF(ISBLANK('Data Entry'!c392), "", 'Data Entry'!c392)</f>
      </c>
      <c r="AJ392">
        <f>IF(ISBLANK('Data Entry'!d392), "", 'Data Entry'!d392)</f>
      </c>
      <c r="AK392">
        <f>IF(ISBLANK('Data Entry'!e392), "", 'Data Entry'!e392)</f>
      </c>
      <c r="AL392">
        <f>IF(ISBLANK('Data Entry'!f392), "", 'Data Entry'!f392)</f>
      </c>
      <c r="AM392">
        <f>IF(ISBLANK('Data Entry'!g392), "", 'Data Entry'!g392)</f>
      </c>
      <c r="AN392">
        <f>IF(ISBLANK('Data Entry'!h392), "", 'Data Entry'!h392)</f>
      </c>
    </row>
    <row r="393" spans="1:40" x14ac:dyDescent="0.25">
      <c r="A393">
        <f>IF(ISBLANK('Data Entry'!A393), "", 'Data Entry'!A393)</f>
      </c>
      <c r="B393">
        <f>IF(ISBLANK('Data Entry'!B393), "", 'Data Entry'!B393)</f>
      </c>
      <c r="C393">
        <f>IF(ISBLANK('Data Entry'!C393), "", 'Data Entry'!C393)</f>
      </c>
      <c r="D393">
        <f>IF(ISBLANK('Data Entry'!D393), "", 'Data Entry'!D393)</f>
      </c>
      <c r="E393">
        <f>IF(ISBLANK('Data Entry'!E393), "", 'Data Entry'!E393)</f>
      </c>
      <c r="F393">
        <f>IF(ISBLANK('Data Entry'!F393), "", 'Data Entry'!F393)</f>
      </c>
      <c r="G393">
        <f>IF(ISBLANK('Data Entry'!G393), "", 'Data Entry'!G393)</f>
      </c>
      <c r="H393">
        <f>IF(ISBLANK('Data Entry'!H393), "", 'Data Entry'!H393)</f>
      </c>
      <c r="I393">
        <f>IF(ISBLANK('Data Entry'!I393), "", 'Data Entry'!I393)</f>
      </c>
      <c r="J393">
        <f>IF(ISBLANK('Data Entry'!J393), "", 'Data Entry'!J393)</f>
      </c>
      <c r="K393">
        <f>IF(ISBLANK('Data Entry'!K393), "", 'Data Entry'!K393)</f>
      </c>
      <c r="L393">
        <f>IF(ISBLANK('Data Entry'!L393), "", 'Data Entry'!L393)</f>
      </c>
      <c r="M393">
        <f>IF(ISBLANK('Data Entry'!M393), "", 'Data Entry'!M393)</f>
      </c>
      <c r="N393">
        <f>IF(ISBLANK('Data Entry'!N393), "", 'Data Entry'!N393)</f>
      </c>
      <c r="O393">
        <f>IF(ISBLANK('Data Entry'!O393), "", 'Data Entry'!O393)</f>
      </c>
      <c r="P393">
        <f>IF(ISBLANK('Data Entry'!P393), "", 'Data Entry'!P393)</f>
      </c>
      <c r="Q393">
        <f>IF(ISBLANK('Data Entry'!Q393), "", 'Data Entry'!Q393)</f>
      </c>
      <c r="R393">
        <f>IF(ISBLANK('Data Entry'!R393), "", 'Data Entry'!R393)</f>
      </c>
      <c r="S393">
        <f>IF(ISBLANK('Data Entry'!S393), "", 'Data Entry'!S393)</f>
      </c>
      <c r="T393">
        <f>IF(ISBLANK('Data Entry'!T393), "", 'Data Entry'!T393)</f>
      </c>
      <c r="U393">
        <f>IF(ISBLANK('Data Entry'!U393), "", 'Data Entry'!U393)</f>
      </c>
      <c r="V393">
        <f>IF(ISBLANK('Data Entry'!V393), "", 'Data Entry'!V393)</f>
      </c>
      <c r="W393">
        <f>IF(ISBLANK('Data Entry'!W393), "", 'Data Entry'!W393)</f>
      </c>
      <c r="X393">
        <f>IF(ISBLANK('Data Entry'!X393), "", 'Data Entry'!X393)</f>
      </c>
      <c r="Y393">
        <f>IF(ISBLANK('Data Entry'!Y393), "", 'Data Entry'!Y393)</f>
      </c>
      <c r="Z393">
        <f>IF(ISBLANK('Data Entry'!Z393), "", 'Data Entry'!Z393)</f>
      </c>
      <c r="AA393">
        <f>IF(ISBLANK('Data Entry'![393), "", 'Data Entry'![393)</f>
      </c>
      <c r="AB393">
        <f>IF(ISBLANK('Data Entry'!\393), "", 'Data Entry'!\393)</f>
      </c>
      <c r="AC393">
        <f>IF(ISBLANK('Data Entry'!]393), "", 'Data Entry'!]393)</f>
      </c>
      <c r="AD393">
        <f>IF(ISBLANK('Data Entry'!^393), "", 'Data Entry'!^393)</f>
      </c>
      <c r="AE393">
        <f>IF(ISBLANK('Data Entry'!_393), "", 'Data Entry'!_393)</f>
      </c>
      <c r="AF393">
        <f>IF(ISBLANK('Data Entry'!`393), "", 'Data Entry'!`393)</f>
      </c>
      <c r="AG393">
        <f>IF(ISBLANK('Data Entry'!a393), "", 'Data Entry'!a393)</f>
      </c>
      <c r="AH393">
        <f>IF(ISBLANK('Data Entry'!b393), "", 'Data Entry'!b393)</f>
      </c>
      <c r="AI393">
        <f>IF(ISBLANK('Data Entry'!c393), "", 'Data Entry'!c393)</f>
      </c>
      <c r="AJ393">
        <f>IF(ISBLANK('Data Entry'!d393), "", 'Data Entry'!d393)</f>
      </c>
      <c r="AK393">
        <f>IF(ISBLANK('Data Entry'!e393), "", 'Data Entry'!e393)</f>
      </c>
      <c r="AL393">
        <f>IF(ISBLANK('Data Entry'!f393), "", 'Data Entry'!f393)</f>
      </c>
      <c r="AM393">
        <f>IF(ISBLANK('Data Entry'!g393), "", 'Data Entry'!g393)</f>
      </c>
      <c r="AN393">
        <f>IF(ISBLANK('Data Entry'!h393), "", 'Data Entry'!h393)</f>
      </c>
    </row>
    <row r="394" spans="1:40" x14ac:dyDescent="0.25">
      <c r="A394">
        <f>IF(ISBLANK('Data Entry'!A394), "", 'Data Entry'!A394)</f>
      </c>
      <c r="B394">
        <f>IF(ISBLANK('Data Entry'!B394), "", 'Data Entry'!B394)</f>
      </c>
      <c r="C394">
        <f>IF(ISBLANK('Data Entry'!C394), "", 'Data Entry'!C394)</f>
      </c>
      <c r="D394">
        <f>IF(ISBLANK('Data Entry'!D394), "", 'Data Entry'!D394)</f>
      </c>
      <c r="E394">
        <f>IF(ISBLANK('Data Entry'!E394), "", 'Data Entry'!E394)</f>
      </c>
      <c r="F394">
        <f>IF(ISBLANK('Data Entry'!F394), "", 'Data Entry'!F394)</f>
      </c>
      <c r="G394">
        <f>IF(ISBLANK('Data Entry'!G394), "", 'Data Entry'!G394)</f>
      </c>
      <c r="H394">
        <f>IF(ISBLANK('Data Entry'!H394), "", 'Data Entry'!H394)</f>
      </c>
      <c r="I394">
        <f>IF(ISBLANK('Data Entry'!I394), "", 'Data Entry'!I394)</f>
      </c>
      <c r="J394">
        <f>IF(ISBLANK('Data Entry'!J394), "", 'Data Entry'!J394)</f>
      </c>
      <c r="K394">
        <f>IF(ISBLANK('Data Entry'!K394), "", 'Data Entry'!K394)</f>
      </c>
      <c r="L394">
        <f>IF(ISBLANK('Data Entry'!L394), "", 'Data Entry'!L394)</f>
      </c>
      <c r="M394">
        <f>IF(ISBLANK('Data Entry'!M394), "", 'Data Entry'!M394)</f>
      </c>
      <c r="N394">
        <f>IF(ISBLANK('Data Entry'!N394), "", 'Data Entry'!N394)</f>
      </c>
      <c r="O394">
        <f>IF(ISBLANK('Data Entry'!O394), "", 'Data Entry'!O394)</f>
      </c>
      <c r="P394">
        <f>IF(ISBLANK('Data Entry'!P394), "", 'Data Entry'!P394)</f>
      </c>
      <c r="Q394">
        <f>IF(ISBLANK('Data Entry'!Q394), "", 'Data Entry'!Q394)</f>
      </c>
      <c r="R394">
        <f>IF(ISBLANK('Data Entry'!R394), "", 'Data Entry'!R394)</f>
      </c>
      <c r="S394">
        <f>IF(ISBLANK('Data Entry'!S394), "", 'Data Entry'!S394)</f>
      </c>
      <c r="T394">
        <f>IF(ISBLANK('Data Entry'!T394), "", 'Data Entry'!T394)</f>
      </c>
      <c r="U394">
        <f>IF(ISBLANK('Data Entry'!U394), "", 'Data Entry'!U394)</f>
      </c>
      <c r="V394">
        <f>IF(ISBLANK('Data Entry'!V394), "", 'Data Entry'!V394)</f>
      </c>
      <c r="W394">
        <f>IF(ISBLANK('Data Entry'!W394), "", 'Data Entry'!W394)</f>
      </c>
      <c r="X394">
        <f>IF(ISBLANK('Data Entry'!X394), "", 'Data Entry'!X394)</f>
      </c>
      <c r="Y394">
        <f>IF(ISBLANK('Data Entry'!Y394), "", 'Data Entry'!Y394)</f>
      </c>
      <c r="Z394">
        <f>IF(ISBLANK('Data Entry'!Z394), "", 'Data Entry'!Z394)</f>
      </c>
      <c r="AA394">
        <f>IF(ISBLANK('Data Entry'![394), "", 'Data Entry'![394)</f>
      </c>
      <c r="AB394">
        <f>IF(ISBLANK('Data Entry'!\394), "", 'Data Entry'!\394)</f>
      </c>
      <c r="AC394">
        <f>IF(ISBLANK('Data Entry'!]394), "", 'Data Entry'!]394)</f>
      </c>
      <c r="AD394">
        <f>IF(ISBLANK('Data Entry'!^394), "", 'Data Entry'!^394)</f>
      </c>
      <c r="AE394">
        <f>IF(ISBLANK('Data Entry'!_394), "", 'Data Entry'!_394)</f>
      </c>
      <c r="AF394">
        <f>IF(ISBLANK('Data Entry'!`394), "", 'Data Entry'!`394)</f>
      </c>
      <c r="AG394">
        <f>IF(ISBLANK('Data Entry'!a394), "", 'Data Entry'!a394)</f>
      </c>
      <c r="AH394">
        <f>IF(ISBLANK('Data Entry'!b394), "", 'Data Entry'!b394)</f>
      </c>
      <c r="AI394">
        <f>IF(ISBLANK('Data Entry'!c394), "", 'Data Entry'!c394)</f>
      </c>
      <c r="AJ394">
        <f>IF(ISBLANK('Data Entry'!d394), "", 'Data Entry'!d394)</f>
      </c>
      <c r="AK394">
        <f>IF(ISBLANK('Data Entry'!e394), "", 'Data Entry'!e394)</f>
      </c>
      <c r="AL394">
        <f>IF(ISBLANK('Data Entry'!f394), "", 'Data Entry'!f394)</f>
      </c>
      <c r="AM394">
        <f>IF(ISBLANK('Data Entry'!g394), "", 'Data Entry'!g394)</f>
      </c>
      <c r="AN394">
        <f>IF(ISBLANK('Data Entry'!h394), "", 'Data Entry'!h394)</f>
      </c>
    </row>
    <row r="395" spans="1:40" x14ac:dyDescent="0.25">
      <c r="A395">
        <f>IF(ISBLANK('Data Entry'!A395), "", 'Data Entry'!A395)</f>
      </c>
      <c r="B395">
        <f>IF(ISBLANK('Data Entry'!B395), "", 'Data Entry'!B395)</f>
      </c>
      <c r="C395">
        <f>IF(ISBLANK('Data Entry'!C395), "", 'Data Entry'!C395)</f>
      </c>
      <c r="D395">
        <f>IF(ISBLANK('Data Entry'!D395), "", 'Data Entry'!D395)</f>
      </c>
      <c r="E395">
        <f>IF(ISBLANK('Data Entry'!E395), "", 'Data Entry'!E395)</f>
      </c>
      <c r="F395">
        <f>IF(ISBLANK('Data Entry'!F395), "", 'Data Entry'!F395)</f>
      </c>
      <c r="G395">
        <f>IF(ISBLANK('Data Entry'!G395), "", 'Data Entry'!G395)</f>
      </c>
      <c r="H395">
        <f>IF(ISBLANK('Data Entry'!H395), "", 'Data Entry'!H395)</f>
      </c>
      <c r="I395">
        <f>IF(ISBLANK('Data Entry'!I395), "", 'Data Entry'!I395)</f>
      </c>
      <c r="J395">
        <f>IF(ISBLANK('Data Entry'!J395), "", 'Data Entry'!J395)</f>
      </c>
      <c r="K395">
        <f>IF(ISBLANK('Data Entry'!K395), "", 'Data Entry'!K395)</f>
      </c>
      <c r="L395">
        <f>IF(ISBLANK('Data Entry'!L395), "", 'Data Entry'!L395)</f>
      </c>
      <c r="M395">
        <f>IF(ISBLANK('Data Entry'!M395), "", 'Data Entry'!M395)</f>
      </c>
      <c r="N395">
        <f>IF(ISBLANK('Data Entry'!N395), "", 'Data Entry'!N395)</f>
      </c>
      <c r="O395">
        <f>IF(ISBLANK('Data Entry'!O395), "", 'Data Entry'!O395)</f>
      </c>
      <c r="P395">
        <f>IF(ISBLANK('Data Entry'!P395), "", 'Data Entry'!P395)</f>
      </c>
      <c r="Q395">
        <f>IF(ISBLANK('Data Entry'!Q395), "", 'Data Entry'!Q395)</f>
      </c>
      <c r="R395">
        <f>IF(ISBLANK('Data Entry'!R395), "", 'Data Entry'!R395)</f>
      </c>
      <c r="S395">
        <f>IF(ISBLANK('Data Entry'!S395), "", 'Data Entry'!S395)</f>
      </c>
      <c r="T395">
        <f>IF(ISBLANK('Data Entry'!T395), "", 'Data Entry'!T395)</f>
      </c>
      <c r="U395">
        <f>IF(ISBLANK('Data Entry'!U395), "", 'Data Entry'!U395)</f>
      </c>
      <c r="V395">
        <f>IF(ISBLANK('Data Entry'!V395), "", 'Data Entry'!V395)</f>
      </c>
      <c r="W395">
        <f>IF(ISBLANK('Data Entry'!W395), "", 'Data Entry'!W395)</f>
      </c>
      <c r="X395">
        <f>IF(ISBLANK('Data Entry'!X395), "", 'Data Entry'!X395)</f>
      </c>
      <c r="Y395">
        <f>IF(ISBLANK('Data Entry'!Y395), "", 'Data Entry'!Y395)</f>
      </c>
      <c r="Z395">
        <f>IF(ISBLANK('Data Entry'!Z395), "", 'Data Entry'!Z395)</f>
      </c>
      <c r="AA395">
        <f>IF(ISBLANK('Data Entry'![395), "", 'Data Entry'![395)</f>
      </c>
      <c r="AB395">
        <f>IF(ISBLANK('Data Entry'!\395), "", 'Data Entry'!\395)</f>
      </c>
      <c r="AC395">
        <f>IF(ISBLANK('Data Entry'!]395), "", 'Data Entry'!]395)</f>
      </c>
      <c r="AD395">
        <f>IF(ISBLANK('Data Entry'!^395), "", 'Data Entry'!^395)</f>
      </c>
      <c r="AE395">
        <f>IF(ISBLANK('Data Entry'!_395), "", 'Data Entry'!_395)</f>
      </c>
      <c r="AF395">
        <f>IF(ISBLANK('Data Entry'!`395), "", 'Data Entry'!`395)</f>
      </c>
      <c r="AG395">
        <f>IF(ISBLANK('Data Entry'!a395), "", 'Data Entry'!a395)</f>
      </c>
      <c r="AH395">
        <f>IF(ISBLANK('Data Entry'!b395), "", 'Data Entry'!b395)</f>
      </c>
      <c r="AI395">
        <f>IF(ISBLANK('Data Entry'!c395), "", 'Data Entry'!c395)</f>
      </c>
      <c r="AJ395">
        <f>IF(ISBLANK('Data Entry'!d395), "", 'Data Entry'!d395)</f>
      </c>
      <c r="AK395">
        <f>IF(ISBLANK('Data Entry'!e395), "", 'Data Entry'!e395)</f>
      </c>
      <c r="AL395">
        <f>IF(ISBLANK('Data Entry'!f395), "", 'Data Entry'!f395)</f>
      </c>
      <c r="AM395">
        <f>IF(ISBLANK('Data Entry'!g395), "", 'Data Entry'!g395)</f>
      </c>
      <c r="AN395">
        <f>IF(ISBLANK('Data Entry'!h395), "", 'Data Entry'!h395)</f>
      </c>
    </row>
    <row r="396" spans="1:40" x14ac:dyDescent="0.25">
      <c r="A396">
        <f>IF(ISBLANK('Data Entry'!A396), "", 'Data Entry'!A396)</f>
      </c>
      <c r="B396">
        <f>IF(ISBLANK('Data Entry'!B396), "", 'Data Entry'!B396)</f>
      </c>
      <c r="C396">
        <f>IF(ISBLANK('Data Entry'!C396), "", 'Data Entry'!C396)</f>
      </c>
      <c r="D396">
        <f>IF(ISBLANK('Data Entry'!D396), "", 'Data Entry'!D396)</f>
      </c>
      <c r="E396">
        <f>IF(ISBLANK('Data Entry'!E396), "", 'Data Entry'!E396)</f>
      </c>
      <c r="F396">
        <f>IF(ISBLANK('Data Entry'!F396), "", 'Data Entry'!F396)</f>
      </c>
      <c r="G396">
        <f>IF(ISBLANK('Data Entry'!G396), "", 'Data Entry'!G396)</f>
      </c>
      <c r="H396">
        <f>IF(ISBLANK('Data Entry'!H396), "", 'Data Entry'!H396)</f>
      </c>
      <c r="I396">
        <f>IF(ISBLANK('Data Entry'!I396), "", 'Data Entry'!I396)</f>
      </c>
      <c r="J396">
        <f>IF(ISBLANK('Data Entry'!J396), "", 'Data Entry'!J396)</f>
      </c>
      <c r="K396">
        <f>IF(ISBLANK('Data Entry'!K396), "", 'Data Entry'!K396)</f>
      </c>
      <c r="L396">
        <f>IF(ISBLANK('Data Entry'!L396), "", 'Data Entry'!L396)</f>
      </c>
      <c r="M396">
        <f>IF(ISBLANK('Data Entry'!M396), "", 'Data Entry'!M396)</f>
      </c>
      <c r="N396">
        <f>IF(ISBLANK('Data Entry'!N396), "", 'Data Entry'!N396)</f>
      </c>
      <c r="O396">
        <f>IF(ISBLANK('Data Entry'!O396), "", 'Data Entry'!O396)</f>
      </c>
      <c r="P396">
        <f>IF(ISBLANK('Data Entry'!P396), "", 'Data Entry'!P396)</f>
      </c>
      <c r="Q396">
        <f>IF(ISBLANK('Data Entry'!Q396), "", 'Data Entry'!Q396)</f>
      </c>
      <c r="R396">
        <f>IF(ISBLANK('Data Entry'!R396), "", 'Data Entry'!R396)</f>
      </c>
      <c r="S396">
        <f>IF(ISBLANK('Data Entry'!S396), "", 'Data Entry'!S396)</f>
      </c>
      <c r="T396">
        <f>IF(ISBLANK('Data Entry'!T396), "", 'Data Entry'!T396)</f>
      </c>
      <c r="U396">
        <f>IF(ISBLANK('Data Entry'!U396), "", 'Data Entry'!U396)</f>
      </c>
      <c r="V396">
        <f>IF(ISBLANK('Data Entry'!V396), "", 'Data Entry'!V396)</f>
      </c>
      <c r="W396">
        <f>IF(ISBLANK('Data Entry'!W396), "", 'Data Entry'!W396)</f>
      </c>
      <c r="X396">
        <f>IF(ISBLANK('Data Entry'!X396), "", 'Data Entry'!X396)</f>
      </c>
      <c r="Y396">
        <f>IF(ISBLANK('Data Entry'!Y396), "", 'Data Entry'!Y396)</f>
      </c>
      <c r="Z396">
        <f>IF(ISBLANK('Data Entry'!Z396), "", 'Data Entry'!Z396)</f>
      </c>
      <c r="AA396">
        <f>IF(ISBLANK('Data Entry'![396), "", 'Data Entry'![396)</f>
      </c>
      <c r="AB396">
        <f>IF(ISBLANK('Data Entry'!\396), "", 'Data Entry'!\396)</f>
      </c>
      <c r="AC396">
        <f>IF(ISBLANK('Data Entry'!]396), "", 'Data Entry'!]396)</f>
      </c>
      <c r="AD396">
        <f>IF(ISBLANK('Data Entry'!^396), "", 'Data Entry'!^396)</f>
      </c>
      <c r="AE396">
        <f>IF(ISBLANK('Data Entry'!_396), "", 'Data Entry'!_396)</f>
      </c>
      <c r="AF396">
        <f>IF(ISBLANK('Data Entry'!`396), "", 'Data Entry'!`396)</f>
      </c>
      <c r="AG396">
        <f>IF(ISBLANK('Data Entry'!a396), "", 'Data Entry'!a396)</f>
      </c>
      <c r="AH396">
        <f>IF(ISBLANK('Data Entry'!b396), "", 'Data Entry'!b396)</f>
      </c>
      <c r="AI396">
        <f>IF(ISBLANK('Data Entry'!c396), "", 'Data Entry'!c396)</f>
      </c>
      <c r="AJ396">
        <f>IF(ISBLANK('Data Entry'!d396), "", 'Data Entry'!d396)</f>
      </c>
      <c r="AK396">
        <f>IF(ISBLANK('Data Entry'!e396), "", 'Data Entry'!e396)</f>
      </c>
      <c r="AL396">
        <f>IF(ISBLANK('Data Entry'!f396), "", 'Data Entry'!f396)</f>
      </c>
      <c r="AM396">
        <f>IF(ISBLANK('Data Entry'!g396), "", 'Data Entry'!g396)</f>
      </c>
      <c r="AN396">
        <f>IF(ISBLANK('Data Entry'!h396), "", 'Data Entry'!h396)</f>
      </c>
    </row>
    <row r="397" spans="1:40" x14ac:dyDescent="0.25">
      <c r="A397">
        <f>IF(ISBLANK('Data Entry'!A397), "", 'Data Entry'!A397)</f>
      </c>
      <c r="B397">
        <f>IF(ISBLANK('Data Entry'!B397), "", 'Data Entry'!B397)</f>
      </c>
      <c r="C397">
        <f>IF(ISBLANK('Data Entry'!C397), "", 'Data Entry'!C397)</f>
      </c>
      <c r="D397">
        <f>IF(ISBLANK('Data Entry'!D397), "", 'Data Entry'!D397)</f>
      </c>
      <c r="E397">
        <f>IF(ISBLANK('Data Entry'!E397), "", 'Data Entry'!E397)</f>
      </c>
      <c r="F397">
        <f>IF(ISBLANK('Data Entry'!F397), "", 'Data Entry'!F397)</f>
      </c>
      <c r="G397">
        <f>IF(ISBLANK('Data Entry'!G397), "", 'Data Entry'!G397)</f>
      </c>
      <c r="H397">
        <f>IF(ISBLANK('Data Entry'!H397), "", 'Data Entry'!H397)</f>
      </c>
      <c r="I397">
        <f>IF(ISBLANK('Data Entry'!I397), "", 'Data Entry'!I397)</f>
      </c>
      <c r="J397">
        <f>IF(ISBLANK('Data Entry'!J397), "", 'Data Entry'!J397)</f>
      </c>
      <c r="K397">
        <f>IF(ISBLANK('Data Entry'!K397), "", 'Data Entry'!K397)</f>
      </c>
      <c r="L397">
        <f>IF(ISBLANK('Data Entry'!L397), "", 'Data Entry'!L397)</f>
      </c>
      <c r="M397">
        <f>IF(ISBLANK('Data Entry'!M397), "", 'Data Entry'!M397)</f>
      </c>
      <c r="N397">
        <f>IF(ISBLANK('Data Entry'!N397), "", 'Data Entry'!N397)</f>
      </c>
      <c r="O397">
        <f>IF(ISBLANK('Data Entry'!O397), "", 'Data Entry'!O397)</f>
      </c>
      <c r="P397">
        <f>IF(ISBLANK('Data Entry'!P397), "", 'Data Entry'!P397)</f>
      </c>
      <c r="Q397">
        <f>IF(ISBLANK('Data Entry'!Q397), "", 'Data Entry'!Q397)</f>
      </c>
      <c r="R397">
        <f>IF(ISBLANK('Data Entry'!R397), "", 'Data Entry'!R397)</f>
      </c>
      <c r="S397">
        <f>IF(ISBLANK('Data Entry'!S397), "", 'Data Entry'!S397)</f>
      </c>
      <c r="T397">
        <f>IF(ISBLANK('Data Entry'!T397), "", 'Data Entry'!T397)</f>
      </c>
      <c r="U397">
        <f>IF(ISBLANK('Data Entry'!U397), "", 'Data Entry'!U397)</f>
      </c>
      <c r="V397">
        <f>IF(ISBLANK('Data Entry'!V397), "", 'Data Entry'!V397)</f>
      </c>
      <c r="W397">
        <f>IF(ISBLANK('Data Entry'!W397), "", 'Data Entry'!W397)</f>
      </c>
      <c r="X397">
        <f>IF(ISBLANK('Data Entry'!X397), "", 'Data Entry'!X397)</f>
      </c>
      <c r="Y397">
        <f>IF(ISBLANK('Data Entry'!Y397), "", 'Data Entry'!Y397)</f>
      </c>
      <c r="Z397">
        <f>IF(ISBLANK('Data Entry'!Z397), "", 'Data Entry'!Z397)</f>
      </c>
      <c r="AA397">
        <f>IF(ISBLANK('Data Entry'![397), "", 'Data Entry'![397)</f>
      </c>
      <c r="AB397">
        <f>IF(ISBLANK('Data Entry'!\397), "", 'Data Entry'!\397)</f>
      </c>
      <c r="AC397">
        <f>IF(ISBLANK('Data Entry'!]397), "", 'Data Entry'!]397)</f>
      </c>
      <c r="AD397">
        <f>IF(ISBLANK('Data Entry'!^397), "", 'Data Entry'!^397)</f>
      </c>
      <c r="AE397">
        <f>IF(ISBLANK('Data Entry'!_397), "", 'Data Entry'!_397)</f>
      </c>
      <c r="AF397">
        <f>IF(ISBLANK('Data Entry'!`397), "", 'Data Entry'!`397)</f>
      </c>
      <c r="AG397">
        <f>IF(ISBLANK('Data Entry'!a397), "", 'Data Entry'!a397)</f>
      </c>
      <c r="AH397">
        <f>IF(ISBLANK('Data Entry'!b397), "", 'Data Entry'!b397)</f>
      </c>
      <c r="AI397">
        <f>IF(ISBLANK('Data Entry'!c397), "", 'Data Entry'!c397)</f>
      </c>
      <c r="AJ397">
        <f>IF(ISBLANK('Data Entry'!d397), "", 'Data Entry'!d397)</f>
      </c>
      <c r="AK397">
        <f>IF(ISBLANK('Data Entry'!e397), "", 'Data Entry'!e397)</f>
      </c>
      <c r="AL397">
        <f>IF(ISBLANK('Data Entry'!f397), "", 'Data Entry'!f397)</f>
      </c>
      <c r="AM397">
        <f>IF(ISBLANK('Data Entry'!g397), "", 'Data Entry'!g397)</f>
      </c>
      <c r="AN397">
        <f>IF(ISBLANK('Data Entry'!h397), "", 'Data Entry'!h397)</f>
      </c>
    </row>
    <row r="398" spans="1:40" x14ac:dyDescent="0.25">
      <c r="A398">
        <f>IF(ISBLANK('Data Entry'!A398), "", 'Data Entry'!A398)</f>
      </c>
      <c r="B398">
        <f>IF(ISBLANK('Data Entry'!B398), "", 'Data Entry'!B398)</f>
      </c>
      <c r="C398">
        <f>IF(ISBLANK('Data Entry'!C398), "", 'Data Entry'!C398)</f>
      </c>
      <c r="D398">
        <f>IF(ISBLANK('Data Entry'!D398), "", 'Data Entry'!D398)</f>
      </c>
      <c r="E398">
        <f>IF(ISBLANK('Data Entry'!E398), "", 'Data Entry'!E398)</f>
      </c>
      <c r="F398">
        <f>IF(ISBLANK('Data Entry'!F398), "", 'Data Entry'!F398)</f>
      </c>
      <c r="G398">
        <f>IF(ISBLANK('Data Entry'!G398), "", 'Data Entry'!G398)</f>
      </c>
      <c r="H398">
        <f>IF(ISBLANK('Data Entry'!H398), "", 'Data Entry'!H398)</f>
      </c>
      <c r="I398">
        <f>IF(ISBLANK('Data Entry'!I398), "", 'Data Entry'!I398)</f>
      </c>
      <c r="J398">
        <f>IF(ISBLANK('Data Entry'!J398), "", 'Data Entry'!J398)</f>
      </c>
      <c r="K398">
        <f>IF(ISBLANK('Data Entry'!K398), "", 'Data Entry'!K398)</f>
      </c>
      <c r="L398">
        <f>IF(ISBLANK('Data Entry'!L398), "", 'Data Entry'!L398)</f>
      </c>
      <c r="M398">
        <f>IF(ISBLANK('Data Entry'!M398), "", 'Data Entry'!M398)</f>
      </c>
      <c r="N398">
        <f>IF(ISBLANK('Data Entry'!N398), "", 'Data Entry'!N398)</f>
      </c>
      <c r="O398">
        <f>IF(ISBLANK('Data Entry'!O398), "", 'Data Entry'!O398)</f>
      </c>
      <c r="P398">
        <f>IF(ISBLANK('Data Entry'!P398), "", 'Data Entry'!P398)</f>
      </c>
      <c r="Q398">
        <f>IF(ISBLANK('Data Entry'!Q398), "", 'Data Entry'!Q398)</f>
      </c>
      <c r="R398">
        <f>IF(ISBLANK('Data Entry'!R398), "", 'Data Entry'!R398)</f>
      </c>
      <c r="S398">
        <f>IF(ISBLANK('Data Entry'!S398), "", 'Data Entry'!S398)</f>
      </c>
      <c r="T398">
        <f>IF(ISBLANK('Data Entry'!T398), "", 'Data Entry'!T398)</f>
      </c>
      <c r="U398">
        <f>IF(ISBLANK('Data Entry'!U398), "", 'Data Entry'!U398)</f>
      </c>
      <c r="V398">
        <f>IF(ISBLANK('Data Entry'!V398), "", 'Data Entry'!V398)</f>
      </c>
      <c r="W398">
        <f>IF(ISBLANK('Data Entry'!W398), "", 'Data Entry'!W398)</f>
      </c>
      <c r="X398">
        <f>IF(ISBLANK('Data Entry'!X398), "", 'Data Entry'!X398)</f>
      </c>
      <c r="Y398">
        <f>IF(ISBLANK('Data Entry'!Y398), "", 'Data Entry'!Y398)</f>
      </c>
      <c r="Z398">
        <f>IF(ISBLANK('Data Entry'!Z398), "", 'Data Entry'!Z398)</f>
      </c>
      <c r="AA398">
        <f>IF(ISBLANK('Data Entry'![398), "", 'Data Entry'![398)</f>
      </c>
      <c r="AB398">
        <f>IF(ISBLANK('Data Entry'!\398), "", 'Data Entry'!\398)</f>
      </c>
      <c r="AC398">
        <f>IF(ISBLANK('Data Entry'!]398), "", 'Data Entry'!]398)</f>
      </c>
      <c r="AD398">
        <f>IF(ISBLANK('Data Entry'!^398), "", 'Data Entry'!^398)</f>
      </c>
      <c r="AE398">
        <f>IF(ISBLANK('Data Entry'!_398), "", 'Data Entry'!_398)</f>
      </c>
      <c r="AF398">
        <f>IF(ISBLANK('Data Entry'!`398), "", 'Data Entry'!`398)</f>
      </c>
      <c r="AG398">
        <f>IF(ISBLANK('Data Entry'!a398), "", 'Data Entry'!a398)</f>
      </c>
      <c r="AH398">
        <f>IF(ISBLANK('Data Entry'!b398), "", 'Data Entry'!b398)</f>
      </c>
      <c r="AI398">
        <f>IF(ISBLANK('Data Entry'!c398), "", 'Data Entry'!c398)</f>
      </c>
      <c r="AJ398">
        <f>IF(ISBLANK('Data Entry'!d398), "", 'Data Entry'!d398)</f>
      </c>
      <c r="AK398">
        <f>IF(ISBLANK('Data Entry'!e398), "", 'Data Entry'!e398)</f>
      </c>
      <c r="AL398">
        <f>IF(ISBLANK('Data Entry'!f398), "", 'Data Entry'!f398)</f>
      </c>
      <c r="AM398">
        <f>IF(ISBLANK('Data Entry'!g398), "", 'Data Entry'!g398)</f>
      </c>
      <c r="AN398">
        <f>IF(ISBLANK('Data Entry'!h398), "", 'Data Entry'!h398)</f>
      </c>
    </row>
    <row r="399" spans="1:40" x14ac:dyDescent="0.25">
      <c r="A399">
        <f>IF(ISBLANK('Data Entry'!A399), "", 'Data Entry'!A399)</f>
      </c>
      <c r="B399">
        <f>IF(ISBLANK('Data Entry'!B399), "", 'Data Entry'!B399)</f>
      </c>
      <c r="C399">
        <f>IF(ISBLANK('Data Entry'!C399), "", 'Data Entry'!C399)</f>
      </c>
      <c r="D399">
        <f>IF(ISBLANK('Data Entry'!D399), "", 'Data Entry'!D399)</f>
      </c>
      <c r="E399">
        <f>IF(ISBLANK('Data Entry'!E399), "", 'Data Entry'!E399)</f>
      </c>
      <c r="F399">
        <f>IF(ISBLANK('Data Entry'!F399), "", 'Data Entry'!F399)</f>
      </c>
      <c r="G399">
        <f>IF(ISBLANK('Data Entry'!G399), "", 'Data Entry'!G399)</f>
      </c>
      <c r="H399">
        <f>IF(ISBLANK('Data Entry'!H399), "", 'Data Entry'!H399)</f>
      </c>
      <c r="I399">
        <f>IF(ISBLANK('Data Entry'!I399), "", 'Data Entry'!I399)</f>
      </c>
      <c r="J399">
        <f>IF(ISBLANK('Data Entry'!J399), "", 'Data Entry'!J399)</f>
      </c>
      <c r="K399">
        <f>IF(ISBLANK('Data Entry'!K399), "", 'Data Entry'!K399)</f>
      </c>
      <c r="L399">
        <f>IF(ISBLANK('Data Entry'!L399), "", 'Data Entry'!L399)</f>
      </c>
      <c r="M399">
        <f>IF(ISBLANK('Data Entry'!M399), "", 'Data Entry'!M399)</f>
      </c>
      <c r="N399">
        <f>IF(ISBLANK('Data Entry'!N399), "", 'Data Entry'!N399)</f>
      </c>
      <c r="O399">
        <f>IF(ISBLANK('Data Entry'!O399), "", 'Data Entry'!O399)</f>
      </c>
      <c r="P399">
        <f>IF(ISBLANK('Data Entry'!P399), "", 'Data Entry'!P399)</f>
      </c>
      <c r="Q399">
        <f>IF(ISBLANK('Data Entry'!Q399), "", 'Data Entry'!Q399)</f>
      </c>
      <c r="R399">
        <f>IF(ISBLANK('Data Entry'!R399), "", 'Data Entry'!R399)</f>
      </c>
      <c r="S399">
        <f>IF(ISBLANK('Data Entry'!S399), "", 'Data Entry'!S399)</f>
      </c>
      <c r="T399">
        <f>IF(ISBLANK('Data Entry'!T399), "", 'Data Entry'!T399)</f>
      </c>
      <c r="U399">
        <f>IF(ISBLANK('Data Entry'!U399), "", 'Data Entry'!U399)</f>
      </c>
      <c r="V399">
        <f>IF(ISBLANK('Data Entry'!V399), "", 'Data Entry'!V399)</f>
      </c>
      <c r="W399">
        <f>IF(ISBLANK('Data Entry'!W399), "", 'Data Entry'!W399)</f>
      </c>
      <c r="X399">
        <f>IF(ISBLANK('Data Entry'!X399), "", 'Data Entry'!X399)</f>
      </c>
      <c r="Y399">
        <f>IF(ISBLANK('Data Entry'!Y399), "", 'Data Entry'!Y399)</f>
      </c>
      <c r="Z399">
        <f>IF(ISBLANK('Data Entry'!Z399), "", 'Data Entry'!Z399)</f>
      </c>
      <c r="AA399">
        <f>IF(ISBLANK('Data Entry'![399), "", 'Data Entry'![399)</f>
      </c>
      <c r="AB399">
        <f>IF(ISBLANK('Data Entry'!\399), "", 'Data Entry'!\399)</f>
      </c>
      <c r="AC399">
        <f>IF(ISBLANK('Data Entry'!]399), "", 'Data Entry'!]399)</f>
      </c>
      <c r="AD399">
        <f>IF(ISBLANK('Data Entry'!^399), "", 'Data Entry'!^399)</f>
      </c>
      <c r="AE399">
        <f>IF(ISBLANK('Data Entry'!_399), "", 'Data Entry'!_399)</f>
      </c>
      <c r="AF399">
        <f>IF(ISBLANK('Data Entry'!`399), "", 'Data Entry'!`399)</f>
      </c>
      <c r="AG399">
        <f>IF(ISBLANK('Data Entry'!a399), "", 'Data Entry'!a399)</f>
      </c>
      <c r="AH399">
        <f>IF(ISBLANK('Data Entry'!b399), "", 'Data Entry'!b399)</f>
      </c>
      <c r="AI399">
        <f>IF(ISBLANK('Data Entry'!c399), "", 'Data Entry'!c399)</f>
      </c>
      <c r="AJ399">
        <f>IF(ISBLANK('Data Entry'!d399), "", 'Data Entry'!d399)</f>
      </c>
      <c r="AK399">
        <f>IF(ISBLANK('Data Entry'!e399), "", 'Data Entry'!e399)</f>
      </c>
      <c r="AL399">
        <f>IF(ISBLANK('Data Entry'!f399), "", 'Data Entry'!f399)</f>
      </c>
      <c r="AM399">
        <f>IF(ISBLANK('Data Entry'!g399), "", 'Data Entry'!g399)</f>
      </c>
      <c r="AN399">
        <f>IF(ISBLANK('Data Entry'!h399), "", 'Data Entry'!h399)</f>
      </c>
    </row>
    <row r="400" spans="1:40" x14ac:dyDescent="0.25">
      <c r="A400">
        <f>IF(ISBLANK('Data Entry'!A400), "", 'Data Entry'!A400)</f>
      </c>
      <c r="B400">
        <f>IF(ISBLANK('Data Entry'!B400), "", 'Data Entry'!B400)</f>
      </c>
      <c r="C400">
        <f>IF(ISBLANK('Data Entry'!C400), "", 'Data Entry'!C400)</f>
      </c>
      <c r="D400">
        <f>IF(ISBLANK('Data Entry'!D400), "", 'Data Entry'!D400)</f>
      </c>
      <c r="E400">
        <f>IF(ISBLANK('Data Entry'!E400), "", 'Data Entry'!E400)</f>
      </c>
      <c r="F400">
        <f>IF(ISBLANK('Data Entry'!F400), "", 'Data Entry'!F400)</f>
      </c>
      <c r="G400">
        <f>IF(ISBLANK('Data Entry'!G400), "", 'Data Entry'!G400)</f>
      </c>
      <c r="H400">
        <f>IF(ISBLANK('Data Entry'!H400), "", 'Data Entry'!H400)</f>
      </c>
      <c r="I400">
        <f>IF(ISBLANK('Data Entry'!I400), "", 'Data Entry'!I400)</f>
      </c>
      <c r="J400">
        <f>IF(ISBLANK('Data Entry'!J400), "", 'Data Entry'!J400)</f>
      </c>
      <c r="K400">
        <f>IF(ISBLANK('Data Entry'!K400), "", 'Data Entry'!K400)</f>
      </c>
      <c r="L400">
        <f>IF(ISBLANK('Data Entry'!L400), "", 'Data Entry'!L400)</f>
      </c>
      <c r="M400">
        <f>IF(ISBLANK('Data Entry'!M400), "", 'Data Entry'!M400)</f>
      </c>
      <c r="N400">
        <f>IF(ISBLANK('Data Entry'!N400), "", 'Data Entry'!N400)</f>
      </c>
      <c r="O400">
        <f>IF(ISBLANK('Data Entry'!O400), "", 'Data Entry'!O400)</f>
      </c>
      <c r="P400">
        <f>IF(ISBLANK('Data Entry'!P400), "", 'Data Entry'!P400)</f>
      </c>
      <c r="Q400">
        <f>IF(ISBLANK('Data Entry'!Q400), "", 'Data Entry'!Q400)</f>
      </c>
      <c r="R400">
        <f>IF(ISBLANK('Data Entry'!R400), "", 'Data Entry'!R400)</f>
      </c>
      <c r="S400">
        <f>IF(ISBLANK('Data Entry'!S400), "", 'Data Entry'!S400)</f>
      </c>
      <c r="T400">
        <f>IF(ISBLANK('Data Entry'!T400), "", 'Data Entry'!T400)</f>
      </c>
      <c r="U400">
        <f>IF(ISBLANK('Data Entry'!U400), "", 'Data Entry'!U400)</f>
      </c>
      <c r="V400">
        <f>IF(ISBLANK('Data Entry'!V400), "", 'Data Entry'!V400)</f>
      </c>
      <c r="W400">
        <f>IF(ISBLANK('Data Entry'!W400), "", 'Data Entry'!W400)</f>
      </c>
      <c r="X400">
        <f>IF(ISBLANK('Data Entry'!X400), "", 'Data Entry'!X400)</f>
      </c>
      <c r="Y400">
        <f>IF(ISBLANK('Data Entry'!Y400), "", 'Data Entry'!Y400)</f>
      </c>
      <c r="Z400">
        <f>IF(ISBLANK('Data Entry'!Z400), "", 'Data Entry'!Z400)</f>
      </c>
      <c r="AA400">
        <f>IF(ISBLANK('Data Entry'![400), "", 'Data Entry'![400)</f>
      </c>
      <c r="AB400">
        <f>IF(ISBLANK('Data Entry'!\400), "", 'Data Entry'!\400)</f>
      </c>
      <c r="AC400">
        <f>IF(ISBLANK('Data Entry'!]400), "", 'Data Entry'!]400)</f>
      </c>
      <c r="AD400">
        <f>IF(ISBLANK('Data Entry'!^400), "", 'Data Entry'!^400)</f>
      </c>
      <c r="AE400">
        <f>IF(ISBLANK('Data Entry'!_400), "", 'Data Entry'!_400)</f>
      </c>
      <c r="AF400">
        <f>IF(ISBLANK('Data Entry'!`400), "", 'Data Entry'!`400)</f>
      </c>
      <c r="AG400">
        <f>IF(ISBLANK('Data Entry'!a400), "", 'Data Entry'!a400)</f>
      </c>
      <c r="AH400">
        <f>IF(ISBLANK('Data Entry'!b400), "", 'Data Entry'!b400)</f>
      </c>
      <c r="AI400">
        <f>IF(ISBLANK('Data Entry'!c400), "", 'Data Entry'!c400)</f>
      </c>
      <c r="AJ400">
        <f>IF(ISBLANK('Data Entry'!d400), "", 'Data Entry'!d400)</f>
      </c>
      <c r="AK400">
        <f>IF(ISBLANK('Data Entry'!e400), "", 'Data Entry'!e400)</f>
      </c>
      <c r="AL400">
        <f>IF(ISBLANK('Data Entry'!f400), "", 'Data Entry'!f400)</f>
      </c>
      <c r="AM400">
        <f>IF(ISBLANK('Data Entry'!g400), "", 'Data Entry'!g400)</f>
      </c>
      <c r="AN400">
        <f>IF(ISBLANK('Data Entry'!h400), "", 'Data Entry'!h400)</f>
      </c>
    </row>
    <row r="401" spans="1:40" x14ac:dyDescent="0.25">
      <c r="A401">
        <f>IF(ISBLANK('Data Entry'!A401), "", 'Data Entry'!A401)</f>
      </c>
      <c r="B401">
        <f>IF(ISBLANK('Data Entry'!B401), "", 'Data Entry'!B401)</f>
      </c>
      <c r="C401">
        <f>IF(ISBLANK('Data Entry'!C401), "", 'Data Entry'!C401)</f>
      </c>
      <c r="D401">
        <f>IF(ISBLANK('Data Entry'!D401), "", 'Data Entry'!D401)</f>
      </c>
      <c r="E401">
        <f>IF(ISBLANK('Data Entry'!E401), "", 'Data Entry'!E401)</f>
      </c>
      <c r="F401">
        <f>IF(ISBLANK('Data Entry'!F401), "", 'Data Entry'!F401)</f>
      </c>
      <c r="G401">
        <f>IF(ISBLANK('Data Entry'!G401), "", 'Data Entry'!G401)</f>
      </c>
      <c r="H401">
        <f>IF(ISBLANK('Data Entry'!H401), "", 'Data Entry'!H401)</f>
      </c>
      <c r="I401">
        <f>IF(ISBLANK('Data Entry'!I401), "", 'Data Entry'!I401)</f>
      </c>
      <c r="J401">
        <f>IF(ISBLANK('Data Entry'!J401), "", 'Data Entry'!J401)</f>
      </c>
      <c r="K401">
        <f>IF(ISBLANK('Data Entry'!K401), "", 'Data Entry'!K401)</f>
      </c>
      <c r="L401">
        <f>IF(ISBLANK('Data Entry'!L401), "", 'Data Entry'!L401)</f>
      </c>
      <c r="M401">
        <f>IF(ISBLANK('Data Entry'!M401), "", 'Data Entry'!M401)</f>
      </c>
      <c r="N401">
        <f>IF(ISBLANK('Data Entry'!N401), "", 'Data Entry'!N401)</f>
      </c>
      <c r="O401">
        <f>IF(ISBLANK('Data Entry'!O401), "", 'Data Entry'!O401)</f>
      </c>
      <c r="P401">
        <f>IF(ISBLANK('Data Entry'!P401), "", 'Data Entry'!P401)</f>
      </c>
      <c r="Q401">
        <f>IF(ISBLANK('Data Entry'!Q401), "", 'Data Entry'!Q401)</f>
      </c>
      <c r="R401">
        <f>IF(ISBLANK('Data Entry'!R401), "", 'Data Entry'!R401)</f>
      </c>
      <c r="S401">
        <f>IF(ISBLANK('Data Entry'!S401), "", 'Data Entry'!S401)</f>
      </c>
      <c r="T401">
        <f>IF(ISBLANK('Data Entry'!T401), "", 'Data Entry'!T401)</f>
      </c>
      <c r="U401">
        <f>IF(ISBLANK('Data Entry'!U401), "", 'Data Entry'!U401)</f>
      </c>
      <c r="V401">
        <f>IF(ISBLANK('Data Entry'!V401), "", 'Data Entry'!V401)</f>
      </c>
      <c r="W401">
        <f>IF(ISBLANK('Data Entry'!W401), "", 'Data Entry'!W401)</f>
      </c>
      <c r="X401">
        <f>IF(ISBLANK('Data Entry'!X401), "", 'Data Entry'!X401)</f>
      </c>
      <c r="Y401">
        <f>IF(ISBLANK('Data Entry'!Y401), "", 'Data Entry'!Y401)</f>
      </c>
      <c r="Z401">
        <f>IF(ISBLANK('Data Entry'!Z401), "", 'Data Entry'!Z401)</f>
      </c>
      <c r="AA401">
        <f>IF(ISBLANK('Data Entry'![401), "", 'Data Entry'![401)</f>
      </c>
      <c r="AB401">
        <f>IF(ISBLANK('Data Entry'!\401), "", 'Data Entry'!\401)</f>
      </c>
      <c r="AC401">
        <f>IF(ISBLANK('Data Entry'!]401), "", 'Data Entry'!]401)</f>
      </c>
      <c r="AD401">
        <f>IF(ISBLANK('Data Entry'!^401), "", 'Data Entry'!^401)</f>
      </c>
      <c r="AE401">
        <f>IF(ISBLANK('Data Entry'!_401), "", 'Data Entry'!_401)</f>
      </c>
      <c r="AF401">
        <f>IF(ISBLANK('Data Entry'!`401), "", 'Data Entry'!`401)</f>
      </c>
      <c r="AG401">
        <f>IF(ISBLANK('Data Entry'!a401), "", 'Data Entry'!a401)</f>
      </c>
      <c r="AH401">
        <f>IF(ISBLANK('Data Entry'!b401), "", 'Data Entry'!b401)</f>
      </c>
      <c r="AI401">
        <f>IF(ISBLANK('Data Entry'!c401), "", 'Data Entry'!c401)</f>
      </c>
      <c r="AJ401">
        <f>IF(ISBLANK('Data Entry'!d401), "", 'Data Entry'!d401)</f>
      </c>
      <c r="AK401">
        <f>IF(ISBLANK('Data Entry'!e401), "", 'Data Entry'!e401)</f>
      </c>
      <c r="AL401">
        <f>IF(ISBLANK('Data Entry'!f401), "", 'Data Entry'!f401)</f>
      </c>
      <c r="AM401">
        <f>IF(ISBLANK('Data Entry'!g401), "", 'Data Entry'!g401)</f>
      </c>
      <c r="AN401">
        <f>IF(ISBLANK('Data Entry'!h401), "", 'Data Entry'!h401)</f>
      </c>
    </row>
    <row r="402" spans="1:40" x14ac:dyDescent="0.25">
      <c r="A402">
        <f>IF(ISBLANK('Data Entry'!A402), "", 'Data Entry'!A402)</f>
      </c>
      <c r="B402">
        <f>IF(ISBLANK('Data Entry'!B402), "", 'Data Entry'!B402)</f>
      </c>
      <c r="C402">
        <f>IF(ISBLANK('Data Entry'!C402), "", 'Data Entry'!C402)</f>
      </c>
      <c r="D402">
        <f>IF(ISBLANK('Data Entry'!D402), "", 'Data Entry'!D402)</f>
      </c>
      <c r="E402">
        <f>IF(ISBLANK('Data Entry'!E402), "", 'Data Entry'!E402)</f>
      </c>
      <c r="F402">
        <f>IF(ISBLANK('Data Entry'!F402), "", 'Data Entry'!F402)</f>
      </c>
      <c r="G402">
        <f>IF(ISBLANK('Data Entry'!G402), "", 'Data Entry'!G402)</f>
      </c>
      <c r="H402">
        <f>IF(ISBLANK('Data Entry'!H402), "", 'Data Entry'!H402)</f>
      </c>
      <c r="I402">
        <f>IF(ISBLANK('Data Entry'!I402), "", 'Data Entry'!I402)</f>
      </c>
      <c r="J402">
        <f>IF(ISBLANK('Data Entry'!J402), "", 'Data Entry'!J402)</f>
      </c>
      <c r="K402">
        <f>IF(ISBLANK('Data Entry'!K402), "", 'Data Entry'!K402)</f>
      </c>
      <c r="L402">
        <f>IF(ISBLANK('Data Entry'!L402), "", 'Data Entry'!L402)</f>
      </c>
      <c r="M402">
        <f>IF(ISBLANK('Data Entry'!M402), "", 'Data Entry'!M402)</f>
      </c>
      <c r="N402">
        <f>IF(ISBLANK('Data Entry'!N402), "", 'Data Entry'!N402)</f>
      </c>
      <c r="O402">
        <f>IF(ISBLANK('Data Entry'!O402), "", 'Data Entry'!O402)</f>
      </c>
      <c r="P402">
        <f>IF(ISBLANK('Data Entry'!P402), "", 'Data Entry'!P402)</f>
      </c>
      <c r="Q402">
        <f>IF(ISBLANK('Data Entry'!Q402), "", 'Data Entry'!Q402)</f>
      </c>
      <c r="R402">
        <f>IF(ISBLANK('Data Entry'!R402), "", 'Data Entry'!R402)</f>
      </c>
      <c r="S402">
        <f>IF(ISBLANK('Data Entry'!S402), "", 'Data Entry'!S402)</f>
      </c>
      <c r="T402">
        <f>IF(ISBLANK('Data Entry'!T402), "", 'Data Entry'!T402)</f>
      </c>
      <c r="U402">
        <f>IF(ISBLANK('Data Entry'!U402), "", 'Data Entry'!U402)</f>
      </c>
      <c r="V402">
        <f>IF(ISBLANK('Data Entry'!V402), "", 'Data Entry'!V402)</f>
      </c>
      <c r="W402">
        <f>IF(ISBLANK('Data Entry'!W402), "", 'Data Entry'!W402)</f>
      </c>
      <c r="X402">
        <f>IF(ISBLANK('Data Entry'!X402), "", 'Data Entry'!X402)</f>
      </c>
      <c r="Y402">
        <f>IF(ISBLANK('Data Entry'!Y402), "", 'Data Entry'!Y402)</f>
      </c>
      <c r="Z402">
        <f>IF(ISBLANK('Data Entry'!Z402), "", 'Data Entry'!Z402)</f>
      </c>
      <c r="AA402">
        <f>IF(ISBLANK('Data Entry'![402), "", 'Data Entry'![402)</f>
      </c>
      <c r="AB402">
        <f>IF(ISBLANK('Data Entry'!\402), "", 'Data Entry'!\402)</f>
      </c>
      <c r="AC402">
        <f>IF(ISBLANK('Data Entry'!]402), "", 'Data Entry'!]402)</f>
      </c>
      <c r="AD402">
        <f>IF(ISBLANK('Data Entry'!^402), "", 'Data Entry'!^402)</f>
      </c>
      <c r="AE402">
        <f>IF(ISBLANK('Data Entry'!_402), "", 'Data Entry'!_402)</f>
      </c>
      <c r="AF402">
        <f>IF(ISBLANK('Data Entry'!`402), "", 'Data Entry'!`402)</f>
      </c>
      <c r="AG402">
        <f>IF(ISBLANK('Data Entry'!a402), "", 'Data Entry'!a402)</f>
      </c>
      <c r="AH402">
        <f>IF(ISBLANK('Data Entry'!b402), "", 'Data Entry'!b402)</f>
      </c>
      <c r="AI402">
        <f>IF(ISBLANK('Data Entry'!c402), "", 'Data Entry'!c402)</f>
      </c>
      <c r="AJ402">
        <f>IF(ISBLANK('Data Entry'!d402), "", 'Data Entry'!d402)</f>
      </c>
      <c r="AK402">
        <f>IF(ISBLANK('Data Entry'!e402), "", 'Data Entry'!e402)</f>
      </c>
      <c r="AL402">
        <f>IF(ISBLANK('Data Entry'!f402), "", 'Data Entry'!f402)</f>
      </c>
      <c r="AM402">
        <f>IF(ISBLANK('Data Entry'!g402), "", 'Data Entry'!g402)</f>
      </c>
      <c r="AN402">
        <f>IF(ISBLANK('Data Entry'!h402), "", 'Data Entry'!h402)</f>
      </c>
    </row>
    <row r="403" spans="1:40" x14ac:dyDescent="0.25">
      <c r="A403">
        <f>IF(ISBLANK('Data Entry'!A403), "", 'Data Entry'!A403)</f>
      </c>
      <c r="B403">
        <f>IF(ISBLANK('Data Entry'!B403), "", 'Data Entry'!B403)</f>
      </c>
      <c r="C403">
        <f>IF(ISBLANK('Data Entry'!C403), "", 'Data Entry'!C403)</f>
      </c>
      <c r="D403">
        <f>IF(ISBLANK('Data Entry'!D403), "", 'Data Entry'!D403)</f>
      </c>
      <c r="E403">
        <f>IF(ISBLANK('Data Entry'!E403), "", 'Data Entry'!E403)</f>
      </c>
      <c r="F403">
        <f>IF(ISBLANK('Data Entry'!F403), "", 'Data Entry'!F403)</f>
      </c>
      <c r="G403">
        <f>IF(ISBLANK('Data Entry'!G403), "", 'Data Entry'!G403)</f>
      </c>
      <c r="H403">
        <f>IF(ISBLANK('Data Entry'!H403), "", 'Data Entry'!H403)</f>
      </c>
      <c r="I403">
        <f>IF(ISBLANK('Data Entry'!I403), "", 'Data Entry'!I403)</f>
      </c>
      <c r="J403">
        <f>IF(ISBLANK('Data Entry'!J403), "", 'Data Entry'!J403)</f>
      </c>
      <c r="K403">
        <f>IF(ISBLANK('Data Entry'!K403), "", 'Data Entry'!K403)</f>
      </c>
      <c r="L403">
        <f>IF(ISBLANK('Data Entry'!L403), "", 'Data Entry'!L403)</f>
      </c>
      <c r="M403">
        <f>IF(ISBLANK('Data Entry'!M403), "", 'Data Entry'!M403)</f>
      </c>
      <c r="N403">
        <f>IF(ISBLANK('Data Entry'!N403), "", 'Data Entry'!N403)</f>
      </c>
      <c r="O403">
        <f>IF(ISBLANK('Data Entry'!O403), "", 'Data Entry'!O403)</f>
      </c>
      <c r="P403">
        <f>IF(ISBLANK('Data Entry'!P403), "", 'Data Entry'!P403)</f>
      </c>
      <c r="Q403">
        <f>IF(ISBLANK('Data Entry'!Q403), "", 'Data Entry'!Q403)</f>
      </c>
      <c r="R403">
        <f>IF(ISBLANK('Data Entry'!R403), "", 'Data Entry'!R403)</f>
      </c>
      <c r="S403">
        <f>IF(ISBLANK('Data Entry'!S403), "", 'Data Entry'!S403)</f>
      </c>
      <c r="T403">
        <f>IF(ISBLANK('Data Entry'!T403), "", 'Data Entry'!T403)</f>
      </c>
      <c r="U403">
        <f>IF(ISBLANK('Data Entry'!U403), "", 'Data Entry'!U403)</f>
      </c>
      <c r="V403">
        <f>IF(ISBLANK('Data Entry'!V403), "", 'Data Entry'!V403)</f>
      </c>
      <c r="W403">
        <f>IF(ISBLANK('Data Entry'!W403), "", 'Data Entry'!W403)</f>
      </c>
      <c r="X403">
        <f>IF(ISBLANK('Data Entry'!X403), "", 'Data Entry'!X403)</f>
      </c>
      <c r="Y403">
        <f>IF(ISBLANK('Data Entry'!Y403), "", 'Data Entry'!Y403)</f>
      </c>
      <c r="Z403">
        <f>IF(ISBLANK('Data Entry'!Z403), "", 'Data Entry'!Z403)</f>
      </c>
      <c r="AA403">
        <f>IF(ISBLANK('Data Entry'![403), "", 'Data Entry'![403)</f>
      </c>
      <c r="AB403">
        <f>IF(ISBLANK('Data Entry'!\403), "", 'Data Entry'!\403)</f>
      </c>
      <c r="AC403">
        <f>IF(ISBLANK('Data Entry'!]403), "", 'Data Entry'!]403)</f>
      </c>
      <c r="AD403">
        <f>IF(ISBLANK('Data Entry'!^403), "", 'Data Entry'!^403)</f>
      </c>
      <c r="AE403">
        <f>IF(ISBLANK('Data Entry'!_403), "", 'Data Entry'!_403)</f>
      </c>
      <c r="AF403">
        <f>IF(ISBLANK('Data Entry'!`403), "", 'Data Entry'!`403)</f>
      </c>
      <c r="AG403">
        <f>IF(ISBLANK('Data Entry'!a403), "", 'Data Entry'!a403)</f>
      </c>
      <c r="AH403">
        <f>IF(ISBLANK('Data Entry'!b403), "", 'Data Entry'!b403)</f>
      </c>
      <c r="AI403">
        <f>IF(ISBLANK('Data Entry'!c403), "", 'Data Entry'!c403)</f>
      </c>
      <c r="AJ403">
        <f>IF(ISBLANK('Data Entry'!d403), "", 'Data Entry'!d403)</f>
      </c>
      <c r="AK403">
        <f>IF(ISBLANK('Data Entry'!e403), "", 'Data Entry'!e403)</f>
      </c>
      <c r="AL403">
        <f>IF(ISBLANK('Data Entry'!f403), "", 'Data Entry'!f403)</f>
      </c>
      <c r="AM403">
        <f>IF(ISBLANK('Data Entry'!g403), "", 'Data Entry'!g403)</f>
      </c>
      <c r="AN403">
        <f>IF(ISBLANK('Data Entry'!h403), "", 'Data Entry'!h403)</f>
      </c>
    </row>
    <row r="404" spans="1:40" x14ac:dyDescent="0.25">
      <c r="A404">
        <f>IF(ISBLANK('Data Entry'!A404), "", 'Data Entry'!A404)</f>
      </c>
      <c r="B404">
        <f>IF(ISBLANK('Data Entry'!B404), "", 'Data Entry'!B404)</f>
      </c>
      <c r="C404">
        <f>IF(ISBLANK('Data Entry'!C404), "", 'Data Entry'!C404)</f>
      </c>
      <c r="D404">
        <f>IF(ISBLANK('Data Entry'!D404), "", 'Data Entry'!D404)</f>
      </c>
      <c r="E404">
        <f>IF(ISBLANK('Data Entry'!E404), "", 'Data Entry'!E404)</f>
      </c>
      <c r="F404">
        <f>IF(ISBLANK('Data Entry'!F404), "", 'Data Entry'!F404)</f>
      </c>
      <c r="G404">
        <f>IF(ISBLANK('Data Entry'!G404), "", 'Data Entry'!G404)</f>
      </c>
      <c r="H404">
        <f>IF(ISBLANK('Data Entry'!H404), "", 'Data Entry'!H404)</f>
      </c>
      <c r="I404">
        <f>IF(ISBLANK('Data Entry'!I404), "", 'Data Entry'!I404)</f>
      </c>
      <c r="J404">
        <f>IF(ISBLANK('Data Entry'!J404), "", 'Data Entry'!J404)</f>
      </c>
      <c r="K404">
        <f>IF(ISBLANK('Data Entry'!K404), "", 'Data Entry'!K404)</f>
      </c>
      <c r="L404">
        <f>IF(ISBLANK('Data Entry'!L404), "", 'Data Entry'!L404)</f>
      </c>
      <c r="M404">
        <f>IF(ISBLANK('Data Entry'!M404), "", 'Data Entry'!M404)</f>
      </c>
      <c r="N404">
        <f>IF(ISBLANK('Data Entry'!N404), "", 'Data Entry'!N404)</f>
      </c>
      <c r="O404">
        <f>IF(ISBLANK('Data Entry'!O404), "", 'Data Entry'!O404)</f>
      </c>
      <c r="P404">
        <f>IF(ISBLANK('Data Entry'!P404), "", 'Data Entry'!P404)</f>
      </c>
      <c r="Q404">
        <f>IF(ISBLANK('Data Entry'!Q404), "", 'Data Entry'!Q404)</f>
      </c>
      <c r="R404">
        <f>IF(ISBLANK('Data Entry'!R404), "", 'Data Entry'!R404)</f>
      </c>
      <c r="S404">
        <f>IF(ISBLANK('Data Entry'!S404), "", 'Data Entry'!S404)</f>
      </c>
      <c r="T404">
        <f>IF(ISBLANK('Data Entry'!T404), "", 'Data Entry'!T404)</f>
      </c>
      <c r="U404">
        <f>IF(ISBLANK('Data Entry'!U404), "", 'Data Entry'!U404)</f>
      </c>
      <c r="V404">
        <f>IF(ISBLANK('Data Entry'!V404), "", 'Data Entry'!V404)</f>
      </c>
      <c r="W404">
        <f>IF(ISBLANK('Data Entry'!W404), "", 'Data Entry'!W404)</f>
      </c>
      <c r="X404">
        <f>IF(ISBLANK('Data Entry'!X404), "", 'Data Entry'!X404)</f>
      </c>
      <c r="Y404">
        <f>IF(ISBLANK('Data Entry'!Y404), "", 'Data Entry'!Y404)</f>
      </c>
      <c r="Z404">
        <f>IF(ISBLANK('Data Entry'!Z404), "", 'Data Entry'!Z404)</f>
      </c>
      <c r="AA404">
        <f>IF(ISBLANK('Data Entry'![404), "", 'Data Entry'![404)</f>
      </c>
      <c r="AB404">
        <f>IF(ISBLANK('Data Entry'!\404), "", 'Data Entry'!\404)</f>
      </c>
      <c r="AC404">
        <f>IF(ISBLANK('Data Entry'!]404), "", 'Data Entry'!]404)</f>
      </c>
      <c r="AD404">
        <f>IF(ISBLANK('Data Entry'!^404), "", 'Data Entry'!^404)</f>
      </c>
      <c r="AE404">
        <f>IF(ISBLANK('Data Entry'!_404), "", 'Data Entry'!_404)</f>
      </c>
      <c r="AF404">
        <f>IF(ISBLANK('Data Entry'!`404), "", 'Data Entry'!`404)</f>
      </c>
      <c r="AG404">
        <f>IF(ISBLANK('Data Entry'!a404), "", 'Data Entry'!a404)</f>
      </c>
      <c r="AH404">
        <f>IF(ISBLANK('Data Entry'!b404), "", 'Data Entry'!b404)</f>
      </c>
      <c r="AI404">
        <f>IF(ISBLANK('Data Entry'!c404), "", 'Data Entry'!c404)</f>
      </c>
      <c r="AJ404">
        <f>IF(ISBLANK('Data Entry'!d404), "", 'Data Entry'!d404)</f>
      </c>
      <c r="AK404">
        <f>IF(ISBLANK('Data Entry'!e404), "", 'Data Entry'!e404)</f>
      </c>
      <c r="AL404">
        <f>IF(ISBLANK('Data Entry'!f404), "", 'Data Entry'!f404)</f>
      </c>
      <c r="AM404">
        <f>IF(ISBLANK('Data Entry'!g404), "", 'Data Entry'!g404)</f>
      </c>
      <c r="AN404">
        <f>IF(ISBLANK('Data Entry'!h404), "", 'Data Entry'!h404)</f>
      </c>
    </row>
    <row r="405" spans="1:40" x14ac:dyDescent="0.25">
      <c r="A405">
        <f>IF(ISBLANK('Data Entry'!A405), "", 'Data Entry'!A405)</f>
      </c>
      <c r="B405">
        <f>IF(ISBLANK('Data Entry'!B405), "", 'Data Entry'!B405)</f>
      </c>
      <c r="C405">
        <f>IF(ISBLANK('Data Entry'!C405), "", 'Data Entry'!C405)</f>
      </c>
      <c r="D405">
        <f>IF(ISBLANK('Data Entry'!D405), "", 'Data Entry'!D405)</f>
      </c>
      <c r="E405">
        <f>IF(ISBLANK('Data Entry'!E405), "", 'Data Entry'!E405)</f>
      </c>
      <c r="F405">
        <f>IF(ISBLANK('Data Entry'!F405), "", 'Data Entry'!F405)</f>
      </c>
      <c r="G405">
        <f>IF(ISBLANK('Data Entry'!G405), "", 'Data Entry'!G405)</f>
      </c>
      <c r="H405">
        <f>IF(ISBLANK('Data Entry'!H405), "", 'Data Entry'!H405)</f>
      </c>
      <c r="I405">
        <f>IF(ISBLANK('Data Entry'!I405), "", 'Data Entry'!I405)</f>
      </c>
      <c r="J405">
        <f>IF(ISBLANK('Data Entry'!J405), "", 'Data Entry'!J405)</f>
      </c>
      <c r="K405">
        <f>IF(ISBLANK('Data Entry'!K405), "", 'Data Entry'!K405)</f>
      </c>
      <c r="L405">
        <f>IF(ISBLANK('Data Entry'!L405), "", 'Data Entry'!L405)</f>
      </c>
      <c r="M405">
        <f>IF(ISBLANK('Data Entry'!M405), "", 'Data Entry'!M405)</f>
      </c>
      <c r="N405">
        <f>IF(ISBLANK('Data Entry'!N405), "", 'Data Entry'!N405)</f>
      </c>
      <c r="O405">
        <f>IF(ISBLANK('Data Entry'!O405), "", 'Data Entry'!O405)</f>
      </c>
      <c r="P405">
        <f>IF(ISBLANK('Data Entry'!P405), "", 'Data Entry'!P405)</f>
      </c>
      <c r="Q405">
        <f>IF(ISBLANK('Data Entry'!Q405), "", 'Data Entry'!Q405)</f>
      </c>
      <c r="R405">
        <f>IF(ISBLANK('Data Entry'!R405), "", 'Data Entry'!R405)</f>
      </c>
      <c r="S405">
        <f>IF(ISBLANK('Data Entry'!S405), "", 'Data Entry'!S405)</f>
      </c>
      <c r="T405">
        <f>IF(ISBLANK('Data Entry'!T405), "", 'Data Entry'!T405)</f>
      </c>
      <c r="U405">
        <f>IF(ISBLANK('Data Entry'!U405), "", 'Data Entry'!U405)</f>
      </c>
      <c r="V405">
        <f>IF(ISBLANK('Data Entry'!V405), "", 'Data Entry'!V405)</f>
      </c>
      <c r="W405">
        <f>IF(ISBLANK('Data Entry'!W405), "", 'Data Entry'!W405)</f>
      </c>
      <c r="X405">
        <f>IF(ISBLANK('Data Entry'!X405), "", 'Data Entry'!X405)</f>
      </c>
      <c r="Y405">
        <f>IF(ISBLANK('Data Entry'!Y405), "", 'Data Entry'!Y405)</f>
      </c>
      <c r="Z405">
        <f>IF(ISBLANK('Data Entry'!Z405), "", 'Data Entry'!Z405)</f>
      </c>
      <c r="AA405">
        <f>IF(ISBLANK('Data Entry'![405), "", 'Data Entry'![405)</f>
      </c>
      <c r="AB405">
        <f>IF(ISBLANK('Data Entry'!\405), "", 'Data Entry'!\405)</f>
      </c>
      <c r="AC405">
        <f>IF(ISBLANK('Data Entry'!]405), "", 'Data Entry'!]405)</f>
      </c>
      <c r="AD405">
        <f>IF(ISBLANK('Data Entry'!^405), "", 'Data Entry'!^405)</f>
      </c>
      <c r="AE405">
        <f>IF(ISBLANK('Data Entry'!_405), "", 'Data Entry'!_405)</f>
      </c>
      <c r="AF405">
        <f>IF(ISBLANK('Data Entry'!`405), "", 'Data Entry'!`405)</f>
      </c>
      <c r="AG405">
        <f>IF(ISBLANK('Data Entry'!a405), "", 'Data Entry'!a405)</f>
      </c>
      <c r="AH405">
        <f>IF(ISBLANK('Data Entry'!b405), "", 'Data Entry'!b405)</f>
      </c>
      <c r="AI405">
        <f>IF(ISBLANK('Data Entry'!c405), "", 'Data Entry'!c405)</f>
      </c>
      <c r="AJ405">
        <f>IF(ISBLANK('Data Entry'!d405), "", 'Data Entry'!d405)</f>
      </c>
      <c r="AK405">
        <f>IF(ISBLANK('Data Entry'!e405), "", 'Data Entry'!e405)</f>
      </c>
      <c r="AL405">
        <f>IF(ISBLANK('Data Entry'!f405), "", 'Data Entry'!f405)</f>
      </c>
      <c r="AM405">
        <f>IF(ISBLANK('Data Entry'!g405), "", 'Data Entry'!g405)</f>
      </c>
      <c r="AN405">
        <f>IF(ISBLANK('Data Entry'!h405), "", 'Data Entry'!h405)</f>
      </c>
    </row>
    <row r="406" spans="1:40" x14ac:dyDescent="0.25">
      <c r="A406">
        <f>IF(ISBLANK('Data Entry'!A406), "", 'Data Entry'!A406)</f>
      </c>
      <c r="B406">
        <f>IF(ISBLANK('Data Entry'!B406), "", 'Data Entry'!B406)</f>
      </c>
      <c r="C406">
        <f>IF(ISBLANK('Data Entry'!C406), "", 'Data Entry'!C406)</f>
      </c>
      <c r="D406">
        <f>IF(ISBLANK('Data Entry'!D406), "", 'Data Entry'!D406)</f>
      </c>
      <c r="E406">
        <f>IF(ISBLANK('Data Entry'!E406), "", 'Data Entry'!E406)</f>
      </c>
      <c r="F406">
        <f>IF(ISBLANK('Data Entry'!F406), "", 'Data Entry'!F406)</f>
      </c>
      <c r="G406">
        <f>IF(ISBLANK('Data Entry'!G406), "", 'Data Entry'!G406)</f>
      </c>
      <c r="H406">
        <f>IF(ISBLANK('Data Entry'!H406), "", 'Data Entry'!H406)</f>
      </c>
      <c r="I406">
        <f>IF(ISBLANK('Data Entry'!I406), "", 'Data Entry'!I406)</f>
      </c>
      <c r="J406">
        <f>IF(ISBLANK('Data Entry'!J406), "", 'Data Entry'!J406)</f>
      </c>
      <c r="K406">
        <f>IF(ISBLANK('Data Entry'!K406), "", 'Data Entry'!K406)</f>
      </c>
      <c r="L406">
        <f>IF(ISBLANK('Data Entry'!L406), "", 'Data Entry'!L406)</f>
      </c>
      <c r="M406">
        <f>IF(ISBLANK('Data Entry'!M406), "", 'Data Entry'!M406)</f>
      </c>
      <c r="N406">
        <f>IF(ISBLANK('Data Entry'!N406), "", 'Data Entry'!N406)</f>
      </c>
      <c r="O406">
        <f>IF(ISBLANK('Data Entry'!O406), "", 'Data Entry'!O406)</f>
      </c>
      <c r="P406">
        <f>IF(ISBLANK('Data Entry'!P406), "", 'Data Entry'!P406)</f>
      </c>
      <c r="Q406">
        <f>IF(ISBLANK('Data Entry'!Q406), "", 'Data Entry'!Q406)</f>
      </c>
      <c r="R406">
        <f>IF(ISBLANK('Data Entry'!R406), "", 'Data Entry'!R406)</f>
      </c>
      <c r="S406">
        <f>IF(ISBLANK('Data Entry'!S406), "", 'Data Entry'!S406)</f>
      </c>
      <c r="T406">
        <f>IF(ISBLANK('Data Entry'!T406), "", 'Data Entry'!T406)</f>
      </c>
      <c r="U406">
        <f>IF(ISBLANK('Data Entry'!U406), "", 'Data Entry'!U406)</f>
      </c>
      <c r="V406">
        <f>IF(ISBLANK('Data Entry'!V406), "", 'Data Entry'!V406)</f>
      </c>
      <c r="W406">
        <f>IF(ISBLANK('Data Entry'!W406), "", 'Data Entry'!W406)</f>
      </c>
      <c r="X406">
        <f>IF(ISBLANK('Data Entry'!X406), "", 'Data Entry'!X406)</f>
      </c>
      <c r="Y406">
        <f>IF(ISBLANK('Data Entry'!Y406), "", 'Data Entry'!Y406)</f>
      </c>
      <c r="Z406">
        <f>IF(ISBLANK('Data Entry'!Z406), "", 'Data Entry'!Z406)</f>
      </c>
      <c r="AA406">
        <f>IF(ISBLANK('Data Entry'![406), "", 'Data Entry'![406)</f>
      </c>
      <c r="AB406">
        <f>IF(ISBLANK('Data Entry'!\406), "", 'Data Entry'!\406)</f>
      </c>
      <c r="AC406">
        <f>IF(ISBLANK('Data Entry'!]406), "", 'Data Entry'!]406)</f>
      </c>
      <c r="AD406">
        <f>IF(ISBLANK('Data Entry'!^406), "", 'Data Entry'!^406)</f>
      </c>
      <c r="AE406">
        <f>IF(ISBLANK('Data Entry'!_406), "", 'Data Entry'!_406)</f>
      </c>
      <c r="AF406">
        <f>IF(ISBLANK('Data Entry'!`406), "", 'Data Entry'!`406)</f>
      </c>
      <c r="AG406">
        <f>IF(ISBLANK('Data Entry'!a406), "", 'Data Entry'!a406)</f>
      </c>
      <c r="AH406">
        <f>IF(ISBLANK('Data Entry'!b406), "", 'Data Entry'!b406)</f>
      </c>
      <c r="AI406">
        <f>IF(ISBLANK('Data Entry'!c406), "", 'Data Entry'!c406)</f>
      </c>
      <c r="AJ406">
        <f>IF(ISBLANK('Data Entry'!d406), "", 'Data Entry'!d406)</f>
      </c>
      <c r="AK406">
        <f>IF(ISBLANK('Data Entry'!e406), "", 'Data Entry'!e406)</f>
      </c>
      <c r="AL406">
        <f>IF(ISBLANK('Data Entry'!f406), "", 'Data Entry'!f406)</f>
      </c>
      <c r="AM406">
        <f>IF(ISBLANK('Data Entry'!g406), "", 'Data Entry'!g406)</f>
      </c>
      <c r="AN406">
        <f>IF(ISBLANK('Data Entry'!h406), "", 'Data Entry'!h406)</f>
      </c>
    </row>
    <row r="407" spans="1:40" x14ac:dyDescent="0.25">
      <c r="A407">
        <f>IF(ISBLANK('Data Entry'!A407), "", 'Data Entry'!A407)</f>
      </c>
      <c r="B407">
        <f>IF(ISBLANK('Data Entry'!B407), "", 'Data Entry'!B407)</f>
      </c>
      <c r="C407">
        <f>IF(ISBLANK('Data Entry'!C407), "", 'Data Entry'!C407)</f>
      </c>
      <c r="D407">
        <f>IF(ISBLANK('Data Entry'!D407), "", 'Data Entry'!D407)</f>
      </c>
      <c r="E407">
        <f>IF(ISBLANK('Data Entry'!E407), "", 'Data Entry'!E407)</f>
      </c>
      <c r="F407">
        <f>IF(ISBLANK('Data Entry'!F407), "", 'Data Entry'!F407)</f>
      </c>
      <c r="G407">
        <f>IF(ISBLANK('Data Entry'!G407), "", 'Data Entry'!G407)</f>
      </c>
      <c r="H407">
        <f>IF(ISBLANK('Data Entry'!H407), "", 'Data Entry'!H407)</f>
      </c>
      <c r="I407">
        <f>IF(ISBLANK('Data Entry'!I407), "", 'Data Entry'!I407)</f>
      </c>
      <c r="J407">
        <f>IF(ISBLANK('Data Entry'!J407), "", 'Data Entry'!J407)</f>
      </c>
      <c r="K407">
        <f>IF(ISBLANK('Data Entry'!K407), "", 'Data Entry'!K407)</f>
      </c>
      <c r="L407">
        <f>IF(ISBLANK('Data Entry'!L407), "", 'Data Entry'!L407)</f>
      </c>
      <c r="M407">
        <f>IF(ISBLANK('Data Entry'!M407), "", 'Data Entry'!M407)</f>
      </c>
      <c r="N407">
        <f>IF(ISBLANK('Data Entry'!N407), "", 'Data Entry'!N407)</f>
      </c>
      <c r="O407">
        <f>IF(ISBLANK('Data Entry'!O407), "", 'Data Entry'!O407)</f>
      </c>
      <c r="P407">
        <f>IF(ISBLANK('Data Entry'!P407), "", 'Data Entry'!P407)</f>
      </c>
      <c r="Q407">
        <f>IF(ISBLANK('Data Entry'!Q407), "", 'Data Entry'!Q407)</f>
      </c>
      <c r="R407">
        <f>IF(ISBLANK('Data Entry'!R407), "", 'Data Entry'!R407)</f>
      </c>
      <c r="S407">
        <f>IF(ISBLANK('Data Entry'!S407), "", 'Data Entry'!S407)</f>
      </c>
      <c r="T407">
        <f>IF(ISBLANK('Data Entry'!T407), "", 'Data Entry'!T407)</f>
      </c>
      <c r="U407">
        <f>IF(ISBLANK('Data Entry'!U407), "", 'Data Entry'!U407)</f>
      </c>
      <c r="V407">
        <f>IF(ISBLANK('Data Entry'!V407), "", 'Data Entry'!V407)</f>
      </c>
      <c r="W407">
        <f>IF(ISBLANK('Data Entry'!W407), "", 'Data Entry'!W407)</f>
      </c>
      <c r="X407">
        <f>IF(ISBLANK('Data Entry'!X407), "", 'Data Entry'!X407)</f>
      </c>
      <c r="Y407">
        <f>IF(ISBLANK('Data Entry'!Y407), "", 'Data Entry'!Y407)</f>
      </c>
      <c r="Z407">
        <f>IF(ISBLANK('Data Entry'!Z407), "", 'Data Entry'!Z407)</f>
      </c>
      <c r="AA407">
        <f>IF(ISBLANK('Data Entry'![407), "", 'Data Entry'![407)</f>
      </c>
      <c r="AB407">
        <f>IF(ISBLANK('Data Entry'!\407), "", 'Data Entry'!\407)</f>
      </c>
      <c r="AC407">
        <f>IF(ISBLANK('Data Entry'!]407), "", 'Data Entry'!]407)</f>
      </c>
      <c r="AD407">
        <f>IF(ISBLANK('Data Entry'!^407), "", 'Data Entry'!^407)</f>
      </c>
      <c r="AE407">
        <f>IF(ISBLANK('Data Entry'!_407), "", 'Data Entry'!_407)</f>
      </c>
      <c r="AF407">
        <f>IF(ISBLANK('Data Entry'!`407), "", 'Data Entry'!`407)</f>
      </c>
      <c r="AG407">
        <f>IF(ISBLANK('Data Entry'!a407), "", 'Data Entry'!a407)</f>
      </c>
      <c r="AH407">
        <f>IF(ISBLANK('Data Entry'!b407), "", 'Data Entry'!b407)</f>
      </c>
      <c r="AI407">
        <f>IF(ISBLANK('Data Entry'!c407), "", 'Data Entry'!c407)</f>
      </c>
      <c r="AJ407">
        <f>IF(ISBLANK('Data Entry'!d407), "", 'Data Entry'!d407)</f>
      </c>
      <c r="AK407">
        <f>IF(ISBLANK('Data Entry'!e407), "", 'Data Entry'!e407)</f>
      </c>
      <c r="AL407">
        <f>IF(ISBLANK('Data Entry'!f407), "", 'Data Entry'!f407)</f>
      </c>
      <c r="AM407">
        <f>IF(ISBLANK('Data Entry'!g407), "", 'Data Entry'!g407)</f>
      </c>
      <c r="AN407">
        <f>IF(ISBLANK('Data Entry'!h407), "", 'Data Entry'!h407)</f>
      </c>
    </row>
    <row r="408" spans="1:40" x14ac:dyDescent="0.25">
      <c r="A408">
        <f>IF(ISBLANK('Data Entry'!A408), "", 'Data Entry'!A408)</f>
      </c>
      <c r="B408">
        <f>IF(ISBLANK('Data Entry'!B408), "", 'Data Entry'!B408)</f>
      </c>
      <c r="C408">
        <f>IF(ISBLANK('Data Entry'!C408), "", 'Data Entry'!C408)</f>
      </c>
      <c r="D408">
        <f>IF(ISBLANK('Data Entry'!D408), "", 'Data Entry'!D408)</f>
      </c>
      <c r="E408">
        <f>IF(ISBLANK('Data Entry'!E408), "", 'Data Entry'!E408)</f>
      </c>
      <c r="F408">
        <f>IF(ISBLANK('Data Entry'!F408), "", 'Data Entry'!F408)</f>
      </c>
      <c r="G408">
        <f>IF(ISBLANK('Data Entry'!G408), "", 'Data Entry'!G408)</f>
      </c>
      <c r="H408">
        <f>IF(ISBLANK('Data Entry'!H408), "", 'Data Entry'!H408)</f>
      </c>
      <c r="I408">
        <f>IF(ISBLANK('Data Entry'!I408), "", 'Data Entry'!I408)</f>
      </c>
      <c r="J408">
        <f>IF(ISBLANK('Data Entry'!J408), "", 'Data Entry'!J408)</f>
      </c>
      <c r="K408">
        <f>IF(ISBLANK('Data Entry'!K408), "", 'Data Entry'!K408)</f>
      </c>
      <c r="L408">
        <f>IF(ISBLANK('Data Entry'!L408), "", 'Data Entry'!L408)</f>
      </c>
      <c r="M408">
        <f>IF(ISBLANK('Data Entry'!M408), "", 'Data Entry'!M408)</f>
      </c>
      <c r="N408">
        <f>IF(ISBLANK('Data Entry'!N408), "", 'Data Entry'!N408)</f>
      </c>
      <c r="O408">
        <f>IF(ISBLANK('Data Entry'!O408), "", 'Data Entry'!O408)</f>
      </c>
      <c r="P408">
        <f>IF(ISBLANK('Data Entry'!P408), "", 'Data Entry'!P408)</f>
      </c>
      <c r="Q408">
        <f>IF(ISBLANK('Data Entry'!Q408), "", 'Data Entry'!Q408)</f>
      </c>
      <c r="R408">
        <f>IF(ISBLANK('Data Entry'!R408), "", 'Data Entry'!R408)</f>
      </c>
      <c r="S408">
        <f>IF(ISBLANK('Data Entry'!S408), "", 'Data Entry'!S408)</f>
      </c>
      <c r="T408">
        <f>IF(ISBLANK('Data Entry'!T408), "", 'Data Entry'!T408)</f>
      </c>
      <c r="U408">
        <f>IF(ISBLANK('Data Entry'!U408), "", 'Data Entry'!U408)</f>
      </c>
      <c r="V408">
        <f>IF(ISBLANK('Data Entry'!V408), "", 'Data Entry'!V408)</f>
      </c>
      <c r="W408">
        <f>IF(ISBLANK('Data Entry'!W408), "", 'Data Entry'!W408)</f>
      </c>
      <c r="X408">
        <f>IF(ISBLANK('Data Entry'!X408), "", 'Data Entry'!X408)</f>
      </c>
      <c r="Y408">
        <f>IF(ISBLANK('Data Entry'!Y408), "", 'Data Entry'!Y408)</f>
      </c>
      <c r="Z408">
        <f>IF(ISBLANK('Data Entry'!Z408), "", 'Data Entry'!Z408)</f>
      </c>
      <c r="AA408">
        <f>IF(ISBLANK('Data Entry'![408), "", 'Data Entry'![408)</f>
      </c>
      <c r="AB408">
        <f>IF(ISBLANK('Data Entry'!\408), "", 'Data Entry'!\408)</f>
      </c>
      <c r="AC408">
        <f>IF(ISBLANK('Data Entry'!]408), "", 'Data Entry'!]408)</f>
      </c>
      <c r="AD408">
        <f>IF(ISBLANK('Data Entry'!^408), "", 'Data Entry'!^408)</f>
      </c>
      <c r="AE408">
        <f>IF(ISBLANK('Data Entry'!_408), "", 'Data Entry'!_408)</f>
      </c>
      <c r="AF408">
        <f>IF(ISBLANK('Data Entry'!`408), "", 'Data Entry'!`408)</f>
      </c>
      <c r="AG408">
        <f>IF(ISBLANK('Data Entry'!a408), "", 'Data Entry'!a408)</f>
      </c>
      <c r="AH408">
        <f>IF(ISBLANK('Data Entry'!b408), "", 'Data Entry'!b408)</f>
      </c>
      <c r="AI408">
        <f>IF(ISBLANK('Data Entry'!c408), "", 'Data Entry'!c408)</f>
      </c>
      <c r="AJ408">
        <f>IF(ISBLANK('Data Entry'!d408), "", 'Data Entry'!d408)</f>
      </c>
      <c r="AK408">
        <f>IF(ISBLANK('Data Entry'!e408), "", 'Data Entry'!e408)</f>
      </c>
      <c r="AL408">
        <f>IF(ISBLANK('Data Entry'!f408), "", 'Data Entry'!f408)</f>
      </c>
      <c r="AM408">
        <f>IF(ISBLANK('Data Entry'!g408), "", 'Data Entry'!g408)</f>
      </c>
      <c r="AN408">
        <f>IF(ISBLANK('Data Entry'!h408), "", 'Data Entry'!h408)</f>
      </c>
    </row>
    <row r="409" spans="1:40" x14ac:dyDescent="0.25">
      <c r="A409">
        <f>IF(ISBLANK('Data Entry'!A409), "", 'Data Entry'!A409)</f>
      </c>
      <c r="B409">
        <f>IF(ISBLANK('Data Entry'!B409), "", 'Data Entry'!B409)</f>
      </c>
      <c r="C409">
        <f>IF(ISBLANK('Data Entry'!C409), "", 'Data Entry'!C409)</f>
      </c>
      <c r="D409">
        <f>IF(ISBLANK('Data Entry'!D409), "", 'Data Entry'!D409)</f>
      </c>
      <c r="E409">
        <f>IF(ISBLANK('Data Entry'!E409), "", 'Data Entry'!E409)</f>
      </c>
      <c r="F409">
        <f>IF(ISBLANK('Data Entry'!F409), "", 'Data Entry'!F409)</f>
      </c>
      <c r="G409">
        <f>IF(ISBLANK('Data Entry'!G409), "", 'Data Entry'!G409)</f>
      </c>
      <c r="H409">
        <f>IF(ISBLANK('Data Entry'!H409), "", 'Data Entry'!H409)</f>
      </c>
      <c r="I409">
        <f>IF(ISBLANK('Data Entry'!I409), "", 'Data Entry'!I409)</f>
      </c>
      <c r="J409">
        <f>IF(ISBLANK('Data Entry'!J409), "", 'Data Entry'!J409)</f>
      </c>
      <c r="K409">
        <f>IF(ISBLANK('Data Entry'!K409), "", 'Data Entry'!K409)</f>
      </c>
      <c r="L409">
        <f>IF(ISBLANK('Data Entry'!L409), "", 'Data Entry'!L409)</f>
      </c>
      <c r="M409">
        <f>IF(ISBLANK('Data Entry'!M409), "", 'Data Entry'!M409)</f>
      </c>
      <c r="N409">
        <f>IF(ISBLANK('Data Entry'!N409), "", 'Data Entry'!N409)</f>
      </c>
      <c r="O409">
        <f>IF(ISBLANK('Data Entry'!O409), "", 'Data Entry'!O409)</f>
      </c>
      <c r="P409">
        <f>IF(ISBLANK('Data Entry'!P409), "", 'Data Entry'!P409)</f>
      </c>
      <c r="Q409">
        <f>IF(ISBLANK('Data Entry'!Q409), "", 'Data Entry'!Q409)</f>
      </c>
      <c r="R409">
        <f>IF(ISBLANK('Data Entry'!R409), "", 'Data Entry'!R409)</f>
      </c>
      <c r="S409">
        <f>IF(ISBLANK('Data Entry'!S409), "", 'Data Entry'!S409)</f>
      </c>
      <c r="T409">
        <f>IF(ISBLANK('Data Entry'!T409), "", 'Data Entry'!T409)</f>
      </c>
      <c r="U409">
        <f>IF(ISBLANK('Data Entry'!U409), "", 'Data Entry'!U409)</f>
      </c>
      <c r="V409">
        <f>IF(ISBLANK('Data Entry'!V409), "", 'Data Entry'!V409)</f>
      </c>
      <c r="W409">
        <f>IF(ISBLANK('Data Entry'!W409), "", 'Data Entry'!W409)</f>
      </c>
      <c r="X409">
        <f>IF(ISBLANK('Data Entry'!X409), "", 'Data Entry'!X409)</f>
      </c>
      <c r="Y409">
        <f>IF(ISBLANK('Data Entry'!Y409), "", 'Data Entry'!Y409)</f>
      </c>
      <c r="Z409">
        <f>IF(ISBLANK('Data Entry'!Z409), "", 'Data Entry'!Z409)</f>
      </c>
      <c r="AA409">
        <f>IF(ISBLANK('Data Entry'![409), "", 'Data Entry'![409)</f>
      </c>
      <c r="AB409">
        <f>IF(ISBLANK('Data Entry'!\409), "", 'Data Entry'!\409)</f>
      </c>
      <c r="AC409">
        <f>IF(ISBLANK('Data Entry'!]409), "", 'Data Entry'!]409)</f>
      </c>
      <c r="AD409">
        <f>IF(ISBLANK('Data Entry'!^409), "", 'Data Entry'!^409)</f>
      </c>
      <c r="AE409">
        <f>IF(ISBLANK('Data Entry'!_409), "", 'Data Entry'!_409)</f>
      </c>
      <c r="AF409">
        <f>IF(ISBLANK('Data Entry'!`409), "", 'Data Entry'!`409)</f>
      </c>
      <c r="AG409">
        <f>IF(ISBLANK('Data Entry'!a409), "", 'Data Entry'!a409)</f>
      </c>
      <c r="AH409">
        <f>IF(ISBLANK('Data Entry'!b409), "", 'Data Entry'!b409)</f>
      </c>
      <c r="AI409">
        <f>IF(ISBLANK('Data Entry'!c409), "", 'Data Entry'!c409)</f>
      </c>
      <c r="AJ409">
        <f>IF(ISBLANK('Data Entry'!d409), "", 'Data Entry'!d409)</f>
      </c>
      <c r="AK409">
        <f>IF(ISBLANK('Data Entry'!e409), "", 'Data Entry'!e409)</f>
      </c>
      <c r="AL409">
        <f>IF(ISBLANK('Data Entry'!f409), "", 'Data Entry'!f409)</f>
      </c>
      <c r="AM409">
        <f>IF(ISBLANK('Data Entry'!g409), "", 'Data Entry'!g409)</f>
      </c>
      <c r="AN409">
        <f>IF(ISBLANK('Data Entry'!h409), "", 'Data Entry'!h409)</f>
      </c>
    </row>
    <row r="410" spans="1:40" x14ac:dyDescent="0.25">
      <c r="A410">
        <f>IF(ISBLANK('Data Entry'!A410), "", 'Data Entry'!A410)</f>
      </c>
      <c r="B410">
        <f>IF(ISBLANK('Data Entry'!B410), "", 'Data Entry'!B410)</f>
      </c>
      <c r="C410">
        <f>IF(ISBLANK('Data Entry'!C410), "", 'Data Entry'!C410)</f>
      </c>
      <c r="D410">
        <f>IF(ISBLANK('Data Entry'!D410), "", 'Data Entry'!D410)</f>
      </c>
      <c r="E410">
        <f>IF(ISBLANK('Data Entry'!E410), "", 'Data Entry'!E410)</f>
      </c>
      <c r="F410">
        <f>IF(ISBLANK('Data Entry'!F410), "", 'Data Entry'!F410)</f>
      </c>
      <c r="G410">
        <f>IF(ISBLANK('Data Entry'!G410), "", 'Data Entry'!G410)</f>
      </c>
      <c r="H410">
        <f>IF(ISBLANK('Data Entry'!H410), "", 'Data Entry'!H410)</f>
      </c>
      <c r="I410">
        <f>IF(ISBLANK('Data Entry'!I410), "", 'Data Entry'!I410)</f>
      </c>
      <c r="J410">
        <f>IF(ISBLANK('Data Entry'!J410), "", 'Data Entry'!J410)</f>
      </c>
      <c r="K410">
        <f>IF(ISBLANK('Data Entry'!K410), "", 'Data Entry'!K410)</f>
      </c>
      <c r="L410">
        <f>IF(ISBLANK('Data Entry'!L410), "", 'Data Entry'!L410)</f>
      </c>
      <c r="M410">
        <f>IF(ISBLANK('Data Entry'!M410), "", 'Data Entry'!M410)</f>
      </c>
      <c r="N410">
        <f>IF(ISBLANK('Data Entry'!N410), "", 'Data Entry'!N410)</f>
      </c>
      <c r="O410">
        <f>IF(ISBLANK('Data Entry'!O410), "", 'Data Entry'!O410)</f>
      </c>
      <c r="P410">
        <f>IF(ISBLANK('Data Entry'!P410), "", 'Data Entry'!P410)</f>
      </c>
      <c r="Q410">
        <f>IF(ISBLANK('Data Entry'!Q410), "", 'Data Entry'!Q410)</f>
      </c>
      <c r="R410">
        <f>IF(ISBLANK('Data Entry'!R410), "", 'Data Entry'!R410)</f>
      </c>
      <c r="S410">
        <f>IF(ISBLANK('Data Entry'!S410), "", 'Data Entry'!S410)</f>
      </c>
      <c r="T410">
        <f>IF(ISBLANK('Data Entry'!T410), "", 'Data Entry'!T410)</f>
      </c>
      <c r="U410">
        <f>IF(ISBLANK('Data Entry'!U410), "", 'Data Entry'!U410)</f>
      </c>
      <c r="V410">
        <f>IF(ISBLANK('Data Entry'!V410), "", 'Data Entry'!V410)</f>
      </c>
      <c r="W410">
        <f>IF(ISBLANK('Data Entry'!W410), "", 'Data Entry'!W410)</f>
      </c>
      <c r="X410">
        <f>IF(ISBLANK('Data Entry'!X410), "", 'Data Entry'!X410)</f>
      </c>
      <c r="Y410">
        <f>IF(ISBLANK('Data Entry'!Y410), "", 'Data Entry'!Y410)</f>
      </c>
      <c r="Z410">
        <f>IF(ISBLANK('Data Entry'!Z410), "", 'Data Entry'!Z410)</f>
      </c>
      <c r="AA410">
        <f>IF(ISBLANK('Data Entry'![410), "", 'Data Entry'![410)</f>
      </c>
      <c r="AB410">
        <f>IF(ISBLANK('Data Entry'!\410), "", 'Data Entry'!\410)</f>
      </c>
      <c r="AC410">
        <f>IF(ISBLANK('Data Entry'!]410), "", 'Data Entry'!]410)</f>
      </c>
      <c r="AD410">
        <f>IF(ISBLANK('Data Entry'!^410), "", 'Data Entry'!^410)</f>
      </c>
      <c r="AE410">
        <f>IF(ISBLANK('Data Entry'!_410), "", 'Data Entry'!_410)</f>
      </c>
      <c r="AF410">
        <f>IF(ISBLANK('Data Entry'!`410), "", 'Data Entry'!`410)</f>
      </c>
      <c r="AG410">
        <f>IF(ISBLANK('Data Entry'!a410), "", 'Data Entry'!a410)</f>
      </c>
      <c r="AH410">
        <f>IF(ISBLANK('Data Entry'!b410), "", 'Data Entry'!b410)</f>
      </c>
      <c r="AI410">
        <f>IF(ISBLANK('Data Entry'!c410), "", 'Data Entry'!c410)</f>
      </c>
      <c r="AJ410">
        <f>IF(ISBLANK('Data Entry'!d410), "", 'Data Entry'!d410)</f>
      </c>
      <c r="AK410">
        <f>IF(ISBLANK('Data Entry'!e410), "", 'Data Entry'!e410)</f>
      </c>
      <c r="AL410">
        <f>IF(ISBLANK('Data Entry'!f410), "", 'Data Entry'!f410)</f>
      </c>
      <c r="AM410">
        <f>IF(ISBLANK('Data Entry'!g410), "", 'Data Entry'!g410)</f>
      </c>
      <c r="AN410">
        <f>IF(ISBLANK('Data Entry'!h410), "", 'Data Entry'!h410)</f>
      </c>
    </row>
    <row r="411" spans="1:40" x14ac:dyDescent="0.25">
      <c r="A411">
        <f>IF(ISBLANK('Data Entry'!A411), "", 'Data Entry'!A411)</f>
      </c>
      <c r="B411">
        <f>IF(ISBLANK('Data Entry'!B411), "", 'Data Entry'!B411)</f>
      </c>
      <c r="C411">
        <f>IF(ISBLANK('Data Entry'!C411), "", 'Data Entry'!C411)</f>
      </c>
      <c r="D411">
        <f>IF(ISBLANK('Data Entry'!D411), "", 'Data Entry'!D411)</f>
      </c>
      <c r="E411">
        <f>IF(ISBLANK('Data Entry'!E411), "", 'Data Entry'!E411)</f>
      </c>
      <c r="F411">
        <f>IF(ISBLANK('Data Entry'!F411), "", 'Data Entry'!F411)</f>
      </c>
      <c r="G411">
        <f>IF(ISBLANK('Data Entry'!G411), "", 'Data Entry'!G411)</f>
      </c>
      <c r="H411">
        <f>IF(ISBLANK('Data Entry'!H411), "", 'Data Entry'!H411)</f>
      </c>
      <c r="I411">
        <f>IF(ISBLANK('Data Entry'!I411), "", 'Data Entry'!I411)</f>
      </c>
      <c r="J411">
        <f>IF(ISBLANK('Data Entry'!J411), "", 'Data Entry'!J411)</f>
      </c>
      <c r="K411">
        <f>IF(ISBLANK('Data Entry'!K411), "", 'Data Entry'!K411)</f>
      </c>
      <c r="L411">
        <f>IF(ISBLANK('Data Entry'!L411), "", 'Data Entry'!L411)</f>
      </c>
      <c r="M411">
        <f>IF(ISBLANK('Data Entry'!M411), "", 'Data Entry'!M411)</f>
      </c>
      <c r="N411">
        <f>IF(ISBLANK('Data Entry'!N411), "", 'Data Entry'!N411)</f>
      </c>
      <c r="O411">
        <f>IF(ISBLANK('Data Entry'!O411), "", 'Data Entry'!O411)</f>
      </c>
      <c r="P411">
        <f>IF(ISBLANK('Data Entry'!P411), "", 'Data Entry'!P411)</f>
      </c>
      <c r="Q411">
        <f>IF(ISBLANK('Data Entry'!Q411), "", 'Data Entry'!Q411)</f>
      </c>
      <c r="R411">
        <f>IF(ISBLANK('Data Entry'!R411), "", 'Data Entry'!R411)</f>
      </c>
      <c r="S411">
        <f>IF(ISBLANK('Data Entry'!S411), "", 'Data Entry'!S411)</f>
      </c>
      <c r="T411">
        <f>IF(ISBLANK('Data Entry'!T411), "", 'Data Entry'!T411)</f>
      </c>
      <c r="U411">
        <f>IF(ISBLANK('Data Entry'!U411), "", 'Data Entry'!U411)</f>
      </c>
      <c r="V411">
        <f>IF(ISBLANK('Data Entry'!V411), "", 'Data Entry'!V411)</f>
      </c>
      <c r="W411">
        <f>IF(ISBLANK('Data Entry'!W411), "", 'Data Entry'!W411)</f>
      </c>
      <c r="X411">
        <f>IF(ISBLANK('Data Entry'!X411), "", 'Data Entry'!X411)</f>
      </c>
      <c r="Y411">
        <f>IF(ISBLANK('Data Entry'!Y411), "", 'Data Entry'!Y411)</f>
      </c>
      <c r="Z411">
        <f>IF(ISBLANK('Data Entry'!Z411), "", 'Data Entry'!Z411)</f>
      </c>
      <c r="AA411">
        <f>IF(ISBLANK('Data Entry'![411), "", 'Data Entry'![411)</f>
      </c>
      <c r="AB411">
        <f>IF(ISBLANK('Data Entry'!\411), "", 'Data Entry'!\411)</f>
      </c>
      <c r="AC411">
        <f>IF(ISBLANK('Data Entry'!]411), "", 'Data Entry'!]411)</f>
      </c>
      <c r="AD411">
        <f>IF(ISBLANK('Data Entry'!^411), "", 'Data Entry'!^411)</f>
      </c>
      <c r="AE411">
        <f>IF(ISBLANK('Data Entry'!_411), "", 'Data Entry'!_411)</f>
      </c>
      <c r="AF411">
        <f>IF(ISBLANK('Data Entry'!`411), "", 'Data Entry'!`411)</f>
      </c>
      <c r="AG411">
        <f>IF(ISBLANK('Data Entry'!a411), "", 'Data Entry'!a411)</f>
      </c>
      <c r="AH411">
        <f>IF(ISBLANK('Data Entry'!b411), "", 'Data Entry'!b411)</f>
      </c>
      <c r="AI411">
        <f>IF(ISBLANK('Data Entry'!c411), "", 'Data Entry'!c411)</f>
      </c>
      <c r="AJ411">
        <f>IF(ISBLANK('Data Entry'!d411), "", 'Data Entry'!d411)</f>
      </c>
      <c r="AK411">
        <f>IF(ISBLANK('Data Entry'!e411), "", 'Data Entry'!e411)</f>
      </c>
      <c r="AL411">
        <f>IF(ISBLANK('Data Entry'!f411), "", 'Data Entry'!f411)</f>
      </c>
      <c r="AM411">
        <f>IF(ISBLANK('Data Entry'!g411), "", 'Data Entry'!g411)</f>
      </c>
      <c r="AN411">
        <f>IF(ISBLANK('Data Entry'!h411), "", 'Data Entry'!h411)</f>
      </c>
    </row>
    <row r="412" spans="1:40" x14ac:dyDescent="0.25">
      <c r="A412">
        <f>IF(ISBLANK('Data Entry'!A412), "", 'Data Entry'!A412)</f>
      </c>
      <c r="B412">
        <f>IF(ISBLANK('Data Entry'!B412), "", 'Data Entry'!B412)</f>
      </c>
      <c r="C412">
        <f>IF(ISBLANK('Data Entry'!C412), "", 'Data Entry'!C412)</f>
      </c>
      <c r="D412">
        <f>IF(ISBLANK('Data Entry'!D412), "", 'Data Entry'!D412)</f>
      </c>
      <c r="E412">
        <f>IF(ISBLANK('Data Entry'!E412), "", 'Data Entry'!E412)</f>
      </c>
      <c r="F412">
        <f>IF(ISBLANK('Data Entry'!F412), "", 'Data Entry'!F412)</f>
      </c>
      <c r="G412">
        <f>IF(ISBLANK('Data Entry'!G412), "", 'Data Entry'!G412)</f>
      </c>
      <c r="H412">
        <f>IF(ISBLANK('Data Entry'!H412), "", 'Data Entry'!H412)</f>
      </c>
      <c r="I412">
        <f>IF(ISBLANK('Data Entry'!I412), "", 'Data Entry'!I412)</f>
      </c>
      <c r="J412">
        <f>IF(ISBLANK('Data Entry'!J412), "", 'Data Entry'!J412)</f>
      </c>
      <c r="K412">
        <f>IF(ISBLANK('Data Entry'!K412), "", 'Data Entry'!K412)</f>
      </c>
      <c r="L412">
        <f>IF(ISBLANK('Data Entry'!L412), "", 'Data Entry'!L412)</f>
      </c>
      <c r="M412">
        <f>IF(ISBLANK('Data Entry'!M412), "", 'Data Entry'!M412)</f>
      </c>
      <c r="N412">
        <f>IF(ISBLANK('Data Entry'!N412), "", 'Data Entry'!N412)</f>
      </c>
      <c r="O412">
        <f>IF(ISBLANK('Data Entry'!O412), "", 'Data Entry'!O412)</f>
      </c>
      <c r="P412">
        <f>IF(ISBLANK('Data Entry'!P412), "", 'Data Entry'!P412)</f>
      </c>
      <c r="Q412">
        <f>IF(ISBLANK('Data Entry'!Q412), "", 'Data Entry'!Q412)</f>
      </c>
      <c r="R412">
        <f>IF(ISBLANK('Data Entry'!R412), "", 'Data Entry'!R412)</f>
      </c>
      <c r="S412">
        <f>IF(ISBLANK('Data Entry'!S412), "", 'Data Entry'!S412)</f>
      </c>
      <c r="T412">
        <f>IF(ISBLANK('Data Entry'!T412), "", 'Data Entry'!T412)</f>
      </c>
      <c r="U412">
        <f>IF(ISBLANK('Data Entry'!U412), "", 'Data Entry'!U412)</f>
      </c>
      <c r="V412">
        <f>IF(ISBLANK('Data Entry'!V412), "", 'Data Entry'!V412)</f>
      </c>
      <c r="W412">
        <f>IF(ISBLANK('Data Entry'!W412), "", 'Data Entry'!W412)</f>
      </c>
      <c r="X412">
        <f>IF(ISBLANK('Data Entry'!X412), "", 'Data Entry'!X412)</f>
      </c>
      <c r="Y412">
        <f>IF(ISBLANK('Data Entry'!Y412), "", 'Data Entry'!Y412)</f>
      </c>
      <c r="Z412">
        <f>IF(ISBLANK('Data Entry'!Z412), "", 'Data Entry'!Z412)</f>
      </c>
      <c r="AA412">
        <f>IF(ISBLANK('Data Entry'![412), "", 'Data Entry'![412)</f>
      </c>
      <c r="AB412">
        <f>IF(ISBLANK('Data Entry'!\412), "", 'Data Entry'!\412)</f>
      </c>
      <c r="AC412">
        <f>IF(ISBLANK('Data Entry'!]412), "", 'Data Entry'!]412)</f>
      </c>
      <c r="AD412">
        <f>IF(ISBLANK('Data Entry'!^412), "", 'Data Entry'!^412)</f>
      </c>
      <c r="AE412">
        <f>IF(ISBLANK('Data Entry'!_412), "", 'Data Entry'!_412)</f>
      </c>
      <c r="AF412">
        <f>IF(ISBLANK('Data Entry'!`412), "", 'Data Entry'!`412)</f>
      </c>
      <c r="AG412">
        <f>IF(ISBLANK('Data Entry'!a412), "", 'Data Entry'!a412)</f>
      </c>
      <c r="AH412">
        <f>IF(ISBLANK('Data Entry'!b412), "", 'Data Entry'!b412)</f>
      </c>
      <c r="AI412">
        <f>IF(ISBLANK('Data Entry'!c412), "", 'Data Entry'!c412)</f>
      </c>
      <c r="AJ412">
        <f>IF(ISBLANK('Data Entry'!d412), "", 'Data Entry'!d412)</f>
      </c>
      <c r="AK412">
        <f>IF(ISBLANK('Data Entry'!e412), "", 'Data Entry'!e412)</f>
      </c>
      <c r="AL412">
        <f>IF(ISBLANK('Data Entry'!f412), "", 'Data Entry'!f412)</f>
      </c>
      <c r="AM412">
        <f>IF(ISBLANK('Data Entry'!g412), "", 'Data Entry'!g412)</f>
      </c>
      <c r="AN412">
        <f>IF(ISBLANK('Data Entry'!h412), "", 'Data Entry'!h412)</f>
      </c>
    </row>
    <row r="413" spans="1:40" x14ac:dyDescent="0.25">
      <c r="A413">
        <f>IF(ISBLANK('Data Entry'!A413), "", 'Data Entry'!A413)</f>
      </c>
      <c r="B413">
        <f>IF(ISBLANK('Data Entry'!B413), "", 'Data Entry'!B413)</f>
      </c>
      <c r="C413">
        <f>IF(ISBLANK('Data Entry'!C413), "", 'Data Entry'!C413)</f>
      </c>
      <c r="D413">
        <f>IF(ISBLANK('Data Entry'!D413), "", 'Data Entry'!D413)</f>
      </c>
      <c r="E413">
        <f>IF(ISBLANK('Data Entry'!E413), "", 'Data Entry'!E413)</f>
      </c>
      <c r="F413">
        <f>IF(ISBLANK('Data Entry'!F413), "", 'Data Entry'!F413)</f>
      </c>
      <c r="G413">
        <f>IF(ISBLANK('Data Entry'!G413), "", 'Data Entry'!G413)</f>
      </c>
      <c r="H413">
        <f>IF(ISBLANK('Data Entry'!H413), "", 'Data Entry'!H413)</f>
      </c>
      <c r="I413">
        <f>IF(ISBLANK('Data Entry'!I413), "", 'Data Entry'!I413)</f>
      </c>
      <c r="J413">
        <f>IF(ISBLANK('Data Entry'!J413), "", 'Data Entry'!J413)</f>
      </c>
      <c r="K413">
        <f>IF(ISBLANK('Data Entry'!K413), "", 'Data Entry'!K413)</f>
      </c>
      <c r="L413">
        <f>IF(ISBLANK('Data Entry'!L413), "", 'Data Entry'!L413)</f>
      </c>
      <c r="M413">
        <f>IF(ISBLANK('Data Entry'!M413), "", 'Data Entry'!M413)</f>
      </c>
      <c r="N413">
        <f>IF(ISBLANK('Data Entry'!N413), "", 'Data Entry'!N413)</f>
      </c>
      <c r="O413">
        <f>IF(ISBLANK('Data Entry'!O413), "", 'Data Entry'!O413)</f>
      </c>
      <c r="P413">
        <f>IF(ISBLANK('Data Entry'!P413), "", 'Data Entry'!P413)</f>
      </c>
      <c r="Q413">
        <f>IF(ISBLANK('Data Entry'!Q413), "", 'Data Entry'!Q413)</f>
      </c>
      <c r="R413">
        <f>IF(ISBLANK('Data Entry'!R413), "", 'Data Entry'!R413)</f>
      </c>
      <c r="S413">
        <f>IF(ISBLANK('Data Entry'!S413), "", 'Data Entry'!S413)</f>
      </c>
      <c r="T413">
        <f>IF(ISBLANK('Data Entry'!T413), "", 'Data Entry'!T413)</f>
      </c>
      <c r="U413">
        <f>IF(ISBLANK('Data Entry'!U413), "", 'Data Entry'!U413)</f>
      </c>
      <c r="V413">
        <f>IF(ISBLANK('Data Entry'!V413), "", 'Data Entry'!V413)</f>
      </c>
      <c r="W413">
        <f>IF(ISBLANK('Data Entry'!W413), "", 'Data Entry'!W413)</f>
      </c>
      <c r="X413">
        <f>IF(ISBLANK('Data Entry'!X413), "", 'Data Entry'!X413)</f>
      </c>
      <c r="Y413">
        <f>IF(ISBLANK('Data Entry'!Y413), "", 'Data Entry'!Y413)</f>
      </c>
      <c r="Z413">
        <f>IF(ISBLANK('Data Entry'!Z413), "", 'Data Entry'!Z413)</f>
      </c>
      <c r="AA413">
        <f>IF(ISBLANK('Data Entry'![413), "", 'Data Entry'![413)</f>
      </c>
      <c r="AB413">
        <f>IF(ISBLANK('Data Entry'!\413), "", 'Data Entry'!\413)</f>
      </c>
      <c r="AC413">
        <f>IF(ISBLANK('Data Entry'!]413), "", 'Data Entry'!]413)</f>
      </c>
      <c r="AD413">
        <f>IF(ISBLANK('Data Entry'!^413), "", 'Data Entry'!^413)</f>
      </c>
      <c r="AE413">
        <f>IF(ISBLANK('Data Entry'!_413), "", 'Data Entry'!_413)</f>
      </c>
      <c r="AF413">
        <f>IF(ISBLANK('Data Entry'!`413), "", 'Data Entry'!`413)</f>
      </c>
      <c r="AG413">
        <f>IF(ISBLANK('Data Entry'!a413), "", 'Data Entry'!a413)</f>
      </c>
      <c r="AH413">
        <f>IF(ISBLANK('Data Entry'!b413), "", 'Data Entry'!b413)</f>
      </c>
      <c r="AI413">
        <f>IF(ISBLANK('Data Entry'!c413), "", 'Data Entry'!c413)</f>
      </c>
      <c r="AJ413">
        <f>IF(ISBLANK('Data Entry'!d413), "", 'Data Entry'!d413)</f>
      </c>
      <c r="AK413">
        <f>IF(ISBLANK('Data Entry'!e413), "", 'Data Entry'!e413)</f>
      </c>
      <c r="AL413">
        <f>IF(ISBLANK('Data Entry'!f413), "", 'Data Entry'!f413)</f>
      </c>
      <c r="AM413">
        <f>IF(ISBLANK('Data Entry'!g413), "", 'Data Entry'!g413)</f>
      </c>
      <c r="AN413">
        <f>IF(ISBLANK('Data Entry'!h413), "", 'Data Entry'!h413)</f>
      </c>
    </row>
    <row r="414" spans="1:40" x14ac:dyDescent="0.25">
      <c r="A414">
        <f>IF(ISBLANK('Data Entry'!A414), "", 'Data Entry'!A414)</f>
      </c>
      <c r="B414">
        <f>IF(ISBLANK('Data Entry'!B414), "", 'Data Entry'!B414)</f>
      </c>
      <c r="C414">
        <f>IF(ISBLANK('Data Entry'!C414), "", 'Data Entry'!C414)</f>
      </c>
      <c r="D414">
        <f>IF(ISBLANK('Data Entry'!D414), "", 'Data Entry'!D414)</f>
      </c>
      <c r="E414">
        <f>IF(ISBLANK('Data Entry'!E414), "", 'Data Entry'!E414)</f>
      </c>
      <c r="F414">
        <f>IF(ISBLANK('Data Entry'!F414), "", 'Data Entry'!F414)</f>
      </c>
      <c r="G414">
        <f>IF(ISBLANK('Data Entry'!G414), "", 'Data Entry'!G414)</f>
      </c>
      <c r="H414">
        <f>IF(ISBLANK('Data Entry'!H414), "", 'Data Entry'!H414)</f>
      </c>
      <c r="I414">
        <f>IF(ISBLANK('Data Entry'!I414), "", 'Data Entry'!I414)</f>
      </c>
      <c r="J414">
        <f>IF(ISBLANK('Data Entry'!J414), "", 'Data Entry'!J414)</f>
      </c>
      <c r="K414">
        <f>IF(ISBLANK('Data Entry'!K414), "", 'Data Entry'!K414)</f>
      </c>
      <c r="L414">
        <f>IF(ISBLANK('Data Entry'!L414), "", 'Data Entry'!L414)</f>
      </c>
      <c r="M414">
        <f>IF(ISBLANK('Data Entry'!M414), "", 'Data Entry'!M414)</f>
      </c>
      <c r="N414">
        <f>IF(ISBLANK('Data Entry'!N414), "", 'Data Entry'!N414)</f>
      </c>
      <c r="O414">
        <f>IF(ISBLANK('Data Entry'!O414), "", 'Data Entry'!O414)</f>
      </c>
      <c r="P414">
        <f>IF(ISBLANK('Data Entry'!P414), "", 'Data Entry'!P414)</f>
      </c>
      <c r="Q414">
        <f>IF(ISBLANK('Data Entry'!Q414), "", 'Data Entry'!Q414)</f>
      </c>
      <c r="R414">
        <f>IF(ISBLANK('Data Entry'!R414), "", 'Data Entry'!R414)</f>
      </c>
      <c r="S414">
        <f>IF(ISBLANK('Data Entry'!S414), "", 'Data Entry'!S414)</f>
      </c>
      <c r="T414">
        <f>IF(ISBLANK('Data Entry'!T414), "", 'Data Entry'!T414)</f>
      </c>
      <c r="U414">
        <f>IF(ISBLANK('Data Entry'!U414), "", 'Data Entry'!U414)</f>
      </c>
      <c r="V414">
        <f>IF(ISBLANK('Data Entry'!V414), "", 'Data Entry'!V414)</f>
      </c>
      <c r="W414">
        <f>IF(ISBLANK('Data Entry'!W414), "", 'Data Entry'!W414)</f>
      </c>
      <c r="X414">
        <f>IF(ISBLANK('Data Entry'!X414), "", 'Data Entry'!X414)</f>
      </c>
      <c r="Y414">
        <f>IF(ISBLANK('Data Entry'!Y414), "", 'Data Entry'!Y414)</f>
      </c>
      <c r="Z414">
        <f>IF(ISBLANK('Data Entry'!Z414), "", 'Data Entry'!Z414)</f>
      </c>
      <c r="AA414">
        <f>IF(ISBLANK('Data Entry'![414), "", 'Data Entry'![414)</f>
      </c>
      <c r="AB414">
        <f>IF(ISBLANK('Data Entry'!\414), "", 'Data Entry'!\414)</f>
      </c>
      <c r="AC414">
        <f>IF(ISBLANK('Data Entry'!]414), "", 'Data Entry'!]414)</f>
      </c>
      <c r="AD414">
        <f>IF(ISBLANK('Data Entry'!^414), "", 'Data Entry'!^414)</f>
      </c>
      <c r="AE414">
        <f>IF(ISBLANK('Data Entry'!_414), "", 'Data Entry'!_414)</f>
      </c>
      <c r="AF414">
        <f>IF(ISBLANK('Data Entry'!`414), "", 'Data Entry'!`414)</f>
      </c>
      <c r="AG414">
        <f>IF(ISBLANK('Data Entry'!a414), "", 'Data Entry'!a414)</f>
      </c>
      <c r="AH414">
        <f>IF(ISBLANK('Data Entry'!b414), "", 'Data Entry'!b414)</f>
      </c>
      <c r="AI414">
        <f>IF(ISBLANK('Data Entry'!c414), "", 'Data Entry'!c414)</f>
      </c>
      <c r="AJ414">
        <f>IF(ISBLANK('Data Entry'!d414), "", 'Data Entry'!d414)</f>
      </c>
      <c r="AK414">
        <f>IF(ISBLANK('Data Entry'!e414), "", 'Data Entry'!e414)</f>
      </c>
      <c r="AL414">
        <f>IF(ISBLANK('Data Entry'!f414), "", 'Data Entry'!f414)</f>
      </c>
      <c r="AM414">
        <f>IF(ISBLANK('Data Entry'!g414), "", 'Data Entry'!g414)</f>
      </c>
      <c r="AN414">
        <f>IF(ISBLANK('Data Entry'!h414), "", 'Data Entry'!h414)</f>
      </c>
    </row>
    <row r="415" spans="1:40" x14ac:dyDescent="0.25">
      <c r="A415">
        <f>IF(ISBLANK('Data Entry'!A415), "", 'Data Entry'!A415)</f>
      </c>
      <c r="B415">
        <f>IF(ISBLANK('Data Entry'!B415), "", 'Data Entry'!B415)</f>
      </c>
      <c r="C415">
        <f>IF(ISBLANK('Data Entry'!C415), "", 'Data Entry'!C415)</f>
      </c>
      <c r="D415">
        <f>IF(ISBLANK('Data Entry'!D415), "", 'Data Entry'!D415)</f>
      </c>
      <c r="E415">
        <f>IF(ISBLANK('Data Entry'!E415), "", 'Data Entry'!E415)</f>
      </c>
      <c r="F415">
        <f>IF(ISBLANK('Data Entry'!F415), "", 'Data Entry'!F415)</f>
      </c>
      <c r="G415">
        <f>IF(ISBLANK('Data Entry'!G415), "", 'Data Entry'!G415)</f>
      </c>
      <c r="H415">
        <f>IF(ISBLANK('Data Entry'!H415), "", 'Data Entry'!H415)</f>
      </c>
      <c r="I415">
        <f>IF(ISBLANK('Data Entry'!I415), "", 'Data Entry'!I415)</f>
      </c>
      <c r="J415">
        <f>IF(ISBLANK('Data Entry'!J415), "", 'Data Entry'!J415)</f>
      </c>
      <c r="K415">
        <f>IF(ISBLANK('Data Entry'!K415), "", 'Data Entry'!K415)</f>
      </c>
      <c r="L415">
        <f>IF(ISBLANK('Data Entry'!L415), "", 'Data Entry'!L415)</f>
      </c>
      <c r="M415">
        <f>IF(ISBLANK('Data Entry'!M415), "", 'Data Entry'!M415)</f>
      </c>
      <c r="N415">
        <f>IF(ISBLANK('Data Entry'!N415), "", 'Data Entry'!N415)</f>
      </c>
      <c r="O415">
        <f>IF(ISBLANK('Data Entry'!O415), "", 'Data Entry'!O415)</f>
      </c>
      <c r="P415">
        <f>IF(ISBLANK('Data Entry'!P415), "", 'Data Entry'!P415)</f>
      </c>
      <c r="Q415">
        <f>IF(ISBLANK('Data Entry'!Q415), "", 'Data Entry'!Q415)</f>
      </c>
      <c r="R415">
        <f>IF(ISBLANK('Data Entry'!R415), "", 'Data Entry'!R415)</f>
      </c>
      <c r="S415">
        <f>IF(ISBLANK('Data Entry'!S415), "", 'Data Entry'!S415)</f>
      </c>
      <c r="T415">
        <f>IF(ISBLANK('Data Entry'!T415), "", 'Data Entry'!T415)</f>
      </c>
      <c r="U415">
        <f>IF(ISBLANK('Data Entry'!U415), "", 'Data Entry'!U415)</f>
      </c>
      <c r="V415">
        <f>IF(ISBLANK('Data Entry'!V415), "", 'Data Entry'!V415)</f>
      </c>
      <c r="W415">
        <f>IF(ISBLANK('Data Entry'!W415), "", 'Data Entry'!W415)</f>
      </c>
      <c r="X415">
        <f>IF(ISBLANK('Data Entry'!X415), "", 'Data Entry'!X415)</f>
      </c>
      <c r="Y415">
        <f>IF(ISBLANK('Data Entry'!Y415), "", 'Data Entry'!Y415)</f>
      </c>
      <c r="Z415">
        <f>IF(ISBLANK('Data Entry'!Z415), "", 'Data Entry'!Z415)</f>
      </c>
      <c r="AA415">
        <f>IF(ISBLANK('Data Entry'![415), "", 'Data Entry'![415)</f>
      </c>
      <c r="AB415">
        <f>IF(ISBLANK('Data Entry'!\415), "", 'Data Entry'!\415)</f>
      </c>
      <c r="AC415">
        <f>IF(ISBLANK('Data Entry'!]415), "", 'Data Entry'!]415)</f>
      </c>
      <c r="AD415">
        <f>IF(ISBLANK('Data Entry'!^415), "", 'Data Entry'!^415)</f>
      </c>
      <c r="AE415">
        <f>IF(ISBLANK('Data Entry'!_415), "", 'Data Entry'!_415)</f>
      </c>
      <c r="AF415">
        <f>IF(ISBLANK('Data Entry'!`415), "", 'Data Entry'!`415)</f>
      </c>
      <c r="AG415">
        <f>IF(ISBLANK('Data Entry'!a415), "", 'Data Entry'!a415)</f>
      </c>
      <c r="AH415">
        <f>IF(ISBLANK('Data Entry'!b415), "", 'Data Entry'!b415)</f>
      </c>
      <c r="AI415">
        <f>IF(ISBLANK('Data Entry'!c415), "", 'Data Entry'!c415)</f>
      </c>
      <c r="AJ415">
        <f>IF(ISBLANK('Data Entry'!d415), "", 'Data Entry'!d415)</f>
      </c>
      <c r="AK415">
        <f>IF(ISBLANK('Data Entry'!e415), "", 'Data Entry'!e415)</f>
      </c>
      <c r="AL415">
        <f>IF(ISBLANK('Data Entry'!f415), "", 'Data Entry'!f415)</f>
      </c>
      <c r="AM415">
        <f>IF(ISBLANK('Data Entry'!g415), "", 'Data Entry'!g415)</f>
      </c>
      <c r="AN415">
        <f>IF(ISBLANK('Data Entry'!h415), "", 'Data Entry'!h415)</f>
      </c>
    </row>
    <row r="416" spans="1:40" x14ac:dyDescent="0.25">
      <c r="A416">
        <f>IF(ISBLANK('Data Entry'!A416), "", 'Data Entry'!A416)</f>
      </c>
      <c r="B416">
        <f>IF(ISBLANK('Data Entry'!B416), "", 'Data Entry'!B416)</f>
      </c>
      <c r="C416">
        <f>IF(ISBLANK('Data Entry'!C416), "", 'Data Entry'!C416)</f>
      </c>
      <c r="D416">
        <f>IF(ISBLANK('Data Entry'!D416), "", 'Data Entry'!D416)</f>
      </c>
      <c r="E416">
        <f>IF(ISBLANK('Data Entry'!E416), "", 'Data Entry'!E416)</f>
      </c>
      <c r="F416">
        <f>IF(ISBLANK('Data Entry'!F416), "", 'Data Entry'!F416)</f>
      </c>
      <c r="G416">
        <f>IF(ISBLANK('Data Entry'!G416), "", 'Data Entry'!G416)</f>
      </c>
      <c r="H416">
        <f>IF(ISBLANK('Data Entry'!H416), "", 'Data Entry'!H416)</f>
      </c>
      <c r="I416">
        <f>IF(ISBLANK('Data Entry'!I416), "", 'Data Entry'!I416)</f>
      </c>
      <c r="J416">
        <f>IF(ISBLANK('Data Entry'!J416), "", 'Data Entry'!J416)</f>
      </c>
      <c r="K416">
        <f>IF(ISBLANK('Data Entry'!K416), "", 'Data Entry'!K416)</f>
      </c>
      <c r="L416">
        <f>IF(ISBLANK('Data Entry'!L416), "", 'Data Entry'!L416)</f>
      </c>
      <c r="M416">
        <f>IF(ISBLANK('Data Entry'!M416), "", 'Data Entry'!M416)</f>
      </c>
      <c r="N416">
        <f>IF(ISBLANK('Data Entry'!N416), "", 'Data Entry'!N416)</f>
      </c>
      <c r="O416">
        <f>IF(ISBLANK('Data Entry'!O416), "", 'Data Entry'!O416)</f>
      </c>
      <c r="P416">
        <f>IF(ISBLANK('Data Entry'!P416), "", 'Data Entry'!P416)</f>
      </c>
      <c r="Q416">
        <f>IF(ISBLANK('Data Entry'!Q416), "", 'Data Entry'!Q416)</f>
      </c>
      <c r="R416">
        <f>IF(ISBLANK('Data Entry'!R416), "", 'Data Entry'!R416)</f>
      </c>
      <c r="S416">
        <f>IF(ISBLANK('Data Entry'!S416), "", 'Data Entry'!S416)</f>
      </c>
      <c r="T416">
        <f>IF(ISBLANK('Data Entry'!T416), "", 'Data Entry'!T416)</f>
      </c>
      <c r="U416">
        <f>IF(ISBLANK('Data Entry'!U416), "", 'Data Entry'!U416)</f>
      </c>
      <c r="V416">
        <f>IF(ISBLANK('Data Entry'!V416), "", 'Data Entry'!V416)</f>
      </c>
      <c r="W416">
        <f>IF(ISBLANK('Data Entry'!W416), "", 'Data Entry'!W416)</f>
      </c>
      <c r="X416">
        <f>IF(ISBLANK('Data Entry'!X416), "", 'Data Entry'!X416)</f>
      </c>
      <c r="Y416">
        <f>IF(ISBLANK('Data Entry'!Y416), "", 'Data Entry'!Y416)</f>
      </c>
      <c r="Z416">
        <f>IF(ISBLANK('Data Entry'!Z416), "", 'Data Entry'!Z416)</f>
      </c>
      <c r="AA416">
        <f>IF(ISBLANK('Data Entry'![416), "", 'Data Entry'![416)</f>
      </c>
      <c r="AB416">
        <f>IF(ISBLANK('Data Entry'!\416), "", 'Data Entry'!\416)</f>
      </c>
      <c r="AC416">
        <f>IF(ISBLANK('Data Entry'!]416), "", 'Data Entry'!]416)</f>
      </c>
      <c r="AD416">
        <f>IF(ISBLANK('Data Entry'!^416), "", 'Data Entry'!^416)</f>
      </c>
      <c r="AE416">
        <f>IF(ISBLANK('Data Entry'!_416), "", 'Data Entry'!_416)</f>
      </c>
      <c r="AF416">
        <f>IF(ISBLANK('Data Entry'!`416), "", 'Data Entry'!`416)</f>
      </c>
      <c r="AG416">
        <f>IF(ISBLANK('Data Entry'!a416), "", 'Data Entry'!a416)</f>
      </c>
      <c r="AH416">
        <f>IF(ISBLANK('Data Entry'!b416), "", 'Data Entry'!b416)</f>
      </c>
      <c r="AI416">
        <f>IF(ISBLANK('Data Entry'!c416), "", 'Data Entry'!c416)</f>
      </c>
      <c r="AJ416">
        <f>IF(ISBLANK('Data Entry'!d416), "", 'Data Entry'!d416)</f>
      </c>
      <c r="AK416">
        <f>IF(ISBLANK('Data Entry'!e416), "", 'Data Entry'!e416)</f>
      </c>
      <c r="AL416">
        <f>IF(ISBLANK('Data Entry'!f416), "", 'Data Entry'!f416)</f>
      </c>
      <c r="AM416">
        <f>IF(ISBLANK('Data Entry'!g416), "", 'Data Entry'!g416)</f>
      </c>
      <c r="AN416">
        <f>IF(ISBLANK('Data Entry'!h416), "", 'Data Entry'!h416)</f>
      </c>
    </row>
    <row r="417" spans="1:40" x14ac:dyDescent="0.25">
      <c r="A417">
        <f>IF(ISBLANK('Data Entry'!A417), "", 'Data Entry'!A417)</f>
      </c>
      <c r="B417">
        <f>IF(ISBLANK('Data Entry'!B417), "", 'Data Entry'!B417)</f>
      </c>
      <c r="C417">
        <f>IF(ISBLANK('Data Entry'!C417), "", 'Data Entry'!C417)</f>
      </c>
      <c r="D417">
        <f>IF(ISBLANK('Data Entry'!D417), "", 'Data Entry'!D417)</f>
      </c>
      <c r="E417">
        <f>IF(ISBLANK('Data Entry'!E417), "", 'Data Entry'!E417)</f>
      </c>
      <c r="F417">
        <f>IF(ISBLANK('Data Entry'!F417), "", 'Data Entry'!F417)</f>
      </c>
      <c r="G417">
        <f>IF(ISBLANK('Data Entry'!G417), "", 'Data Entry'!G417)</f>
      </c>
      <c r="H417">
        <f>IF(ISBLANK('Data Entry'!H417), "", 'Data Entry'!H417)</f>
      </c>
      <c r="I417">
        <f>IF(ISBLANK('Data Entry'!I417), "", 'Data Entry'!I417)</f>
      </c>
      <c r="J417">
        <f>IF(ISBLANK('Data Entry'!J417), "", 'Data Entry'!J417)</f>
      </c>
      <c r="K417">
        <f>IF(ISBLANK('Data Entry'!K417), "", 'Data Entry'!K417)</f>
      </c>
      <c r="L417">
        <f>IF(ISBLANK('Data Entry'!L417), "", 'Data Entry'!L417)</f>
      </c>
      <c r="M417">
        <f>IF(ISBLANK('Data Entry'!M417), "", 'Data Entry'!M417)</f>
      </c>
      <c r="N417">
        <f>IF(ISBLANK('Data Entry'!N417), "", 'Data Entry'!N417)</f>
      </c>
      <c r="O417">
        <f>IF(ISBLANK('Data Entry'!O417), "", 'Data Entry'!O417)</f>
      </c>
      <c r="P417">
        <f>IF(ISBLANK('Data Entry'!P417), "", 'Data Entry'!P417)</f>
      </c>
      <c r="Q417">
        <f>IF(ISBLANK('Data Entry'!Q417), "", 'Data Entry'!Q417)</f>
      </c>
      <c r="R417">
        <f>IF(ISBLANK('Data Entry'!R417), "", 'Data Entry'!R417)</f>
      </c>
      <c r="S417">
        <f>IF(ISBLANK('Data Entry'!S417), "", 'Data Entry'!S417)</f>
      </c>
      <c r="T417">
        <f>IF(ISBLANK('Data Entry'!T417), "", 'Data Entry'!T417)</f>
      </c>
      <c r="U417">
        <f>IF(ISBLANK('Data Entry'!U417), "", 'Data Entry'!U417)</f>
      </c>
      <c r="V417">
        <f>IF(ISBLANK('Data Entry'!V417), "", 'Data Entry'!V417)</f>
      </c>
      <c r="W417">
        <f>IF(ISBLANK('Data Entry'!W417), "", 'Data Entry'!W417)</f>
      </c>
      <c r="X417">
        <f>IF(ISBLANK('Data Entry'!X417), "", 'Data Entry'!X417)</f>
      </c>
      <c r="Y417">
        <f>IF(ISBLANK('Data Entry'!Y417), "", 'Data Entry'!Y417)</f>
      </c>
      <c r="Z417">
        <f>IF(ISBLANK('Data Entry'!Z417), "", 'Data Entry'!Z417)</f>
      </c>
      <c r="AA417">
        <f>IF(ISBLANK('Data Entry'![417), "", 'Data Entry'![417)</f>
      </c>
      <c r="AB417">
        <f>IF(ISBLANK('Data Entry'!\417), "", 'Data Entry'!\417)</f>
      </c>
      <c r="AC417">
        <f>IF(ISBLANK('Data Entry'!]417), "", 'Data Entry'!]417)</f>
      </c>
      <c r="AD417">
        <f>IF(ISBLANK('Data Entry'!^417), "", 'Data Entry'!^417)</f>
      </c>
      <c r="AE417">
        <f>IF(ISBLANK('Data Entry'!_417), "", 'Data Entry'!_417)</f>
      </c>
      <c r="AF417">
        <f>IF(ISBLANK('Data Entry'!`417), "", 'Data Entry'!`417)</f>
      </c>
      <c r="AG417">
        <f>IF(ISBLANK('Data Entry'!a417), "", 'Data Entry'!a417)</f>
      </c>
      <c r="AH417">
        <f>IF(ISBLANK('Data Entry'!b417), "", 'Data Entry'!b417)</f>
      </c>
      <c r="AI417">
        <f>IF(ISBLANK('Data Entry'!c417), "", 'Data Entry'!c417)</f>
      </c>
      <c r="AJ417">
        <f>IF(ISBLANK('Data Entry'!d417), "", 'Data Entry'!d417)</f>
      </c>
      <c r="AK417">
        <f>IF(ISBLANK('Data Entry'!e417), "", 'Data Entry'!e417)</f>
      </c>
      <c r="AL417">
        <f>IF(ISBLANK('Data Entry'!f417), "", 'Data Entry'!f417)</f>
      </c>
      <c r="AM417">
        <f>IF(ISBLANK('Data Entry'!g417), "", 'Data Entry'!g417)</f>
      </c>
      <c r="AN417">
        <f>IF(ISBLANK('Data Entry'!h417), "", 'Data Entry'!h417)</f>
      </c>
    </row>
    <row r="418" spans="1:40" x14ac:dyDescent="0.25">
      <c r="A418">
        <f>IF(ISBLANK('Data Entry'!A418), "", 'Data Entry'!A418)</f>
      </c>
      <c r="B418">
        <f>IF(ISBLANK('Data Entry'!B418), "", 'Data Entry'!B418)</f>
      </c>
      <c r="C418">
        <f>IF(ISBLANK('Data Entry'!C418), "", 'Data Entry'!C418)</f>
      </c>
      <c r="D418">
        <f>IF(ISBLANK('Data Entry'!D418), "", 'Data Entry'!D418)</f>
      </c>
      <c r="E418">
        <f>IF(ISBLANK('Data Entry'!E418), "", 'Data Entry'!E418)</f>
      </c>
      <c r="F418">
        <f>IF(ISBLANK('Data Entry'!F418), "", 'Data Entry'!F418)</f>
      </c>
      <c r="G418">
        <f>IF(ISBLANK('Data Entry'!G418), "", 'Data Entry'!G418)</f>
      </c>
      <c r="H418">
        <f>IF(ISBLANK('Data Entry'!H418), "", 'Data Entry'!H418)</f>
      </c>
      <c r="I418">
        <f>IF(ISBLANK('Data Entry'!I418), "", 'Data Entry'!I418)</f>
      </c>
      <c r="J418">
        <f>IF(ISBLANK('Data Entry'!J418), "", 'Data Entry'!J418)</f>
      </c>
      <c r="K418">
        <f>IF(ISBLANK('Data Entry'!K418), "", 'Data Entry'!K418)</f>
      </c>
      <c r="L418">
        <f>IF(ISBLANK('Data Entry'!L418), "", 'Data Entry'!L418)</f>
      </c>
      <c r="M418">
        <f>IF(ISBLANK('Data Entry'!M418), "", 'Data Entry'!M418)</f>
      </c>
      <c r="N418">
        <f>IF(ISBLANK('Data Entry'!N418), "", 'Data Entry'!N418)</f>
      </c>
      <c r="O418">
        <f>IF(ISBLANK('Data Entry'!O418), "", 'Data Entry'!O418)</f>
      </c>
      <c r="P418">
        <f>IF(ISBLANK('Data Entry'!P418), "", 'Data Entry'!P418)</f>
      </c>
      <c r="Q418">
        <f>IF(ISBLANK('Data Entry'!Q418), "", 'Data Entry'!Q418)</f>
      </c>
      <c r="R418">
        <f>IF(ISBLANK('Data Entry'!R418), "", 'Data Entry'!R418)</f>
      </c>
      <c r="S418">
        <f>IF(ISBLANK('Data Entry'!S418), "", 'Data Entry'!S418)</f>
      </c>
      <c r="T418">
        <f>IF(ISBLANK('Data Entry'!T418), "", 'Data Entry'!T418)</f>
      </c>
      <c r="U418">
        <f>IF(ISBLANK('Data Entry'!U418), "", 'Data Entry'!U418)</f>
      </c>
      <c r="V418">
        <f>IF(ISBLANK('Data Entry'!V418), "", 'Data Entry'!V418)</f>
      </c>
      <c r="W418">
        <f>IF(ISBLANK('Data Entry'!W418), "", 'Data Entry'!W418)</f>
      </c>
      <c r="X418">
        <f>IF(ISBLANK('Data Entry'!X418), "", 'Data Entry'!X418)</f>
      </c>
      <c r="Y418">
        <f>IF(ISBLANK('Data Entry'!Y418), "", 'Data Entry'!Y418)</f>
      </c>
      <c r="Z418">
        <f>IF(ISBLANK('Data Entry'!Z418), "", 'Data Entry'!Z418)</f>
      </c>
      <c r="AA418">
        <f>IF(ISBLANK('Data Entry'![418), "", 'Data Entry'![418)</f>
      </c>
      <c r="AB418">
        <f>IF(ISBLANK('Data Entry'!\418), "", 'Data Entry'!\418)</f>
      </c>
      <c r="AC418">
        <f>IF(ISBLANK('Data Entry'!]418), "", 'Data Entry'!]418)</f>
      </c>
      <c r="AD418">
        <f>IF(ISBLANK('Data Entry'!^418), "", 'Data Entry'!^418)</f>
      </c>
      <c r="AE418">
        <f>IF(ISBLANK('Data Entry'!_418), "", 'Data Entry'!_418)</f>
      </c>
      <c r="AF418">
        <f>IF(ISBLANK('Data Entry'!`418), "", 'Data Entry'!`418)</f>
      </c>
      <c r="AG418">
        <f>IF(ISBLANK('Data Entry'!a418), "", 'Data Entry'!a418)</f>
      </c>
      <c r="AH418">
        <f>IF(ISBLANK('Data Entry'!b418), "", 'Data Entry'!b418)</f>
      </c>
      <c r="AI418">
        <f>IF(ISBLANK('Data Entry'!c418), "", 'Data Entry'!c418)</f>
      </c>
      <c r="AJ418">
        <f>IF(ISBLANK('Data Entry'!d418), "", 'Data Entry'!d418)</f>
      </c>
      <c r="AK418">
        <f>IF(ISBLANK('Data Entry'!e418), "", 'Data Entry'!e418)</f>
      </c>
      <c r="AL418">
        <f>IF(ISBLANK('Data Entry'!f418), "", 'Data Entry'!f418)</f>
      </c>
      <c r="AM418">
        <f>IF(ISBLANK('Data Entry'!g418), "", 'Data Entry'!g418)</f>
      </c>
      <c r="AN418">
        <f>IF(ISBLANK('Data Entry'!h418), "", 'Data Entry'!h418)</f>
      </c>
    </row>
    <row r="419" spans="1:40" x14ac:dyDescent="0.25">
      <c r="A419">
        <f>IF(ISBLANK('Data Entry'!A419), "", 'Data Entry'!A419)</f>
      </c>
      <c r="B419">
        <f>IF(ISBLANK('Data Entry'!B419), "", 'Data Entry'!B419)</f>
      </c>
      <c r="C419">
        <f>IF(ISBLANK('Data Entry'!C419), "", 'Data Entry'!C419)</f>
      </c>
      <c r="D419">
        <f>IF(ISBLANK('Data Entry'!D419), "", 'Data Entry'!D419)</f>
      </c>
      <c r="E419">
        <f>IF(ISBLANK('Data Entry'!E419), "", 'Data Entry'!E419)</f>
      </c>
      <c r="F419">
        <f>IF(ISBLANK('Data Entry'!F419), "", 'Data Entry'!F419)</f>
      </c>
      <c r="G419">
        <f>IF(ISBLANK('Data Entry'!G419), "", 'Data Entry'!G419)</f>
      </c>
      <c r="H419">
        <f>IF(ISBLANK('Data Entry'!H419), "", 'Data Entry'!H419)</f>
      </c>
      <c r="I419">
        <f>IF(ISBLANK('Data Entry'!I419), "", 'Data Entry'!I419)</f>
      </c>
      <c r="J419">
        <f>IF(ISBLANK('Data Entry'!J419), "", 'Data Entry'!J419)</f>
      </c>
      <c r="K419">
        <f>IF(ISBLANK('Data Entry'!K419), "", 'Data Entry'!K419)</f>
      </c>
      <c r="L419">
        <f>IF(ISBLANK('Data Entry'!L419), "", 'Data Entry'!L419)</f>
      </c>
      <c r="M419">
        <f>IF(ISBLANK('Data Entry'!M419), "", 'Data Entry'!M419)</f>
      </c>
      <c r="N419">
        <f>IF(ISBLANK('Data Entry'!N419), "", 'Data Entry'!N419)</f>
      </c>
      <c r="O419">
        <f>IF(ISBLANK('Data Entry'!O419), "", 'Data Entry'!O419)</f>
      </c>
      <c r="P419">
        <f>IF(ISBLANK('Data Entry'!P419), "", 'Data Entry'!P419)</f>
      </c>
      <c r="Q419">
        <f>IF(ISBLANK('Data Entry'!Q419), "", 'Data Entry'!Q419)</f>
      </c>
      <c r="R419">
        <f>IF(ISBLANK('Data Entry'!R419), "", 'Data Entry'!R419)</f>
      </c>
      <c r="S419">
        <f>IF(ISBLANK('Data Entry'!S419), "", 'Data Entry'!S419)</f>
      </c>
      <c r="T419">
        <f>IF(ISBLANK('Data Entry'!T419), "", 'Data Entry'!T419)</f>
      </c>
      <c r="U419">
        <f>IF(ISBLANK('Data Entry'!U419), "", 'Data Entry'!U419)</f>
      </c>
      <c r="V419">
        <f>IF(ISBLANK('Data Entry'!V419), "", 'Data Entry'!V419)</f>
      </c>
      <c r="W419">
        <f>IF(ISBLANK('Data Entry'!W419), "", 'Data Entry'!W419)</f>
      </c>
      <c r="X419">
        <f>IF(ISBLANK('Data Entry'!X419), "", 'Data Entry'!X419)</f>
      </c>
      <c r="Y419">
        <f>IF(ISBLANK('Data Entry'!Y419), "", 'Data Entry'!Y419)</f>
      </c>
      <c r="Z419">
        <f>IF(ISBLANK('Data Entry'!Z419), "", 'Data Entry'!Z419)</f>
      </c>
      <c r="AA419">
        <f>IF(ISBLANK('Data Entry'![419), "", 'Data Entry'![419)</f>
      </c>
      <c r="AB419">
        <f>IF(ISBLANK('Data Entry'!\419), "", 'Data Entry'!\419)</f>
      </c>
      <c r="AC419">
        <f>IF(ISBLANK('Data Entry'!]419), "", 'Data Entry'!]419)</f>
      </c>
      <c r="AD419">
        <f>IF(ISBLANK('Data Entry'!^419), "", 'Data Entry'!^419)</f>
      </c>
      <c r="AE419">
        <f>IF(ISBLANK('Data Entry'!_419), "", 'Data Entry'!_419)</f>
      </c>
      <c r="AF419">
        <f>IF(ISBLANK('Data Entry'!`419), "", 'Data Entry'!`419)</f>
      </c>
      <c r="AG419">
        <f>IF(ISBLANK('Data Entry'!a419), "", 'Data Entry'!a419)</f>
      </c>
      <c r="AH419">
        <f>IF(ISBLANK('Data Entry'!b419), "", 'Data Entry'!b419)</f>
      </c>
      <c r="AI419">
        <f>IF(ISBLANK('Data Entry'!c419), "", 'Data Entry'!c419)</f>
      </c>
      <c r="AJ419">
        <f>IF(ISBLANK('Data Entry'!d419), "", 'Data Entry'!d419)</f>
      </c>
      <c r="AK419">
        <f>IF(ISBLANK('Data Entry'!e419), "", 'Data Entry'!e419)</f>
      </c>
      <c r="AL419">
        <f>IF(ISBLANK('Data Entry'!f419), "", 'Data Entry'!f419)</f>
      </c>
      <c r="AM419">
        <f>IF(ISBLANK('Data Entry'!g419), "", 'Data Entry'!g419)</f>
      </c>
      <c r="AN419">
        <f>IF(ISBLANK('Data Entry'!h419), "", 'Data Entry'!h419)</f>
      </c>
    </row>
    <row r="420" spans="1:40" x14ac:dyDescent="0.25">
      <c r="A420">
        <f>IF(ISBLANK('Data Entry'!A420), "", 'Data Entry'!A420)</f>
      </c>
      <c r="B420">
        <f>IF(ISBLANK('Data Entry'!B420), "", 'Data Entry'!B420)</f>
      </c>
      <c r="C420">
        <f>IF(ISBLANK('Data Entry'!C420), "", 'Data Entry'!C420)</f>
      </c>
      <c r="D420">
        <f>IF(ISBLANK('Data Entry'!D420), "", 'Data Entry'!D420)</f>
      </c>
      <c r="E420">
        <f>IF(ISBLANK('Data Entry'!E420), "", 'Data Entry'!E420)</f>
      </c>
      <c r="F420">
        <f>IF(ISBLANK('Data Entry'!F420), "", 'Data Entry'!F420)</f>
      </c>
      <c r="G420">
        <f>IF(ISBLANK('Data Entry'!G420), "", 'Data Entry'!G420)</f>
      </c>
      <c r="H420">
        <f>IF(ISBLANK('Data Entry'!H420), "", 'Data Entry'!H420)</f>
      </c>
      <c r="I420">
        <f>IF(ISBLANK('Data Entry'!I420), "", 'Data Entry'!I420)</f>
      </c>
      <c r="J420">
        <f>IF(ISBLANK('Data Entry'!J420), "", 'Data Entry'!J420)</f>
      </c>
      <c r="K420">
        <f>IF(ISBLANK('Data Entry'!K420), "", 'Data Entry'!K420)</f>
      </c>
      <c r="L420">
        <f>IF(ISBLANK('Data Entry'!L420), "", 'Data Entry'!L420)</f>
      </c>
      <c r="M420">
        <f>IF(ISBLANK('Data Entry'!M420), "", 'Data Entry'!M420)</f>
      </c>
      <c r="N420">
        <f>IF(ISBLANK('Data Entry'!N420), "", 'Data Entry'!N420)</f>
      </c>
      <c r="O420">
        <f>IF(ISBLANK('Data Entry'!O420), "", 'Data Entry'!O420)</f>
      </c>
      <c r="P420">
        <f>IF(ISBLANK('Data Entry'!P420), "", 'Data Entry'!P420)</f>
      </c>
      <c r="Q420">
        <f>IF(ISBLANK('Data Entry'!Q420), "", 'Data Entry'!Q420)</f>
      </c>
      <c r="R420">
        <f>IF(ISBLANK('Data Entry'!R420), "", 'Data Entry'!R420)</f>
      </c>
      <c r="S420">
        <f>IF(ISBLANK('Data Entry'!S420), "", 'Data Entry'!S420)</f>
      </c>
      <c r="T420">
        <f>IF(ISBLANK('Data Entry'!T420), "", 'Data Entry'!T420)</f>
      </c>
      <c r="U420">
        <f>IF(ISBLANK('Data Entry'!U420), "", 'Data Entry'!U420)</f>
      </c>
      <c r="V420">
        <f>IF(ISBLANK('Data Entry'!V420), "", 'Data Entry'!V420)</f>
      </c>
      <c r="W420">
        <f>IF(ISBLANK('Data Entry'!W420), "", 'Data Entry'!W420)</f>
      </c>
      <c r="X420">
        <f>IF(ISBLANK('Data Entry'!X420), "", 'Data Entry'!X420)</f>
      </c>
      <c r="Y420">
        <f>IF(ISBLANK('Data Entry'!Y420), "", 'Data Entry'!Y420)</f>
      </c>
      <c r="Z420">
        <f>IF(ISBLANK('Data Entry'!Z420), "", 'Data Entry'!Z420)</f>
      </c>
      <c r="AA420">
        <f>IF(ISBLANK('Data Entry'![420), "", 'Data Entry'![420)</f>
      </c>
      <c r="AB420">
        <f>IF(ISBLANK('Data Entry'!\420), "", 'Data Entry'!\420)</f>
      </c>
      <c r="AC420">
        <f>IF(ISBLANK('Data Entry'!]420), "", 'Data Entry'!]420)</f>
      </c>
      <c r="AD420">
        <f>IF(ISBLANK('Data Entry'!^420), "", 'Data Entry'!^420)</f>
      </c>
      <c r="AE420">
        <f>IF(ISBLANK('Data Entry'!_420), "", 'Data Entry'!_420)</f>
      </c>
      <c r="AF420">
        <f>IF(ISBLANK('Data Entry'!`420), "", 'Data Entry'!`420)</f>
      </c>
      <c r="AG420">
        <f>IF(ISBLANK('Data Entry'!a420), "", 'Data Entry'!a420)</f>
      </c>
      <c r="AH420">
        <f>IF(ISBLANK('Data Entry'!b420), "", 'Data Entry'!b420)</f>
      </c>
      <c r="AI420">
        <f>IF(ISBLANK('Data Entry'!c420), "", 'Data Entry'!c420)</f>
      </c>
      <c r="AJ420">
        <f>IF(ISBLANK('Data Entry'!d420), "", 'Data Entry'!d420)</f>
      </c>
      <c r="AK420">
        <f>IF(ISBLANK('Data Entry'!e420), "", 'Data Entry'!e420)</f>
      </c>
      <c r="AL420">
        <f>IF(ISBLANK('Data Entry'!f420), "", 'Data Entry'!f420)</f>
      </c>
      <c r="AM420">
        <f>IF(ISBLANK('Data Entry'!g420), "", 'Data Entry'!g420)</f>
      </c>
      <c r="AN420">
        <f>IF(ISBLANK('Data Entry'!h420), "", 'Data Entry'!h420)</f>
      </c>
    </row>
    <row r="421" spans="1:40" x14ac:dyDescent="0.25">
      <c r="A421">
        <f>IF(ISBLANK('Data Entry'!A421), "", 'Data Entry'!A421)</f>
      </c>
      <c r="B421">
        <f>IF(ISBLANK('Data Entry'!B421), "", 'Data Entry'!B421)</f>
      </c>
      <c r="C421">
        <f>IF(ISBLANK('Data Entry'!C421), "", 'Data Entry'!C421)</f>
      </c>
      <c r="D421">
        <f>IF(ISBLANK('Data Entry'!D421), "", 'Data Entry'!D421)</f>
      </c>
      <c r="E421">
        <f>IF(ISBLANK('Data Entry'!E421), "", 'Data Entry'!E421)</f>
      </c>
      <c r="F421">
        <f>IF(ISBLANK('Data Entry'!F421), "", 'Data Entry'!F421)</f>
      </c>
      <c r="G421">
        <f>IF(ISBLANK('Data Entry'!G421), "", 'Data Entry'!G421)</f>
      </c>
      <c r="H421">
        <f>IF(ISBLANK('Data Entry'!H421), "", 'Data Entry'!H421)</f>
      </c>
      <c r="I421">
        <f>IF(ISBLANK('Data Entry'!I421), "", 'Data Entry'!I421)</f>
      </c>
      <c r="J421">
        <f>IF(ISBLANK('Data Entry'!J421), "", 'Data Entry'!J421)</f>
      </c>
      <c r="K421">
        <f>IF(ISBLANK('Data Entry'!K421), "", 'Data Entry'!K421)</f>
      </c>
      <c r="L421">
        <f>IF(ISBLANK('Data Entry'!L421), "", 'Data Entry'!L421)</f>
      </c>
      <c r="M421">
        <f>IF(ISBLANK('Data Entry'!M421), "", 'Data Entry'!M421)</f>
      </c>
      <c r="N421">
        <f>IF(ISBLANK('Data Entry'!N421), "", 'Data Entry'!N421)</f>
      </c>
      <c r="O421">
        <f>IF(ISBLANK('Data Entry'!O421), "", 'Data Entry'!O421)</f>
      </c>
      <c r="P421">
        <f>IF(ISBLANK('Data Entry'!P421), "", 'Data Entry'!P421)</f>
      </c>
      <c r="Q421">
        <f>IF(ISBLANK('Data Entry'!Q421), "", 'Data Entry'!Q421)</f>
      </c>
      <c r="R421">
        <f>IF(ISBLANK('Data Entry'!R421), "", 'Data Entry'!R421)</f>
      </c>
      <c r="S421">
        <f>IF(ISBLANK('Data Entry'!S421), "", 'Data Entry'!S421)</f>
      </c>
      <c r="T421">
        <f>IF(ISBLANK('Data Entry'!T421), "", 'Data Entry'!T421)</f>
      </c>
      <c r="U421">
        <f>IF(ISBLANK('Data Entry'!U421), "", 'Data Entry'!U421)</f>
      </c>
      <c r="V421">
        <f>IF(ISBLANK('Data Entry'!V421), "", 'Data Entry'!V421)</f>
      </c>
      <c r="W421">
        <f>IF(ISBLANK('Data Entry'!W421), "", 'Data Entry'!W421)</f>
      </c>
      <c r="X421">
        <f>IF(ISBLANK('Data Entry'!X421), "", 'Data Entry'!X421)</f>
      </c>
      <c r="Y421">
        <f>IF(ISBLANK('Data Entry'!Y421), "", 'Data Entry'!Y421)</f>
      </c>
      <c r="Z421">
        <f>IF(ISBLANK('Data Entry'!Z421), "", 'Data Entry'!Z421)</f>
      </c>
      <c r="AA421">
        <f>IF(ISBLANK('Data Entry'![421), "", 'Data Entry'![421)</f>
      </c>
      <c r="AB421">
        <f>IF(ISBLANK('Data Entry'!\421), "", 'Data Entry'!\421)</f>
      </c>
      <c r="AC421">
        <f>IF(ISBLANK('Data Entry'!]421), "", 'Data Entry'!]421)</f>
      </c>
      <c r="AD421">
        <f>IF(ISBLANK('Data Entry'!^421), "", 'Data Entry'!^421)</f>
      </c>
      <c r="AE421">
        <f>IF(ISBLANK('Data Entry'!_421), "", 'Data Entry'!_421)</f>
      </c>
      <c r="AF421">
        <f>IF(ISBLANK('Data Entry'!`421), "", 'Data Entry'!`421)</f>
      </c>
      <c r="AG421">
        <f>IF(ISBLANK('Data Entry'!a421), "", 'Data Entry'!a421)</f>
      </c>
      <c r="AH421">
        <f>IF(ISBLANK('Data Entry'!b421), "", 'Data Entry'!b421)</f>
      </c>
      <c r="AI421">
        <f>IF(ISBLANK('Data Entry'!c421), "", 'Data Entry'!c421)</f>
      </c>
      <c r="AJ421">
        <f>IF(ISBLANK('Data Entry'!d421), "", 'Data Entry'!d421)</f>
      </c>
      <c r="AK421">
        <f>IF(ISBLANK('Data Entry'!e421), "", 'Data Entry'!e421)</f>
      </c>
      <c r="AL421">
        <f>IF(ISBLANK('Data Entry'!f421), "", 'Data Entry'!f421)</f>
      </c>
      <c r="AM421">
        <f>IF(ISBLANK('Data Entry'!g421), "", 'Data Entry'!g421)</f>
      </c>
      <c r="AN421">
        <f>IF(ISBLANK('Data Entry'!h421), "", 'Data Entry'!h421)</f>
      </c>
    </row>
    <row r="422" spans="1:40" x14ac:dyDescent="0.25">
      <c r="A422">
        <f>IF(ISBLANK('Data Entry'!A422), "", 'Data Entry'!A422)</f>
      </c>
      <c r="B422">
        <f>IF(ISBLANK('Data Entry'!B422), "", 'Data Entry'!B422)</f>
      </c>
      <c r="C422">
        <f>IF(ISBLANK('Data Entry'!C422), "", 'Data Entry'!C422)</f>
      </c>
      <c r="D422">
        <f>IF(ISBLANK('Data Entry'!D422), "", 'Data Entry'!D422)</f>
      </c>
      <c r="E422">
        <f>IF(ISBLANK('Data Entry'!E422), "", 'Data Entry'!E422)</f>
      </c>
      <c r="F422">
        <f>IF(ISBLANK('Data Entry'!F422), "", 'Data Entry'!F422)</f>
      </c>
      <c r="G422">
        <f>IF(ISBLANK('Data Entry'!G422), "", 'Data Entry'!G422)</f>
      </c>
      <c r="H422">
        <f>IF(ISBLANK('Data Entry'!H422), "", 'Data Entry'!H422)</f>
      </c>
      <c r="I422">
        <f>IF(ISBLANK('Data Entry'!I422), "", 'Data Entry'!I422)</f>
      </c>
      <c r="J422">
        <f>IF(ISBLANK('Data Entry'!J422), "", 'Data Entry'!J422)</f>
      </c>
      <c r="K422">
        <f>IF(ISBLANK('Data Entry'!K422), "", 'Data Entry'!K422)</f>
      </c>
      <c r="L422">
        <f>IF(ISBLANK('Data Entry'!L422), "", 'Data Entry'!L422)</f>
      </c>
      <c r="M422">
        <f>IF(ISBLANK('Data Entry'!M422), "", 'Data Entry'!M422)</f>
      </c>
      <c r="N422">
        <f>IF(ISBLANK('Data Entry'!N422), "", 'Data Entry'!N422)</f>
      </c>
      <c r="O422">
        <f>IF(ISBLANK('Data Entry'!O422), "", 'Data Entry'!O422)</f>
      </c>
      <c r="P422">
        <f>IF(ISBLANK('Data Entry'!P422), "", 'Data Entry'!P422)</f>
      </c>
      <c r="Q422">
        <f>IF(ISBLANK('Data Entry'!Q422), "", 'Data Entry'!Q422)</f>
      </c>
      <c r="R422">
        <f>IF(ISBLANK('Data Entry'!R422), "", 'Data Entry'!R422)</f>
      </c>
      <c r="S422">
        <f>IF(ISBLANK('Data Entry'!S422), "", 'Data Entry'!S422)</f>
      </c>
      <c r="T422">
        <f>IF(ISBLANK('Data Entry'!T422), "", 'Data Entry'!T422)</f>
      </c>
      <c r="U422">
        <f>IF(ISBLANK('Data Entry'!U422), "", 'Data Entry'!U422)</f>
      </c>
      <c r="V422">
        <f>IF(ISBLANK('Data Entry'!V422), "", 'Data Entry'!V422)</f>
      </c>
      <c r="W422">
        <f>IF(ISBLANK('Data Entry'!W422), "", 'Data Entry'!W422)</f>
      </c>
      <c r="X422">
        <f>IF(ISBLANK('Data Entry'!X422), "", 'Data Entry'!X422)</f>
      </c>
      <c r="Y422">
        <f>IF(ISBLANK('Data Entry'!Y422), "", 'Data Entry'!Y422)</f>
      </c>
      <c r="Z422">
        <f>IF(ISBLANK('Data Entry'!Z422), "", 'Data Entry'!Z422)</f>
      </c>
      <c r="AA422">
        <f>IF(ISBLANK('Data Entry'![422), "", 'Data Entry'![422)</f>
      </c>
      <c r="AB422">
        <f>IF(ISBLANK('Data Entry'!\422), "", 'Data Entry'!\422)</f>
      </c>
      <c r="AC422">
        <f>IF(ISBLANK('Data Entry'!]422), "", 'Data Entry'!]422)</f>
      </c>
      <c r="AD422">
        <f>IF(ISBLANK('Data Entry'!^422), "", 'Data Entry'!^422)</f>
      </c>
      <c r="AE422">
        <f>IF(ISBLANK('Data Entry'!_422), "", 'Data Entry'!_422)</f>
      </c>
      <c r="AF422">
        <f>IF(ISBLANK('Data Entry'!`422), "", 'Data Entry'!`422)</f>
      </c>
      <c r="AG422">
        <f>IF(ISBLANK('Data Entry'!a422), "", 'Data Entry'!a422)</f>
      </c>
      <c r="AH422">
        <f>IF(ISBLANK('Data Entry'!b422), "", 'Data Entry'!b422)</f>
      </c>
      <c r="AI422">
        <f>IF(ISBLANK('Data Entry'!c422), "", 'Data Entry'!c422)</f>
      </c>
      <c r="AJ422">
        <f>IF(ISBLANK('Data Entry'!d422), "", 'Data Entry'!d422)</f>
      </c>
      <c r="AK422">
        <f>IF(ISBLANK('Data Entry'!e422), "", 'Data Entry'!e422)</f>
      </c>
      <c r="AL422">
        <f>IF(ISBLANK('Data Entry'!f422), "", 'Data Entry'!f422)</f>
      </c>
      <c r="AM422">
        <f>IF(ISBLANK('Data Entry'!g422), "", 'Data Entry'!g422)</f>
      </c>
      <c r="AN422">
        <f>IF(ISBLANK('Data Entry'!h422), "", 'Data Entry'!h422)</f>
      </c>
    </row>
    <row r="423" spans="1:40" x14ac:dyDescent="0.25">
      <c r="A423">
        <f>IF(ISBLANK('Data Entry'!A423), "", 'Data Entry'!A423)</f>
      </c>
      <c r="B423">
        <f>IF(ISBLANK('Data Entry'!B423), "", 'Data Entry'!B423)</f>
      </c>
      <c r="C423">
        <f>IF(ISBLANK('Data Entry'!C423), "", 'Data Entry'!C423)</f>
      </c>
      <c r="D423">
        <f>IF(ISBLANK('Data Entry'!D423), "", 'Data Entry'!D423)</f>
      </c>
      <c r="E423">
        <f>IF(ISBLANK('Data Entry'!E423), "", 'Data Entry'!E423)</f>
      </c>
      <c r="F423">
        <f>IF(ISBLANK('Data Entry'!F423), "", 'Data Entry'!F423)</f>
      </c>
      <c r="G423">
        <f>IF(ISBLANK('Data Entry'!G423), "", 'Data Entry'!G423)</f>
      </c>
      <c r="H423">
        <f>IF(ISBLANK('Data Entry'!H423), "", 'Data Entry'!H423)</f>
      </c>
      <c r="I423">
        <f>IF(ISBLANK('Data Entry'!I423), "", 'Data Entry'!I423)</f>
      </c>
      <c r="J423">
        <f>IF(ISBLANK('Data Entry'!J423), "", 'Data Entry'!J423)</f>
      </c>
      <c r="K423">
        <f>IF(ISBLANK('Data Entry'!K423), "", 'Data Entry'!K423)</f>
      </c>
      <c r="L423">
        <f>IF(ISBLANK('Data Entry'!L423), "", 'Data Entry'!L423)</f>
      </c>
      <c r="M423">
        <f>IF(ISBLANK('Data Entry'!M423), "", 'Data Entry'!M423)</f>
      </c>
      <c r="N423">
        <f>IF(ISBLANK('Data Entry'!N423), "", 'Data Entry'!N423)</f>
      </c>
      <c r="O423">
        <f>IF(ISBLANK('Data Entry'!O423), "", 'Data Entry'!O423)</f>
      </c>
      <c r="P423">
        <f>IF(ISBLANK('Data Entry'!P423), "", 'Data Entry'!P423)</f>
      </c>
      <c r="Q423">
        <f>IF(ISBLANK('Data Entry'!Q423), "", 'Data Entry'!Q423)</f>
      </c>
      <c r="R423">
        <f>IF(ISBLANK('Data Entry'!R423), "", 'Data Entry'!R423)</f>
      </c>
      <c r="S423">
        <f>IF(ISBLANK('Data Entry'!S423), "", 'Data Entry'!S423)</f>
      </c>
      <c r="T423">
        <f>IF(ISBLANK('Data Entry'!T423), "", 'Data Entry'!T423)</f>
      </c>
      <c r="U423">
        <f>IF(ISBLANK('Data Entry'!U423), "", 'Data Entry'!U423)</f>
      </c>
      <c r="V423">
        <f>IF(ISBLANK('Data Entry'!V423), "", 'Data Entry'!V423)</f>
      </c>
      <c r="W423">
        <f>IF(ISBLANK('Data Entry'!W423), "", 'Data Entry'!W423)</f>
      </c>
      <c r="X423">
        <f>IF(ISBLANK('Data Entry'!X423), "", 'Data Entry'!X423)</f>
      </c>
      <c r="Y423">
        <f>IF(ISBLANK('Data Entry'!Y423), "", 'Data Entry'!Y423)</f>
      </c>
      <c r="Z423">
        <f>IF(ISBLANK('Data Entry'!Z423), "", 'Data Entry'!Z423)</f>
      </c>
      <c r="AA423">
        <f>IF(ISBLANK('Data Entry'![423), "", 'Data Entry'![423)</f>
      </c>
      <c r="AB423">
        <f>IF(ISBLANK('Data Entry'!\423), "", 'Data Entry'!\423)</f>
      </c>
      <c r="AC423">
        <f>IF(ISBLANK('Data Entry'!]423), "", 'Data Entry'!]423)</f>
      </c>
      <c r="AD423">
        <f>IF(ISBLANK('Data Entry'!^423), "", 'Data Entry'!^423)</f>
      </c>
      <c r="AE423">
        <f>IF(ISBLANK('Data Entry'!_423), "", 'Data Entry'!_423)</f>
      </c>
      <c r="AF423">
        <f>IF(ISBLANK('Data Entry'!`423), "", 'Data Entry'!`423)</f>
      </c>
      <c r="AG423">
        <f>IF(ISBLANK('Data Entry'!a423), "", 'Data Entry'!a423)</f>
      </c>
      <c r="AH423">
        <f>IF(ISBLANK('Data Entry'!b423), "", 'Data Entry'!b423)</f>
      </c>
      <c r="AI423">
        <f>IF(ISBLANK('Data Entry'!c423), "", 'Data Entry'!c423)</f>
      </c>
      <c r="AJ423">
        <f>IF(ISBLANK('Data Entry'!d423), "", 'Data Entry'!d423)</f>
      </c>
      <c r="AK423">
        <f>IF(ISBLANK('Data Entry'!e423), "", 'Data Entry'!e423)</f>
      </c>
      <c r="AL423">
        <f>IF(ISBLANK('Data Entry'!f423), "", 'Data Entry'!f423)</f>
      </c>
      <c r="AM423">
        <f>IF(ISBLANK('Data Entry'!g423), "", 'Data Entry'!g423)</f>
      </c>
      <c r="AN423">
        <f>IF(ISBLANK('Data Entry'!h423), "", 'Data Entry'!h423)</f>
      </c>
    </row>
    <row r="424" spans="1:40" x14ac:dyDescent="0.25">
      <c r="A424">
        <f>IF(ISBLANK('Data Entry'!A424), "", 'Data Entry'!A424)</f>
      </c>
      <c r="B424">
        <f>IF(ISBLANK('Data Entry'!B424), "", 'Data Entry'!B424)</f>
      </c>
      <c r="C424">
        <f>IF(ISBLANK('Data Entry'!C424), "", 'Data Entry'!C424)</f>
      </c>
      <c r="D424">
        <f>IF(ISBLANK('Data Entry'!D424), "", 'Data Entry'!D424)</f>
      </c>
      <c r="E424">
        <f>IF(ISBLANK('Data Entry'!E424), "", 'Data Entry'!E424)</f>
      </c>
      <c r="F424">
        <f>IF(ISBLANK('Data Entry'!F424), "", 'Data Entry'!F424)</f>
      </c>
      <c r="G424">
        <f>IF(ISBLANK('Data Entry'!G424), "", 'Data Entry'!G424)</f>
      </c>
      <c r="H424">
        <f>IF(ISBLANK('Data Entry'!H424), "", 'Data Entry'!H424)</f>
      </c>
      <c r="I424">
        <f>IF(ISBLANK('Data Entry'!I424), "", 'Data Entry'!I424)</f>
      </c>
      <c r="J424">
        <f>IF(ISBLANK('Data Entry'!J424), "", 'Data Entry'!J424)</f>
      </c>
      <c r="K424">
        <f>IF(ISBLANK('Data Entry'!K424), "", 'Data Entry'!K424)</f>
      </c>
      <c r="L424">
        <f>IF(ISBLANK('Data Entry'!L424), "", 'Data Entry'!L424)</f>
      </c>
      <c r="M424">
        <f>IF(ISBLANK('Data Entry'!M424), "", 'Data Entry'!M424)</f>
      </c>
      <c r="N424">
        <f>IF(ISBLANK('Data Entry'!N424), "", 'Data Entry'!N424)</f>
      </c>
      <c r="O424">
        <f>IF(ISBLANK('Data Entry'!O424), "", 'Data Entry'!O424)</f>
      </c>
      <c r="P424">
        <f>IF(ISBLANK('Data Entry'!P424), "", 'Data Entry'!P424)</f>
      </c>
      <c r="Q424">
        <f>IF(ISBLANK('Data Entry'!Q424), "", 'Data Entry'!Q424)</f>
      </c>
      <c r="R424">
        <f>IF(ISBLANK('Data Entry'!R424), "", 'Data Entry'!R424)</f>
      </c>
      <c r="S424">
        <f>IF(ISBLANK('Data Entry'!S424), "", 'Data Entry'!S424)</f>
      </c>
      <c r="T424">
        <f>IF(ISBLANK('Data Entry'!T424), "", 'Data Entry'!T424)</f>
      </c>
      <c r="U424">
        <f>IF(ISBLANK('Data Entry'!U424), "", 'Data Entry'!U424)</f>
      </c>
      <c r="V424">
        <f>IF(ISBLANK('Data Entry'!V424), "", 'Data Entry'!V424)</f>
      </c>
      <c r="W424">
        <f>IF(ISBLANK('Data Entry'!W424), "", 'Data Entry'!W424)</f>
      </c>
      <c r="X424">
        <f>IF(ISBLANK('Data Entry'!X424), "", 'Data Entry'!X424)</f>
      </c>
      <c r="Y424">
        <f>IF(ISBLANK('Data Entry'!Y424), "", 'Data Entry'!Y424)</f>
      </c>
      <c r="Z424">
        <f>IF(ISBLANK('Data Entry'!Z424), "", 'Data Entry'!Z424)</f>
      </c>
      <c r="AA424">
        <f>IF(ISBLANK('Data Entry'![424), "", 'Data Entry'![424)</f>
      </c>
      <c r="AB424">
        <f>IF(ISBLANK('Data Entry'!\424), "", 'Data Entry'!\424)</f>
      </c>
      <c r="AC424">
        <f>IF(ISBLANK('Data Entry'!]424), "", 'Data Entry'!]424)</f>
      </c>
      <c r="AD424">
        <f>IF(ISBLANK('Data Entry'!^424), "", 'Data Entry'!^424)</f>
      </c>
      <c r="AE424">
        <f>IF(ISBLANK('Data Entry'!_424), "", 'Data Entry'!_424)</f>
      </c>
      <c r="AF424">
        <f>IF(ISBLANK('Data Entry'!`424), "", 'Data Entry'!`424)</f>
      </c>
      <c r="AG424">
        <f>IF(ISBLANK('Data Entry'!a424), "", 'Data Entry'!a424)</f>
      </c>
      <c r="AH424">
        <f>IF(ISBLANK('Data Entry'!b424), "", 'Data Entry'!b424)</f>
      </c>
      <c r="AI424">
        <f>IF(ISBLANK('Data Entry'!c424), "", 'Data Entry'!c424)</f>
      </c>
      <c r="AJ424">
        <f>IF(ISBLANK('Data Entry'!d424), "", 'Data Entry'!d424)</f>
      </c>
      <c r="AK424">
        <f>IF(ISBLANK('Data Entry'!e424), "", 'Data Entry'!e424)</f>
      </c>
      <c r="AL424">
        <f>IF(ISBLANK('Data Entry'!f424), "", 'Data Entry'!f424)</f>
      </c>
      <c r="AM424">
        <f>IF(ISBLANK('Data Entry'!g424), "", 'Data Entry'!g424)</f>
      </c>
      <c r="AN424">
        <f>IF(ISBLANK('Data Entry'!h424), "", 'Data Entry'!h424)</f>
      </c>
    </row>
    <row r="425" spans="1:40" x14ac:dyDescent="0.25">
      <c r="A425">
        <f>IF(ISBLANK('Data Entry'!A425), "", 'Data Entry'!A425)</f>
      </c>
      <c r="B425">
        <f>IF(ISBLANK('Data Entry'!B425), "", 'Data Entry'!B425)</f>
      </c>
      <c r="C425">
        <f>IF(ISBLANK('Data Entry'!C425), "", 'Data Entry'!C425)</f>
      </c>
      <c r="D425">
        <f>IF(ISBLANK('Data Entry'!D425), "", 'Data Entry'!D425)</f>
      </c>
      <c r="E425">
        <f>IF(ISBLANK('Data Entry'!E425), "", 'Data Entry'!E425)</f>
      </c>
      <c r="F425">
        <f>IF(ISBLANK('Data Entry'!F425), "", 'Data Entry'!F425)</f>
      </c>
      <c r="G425">
        <f>IF(ISBLANK('Data Entry'!G425), "", 'Data Entry'!G425)</f>
      </c>
      <c r="H425">
        <f>IF(ISBLANK('Data Entry'!H425), "", 'Data Entry'!H425)</f>
      </c>
      <c r="I425">
        <f>IF(ISBLANK('Data Entry'!I425), "", 'Data Entry'!I425)</f>
      </c>
      <c r="J425">
        <f>IF(ISBLANK('Data Entry'!J425), "", 'Data Entry'!J425)</f>
      </c>
      <c r="K425">
        <f>IF(ISBLANK('Data Entry'!K425), "", 'Data Entry'!K425)</f>
      </c>
      <c r="L425">
        <f>IF(ISBLANK('Data Entry'!L425), "", 'Data Entry'!L425)</f>
      </c>
      <c r="M425">
        <f>IF(ISBLANK('Data Entry'!M425), "", 'Data Entry'!M425)</f>
      </c>
      <c r="N425">
        <f>IF(ISBLANK('Data Entry'!N425), "", 'Data Entry'!N425)</f>
      </c>
      <c r="O425">
        <f>IF(ISBLANK('Data Entry'!O425), "", 'Data Entry'!O425)</f>
      </c>
      <c r="P425">
        <f>IF(ISBLANK('Data Entry'!P425), "", 'Data Entry'!P425)</f>
      </c>
      <c r="Q425">
        <f>IF(ISBLANK('Data Entry'!Q425), "", 'Data Entry'!Q425)</f>
      </c>
      <c r="R425">
        <f>IF(ISBLANK('Data Entry'!R425), "", 'Data Entry'!R425)</f>
      </c>
      <c r="S425">
        <f>IF(ISBLANK('Data Entry'!S425), "", 'Data Entry'!S425)</f>
      </c>
      <c r="T425">
        <f>IF(ISBLANK('Data Entry'!T425), "", 'Data Entry'!T425)</f>
      </c>
      <c r="U425">
        <f>IF(ISBLANK('Data Entry'!U425), "", 'Data Entry'!U425)</f>
      </c>
      <c r="V425">
        <f>IF(ISBLANK('Data Entry'!V425), "", 'Data Entry'!V425)</f>
      </c>
      <c r="W425">
        <f>IF(ISBLANK('Data Entry'!W425), "", 'Data Entry'!W425)</f>
      </c>
      <c r="X425">
        <f>IF(ISBLANK('Data Entry'!X425), "", 'Data Entry'!X425)</f>
      </c>
      <c r="Y425">
        <f>IF(ISBLANK('Data Entry'!Y425), "", 'Data Entry'!Y425)</f>
      </c>
      <c r="Z425">
        <f>IF(ISBLANK('Data Entry'!Z425), "", 'Data Entry'!Z425)</f>
      </c>
      <c r="AA425">
        <f>IF(ISBLANK('Data Entry'![425), "", 'Data Entry'![425)</f>
      </c>
      <c r="AB425">
        <f>IF(ISBLANK('Data Entry'!\425), "", 'Data Entry'!\425)</f>
      </c>
      <c r="AC425">
        <f>IF(ISBLANK('Data Entry'!]425), "", 'Data Entry'!]425)</f>
      </c>
      <c r="AD425">
        <f>IF(ISBLANK('Data Entry'!^425), "", 'Data Entry'!^425)</f>
      </c>
      <c r="AE425">
        <f>IF(ISBLANK('Data Entry'!_425), "", 'Data Entry'!_425)</f>
      </c>
      <c r="AF425">
        <f>IF(ISBLANK('Data Entry'!`425), "", 'Data Entry'!`425)</f>
      </c>
      <c r="AG425">
        <f>IF(ISBLANK('Data Entry'!a425), "", 'Data Entry'!a425)</f>
      </c>
      <c r="AH425">
        <f>IF(ISBLANK('Data Entry'!b425), "", 'Data Entry'!b425)</f>
      </c>
      <c r="AI425">
        <f>IF(ISBLANK('Data Entry'!c425), "", 'Data Entry'!c425)</f>
      </c>
      <c r="AJ425">
        <f>IF(ISBLANK('Data Entry'!d425), "", 'Data Entry'!d425)</f>
      </c>
      <c r="AK425">
        <f>IF(ISBLANK('Data Entry'!e425), "", 'Data Entry'!e425)</f>
      </c>
      <c r="AL425">
        <f>IF(ISBLANK('Data Entry'!f425), "", 'Data Entry'!f425)</f>
      </c>
      <c r="AM425">
        <f>IF(ISBLANK('Data Entry'!g425), "", 'Data Entry'!g425)</f>
      </c>
      <c r="AN425">
        <f>IF(ISBLANK('Data Entry'!h425), "", 'Data Entry'!h425)</f>
      </c>
    </row>
    <row r="426" spans="1:40" x14ac:dyDescent="0.25">
      <c r="A426">
        <f>IF(ISBLANK('Data Entry'!A426), "", 'Data Entry'!A426)</f>
      </c>
      <c r="B426">
        <f>IF(ISBLANK('Data Entry'!B426), "", 'Data Entry'!B426)</f>
      </c>
      <c r="C426">
        <f>IF(ISBLANK('Data Entry'!C426), "", 'Data Entry'!C426)</f>
      </c>
      <c r="D426">
        <f>IF(ISBLANK('Data Entry'!D426), "", 'Data Entry'!D426)</f>
      </c>
      <c r="E426">
        <f>IF(ISBLANK('Data Entry'!E426), "", 'Data Entry'!E426)</f>
      </c>
      <c r="F426">
        <f>IF(ISBLANK('Data Entry'!F426), "", 'Data Entry'!F426)</f>
      </c>
      <c r="G426">
        <f>IF(ISBLANK('Data Entry'!G426), "", 'Data Entry'!G426)</f>
      </c>
      <c r="H426">
        <f>IF(ISBLANK('Data Entry'!H426), "", 'Data Entry'!H426)</f>
      </c>
      <c r="I426">
        <f>IF(ISBLANK('Data Entry'!I426), "", 'Data Entry'!I426)</f>
      </c>
      <c r="J426">
        <f>IF(ISBLANK('Data Entry'!J426), "", 'Data Entry'!J426)</f>
      </c>
      <c r="K426">
        <f>IF(ISBLANK('Data Entry'!K426), "", 'Data Entry'!K426)</f>
      </c>
      <c r="L426">
        <f>IF(ISBLANK('Data Entry'!L426), "", 'Data Entry'!L426)</f>
      </c>
      <c r="M426">
        <f>IF(ISBLANK('Data Entry'!M426), "", 'Data Entry'!M426)</f>
      </c>
      <c r="N426">
        <f>IF(ISBLANK('Data Entry'!N426), "", 'Data Entry'!N426)</f>
      </c>
      <c r="O426">
        <f>IF(ISBLANK('Data Entry'!O426), "", 'Data Entry'!O426)</f>
      </c>
      <c r="P426">
        <f>IF(ISBLANK('Data Entry'!P426), "", 'Data Entry'!P426)</f>
      </c>
      <c r="Q426">
        <f>IF(ISBLANK('Data Entry'!Q426), "", 'Data Entry'!Q426)</f>
      </c>
      <c r="R426">
        <f>IF(ISBLANK('Data Entry'!R426), "", 'Data Entry'!R426)</f>
      </c>
      <c r="S426">
        <f>IF(ISBLANK('Data Entry'!S426), "", 'Data Entry'!S426)</f>
      </c>
      <c r="T426">
        <f>IF(ISBLANK('Data Entry'!T426), "", 'Data Entry'!T426)</f>
      </c>
      <c r="U426">
        <f>IF(ISBLANK('Data Entry'!U426), "", 'Data Entry'!U426)</f>
      </c>
      <c r="V426">
        <f>IF(ISBLANK('Data Entry'!V426), "", 'Data Entry'!V426)</f>
      </c>
      <c r="W426">
        <f>IF(ISBLANK('Data Entry'!W426), "", 'Data Entry'!W426)</f>
      </c>
      <c r="X426">
        <f>IF(ISBLANK('Data Entry'!X426), "", 'Data Entry'!X426)</f>
      </c>
      <c r="Y426">
        <f>IF(ISBLANK('Data Entry'!Y426), "", 'Data Entry'!Y426)</f>
      </c>
      <c r="Z426">
        <f>IF(ISBLANK('Data Entry'!Z426), "", 'Data Entry'!Z426)</f>
      </c>
      <c r="AA426">
        <f>IF(ISBLANK('Data Entry'![426), "", 'Data Entry'![426)</f>
      </c>
      <c r="AB426">
        <f>IF(ISBLANK('Data Entry'!\426), "", 'Data Entry'!\426)</f>
      </c>
      <c r="AC426">
        <f>IF(ISBLANK('Data Entry'!]426), "", 'Data Entry'!]426)</f>
      </c>
      <c r="AD426">
        <f>IF(ISBLANK('Data Entry'!^426), "", 'Data Entry'!^426)</f>
      </c>
      <c r="AE426">
        <f>IF(ISBLANK('Data Entry'!_426), "", 'Data Entry'!_426)</f>
      </c>
      <c r="AF426">
        <f>IF(ISBLANK('Data Entry'!`426), "", 'Data Entry'!`426)</f>
      </c>
      <c r="AG426">
        <f>IF(ISBLANK('Data Entry'!a426), "", 'Data Entry'!a426)</f>
      </c>
      <c r="AH426">
        <f>IF(ISBLANK('Data Entry'!b426), "", 'Data Entry'!b426)</f>
      </c>
      <c r="AI426">
        <f>IF(ISBLANK('Data Entry'!c426), "", 'Data Entry'!c426)</f>
      </c>
      <c r="AJ426">
        <f>IF(ISBLANK('Data Entry'!d426), "", 'Data Entry'!d426)</f>
      </c>
      <c r="AK426">
        <f>IF(ISBLANK('Data Entry'!e426), "", 'Data Entry'!e426)</f>
      </c>
      <c r="AL426">
        <f>IF(ISBLANK('Data Entry'!f426), "", 'Data Entry'!f426)</f>
      </c>
      <c r="AM426">
        <f>IF(ISBLANK('Data Entry'!g426), "", 'Data Entry'!g426)</f>
      </c>
      <c r="AN426">
        <f>IF(ISBLANK('Data Entry'!h426), "", 'Data Entry'!h426)</f>
      </c>
    </row>
    <row r="427" spans="1:40" x14ac:dyDescent="0.25">
      <c r="A427">
        <f>IF(ISBLANK('Data Entry'!A427), "", 'Data Entry'!A427)</f>
      </c>
      <c r="B427">
        <f>IF(ISBLANK('Data Entry'!B427), "", 'Data Entry'!B427)</f>
      </c>
      <c r="C427">
        <f>IF(ISBLANK('Data Entry'!C427), "", 'Data Entry'!C427)</f>
      </c>
      <c r="D427">
        <f>IF(ISBLANK('Data Entry'!D427), "", 'Data Entry'!D427)</f>
      </c>
      <c r="E427">
        <f>IF(ISBLANK('Data Entry'!E427), "", 'Data Entry'!E427)</f>
      </c>
      <c r="F427">
        <f>IF(ISBLANK('Data Entry'!F427), "", 'Data Entry'!F427)</f>
      </c>
      <c r="G427">
        <f>IF(ISBLANK('Data Entry'!G427), "", 'Data Entry'!G427)</f>
      </c>
      <c r="H427">
        <f>IF(ISBLANK('Data Entry'!H427), "", 'Data Entry'!H427)</f>
      </c>
      <c r="I427">
        <f>IF(ISBLANK('Data Entry'!I427), "", 'Data Entry'!I427)</f>
      </c>
      <c r="J427">
        <f>IF(ISBLANK('Data Entry'!J427), "", 'Data Entry'!J427)</f>
      </c>
      <c r="K427">
        <f>IF(ISBLANK('Data Entry'!K427), "", 'Data Entry'!K427)</f>
      </c>
      <c r="L427">
        <f>IF(ISBLANK('Data Entry'!L427), "", 'Data Entry'!L427)</f>
      </c>
      <c r="M427">
        <f>IF(ISBLANK('Data Entry'!M427), "", 'Data Entry'!M427)</f>
      </c>
      <c r="N427">
        <f>IF(ISBLANK('Data Entry'!N427), "", 'Data Entry'!N427)</f>
      </c>
      <c r="O427">
        <f>IF(ISBLANK('Data Entry'!O427), "", 'Data Entry'!O427)</f>
      </c>
      <c r="P427">
        <f>IF(ISBLANK('Data Entry'!P427), "", 'Data Entry'!P427)</f>
      </c>
      <c r="Q427">
        <f>IF(ISBLANK('Data Entry'!Q427), "", 'Data Entry'!Q427)</f>
      </c>
      <c r="R427">
        <f>IF(ISBLANK('Data Entry'!R427), "", 'Data Entry'!R427)</f>
      </c>
      <c r="S427">
        <f>IF(ISBLANK('Data Entry'!S427), "", 'Data Entry'!S427)</f>
      </c>
      <c r="T427">
        <f>IF(ISBLANK('Data Entry'!T427), "", 'Data Entry'!T427)</f>
      </c>
      <c r="U427">
        <f>IF(ISBLANK('Data Entry'!U427), "", 'Data Entry'!U427)</f>
      </c>
      <c r="V427">
        <f>IF(ISBLANK('Data Entry'!V427), "", 'Data Entry'!V427)</f>
      </c>
      <c r="W427">
        <f>IF(ISBLANK('Data Entry'!W427), "", 'Data Entry'!W427)</f>
      </c>
      <c r="X427">
        <f>IF(ISBLANK('Data Entry'!X427), "", 'Data Entry'!X427)</f>
      </c>
      <c r="Y427">
        <f>IF(ISBLANK('Data Entry'!Y427), "", 'Data Entry'!Y427)</f>
      </c>
      <c r="Z427">
        <f>IF(ISBLANK('Data Entry'!Z427), "", 'Data Entry'!Z427)</f>
      </c>
      <c r="AA427">
        <f>IF(ISBLANK('Data Entry'![427), "", 'Data Entry'![427)</f>
      </c>
      <c r="AB427">
        <f>IF(ISBLANK('Data Entry'!\427), "", 'Data Entry'!\427)</f>
      </c>
      <c r="AC427">
        <f>IF(ISBLANK('Data Entry'!]427), "", 'Data Entry'!]427)</f>
      </c>
      <c r="AD427">
        <f>IF(ISBLANK('Data Entry'!^427), "", 'Data Entry'!^427)</f>
      </c>
      <c r="AE427">
        <f>IF(ISBLANK('Data Entry'!_427), "", 'Data Entry'!_427)</f>
      </c>
      <c r="AF427">
        <f>IF(ISBLANK('Data Entry'!`427), "", 'Data Entry'!`427)</f>
      </c>
      <c r="AG427">
        <f>IF(ISBLANK('Data Entry'!a427), "", 'Data Entry'!a427)</f>
      </c>
      <c r="AH427">
        <f>IF(ISBLANK('Data Entry'!b427), "", 'Data Entry'!b427)</f>
      </c>
      <c r="AI427">
        <f>IF(ISBLANK('Data Entry'!c427), "", 'Data Entry'!c427)</f>
      </c>
      <c r="AJ427">
        <f>IF(ISBLANK('Data Entry'!d427), "", 'Data Entry'!d427)</f>
      </c>
      <c r="AK427">
        <f>IF(ISBLANK('Data Entry'!e427), "", 'Data Entry'!e427)</f>
      </c>
      <c r="AL427">
        <f>IF(ISBLANK('Data Entry'!f427), "", 'Data Entry'!f427)</f>
      </c>
      <c r="AM427">
        <f>IF(ISBLANK('Data Entry'!g427), "", 'Data Entry'!g427)</f>
      </c>
      <c r="AN427">
        <f>IF(ISBLANK('Data Entry'!h427), "", 'Data Entry'!h427)</f>
      </c>
    </row>
    <row r="428" spans="1:40" x14ac:dyDescent="0.25">
      <c r="A428">
        <f>IF(ISBLANK('Data Entry'!A428), "", 'Data Entry'!A428)</f>
      </c>
      <c r="B428">
        <f>IF(ISBLANK('Data Entry'!B428), "", 'Data Entry'!B428)</f>
      </c>
      <c r="C428">
        <f>IF(ISBLANK('Data Entry'!C428), "", 'Data Entry'!C428)</f>
      </c>
      <c r="D428">
        <f>IF(ISBLANK('Data Entry'!D428), "", 'Data Entry'!D428)</f>
      </c>
      <c r="E428">
        <f>IF(ISBLANK('Data Entry'!E428), "", 'Data Entry'!E428)</f>
      </c>
      <c r="F428">
        <f>IF(ISBLANK('Data Entry'!F428), "", 'Data Entry'!F428)</f>
      </c>
      <c r="G428">
        <f>IF(ISBLANK('Data Entry'!G428), "", 'Data Entry'!G428)</f>
      </c>
      <c r="H428">
        <f>IF(ISBLANK('Data Entry'!H428), "", 'Data Entry'!H428)</f>
      </c>
      <c r="I428">
        <f>IF(ISBLANK('Data Entry'!I428), "", 'Data Entry'!I428)</f>
      </c>
      <c r="J428">
        <f>IF(ISBLANK('Data Entry'!J428), "", 'Data Entry'!J428)</f>
      </c>
      <c r="K428">
        <f>IF(ISBLANK('Data Entry'!K428), "", 'Data Entry'!K428)</f>
      </c>
      <c r="L428">
        <f>IF(ISBLANK('Data Entry'!L428), "", 'Data Entry'!L428)</f>
      </c>
      <c r="M428">
        <f>IF(ISBLANK('Data Entry'!M428), "", 'Data Entry'!M428)</f>
      </c>
      <c r="N428">
        <f>IF(ISBLANK('Data Entry'!N428), "", 'Data Entry'!N428)</f>
      </c>
      <c r="O428">
        <f>IF(ISBLANK('Data Entry'!O428), "", 'Data Entry'!O428)</f>
      </c>
      <c r="P428">
        <f>IF(ISBLANK('Data Entry'!P428), "", 'Data Entry'!P428)</f>
      </c>
      <c r="Q428">
        <f>IF(ISBLANK('Data Entry'!Q428), "", 'Data Entry'!Q428)</f>
      </c>
      <c r="R428">
        <f>IF(ISBLANK('Data Entry'!R428), "", 'Data Entry'!R428)</f>
      </c>
      <c r="S428">
        <f>IF(ISBLANK('Data Entry'!S428), "", 'Data Entry'!S428)</f>
      </c>
      <c r="T428">
        <f>IF(ISBLANK('Data Entry'!T428), "", 'Data Entry'!T428)</f>
      </c>
      <c r="U428">
        <f>IF(ISBLANK('Data Entry'!U428), "", 'Data Entry'!U428)</f>
      </c>
      <c r="V428">
        <f>IF(ISBLANK('Data Entry'!V428), "", 'Data Entry'!V428)</f>
      </c>
      <c r="W428">
        <f>IF(ISBLANK('Data Entry'!W428), "", 'Data Entry'!W428)</f>
      </c>
      <c r="X428">
        <f>IF(ISBLANK('Data Entry'!X428), "", 'Data Entry'!X428)</f>
      </c>
      <c r="Y428">
        <f>IF(ISBLANK('Data Entry'!Y428), "", 'Data Entry'!Y428)</f>
      </c>
      <c r="Z428">
        <f>IF(ISBLANK('Data Entry'!Z428), "", 'Data Entry'!Z428)</f>
      </c>
      <c r="AA428">
        <f>IF(ISBLANK('Data Entry'![428), "", 'Data Entry'![428)</f>
      </c>
      <c r="AB428">
        <f>IF(ISBLANK('Data Entry'!\428), "", 'Data Entry'!\428)</f>
      </c>
      <c r="AC428">
        <f>IF(ISBLANK('Data Entry'!]428), "", 'Data Entry'!]428)</f>
      </c>
      <c r="AD428">
        <f>IF(ISBLANK('Data Entry'!^428), "", 'Data Entry'!^428)</f>
      </c>
      <c r="AE428">
        <f>IF(ISBLANK('Data Entry'!_428), "", 'Data Entry'!_428)</f>
      </c>
      <c r="AF428">
        <f>IF(ISBLANK('Data Entry'!`428), "", 'Data Entry'!`428)</f>
      </c>
      <c r="AG428">
        <f>IF(ISBLANK('Data Entry'!a428), "", 'Data Entry'!a428)</f>
      </c>
      <c r="AH428">
        <f>IF(ISBLANK('Data Entry'!b428), "", 'Data Entry'!b428)</f>
      </c>
      <c r="AI428">
        <f>IF(ISBLANK('Data Entry'!c428), "", 'Data Entry'!c428)</f>
      </c>
      <c r="AJ428">
        <f>IF(ISBLANK('Data Entry'!d428), "", 'Data Entry'!d428)</f>
      </c>
      <c r="AK428">
        <f>IF(ISBLANK('Data Entry'!e428), "", 'Data Entry'!e428)</f>
      </c>
      <c r="AL428">
        <f>IF(ISBLANK('Data Entry'!f428), "", 'Data Entry'!f428)</f>
      </c>
      <c r="AM428">
        <f>IF(ISBLANK('Data Entry'!g428), "", 'Data Entry'!g428)</f>
      </c>
      <c r="AN428">
        <f>IF(ISBLANK('Data Entry'!h428), "", 'Data Entry'!h428)</f>
      </c>
    </row>
    <row r="429" spans="1:40" x14ac:dyDescent="0.25">
      <c r="A429">
        <f>IF(ISBLANK('Data Entry'!A429), "", 'Data Entry'!A429)</f>
      </c>
      <c r="B429">
        <f>IF(ISBLANK('Data Entry'!B429), "", 'Data Entry'!B429)</f>
      </c>
      <c r="C429">
        <f>IF(ISBLANK('Data Entry'!C429), "", 'Data Entry'!C429)</f>
      </c>
      <c r="D429">
        <f>IF(ISBLANK('Data Entry'!D429), "", 'Data Entry'!D429)</f>
      </c>
      <c r="E429">
        <f>IF(ISBLANK('Data Entry'!E429), "", 'Data Entry'!E429)</f>
      </c>
      <c r="F429">
        <f>IF(ISBLANK('Data Entry'!F429), "", 'Data Entry'!F429)</f>
      </c>
      <c r="G429">
        <f>IF(ISBLANK('Data Entry'!G429), "", 'Data Entry'!G429)</f>
      </c>
      <c r="H429">
        <f>IF(ISBLANK('Data Entry'!H429), "", 'Data Entry'!H429)</f>
      </c>
      <c r="I429">
        <f>IF(ISBLANK('Data Entry'!I429), "", 'Data Entry'!I429)</f>
      </c>
      <c r="J429">
        <f>IF(ISBLANK('Data Entry'!J429), "", 'Data Entry'!J429)</f>
      </c>
      <c r="K429">
        <f>IF(ISBLANK('Data Entry'!K429), "", 'Data Entry'!K429)</f>
      </c>
      <c r="L429">
        <f>IF(ISBLANK('Data Entry'!L429), "", 'Data Entry'!L429)</f>
      </c>
      <c r="M429">
        <f>IF(ISBLANK('Data Entry'!M429), "", 'Data Entry'!M429)</f>
      </c>
      <c r="N429">
        <f>IF(ISBLANK('Data Entry'!N429), "", 'Data Entry'!N429)</f>
      </c>
      <c r="O429">
        <f>IF(ISBLANK('Data Entry'!O429), "", 'Data Entry'!O429)</f>
      </c>
      <c r="P429">
        <f>IF(ISBLANK('Data Entry'!P429), "", 'Data Entry'!P429)</f>
      </c>
      <c r="Q429">
        <f>IF(ISBLANK('Data Entry'!Q429), "", 'Data Entry'!Q429)</f>
      </c>
      <c r="R429">
        <f>IF(ISBLANK('Data Entry'!R429), "", 'Data Entry'!R429)</f>
      </c>
      <c r="S429">
        <f>IF(ISBLANK('Data Entry'!S429), "", 'Data Entry'!S429)</f>
      </c>
      <c r="T429">
        <f>IF(ISBLANK('Data Entry'!T429), "", 'Data Entry'!T429)</f>
      </c>
      <c r="U429">
        <f>IF(ISBLANK('Data Entry'!U429), "", 'Data Entry'!U429)</f>
      </c>
      <c r="V429">
        <f>IF(ISBLANK('Data Entry'!V429), "", 'Data Entry'!V429)</f>
      </c>
      <c r="W429">
        <f>IF(ISBLANK('Data Entry'!W429), "", 'Data Entry'!W429)</f>
      </c>
      <c r="X429">
        <f>IF(ISBLANK('Data Entry'!X429), "", 'Data Entry'!X429)</f>
      </c>
      <c r="Y429">
        <f>IF(ISBLANK('Data Entry'!Y429), "", 'Data Entry'!Y429)</f>
      </c>
      <c r="Z429">
        <f>IF(ISBLANK('Data Entry'!Z429), "", 'Data Entry'!Z429)</f>
      </c>
      <c r="AA429">
        <f>IF(ISBLANK('Data Entry'![429), "", 'Data Entry'![429)</f>
      </c>
      <c r="AB429">
        <f>IF(ISBLANK('Data Entry'!\429), "", 'Data Entry'!\429)</f>
      </c>
      <c r="AC429">
        <f>IF(ISBLANK('Data Entry'!]429), "", 'Data Entry'!]429)</f>
      </c>
      <c r="AD429">
        <f>IF(ISBLANK('Data Entry'!^429), "", 'Data Entry'!^429)</f>
      </c>
      <c r="AE429">
        <f>IF(ISBLANK('Data Entry'!_429), "", 'Data Entry'!_429)</f>
      </c>
      <c r="AF429">
        <f>IF(ISBLANK('Data Entry'!`429), "", 'Data Entry'!`429)</f>
      </c>
      <c r="AG429">
        <f>IF(ISBLANK('Data Entry'!a429), "", 'Data Entry'!a429)</f>
      </c>
      <c r="AH429">
        <f>IF(ISBLANK('Data Entry'!b429), "", 'Data Entry'!b429)</f>
      </c>
      <c r="AI429">
        <f>IF(ISBLANK('Data Entry'!c429), "", 'Data Entry'!c429)</f>
      </c>
      <c r="AJ429">
        <f>IF(ISBLANK('Data Entry'!d429), "", 'Data Entry'!d429)</f>
      </c>
      <c r="AK429">
        <f>IF(ISBLANK('Data Entry'!e429), "", 'Data Entry'!e429)</f>
      </c>
      <c r="AL429">
        <f>IF(ISBLANK('Data Entry'!f429), "", 'Data Entry'!f429)</f>
      </c>
      <c r="AM429">
        <f>IF(ISBLANK('Data Entry'!g429), "", 'Data Entry'!g429)</f>
      </c>
      <c r="AN429">
        <f>IF(ISBLANK('Data Entry'!h429), "", 'Data Entry'!h429)</f>
      </c>
    </row>
    <row r="430" spans="1:40" x14ac:dyDescent="0.25">
      <c r="A430">
        <f>IF(ISBLANK('Data Entry'!A430), "", 'Data Entry'!A430)</f>
      </c>
      <c r="B430">
        <f>IF(ISBLANK('Data Entry'!B430), "", 'Data Entry'!B430)</f>
      </c>
      <c r="C430">
        <f>IF(ISBLANK('Data Entry'!C430), "", 'Data Entry'!C430)</f>
      </c>
      <c r="D430">
        <f>IF(ISBLANK('Data Entry'!D430), "", 'Data Entry'!D430)</f>
      </c>
      <c r="E430">
        <f>IF(ISBLANK('Data Entry'!E430), "", 'Data Entry'!E430)</f>
      </c>
      <c r="F430">
        <f>IF(ISBLANK('Data Entry'!F430), "", 'Data Entry'!F430)</f>
      </c>
      <c r="G430">
        <f>IF(ISBLANK('Data Entry'!G430), "", 'Data Entry'!G430)</f>
      </c>
      <c r="H430">
        <f>IF(ISBLANK('Data Entry'!H430), "", 'Data Entry'!H430)</f>
      </c>
      <c r="I430">
        <f>IF(ISBLANK('Data Entry'!I430), "", 'Data Entry'!I430)</f>
      </c>
      <c r="J430">
        <f>IF(ISBLANK('Data Entry'!J430), "", 'Data Entry'!J430)</f>
      </c>
      <c r="K430">
        <f>IF(ISBLANK('Data Entry'!K430), "", 'Data Entry'!K430)</f>
      </c>
      <c r="L430">
        <f>IF(ISBLANK('Data Entry'!L430), "", 'Data Entry'!L430)</f>
      </c>
      <c r="M430">
        <f>IF(ISBLANK('Data Entry'!M430), "", 'Data Entry'!M430)</f>
      </c>
      <c r="N430">
        <f>IF(ISBLANK('Data Entry'!N430), "", 'Data Entry'!N430)</f>
      </c>
      <c r="O430">
        <f>IF(ISBLANK('Data Entry'!O430), "", 'Data Entry'!O430)</f>
      </c>
      <c r="P430">
        <f>IF(ISBLANK('Data Entry'!P430), "", 'Data Entry'!P430)</f>
      </c>
      <c r="Q430">
        <f>IF(ISBLANK('Data Entry'!Q430), "", 'Data Entry'!Q430)</f>
      </c>
      <c r="R430">
        <f>IF(ISBLANK('Data Entry'!R430), "", 'Data Entry'!R430)</f>
      </c>
      <c r="S430">
        <f>IF(ISBLANK('Data Entry'!S430), "", 'Data Entry'!S430)</f>
      </c>
      <c r="T430">
        <f>IF(ISBLANK('Data Entry'!T430), "", 'Data Entry'!T430)</f>
      </c>
      <c r="U430">
        <f>IF(ISBLANK('Data Entry'!U430), "", 'Data Entry'!U430)</f>
      </c>
      <c r="V430">
        <f>IF(ISBLANK('Data Entry'!V430), "", 'Data Entry'!V430)</f>
      </c>
      <c r="W430">
        <f>IF(ISBLANK('Data Entry'!W430), "", 'Data Entry'!W430)</f>
      </c>
      <c r="X430">
        <f>IF(ISBLANK('Data Entry'!X430), "", 'Data Entry'!X430)</f>
      </c>
      <c r="Y430">
        <f>IF(ISBLANK('Data Entry'!Y430), "", 'Data Entry'!Y430)</f>
      </c>
      <c r="Z430">
        <f>IF(ISBLANK('Data Entry'!Z430), "", 'Data Entry'!Z430)</f>
      </c>
      <c r="AA430">
        <f>IF(ISBLANK('Data Entry'![430), "", 'Data Entry'![430)</f>
      </c>
      <c r="AB430">
        <f>IF(ISBLANK('Data Entry'!\430), "", 'Data Entry'!\430)</f>
      </c>
      <c r="AC430">
        <f>IF(ISBLANK('Data Entry'!]430), "", 'Data Entry'!]430)</f>
      </c>
      <c r="AD430">
        <f>IF(ISBLANK('Data Entry'!^430), "", 'Data Entry'!^430)</f>
      </c>
      <c r="AE430">
        <f>IF(ISBLANK('Data Entry'!_430), "", 'Data Entry'!_430)</f>
      </c>
      <c r="AF430">
        <f>IF(ISBLANK('Data Entry'!`430), "", 'Data Entry'!`430)</f>
      </c>
      <c r="AG430">
        <f>IF(ISBLANK('Data Entry'!a430), "", 'Data Entry'!a430)</f>
      </c>
      <c r="AH430">
        <f>IF(ISBLANK('Data Entry'!b430), "", 'Data Entry'!b430)</f>
      </c>
      <c r="AI430">
        <f>IF(ISBLANK('Data Entry'!c430), "", 'Data Entry'!c430)</f>
      </c>
      <c r="AJ430">
        <f>IF(ISBLANK('Data Entry'!d430), "", 'Data Entry'!d430)</f>
      </c>
      <c r="AK430">
        <f>IF(ISBLANK('Data Entry'!e430), "", 'Data Entry'!e430)</f>
      </c>
      <c r="AL430">
        <f>IF(ISBLANK('Data Entry'!f430), "", 'Data Entry'!f430)</f>
      </c>
      <c r="AM430">
        <f>IF(ISBLANK('Data Entry'!g430), "", 'Data Entry'!g430)</f>
      </c>
      <c r="AN430">
        <f>IF(ISBLANK('Data Entry'!h430), "", 'Data Entry'!h430)</f>
      </c>
    </row>
    <row r="431" spans="1:40" x14ac:dyDescent="0.25">
      <c r="A431">
        <f>IF(ISBLANK('Data Entry'!A431), "", 'Data Entry'!A431)</f>
      </c>
      <c r="B431">
        <f>IF(ISBLANK('Data Entry'!B431), "", 'Data Entry'!B431)</f>
      </c>
      <c r="C431">
        <f>IF(ISBLANK('Data Entry'!C431), "", 'Data Entry'!C431)</f>
      </c>
      <c r="D431">
        <f>IF(ISBLANK('Data Entry'!D431), "", 'Data Entry'!D431)</f>
      </c>
      <c r="E431">
        <f>IF(ISBLANK('Data Entry'!E431), "", 'Data Entry'!E431)</f>
      </c>
      <c r="F431">
        <f>IF(ISBLANK('Data Entry'!F431), "", 'Data Entry'!F431)</f>
      </c>
      <c r="G431">
        <f>IF(ISBLANK('Data Entry'!G431), "", 'Data Entry'!G431)</f>
      </c>
      <c r="H431">
        <f>IF(ISBLANK('Data Entry'!H431), "", 'Data Entry'!H431)</f>
      </c>
      <c r="I431">
        <f>IF(ISBLANK('Data Entry'!I431), "", 'Data Entry'!I431)</f>
      </c>
      <c r="J431">
        <f>IF(ISBLANK('Data Entry'!J431), "", 'Data Entry'!J431)</f>
      </c>
      <c r="K431">
        <f>IF(ISBLANK('Data Entry'!K431), "", 'Data Entry'!K431)</f>
      </c>
      <c r="L431">
        <f>IF(ISBLANK('Data Entry'!L431), "", 'Data Entry'!L431)</f>
      </c>
      <c r="M431">
        <f>IF(ISBLANK('Data Entry'!M431), "", 'Data Entry'!M431)</f>
      </c>
      <c r="N431">
        <f>IF(ISBLANK('Data Entry'!N431), "", 'Data Entry'!N431)</f>
      </c>
      <c r="O431">
        <f>IF(ISBLANK('Data Entry'!O431), "", 'Data Entry'!O431)</f>
      </c>
      <c r="P431">
        <f>IF(ISBLANK('Data Entry'!P431), "", 'Data Entry'!P431)</f>
      </c>
      <c r="Q431">
        <f>IF(ISBLANK('Data Entry'!Q431), "", 'Data Entry'!Q431)</f>
      </c>
      <c r="R431">
        <f>IF(ISBLANK('Data Entry'!R431), "", 'Data Entry'!R431)</f>
      </c>
      <c r="S431">
        <f>IF(ISBLANK('Data Entry'!S431), "", 'Data Entry'!S431)</f>
      </c>
      <c r="T431">
        <f>IF(ISBLANK('Data Entry'!T431), "", 'Data Entry'!T431)</f>
      </c>
      <c r="U431">
        <f>IF(ISBLANK('Data Entry'!U431), "", 'Data Entry'!U431)</f>
      </c>
      <c r="V431">
        <f>IF(ISBLANK('Data Entry'!V431), "", 'Data Entry'!V431)</f>
      </c>
      <c r="W431">
        <f>IF(ISBLANK('Data Entry'!W431), "", 'Data Entry'!W431)</f>
      </c>
      <c r="X431">
        <f>IF(ISBLANK('Data Entry'!X431), "", 'Data Entry'!X431)</f>
      </c>
      <c r="Y431">
        <f>IF(ISBLANK('Data Entry'!Y431), "", 'Data Entry'!Y431)</f>
      </c>
      <c r="Z431">
        <f>IF(ISBLANK('Data Entry'!Z431), "", 'Data Entry'!Z431)</f>
      </c>
      <c r="AA431">
        <f>IF(ISBLANK('Data Entry'![431), "", 'Data Entry'![431)</f>
      </c>
      <c r="AB431">
        <f>IF(ISBLANK('Data Entry'!\431), "", 'Data Entry'!\431)</f>
      </c>
      <c r="AC431">
        <f>IF(ISBLANK('Data Entry'!]431), "", 'Data Entry'!]431)</f>
      </c>
      <c r="AD431">
        <f>IF(ISBLANK('Data Entry'!^431), "", 'Data Entry'!^431)</f>
      </c>
      <c r="AE431">
        <f>IF(ISBLANK('Data Entry'!_431), "", 'Data Entry'!_431)</f>
      </c>
      <c r="AF431">
        <f>IF(ISBLANK('Data Entry'!`431), "", 'Data Entry'!`431)</f>
      </c>
      <c r="AG431">
        <f>IF(ISBLANK('Data Entry'!a431), "", 'Data Entry'!a431)</f>
      </c>
      <c r="AH431">
        <f>IF(ISBLANK('Data Entry'!b431), "", 'Data Entry'!b431)</f>
      </c>
      <c r="AI431">
        <f>IF(ISBLANK('Data Entry'!c431), "", 'Data Entry'!c431)</f>
      </c>
      <c r="AJ431">
        <f>IF(ISBLANK('Data Entry'!d431), "", 'Data Entry'!d431)</f>
      </c>
      <c r="AK431">
        <f>IF(ISBLANK('Data Entry'!e431), "", 'Data Entry'!e431)</f>
      </c>
      <c r="AL431">
        <f>IF(ISBLANK('Data Entry'!f431), "", 'Data Entry'!f431)</f>
      </c>
      <c r="AM431">
        <f>IF(ISBLANK('Data Entry'!g431), "", 'Data Entry'!g431)</f>
      </c>
      <c r="AN431">
        <f>IF(ISBLANK('Data Entry'!h431), "", 'Data Entry'!h431)</f>
      </c>
    </row>
    <row r="432" spans="1:40" x14ac:dyDescent="0.25">
      <c r="A432">
        <f>IF(ISBLANK('Data Entry'!A432), "", 'Data Entry'!A432)</f>
      </c>
      <c r="B432">
        <f>IF(ISBLANK('Data Entry'!B432), "", 'Data Entry'!B432)</f>
      </c>
      <c r="C432">
        <f>IF(ISBLANK('Data Entry'!C432), "", 'Data Entry'!C432)</f>
      </c>
      <c r="D432">
        <f>IF(ISBLANK('Data Entry'!D432), "", 'Data Entry'!D432)</f>
      </c>
      <c r="E432">
        <f>IF(ISBLANK('Data Entry'!E432), "", 'Data Entry'!E432)</f>
      </c>
      <c r="F432">
        <f>IF(ISBLANK('Data Entry'!F432), "", 'Data Entry'!F432)</f>
      </c>
      <c r="G432">
        <f>IF(ISBLANK('Data Entry'!G432), "", 'Data Entry'!G432)</f>
      </c>
      <c r="H432">
        <f>IF(ISBLANK('Data Entry'!H432), "", 'Data Entry'!H432)</f>
      </c>
      <c r="I432">
        <f>IF(ISBLANK('Data Entry'!I432), "", 'Data Entry'!I432)</f>
      </c>
      <c r="J432">
        <f>IF(ISBLANK('Data Entry'!J432), "", 'Data Entry'!J432)</f>
      </c>
      <c r="K432">
        <f>IF(ISBLANK('Data Entry'!K432), "", 'Data Entry'!K432)</f>
      </c>
      <c r="L432">
        <f>IF(ISBLANK('Data Entry'!L432), "", 'Data Entry'!L432)</f>
      </c>
      <c r="M432">
        <f>IF(ISBLANK('Data Entry'!M432), "", 'Data Entry'!M432)</f>
      </c>
      <c r="N432">
        <f>IF(ISBLANK('Data Entry'!N432), "", 'Data Entry'!N432)</f>
      </c>
      <c r="O432">
        <f>IF(ISBLANK('Data Entry'!O432), "", 'Data Entry'!O432)</f>
      </c>
      <c r="P432">
        <f>IF(ISBLANK('Data Entry'!P432), "", 'Data Entry'!P432)</f>
      </c>
      <c r="Q432">
        <f>IF(ISBLANK('Data Entry'!Q432), "", 'Data Entry'!Q432)</f>
      </c>
      <c r="R432">
        <f>IF(ISBLANK('Data Entry'!R432), "", 'Data Entry'!R432)</f>
      </c>
      <c r="S432">
        <f>IF(ISBLANK('Data Entry'!S432), "", 'Data Entry'!S432)</f>
      </c>
      <c r="T432">
        <f>IF(ISBLANK('Data Entry'!T432), "", 'Data Entry'!T432)</f>
      </c>
      <c r="U432">
        <f>IF(ISBLANK('Data Entry'!U432), "", 'Data Entry'!U432)</f>
      </c>
      <c r="V432">
        <f>IF(ISBLANK('Data Entry'!V432), "", 'Data Entry'!V432)</f>
      </c>
      <c r="W432">
        <f>IF(ISBLANK('Data Entry'!W432), "", 'Data Entry'!W432)</f>
      </c>
      <c r="X432">
        <f>IF(ISBLANK('Data Entry'!X432), "", 'Data Entry'!X432)</f>
      </c>
      <c r="Y432">
        <f>IF(ISBLANK('Data Entry'!Y432), "", 'Data Entry'!Y432)</f>
      </c>
      <c r="Z432">
        <f>IF(ISBLANK('Data Entry'!Z432), "", 'Data Entry'!Z432)</f>
      </c>
      <c r="AA432">
        <f>IF(ISBLANK('Data Entry'![432), "", 'Data Entry'![432)</f>
      </c>
      <c r="AB432">
        <f>IF(ISBLANK('Data Entry'!\432), "", 'Data Entry'!\432)</f>
      </c>
      <c r="AC432">
        <f>IF(ISBLANK('Data Entry'!]432), "", 'Data Entry'!]432)</f>
      </c>
      <c r="AD432">
        <f>IF(ISBLANK('Data Entry'!^432), "", 'Data Entry'!^432)</f>
      </c>
      <c r="AE432">
        <f>IF(ISBLANK('Data Entry'!_432), "", 'Data Entry'!_432)</f>
      </c>
      <c r="AF432">
        <f>IF(ISBLANK('Data Entry'!`432), "", 'Data Entry'!`432)</f>
      </c>
      <c r="AG432">
        <f>IF(ISBLANK('Data Entry'!a432), "", 'Data Entry'!a432)</f>
      </c>
      <c r="AH432">
        <f>IF(ISBLANK('Data Entry'!b432), "", 'Data Entry'!b432)</f>
      </c>
      <c r="AI432">
        <f>IF(ISBLANK('Data Entry'!c432), "", 'Data Entry'!c432)</f>
      </c>
      <c r="AJ432">
        <f>IF(ISBLANK('Data Entry'!d432), "", 'Data Entry'!d432)</f>
      </c>
      <c r="AK432">
        <f>IF(ISBLANK('Data Entry'!e432), "", 'Data Entry'!e432)</f>
      </c>
      <c r="AL432">
        <f>IF(ISBLANK('Data Entry'!f432), "", 'Data Entry'!f432)</f>
      </c>
      <c r="AM432">
        <f>IF(ISBLANK('Data Entry'!g432), "", 'Data Entry'!g432)</f>
      </c>
      <c r="AN432">
        <f>IF(ISBLANK('Data Entry'!h432), "", 'Data Entry'!h432)</f>
      </c>
    </row>
    <row r="433" spans="1:40" x14ac:dyDescent="0.25">
      <c r="A433">
        <f>IF(ISBLANK('Data Entry'!A433), "", 'Data Entry'!A433)</f>
      </c>
      <c r="B433">
        <f>IF(ISBLANK('Data Entry'!B433), "", 'Data Entry'!B433)</f>
      </c>
      <c r="C433">
        <f>IF(ISBLANK('Data Entry'!C433), "", 'Data Entry'!C433)</f>
      </c>
      <c r="D433">
        <f>IF(ISBLANK('Data Entry'!D433), "", 'Data Entry'!D433)</f>
      </c>
      <c r="E433">
        <f>IF(ISBLANK('Data Entry'!E433), "", 'Data Entry'!E433)</f>
      </c>
      <c r="F433">
        <f>IF(ISBLANK('Data Entry'!F433), "", 'Data Entry'!F433)</f>
      </c>
      <c r="G433">
        <f>IF(ISBLANK('Data Entry'!G433), "", 'Data Entry'!G433)</f>
      </c>
      <c r="H433">
        <f>IF(ISBLANK('Data Entry'!H433), "", 'Data Entry'!H433)</f>
      </c>
      <c r="I433">
        <f>IF(ISBLANK('Data Entry'!I433), "", 'Data Entry'!I433)</f>
      </c>
      <c r="J433">
        <f>IF(ISBLANK('Data Entry'!J433), "", 'Data Entry'!J433)</f>
      </c>
      <c r="K433">
        <f>IF(ISBLANK('Data Entry'!K433), "", 'Data Entry'!K433)</f>
      </c>
      <c r="L433">
        <f>IF(ISBLANK('Data Entry'!L433), "", 'Data Entry'!L433)</f>
      </c>
      <c r="M433">
        <f>IF(ISBLANK('Data Entry'!M433), "", 'Data Entry'!M433)</f>
      </c>
      <c r="N433">
        <f>IF(ISBLANK('Data Entry'!N433), "", 'Data Entry'!N433)</f>
      </c>
      <c r="O433">
        <f>IF(ISBLANK('Data Entry'!O433), "", 'Data Entry'!O433)</f>
      </c>
      <c r="P433">
        <f>IF(ISBLANK('Data Entry'!P433), "", 'Data Entry'!P433)</f>
      </c>
      <c r="Q433">
        <f>IF(ISBLANK('Data Entry'!Q433), "", 'Data Entry'!Q433)</f>
      </c>
      <c r="R433">
        <f>IF(ISBLANK('Data Entry'!R433), "", 'Data Entry'!R433)</f>
      </c>
      <c r="S433">
        <f>IF(ISBLANK('Data Entry'!S433), "", 'Data Entry'!S433)</f>
      </c>
      <c r="T433">
        <f>IF(ISBLANK('Data Entry'!T433), "", 'Data Entry'!T433)</f>
      </c>
      <c r="U433">
        <f>IF(ISBLANK('Data Entry'!U433), "", 'Data Entry'!U433)</f>
      </c>
      <c r="V433">
        <f>IF(ISBLANK('Data Entry'!V433), "", 'Data Entry'!V433)</f>
      </c>
      <c r="W433">
        <f>IF(ISBLANK('Data Entry'!W433), "", 'Data Entry'!W433)</f>
      </c>
      <c r="X433">
        <f>IF(ISBLANK('Data Entry'!X433), "", 'Data Entry'!X433)</f>
      </c>
      <c r="Y433">
        <f>IF(ISBLANK('Data Entry'!Y433), "", 'Data Entry'!Y433)</f>
      </c>
      <c r="Z433">
        <f>IF(ISBLANK('Data Entry'!Z433), "", 'Data Entry'!Z433)</f>
      </c>
      <c r="AA433">
        <f>IF(ISBLANK('Data Entry'![433), "", 'Data Entry'![433)</f>
      </c>
      <c r="AB433">
        <f>IF(ISBLANK('Data Entry'!\433), "", 'Data Entry'!\433)</f>
      </c>
      <c r="AC433">
        <f>IF(ISBLANK('Data Entry'!]433), "", 'Data Entry'!]433)</f>
      </c>
      <c r="AD433">
        <f>IF(ISBLANK('Data Entry'!^433), "", 'Data Entry'!^433)</f>
      </c>
      <c r="AE433">
        <f>IF(ISBLANK('Data Entry'!_433), "", 'Data Entry'!_433)</f>
      </c>
      <c r="AF433">
        <f>IF(ISBLANK('Data Entry'!`433), "", 'Data Entry'!`433)</f>
      </c>
      <c r="AG433">
        <f>IF(ISBLANK('Data Entry'!a433), "", 'Data Entry'!a433)</f>
      </c>
      <c r="AH433">
        <f>IF(ISBLANK('Data Entry'!b433), "", 'Data Entry'!b433)</f>
      </c>
      <c r="AI433">
        <f>IF(ISBLANK('Data Entry'!c433), "", 'Data Entry'!c433)</f>
      </c>
      <c r="AJ433">
        <f>IF(ISBLANK('Data Entry'!d433), "", 'Data Entry'!d433)</f>
      </c>
      <c r="AK433">
        <f>IF(ISBLANK('Data Entry'!e433), "", 'Data Entry'!e433)</f>
      </c>
      <c r="AL433">
        <f>IF(ISBLANK('Data Entry'!f433), "", 'Data Entry'!f433)</f>
      </c>
      <c r="AM433">
        <f>IF(ISBLANK('Data Entry'!g433), "", 'Data Entry'!g433)</f>
      </c>
      <c r="AN433">
        <f>IF(ISBLANK('Data Entry'!h433), "", 'Data Entry'!h433)</f>
      </c>
    </row>
    <row r="434" spans="1:40" x14ac:dyDescent="0.25">
      <c r="A434">
        <f>IF(ISBLANK('Data Entry'!A434), "", 'Data Entry'!A434)</f>
      </c>
      <c r="B434">
        <f>IF(ISBLANK('Data Entry'!B434), "", 'Data Entry'!B434)</f>
      </c>
      <c r="C434">
        <f>IF(ISBLANK('Data Entry'!C434), "", 'Data Entry'!C434)</f>
      </c>
      <c r="D434">
        <f>IF(ISBLANK('Data Entry'!D434), "", 'Data Entry'!D434)</f>
      </c>
      <c r="E434">
        <f>IF(ISBLANK('Data Entry'!E434), "", 'Data Entry'!E434)</f>
      </c>
      <c r="F434">
        <f>IF(ISBLANK('Data Entry'!F434), "", 'Data Entry'!F434)</f>
      </c>
      <c r="G434">
        <f>IF(ISBLANK('Data Entry'!G434), "", 'Data Entry'!G434)</f>
      </c>
      <c r="H434">
        <f>IF(ISBLANK('Data Entry'!H434), "", 'Data Entry'!H434)</f>
      </c>
      <c r="I434">
        <f>IF(ISBLANK('Data Entry'!I434), "", 'Data Entry'!I434)</f>
      </c>
      <c r="J434">
        <f>IF(ISBLANK('Data Entry'!J434), "", 'Data Entry'!J434)</f>
      </c>
      <c r="K434">
        <f>IF(ISBLANK('Data Entry'!K434), "", 'Data Entry'!K434)</f>
      </c>
      <c r="L434">
        <f>IF(ISBLANK('Data Entry'!L434), "", 'Data Entry'!L434)</f>
      </c>
      <c r="M434">
        <f>IF(ISBLANK('Data Entry'!M434), "", 'Data Entry'!M434)</f>
      </c>
      <c r="N434">
        <f>IF(ISBLANK('Data Entry'!N434), "", 'Data Entry'!N434)</f>
      </c>
      <c r="O434">
        <f>IF(ISBLANK('Data Entry'!O434), "", 'Data Entry'!O434)</f>
      </c>
      <c r="P434">
        <f>IF(ISBLANK('Data Entry'!P434), "", 'Data Entry'!P434)</f>
      </c>
      <c r="Q434">
        <f>IF(ISBLANK('Data Entry'!Q434), "", 'Data Entry'!Q434)</f>
      </c>
      <c r="R434">
        <f>IF(ISBLANK('Data Entry'!R434), "", 'Data Entry'!R434)</f>
      </c>
      <c r="S434">
        <f>IF(ISBLANK('Data Entry'!S434), "", 'Data Entry'!S434)</f>
      </c>
      <c r="T434">
        <f>IF(ISBLANK('Data Entry'!T434), "", 'Data Entry'!T434)</f>
      </c>
      <c r="U434">
        <f>IF(ISBLANK('Data Entry'!U434), "", 'Data Entry'!U434)</f>
      </c>
      <c r="V434">
        <f>IF(ISBLANK('Data Entry'!V434), "", 'Data Entry'!V434)</f>
      </c>
      <c r="W434">
        <f>IF(ISBLANK('Data Entry'!W434), "", 'Data Entry'!W434)</f>
      </c>
      <c r="X434">
        <f>IF(ISBLANK('Data Entry'!X434), "", 'Data Entry'!X434)</f>
      </c>
      <c r="Y434">
        <f>IF(ISBLANK('Data Entry'!Y434), "", 'Data Entry'!Y434)</f>
      </c>
      <c r="Z434">
        <f>IF(ISBLANK('Data Entry'!Z434), "", 'Data Entry'!Z434)</f>
      </c>
      <c r="AA434">
        <f>IF(ISBLANK('Data Entry'![434), "", 'Data Entry'![434)</f>
      </c>
      <c r="AB434">
        <f>IF(ISBLANK('Data Entry'!\434), "", 'Data Entry'!\434)</f>
      </c>
      <c r="AC434">
        <f>IF(ISBLANK('Data Entry'!]434), "", 'Data Entry'!]434)</f>
      </c>
      <c r="AD434">
        <f>IF(ISBLANK('Data Entry'!^434), "", 'Data Entry'!^434)</f>
      </c>
      <c r="AE434">
        <f>IF(ISBLANK('Data Entry'!_434), "", 'Data Entry'!_434)</f>
      </c>
      <c r="AF434">
        <f>IF(ISBLANK('Data Entry'!`434), "", 'Data Entry'!`434)</f>
      </c>
      <c r="AG434">
        <f>IF(ISBLANK('Data Entry'!a434), "", 'Data Entry'!a434)</f>
      </c>
      <c r="AH434">
        <f>IF(ISBLANK('Data Entry'!b434), "", 'Data Entry'!b434)</f>
      </c>
      <c r="AI434">
        <f>IF(ISBLANK('Data Entry'!c434), "", 'Data Entry'!c434)</f>
      </c>
      <c r="AJ434">
        <f>IF(ISBLANK('Data Entry'!d434), "", 'Data Entry'!d434)</f>
      </c>
      <c r="AK434">
        <f>IF(ISBLANK('Data Entry'!e434), "", 'Data Entry'!e434)</f>
      </c>
      <c r="AL434">
        <f>IF(ISBLANK('Data Entry'!f434), "", 'Data Entry'!f434)</f>
      </c>
      <c r="AM434">
        <f>IF(ISBLANK('Data Entry'!g434), "", 'Data Entry'!g434)</f>
      </c>
      <c r="AN434">
        <f>IF(ISBLANK('Data Entry'!h434), "", 'Data Entry'!h434)</f>
      </c>
    </row>
    <row r="435" spans="1:40" x14ac:dyDescent="0.25">
      <c r="A435">
        <f>IF(ISBLANK('Data Entry'!A435), "", 'Data Entry'!A435)</f>
      </c>
      <c r="B435">
        <f>IF(ISBLANK('Data Entry'!B435), "", 'Data Entry'!B435)</f>
      </c>
      <c r="C435">
        <f>IF(ISBLANK('Data Entry'!C435), "", 'Data Entry'!C435)</f>
      </c>
      <c r="D435">
        <f>IF(ISBLANK('Data Entry'!D435), "", 'Data Entry'!D435)</f>
      </c>
      <c r="E435">
        <f>IF(ISBLANK('Data Entry'!E435), "", 'Data Entry'!E435)</f>
      </c>
      <c r="F435">
        <f>IF(ISBLANK('Data Entry'!F435), "", 'Data Entry'!F435)</f>
      </c>
      <c r="G435">
        <f>IF(ISBLANK('Data Entry'!G435), "", 'Data Entry'!G435)</f>
      </c>
      <c r="H435">
        <f>IF(ISBLANK('Data Entry'!H435), "", 'Data Entry'!H435)</f>
      </c>
      <c r="I435">
        <f>IF(ISBLANK('Data Entry'!I435), "", 'Data Entry'!I435)</f>
      </c>
      <c r="J435">
        <f>IF(ISBLANK('Data Entry'!J435), "", 'Data Entry'!J435)</f>
      </c>
      <c r="K435">
        <f>IF(ISBLANK('Data Entry'!K435), "", 'Data Entry'!K435)</f>
      </c>
      <c r="L435">
        <f>IF(ISBLANK('Data Entry'!L435), "", 'Data Entry'!L435)</f>
      </c>
      <c r="M435">
        <f>IF(ISBLANK('Data Entry'!M435), "", 'Data Entry'!M435)</f>
      </c>
      <c r="N435">
        <f>IF(ISBLANK('Data Entry'!N435), "", 'Data Entry'!N435)</f>
      </c>
      <c r="O435">
        <f>IF(ISBLANK('Data Entry'!O435), "", 'Data Entry'!O435)</f>
      </c>
      <c r="P435">
        <f>IF(ISBLANK('Data Entry'!P435), "", 'Data Entry'!P435)</f>
      </c>
      <c r="Q435">
        <f>IF(ISBLANK('Data Entry'!Q435), "", 'Data Entry'!Q435)</f>
      </c>
      <c r="R435">
        <f>IF(ISBLANK('Data Entry'!R435), "", 'Data Entry'!R435)</f>
      </c>
      <c r="S435">
        <f>IF(ISBLANK('Data Entry'!S435), "", 'Data Entry'!S435)</f>
      </c>
      <c r="T435">
        <f>IF(ISBLANK('Data Entry'!T435), "", 'Data Entry'!T435)</f>
      </c>
      <c r="U435">
        <f>IF(ISBLANK('Data Entry'!U435), "", 'Data Entry'!U435)</f>
      </c>
      <c r="V435">
        <f>IF(ISBLANK('Data Entry'!V435), "", 'Data Entry'!V435)</f>
      </c>
      <c r="W435">
        <f>IF(ISBLANK('Data Entry'!W435), "", 'Data Entry'!W435)</f>
      </c>
      <c r="X435">
        <f>IF(ISBLANK('Data Entry'!X435), "", 'Data Entry'!X435)</f>
      </c>
      <c r="Y435">
        <f>IF(ISBLANK('Data Entry'!Y435), "", 'Data Entry'!Y435)</f>
      </c>
      <c r="Z435">
        <f>IF(ISBLANK('Data Entry'!Z435), "", 'Data Entry'!Z435)</f>
      </c>
      <c r="AA435">
        <f>IF(ISBLANK('Data Entry'![435), "", 'Data Entry'![435)</f>
      </c>
      <c r="AB435">
        <f>IF(ISBLANK('Data Entry'!\435), "", 'Data Entry'!\435)</f>
      </c>
      <c r="AC435">
        <f>IF(ISBLANK('Data Entry'!]435), "", 'Data Entry'!]435)</f>
      </c>
      <c r="AD435">
        <f>IF(ISBLANK('Data Entry'!^435), "", 'Data Entry'!^435)</f>
      </c>
      <c r="AE435">
        <f>IF(ISBLANK('Data Entry'!_435), "", 'Data Entry'!_435)</f>
      </c>
      <c r="AF435">
        <f>IF(ISBLANK('Data Entry'!`435), "", 'Data Entry'!`435)</f>
      </c>
      <c r="AG435">
        <f>IF(ISBLANK('Data Entry'!a435), "", 'Data Entry'!a435)</f>
      </c>
      <c r="AH435">
        <f>IF(ISBLANK('Data Entry'!b435), "", 'Data Entry'!b435)</f>
      </c>
      <c r="AI435">
        <f>IF(ISBLANK('Data Entry'!c435), "", 'Data Entry'!c435)</f>
      </c>
      <c r="AJ435">
        <f>IF(ISBLANK('Data Entry'!d435), "", 'Data Entry'!d435)</f>
      </c>
      <c r="AK435">
        <f>IF(ISBLANK('Data Entry'!e435), "", 'Data Entry'!e435)</f>
      </c>
      <c r="AL435">
        <f>IF(ISBLANK('Data Entry'!f435), "", 'Data Entry'!f435)</f>
      </c>
      <c r="AM435">
        <f>IF(ISBLANK('Data Entry'!g435), "", 'Data Entry'!g435)</f>
      </c>
      <c r="AN435">
        <f>IF(ISBLANK('Data Entry'!h435), "", 'Data Entry'!h435)</f>
      </c>
    </row>
    <row r="436" spans="1:40" x14ac:dyDescent="0.25">
      <c r="A436">
        <f>IF(ISBLANK('Data Entry'!A436), "", 'Data Entry'!A436)</f>
      </c>
      <c r="B436">
        <f>IF(ISBLANK('Data Entry'!B436), "", 'Data Entry'!B436)</f>
      </c>
      <c r="C436">
        <f>IF(ISBLANK('Data Entry'!C436), "", 'Data Entry'!C436)</f>
      </c>
      <c r="D436">
        <f>IF(ISBLANK('Data Entry'!D436), "", 'Data Entry'!D436)</f>
      </c>
      <c r="E436">
        <f>IF(ISBLANK('Data Entry'!E436), "", 'Data Entry'!E436)</f>
      </c>
      <c r="F436">
        <f>IF(ISBLANK('Data Entry'!F436), "", 'Data Entry'!F436)</f>
      </c>
      <c r="G436">
        <f>IF(ISBLANK('Data Entry'!G436), "", 'Data Entry'!G436)</f>
      </c>
      <c r="H436">
        <f>IF(ISBLANK('Data Entry'!H436), "", 'Data Entry'!H436)</f>
      </c>
      <c r="I436">
        <f>IF(ISBLANK('Data Entry'!I436), "", 'Data Entry'!I436)</f>
      </c>
      <c r="J436">
        <f>IF(ISBLANK('Data Entry'!J436), "", 'Data Entry'!J436)</f>
      </c>
      <c r="K436">
        <f>IF(ISBLANK('Data Entry'!K436), "", 'Data Entry'!K436)</f>
      </c>
      <c r="L436">
        <f>IF(ISBLANK('Data Entry'!L436), "", 'Data Entry'!L436)</f>
      </c>
      <c r="M436">
        <f>IF(ISBLANK('Data Entry'!M436), "", 'Data Entry'!M436)</f>
      </c>
      <c r="N436">
        <f>IF(ISBLANK('Data Entry'!N436), "", 'Data Entry'!N436)</f>
      </c>
      <c r="O436">
        <f>IF(ISBLANK('Data Entry'!O436), "", 'Data Entry'!O436)</f>
      </c>
      <c r="P436">
        <f>IF(ISBLANK('Data Entry'!P436), "", 'Data Entry'!P436)</f>
      </c>
      <c r="Q436">
        <f>IF(ISBLANK('Data Entry'!Q436), "", 'Data Entry'!Q436)</f>
      </c>
      <c r="R436">
        <f>IF(ISBLANK('Data Entry'!R436), "", 'Data Entry'!R436)</f>
      </c>
      <c r="S436">
        <f>IF(ISBLANK('Data Entry'!S436), "", 'Data Entry'!S436)</f>
      </c>
      <c r="T436">
        <f>IF(ISBLANK('Data Entry'!T436), "", 'Data Entry'!T436)</f>
      </c>
      <c r="U436">
        <f>IF(ISBLANK('Data Entry'!U436), "", 'Data Entry'!U436)</f>
      </c>
      <c r="V436">
        <f>IF(ISBLANK('Data Entry'!V436), "", 'Data Entry'!V436)</f>
      </c>
      <c r="W436">
        <f>IF(ISBLANK('Data Entry'!W436), "", 'Data Entry'!W436)</f>
      </c>
      <c r="X436">
        <f>IF(ISBLANK('Data Entry'!X436), "", 'Data Entry'!X436)</f>
      </c>
      <c r="Y436">
        <f>IF(ISBLANK('Data Entry'!Y436), "", 'Data Entry'!Y436)</f>
      </c>
      <c r="Z436">
        <f>IF(ISBLANK('Data Entry'!Z436), "", 'Data Entry'!Z436)</f>
      </c>
      <c r="AA436">
        <f>IF(ISBLANK('Data Entry'![436), "", 'Data Entry'![436)</f>
      </c>
      <c r="AB436">
        <f>IF(ISBLANK('Data Entry'!\436), "", 'Data Entry'!\436)</f>
      </c>
      <c r="AC436">
        <f>IF(ISBLANK('Data Entry'!]436), "", 'Data Entry'!]436)</f>
      </c>
      <c r="AD436">
        <f>IF(ISBLANK('Data Entry'!^436), "", 'Data Entry'!^436)</f>
      </c>
      <c r="AE436">
        <f>IF(ISBLANK('Data Entry'!_436), "", 'Data Entry'!_436)</f>
      </c>
      <c r="AF436">
        <f>IF(ISBLANK('Data Entry'!`436), "", 'Data Entry'!`436)</f>
      </c>
      <c r="AG436">
        <f>IF(ISBLANK('Data Entry'!a436), "", 'Data Entry'!a436)</f>
      </c>
      <c r="AH436">
        <f>IF(ISBLANK('Data Entry'!b436), "", 'Data Entry'!b436)</f>
      </c>
      <c r="AI436">
        <f>IF(ISBLANK('Data Entry'!c436), "", 'Data Entry'!c436)</f>
      </c>
      <c r="AJ436">
        <f>IF(ISBLANK('Data Entry'!d436), "", 'Data Entry'!d436)</f>
      </c>
      <c r="AK436">
        <f>IF(ISBLANK('Data Entry'!e436), "", 'Data Entry'!e436)</f>
      </c>
      <c r="AL436">
        <f>IF(ISBLANK('Data Entry'!f436), "", 'Data Entry'!f436)</f>
      </c>
      <c r="AM436">
        <f>IF(ISBLANK('Data Entry'!g436), "", 'Data Entry'!g436)</f>
      </c>
      <c r="AN436">
        <f>IF(ISBLANK('Data Entry'!h436), "", 'Data Entry'!h436)</f>
      </c>
    </row>
    <row r="437" spans="1:40" x14ac:dyDescent="0.25">
      <c r="A437">
        <f>IF(ISBLANK('Data Entry'!A437), "", 'Data Entry'!A437)</f>
      </c>
      <c r="B437">
        <f>IF(ISBLANK('Data Entry'!B437), "", 'Data Entry'!B437)</f>
      </c>
      <c r="C437">
        <f>IF(ISBLANK('Data Entry'!C437), "", 'Data Entry'!C437)</f>
      </c>
      <c r="D437">
        <f>IF(ISBLANK('Data Entry'!D437), "", 'Data Entry'!D437)</f>
      </c>
      <c r="E437">
        <f>IF(ISBLANK('Data Entry'!E437), "", 'Data Entry'!E437)</f>
      </c>
      <c r="F437">
        <f>IF(ISBLANK('Data Entry'!F437), "", 'Data Entry'!F437)</f>
      </c>
      <c r="G437">
        <f>IF(ISBLANK('Data Entry'!G437), "", 'Data Entry'!G437)</f>
      </c>
      <c r="H437">
        <f>IF(ISBLANK('Data Entry'!H437), "", 'Data Entry'!H437)</f>
      </c>
      <c r="I437">
        <f>IF(ISBLANK('Data Entry'!I437), "", 'Data Entry'!I437)</f>
      </c>
      <c r="J437">
        <f>IF(ISBLANK('Data Entry'!J437), "", 'Data Entry'!J437)</f>
      </c>
      <c r="K437">
        <f>IF(ISBLANK('Data Entry'!K437), "", 'Data Entry'!K437)</f>
      </c>
      <c r="L437">
        <f>IF(ISBLANK('Data Entry'!L437), "", 'Data Entry'!L437)</f>
      </c>
      <c r="M437">
        <f>IF(ISBLANK('Data Entry'!M437), "", 'Data Entry'!M437)</f>
      </c>
      <c r="N437">
        <f>IF(ISBLANK('Data Entry'!N437), "", 'Data Entry'!N437)</f>
      </c>
      <c r="O437">
        <f>IF(ISBLANK('Data Entry'!O437), "", 'Data Entry'!O437)</f>
      </c>
      <c r="P437">
        <f>IF(ISBLANK('Data Entry'!P437), "", 'Data Entry'!P437)</f>
      </c>
      <c r="Q437">
        <f>IF(ISBLANK('Data Entry'!Q437), "", 'Data Entry'!Q437)</f>
      </c>
      <c r="R437">
        <f>IF(ISBLANK('Data Entry'!R437), "", 'Data Entry'!R437)</f>
      </c>
      <c r="S437">
        <f>IF(ISBLANK('Data Entry'!S437), "", 'Data Entry'!S437)</f>
      </c>
      <c r="T437">
        <f>IF(ISBLANK('Data Entry'!T437), "", 'Data Entry'!T437)</f>
      </c>
      <c r="U437">
        <f>IF(ISBLANK('Data Entry'!U437), "", 'Data Entry'!U437)</f>
      </c>
      <c r="V437">
        <f>IF(ISBLANK('Data Entry'!V437), "", 'Data Entry'!V437)</f>
      </c>
      <c r="W437">
        <f>IF(ISBLANK('Data Entry'!W437), "", 'Data Entry'!W437)</f>
      </c>
      <c r="X437">
        <f>IF(ISBLANK('Data Entry'!X437), "", 'Data Entry'!X437)</f>
      </c>
      <c r="Y437">
        <f>IF(ISBLANK('Data Entry'!Y437), "", 'Data Entry'!Y437)</f>
      </c>
      <c r="Z437">
        <f>IF(ISBLANK('Data Entry'!Z437), "", 'Data Entry'!Z437)</f>
      </c>
      <c r="AA437">
        <f>IF(ISBLANK('Data Entry'![437), "", 'Data Entry'![437)</f>
      </c>
      <c r="AB437">
        <f>IF(ISBLANK('Data Entry'!\437), "", 'Data Entry'!\437)</f>
      </c>
      <c r="AC437">
        <f>IF(ISBLANK('Data Entry'!]437), "", 'Data Entry'!]437)</f>
      </c>
      <c r="AD437">
        <f>IF(ISBLANK('Data Entry'!^437), "", 'Data Entry'!^437)</f>
      </c>
      <c r="AE437">
        <f>IF(ISBLANK('Data Entry'!_437), "", 'Data Entry'!_437)</f>
      </c>
      <c r="AF437">
        <f>IF(ISBLANK('Data Entry'!`437), "", 'Data Entry'!`437)</f>
      </c>
      <c r="AG437">
        <f>IF(ISBLANK('Data Entry'!a437), "", 'Data Entry'!a437)</f>
      </c>
      <c r="AH437">
        <f>IF(ISBLANK('Data Entry'!b437), "", 'Data Entry'!b437)</f>
      </c>
      <c r="AI437">
        <f>IF(ISBLANK('Data Entry'!c437), "", 'Data Entry'!c437)</f>
      </c>
      <c r="AJ437">
        <f>IF(ISBLANK('Data Entry'!d437), "", 'Data Entry'!d437)</f>
      </c>
      <c r="AK437">
        <f>IF(ISBLANK('Data Entry'!e437), "", 'Data Entry'!e437)</f>
      </c>
      <c r="AL437">
        <f>IF(ISBLANK('Data Entry'!f437), "", 'Data Entry'!f437)</f>
      </c>
      <c r="AM437">
        <f>IF(ISBLANK('Data Entry'!g437), "", 'Data Entry'!g437)</f>
      </c>
      <c r="AN437">
        <f>IF(ISBLANK('Data Entry'!h437), "", 'Data Entry'!h437)</f>
      </c>
    </row>
    <row r="438" spans="1:40" x14ac:dyDescent="0.25">
      <c r="A438">
        <f>IF(ISBLANK('Data Entry'!A438), "", 'Data Entry'!A438)</f>
      </c>
      <c r="B438">
        <f>IF(ISBLANK('Data Entry'!B438), "", 'Data Entry'!B438)</f>
      </c>
      <c r="C438">
        <f>IF(ISBLANK('Data Entry'!C438), "", 'Data Entry'!C438)</f>
      </c>
      <c r="D438">
        <f>IF(ISBLANK('Data Entry'!D438), "", 'Data Entry'!D438)</f>
      </c>
      <c r="E438">
        <f>IF(ISBLANK('Data Entry'!E438), "", 'Data Entry'!E438)</f>
      </c>
      <c r="F438">
        <f>IF(ISBLANK('Data Entry'!F438), "", 'Data Entry'!F438)</f>
      </c>
      <c r="G438">
        <f>IF(ISBLANK('Data Entry'!G438), "", 'Data Entry'!G438)</f>
      </c>
      <c r="H438">
        <f>IF(ISBLANK('Data Entry'!H438), "", 'Data Entry'!H438)</f>
      </c>
      <c r="I438">
        <f>IF(ISBLANK('Data Entry'!I438), "", 'Data Entry'!I438)</f>
      </c>
      <c r="J438">
        <f>IF(ISBLANK('Data Entry'!J438), "", 'Data Entry'!J438)</f>
      </c>
      <c r="K438">
        <f>IF(ISBLANK('Data Entry'!K438), "", 'Data Entry'!K438)</f>
      </c>
      <c r="L438">
        <f>IF(ISBLANK('Data Entry'!L438), "", 'Data Entry'!L438)</f>
      </c>
      <c r="M438">
        <f>IF(ISBLANK('Data Entry'!M438), "", 'Data Entry'!M438)</f>
      </c>
      <c r="N438">
        <f>IF(ISBLANK('Data Entry'!N438), "", 'Data Entry'!N438)</f>
      </c>
      <c r="O438">
        <f>IF(ISBLANK('Data Entry'!O438), "", 'Data Entry'!O438)</f>
      </c>
      <c r="P438">
        <f>IF(ISBLANK('Data Entry'!P438), "", 'Data Entry'!P438)</f>
      </c>
      <c r="Q438">
        <f>IF(ISBLANK('Data Entry'!Q438), "", 'Data Entry'!Q438)</f>
      </c>
      <c r="R438">
        <f>IF(ISBLANK('Data Entry'!R438), "", 'Data Entry'!R438)</f>
      </c>
      <c r="S438">
        <f>IF(ISBLANK('Data Entry'!S438), "", 'Data Entry'!S438)</f>
      </c>
      <c r="T438">
        <f>IF(ISBLANK('Data Entry'!T438), "", 'Data Entry'!T438)</f>
      </c>
      <c r="U438">
        <f>IF(ISBLANK('Data Entry'!U438), "", 'Data Entry'!U438)</f>
      </c>
      <c r="V438">
        <f>IF(ISBLANK('Data Entry'!V438), "", 'Data Entry'!V438)</f>
      </c>
      <c r="W438">
        <f>IF(ISBLANK('Data Entry'!W438), "", 'Data Entry'!W438)</f>
      </c>
      <c r="X438">
        <f>IF(ISBLANK('Data Entry'!X438), "", 'Data Entry'!X438)</f>
      </c>
      <c r="Y438">
        <f>IF(ISBLANK('Data Entry'!Y438), "", 'Data Entry'!Y438)</f>
      </c>
      <c r="Z438">
        <f>IF(ISBLANK('Data Entry'!Z438), "", 'Data Entry'!Z438)</f>
      </c>
      <c r="AA438">
        <f>IF(ISBLANK('Data Entry'![438), "", 'Data Entry'![438)</f>
      </c>
      <c r="AB438">
        <f>IF(ISBLANK('Data Entry'!\438), "", 'Data Entry'!\438)</f>
      </c>
      <c r="AC438">
        <f>IF(ISBLANK('Data Entry'!]438), "", 'Data Entry'!]438)</f>
      </c>
      <c r="AD438">
        <f>IF(ISBLANK('Data Entry'!^438), "", 'Data Entry'!^438)</f>
      </c>
      <c r="AE438">
        <f>IF(ISBLANK('Data Entry'!_438), "", 'Data Entry'!_438)</f>
      </c>
      <c r="AF438">
        <f>IF(ISBLANK('Data Entry'!`438), "", 'Data Entry'!`438)</f>
      </c>
      <c r="AG438">
        <f>IF(ISBLANK('Data Entry'!a438), "", 'Data Entry'!a438)</f>
      </c>
      <c r="AH438">
        <f>IF(ISBLANK('Data Entry'!b438), "", 'Data Entry'!b438)</f>
      </c>
      <c r="AI438">
        <f>IF(ISBLANK('Data Entry'!c438), "", 'Data Entry'!c438)</f>
      </c>
      <c r="AJ438">
        <f>IF(ISBLANK('Data Entry'!d438), "", 'Data Entry'!d438)</f>
      </c>
      <c r="AK438">
        <f>IF(ISBLANK('Data Entry'!e438), "", 'Data Entry'!e438)</f>
      </c>
      <c r="AL438">
        <f>IF(ISBLANK('Data Entry'!f438), "", 'Data Entry'!f438)</f>
      </c>
      <c r="AM438">
        <f>IF(ISBLANK('Data Entry'!g438), "", 'Data Entry'!g438)</f>
      </c>
      <c r="AN438">
        <f>IF(ISBLANK('Data Entry'!h438), "", 'Data Entry'!h438)</f>
      </c>
    </row>
    <row r="439" spans="1:40" x14ac:dyDescent="0.25">
      <c r="A439">
        <f>IF(ISBLANK('Data Entry'!A439), "", 'Data Entry'!A439)</f>
      </c>
      <c r="B439">
        <f>IF(ISBLANK('Data Entry'!B439), "", 'Data Entry'!B439)</f>
      </c>
      <c r="C439">
        <f>IF(ISBLANK('Data Entry'!C439), "", 'Data Entry'!C439)</f>
      </c>
      <c r="D439">
        <f>IF(ISBLANK('Data Entry'!D439), "", 'Data Entry'!D439)</f>
      </c>
      <c r="E439">
        <f>IF(ISBLANK('Data Entry'!E439), "", 'Data Entry'!E439)</f>
      </c>
      <c r="F439">
        <f>IF(ISBLANK('Data Entry'!F439), "", 'Data Entry'!F439)</f>
      </c>
      <c r="G439">
        <f>IF(ISBLANK('Data Entry'!G439), "", 'Data Entry'!G439)</f>
      </c>
      <c r="H439">
        <f>IF(ISBLANK('Data Entry'!H439), "", 'Data Entry'!H439)</f>
      </c>
      <c r="I439">
        <f>IF(ISBLANK('Data Entry'!I439), "", 'Data Entry'!I439)</f>
      </c>
      <c r="J439">
        <f>IF(ISBLANK('Data Entry'!J439), "", 'Data Entry'!J439)</f>
      </c>
      <c r="K439">
        <f>IF(ISBLANK('Data Entry'!K439), "", 'Data Entry'!K439)</f>
      </c>
      <c r="L439">
        <f>IF(ISBLANK('Data Entry'!L439), "", 'Data Entry'!L439)</f>
      </c>
      <c r="M439">
        <f>IF(ISBLANK('Data Entry'!M439), "", 'Data Entry'!M439)</f>
      </c>
      <c r="N439">
        <f>IF(ISBLANK('Data Entry'!N439), "", 'Data Entry'!N439)</f>
      </c>
      <c r="O439">
        <f>IF(ISBLANK('Data Entry'!O439), "", 'Data Entry'!O439)</f>
      </c>
      <c r="P439">
        <f>IF(ISBLANK('Data Entry'!P439), "", 'Data Entry'!P439)</f>
      </c>
      <c r="Q439">
        <f>IF(ISBLANK('Data Entry'!Q439), "", 'Data Entry'!Q439)</f>
      </c>
      <c r="R439">
        <f>IF(ISBLANK('Data Entry'!R439), "", 'Data Entry'!R439)</f>
      </c>
      <c r="S439">
        <f>IF(ISBLANK('Data Entry'!S439), "", 'Data Entry'!S439)</f>
      </c>
      <c r="T439">
        <f>IF(ISBLANK('Data Entry'!T439), "", 'Data Entry'!T439)</f>
      </c>
      <c r="U439">
        <f>IF(ISBLANK('Data Entry'!U439), "", 'Data Entry'!U439)</f>
      </c>
      <c r="V439">
        <f>IF(ISBLANK('Data Entry'!V439), "", 'Data Entry'!V439)</f>
      </c>
      <c r="W439">
        <f>IF(ISBLANK('Data Entry'!W439), "", 'Data Entry'!W439)</f>
      </c>
      <c r="X439">
        <f>IF(ISBLANK('Data Entry'!X439), "", 'Data Entry'!X439)</f>
      </c>
      <c r="Y439">
        <f>IF(ISBLANK('Data Entry'!Y439), "", 'Data Entry'!Y439)</f>
      </c>
      <c r="Z439">
        <f>IF(ISBLANK('Data Entry'!Z439), "", 'Data Entry'!Z439)</f>
      </c>
      <c r="AA439">
        <f>IF(ISBLANK('Data Entry'![439), "", 'Data Entry'![439)</f>
      </c>
      <c r="AB439">
        <f>IF(ISBLANK('Data Entry'!\439), "", 'Data Entry'!\439)</f>
      </c>
      <c r="AC439">
        <f>IF(ISBLANK('Data Entry'!]439), "", 'Data Entry'!]439)</f>
      </c>
      <c r="AD439">
        <f>IF(ISBLANK('Data Entry'!^439), "", 'Data Entry'!^439)</f>
      </c>
      <c r="AE439">
        <f>IF(ISBLANK('Data Entry'!_439), "", 'Data Entry'!_439)</f>
      </c>
      <c r="AF439">
        <f>IF(ISBLANK('Data Entry'!`439), "", 'Data Entry'!`439)</f>
      </c>
      <c r="AG439">
        <f>IF(ISBLANK('Data Entry'!a439), "", 'Data Entry'!a439)</f>
      </c>
      <c r="AH439">
        <f>IF(ISBLANK('Data Entry'!b439), "", 'Data Entry'!b439)</f>
      </c>
      <c r="AI439">
        <f>IF(ISBLANK('Data Entry'!c439), "", 'Data Entry'!c439)</f>
      </c>
      <c r="AJ439">
        <f>IF(ISBLANK('Data Entry'!d439), "", 'Data Entry'!d439)</f>
      </c>
      <c r="AK439">
        <f>IF(ISBLANK('Data Entry'!e439), "", 'Data Entry'!e439)</f>
      </c>
      <c r="AL439">
        <f>IF(ISBLANK('Data Entry'!f439), "", 'Data Entry'!f439)</f>
      </c>
      <c r="AM439">
        <f>IF(ISBLANK('Data Entry'!g439), "", 'Data Entry'!g439)</f>
      </c>
      <c r="AN439">
        <f>IF(ISBLANK('Data Entry'!h439), "", 'Data Entry'!h439)</f>
      </c>
    </row>
    <row r="440" spans="1:40" x14ac:dyDescent="0.25">
      <c r="A440">
        <f>IF(ISBLANK('Data Entry'!A440), "", 'Data Entry'!A440)</f>
      </c>
      <c r="B440">
        <f>IF(ISBLANK('Data Entry'!B440), "", 'Data Entry'!B440)</f>
      </c>
      <c r="C440">
        <f>IF(ISBLANK('Data Entry'!C440), "", 'Data Entry'!C440)</f>
      </c>
      <c r="D440">
        <f>IF(ISBLANK('Data Entry'!D440), "", 'Data Entry'!D440)</f>
      </c>
      <c r="E440">
        <f>IF(ISBLANK('Data Entry'!E440), "", 'Data Entry'!E440)</f>
      </c>
      <c r="F440">
        <f>IF(ISBLANK('Data Entry'!F440), "", 'Data Entry'!F440)</f>
      </c>
      <c r="G440">
        <f>IF(ISBLANK('Data Entry'!G440), "", 'Data Entry'!G440)</f>
      </c>
      <c r="H440">
        <f>IF(ISBLANK('Data Entry'!H440), "", 'Data Entry'!H440)</f>
      </c>
      <c r="I440">
        <f>IF(ISBLANK('Data Entry'!I440), "", 'Data Entry'!I440)</f>
      </c>
      <c r="J440">
        <f>IF(ISBLANK('Data Entry'!J440), "", 'Data Entry'!J440)</f>
      </c>
      <c r="K440">
        <f>IF(ISBLANK('Data Entry'!K440), "", 'Data Entry'!K440)</f>
      </c>
      <c r="L440">
        <f>IF(ISBLANK('Data Entry'!L440), "", 'Data Entry'!L440)</f>
      </c>
      <c r="M440">
        <f>IF(ISBLANK('Data Entry'!M440), "", 'Data Entry'!M440)</f>
      </c>
      <c r="N440">
        <f>IF(ISBLANK('Data Entry'!N440), "", 'Data Entry'!N440)</f>
      </c>
      <c r="O440">
        <f>IF(ISBLANK('Data Entry'!O440), "", 'Data Entry'!O440)</f>
      </c>
      <c r="P440">
        <f>IF(ISBLANK('Data Entry'!P440), "", 'Data Entry'!P440)</f>
      </c>
      <c r="Q440">
        <f>IF(ISBLANK('Data Entry'!Q440), "", 'Data Entry'!Q440)</f>
      </c>
      <c r="R440">
        <f>IF(ISBLANK('Data Entry'!R440), "", 'Data Entry'!R440)</f>
      </c>
      <c r="S440">
        <f>IF(ISBLANK('Data Entry'!S440), "", 'Data Entry'!S440)</f>
      </c>
      <c r="T440">
        <f>IF(ISBLANK('Data Entry'!T440), "", 'Data Entry'!T440)</f>
      </c>
      <c r="U440">
        <f>IF(ISBLANK('Data Entry'!U440), "", 'Data Entry'!U440)</f>
      </c>
      <c r="V440">
        <f>IF(ISBLANK('Data Entry'!V440), "", 'Data Entry'!V440)</f>
      </c>
      <c r="W440">
        <f>IF(ISBLANK('Data Entry'!W440), "", 'Data Entry'!W440)</f>
      </c>
      <c r="X440">
        <f>IF(ISBLANK('Data Entry'!X440), "", 'Data Entry'!X440)</f>
      </c>
      <c r="Y440">
        <f>IF(ISBLANK('Data Entry'!Y440), "", 'Data Entry'!Y440)</f>
      </c>
      <c r="Z440">
        <f>IF(ISBLANK('Data Entry'!Z440), "", 'Data Entry'!Z440)</f>
      </c>
      <c r="AA440">
        <f>IF(ISBLANK('Data Entry'![440), "", 'Data Entry'![440)</f>
      </c>
      <c r="AB440">
        <f>IF(ISBLANK('Data Entry'!\440), "", 'Data Entry'!\440)</f>
      </c>
      <c r="AC440">
        <f>IF(ISBLANK('Data Entry'!]440), "", 'Data Entry'!]440)</f>
      </c>
      <c r="AD440">
        <f>IF(ISBLANK('Data Entry'!^440), "", 'Data Entry'!^440)</f>
      </c>
      <c r="AE440">
        <f>IF(ISBLANK('Data Entry'!_440), "", 'Data Entry'!_440)</f>
      </c>
      <c r="AF440">
        <f>IF(ISBLANK('Data Entry'!`440), "", 'Data Entry'!`440)</f>
      </c>
      <c r="AG440">
        <f>IF(ISBLANK('Data Entry'!a440), "", 'Data Entry'!a440)</f>
      </c>
      <c r="AH440">
        <f>IF(ISBLANK('Data Entry'!b440), "", 'Data Entry'!b440)</f>
      </c>
      <c r="AI440">
        <f>IF(ISBLANK('Data Entry'!c440), "", 'Data Entry'!c440)</f>
      </c>
      <c r="AJ440">
        <f>IF(ISBLANK('Data Entry'!d440), "", 'Data Entry'!d440)</f>
      </c>
      <c r="AK440">
        <f>IF(ISBLANK('Data Entry'!e440), "", 'Data Entry'!e440)</f>
      </c>
      <c r="AL440">
        <f>IF(ISBLANK('Data Entry'!f440), "", 'Data Entry'!f440)</f>
      </c>
      <c r="AM440">
        <f>IF(ISBLANK('Data Entry'!g440), "", 'Data Entry'!g440)</f>
      </c>
      <c r="AN440">
        <f>IF(ISBLANK('Data Entry'!h440), "", 'Data Entry'!h440)</f>
      </c>
    </row>
    <row r="441" spans="1:40" x14ac:dyDescent="0.25">
      <c r="A441">
        <f>IF(ISBLANK('Data Entry'!A441), "", 'Data Entry'!A441)</f>
      </c>
      <c r="B441">
        <f>IF(ISBLANK('Data Entry'!B441), "", 'Data Entry'!B441)</f>
      </c>
      <c r="C441">
        <f>IF(ISBLANK('Data Entry'!C441), "", 'Data Entry'!C441)</f>
      </c>
      <c r="D441">
        <f>IF(ISBLANK('Data Entry'!D441), "", 'Data Entry'!D441)</f>
      </c>
      <c r="E441">
        <f>IF(ISBLANK('Data Entry'!E441), "", 'Data Entry'!E441)</f>
      </c>
      <c r="F441">
        <f>IF(ISBLANK('Data Entry'!F441), "", 'Data Entry'!F441)</f>
      </c>
      <c r="G441">
        <f>IF(ISBLANK('Data Entry'!G441), "", 'Data Entry'!G441)</f>
      </c>
      <c r="H441">
        <f>IF(ISBLANK('Data Entry'!H441), "", 'Data Entry'!H441)</f>
      </c>
      <c r="I441">
        <f>IF(ISBLANK('Data Entry'!I441), "", 'Data Entry'!I441)</f>
      </c>
      <c r="J441">
        <f>IF(ISBLANK('Data Entry'!J441), "", 'Data Entry'!J441)</f>
      </c>
      <c r="K441">
        <f>IF(ISBLANK('Data Entry'!K441), "", 'Data Entry'!K441)</f>
      </c>
      <c r="L441">
        <f>IF(ISBLANK('Data Entry'!L441), "", 'Data Entry'!L441)</f>
      </c>
      <c r="M441">
        <f>IF(ISBLANK('Data Entry'!M441), "", 'Data Entry'!M441)</f>
      </c>
      <c r="N441">
        <f>IF(ISBLANK('Data Entry'!N441), "", 'Data Entry'!N441)</f>
      </c>
      <c r="O441">
        <f>IF(ISBLANK('Data Entry'!O441), "", 'Data Entry'!O441)</f>
      </c>
      <c r="P441">
        <f>IF(ISBLANK('Data Entry'!P441), "", 'Data Entry'!P441)</f>
      </c>
      <c r="Q441">
        <f>IF(ISBLANK('Data Entry'!Q441), "", 'Data Entry'!Q441)</f>
      </c>
      <c r="R441">
        <f>IF(ISBLANK('Data Entry'!R441), "", 'Data Entry'!R441)</f>
      </c>
      <c r="S441">
        <f>IF(ISBLANK('Data Entry'!S441), "", 'Data Entry'!S441)</f>
      </c>
      <c r="T441">
        <f>IF(ISBLANK('Data Entry'!T441), "", 'Data Entry'!T441)</f>
      </c>
      <c r="U441">
        <f>IF(ISBLANK('Data Entry'!U441), "", 'Data Entry'!U441)</f>
      </c>
      <c r="V441">
        <f>IF(ISBLANK('Data Entry'!V441), "", 'Data Entry'!V441)</f>
      </c>
      <c r="W441">
        <f>IF(ISBLANK('Data Entry'!W441), "", 'Data Entry'!W441)</f>
      </c>
      <c r="X441">
        <f>IF(ISBLANK('Data Entry'!X441), "", 'Data Entry'!X441)</f>
      </c>
      <c r="Y441">
        <f>IF(ISBLANK('Data Entry'!Y441), "", 'Data Entry'!Y441)</f>
      </c>
      <c r="Z441">
        <f>IF(ISBLANK('Data Entry'!Z441), "", 'Data Entry'!Z441)</f>
      </c>
      <c r="AA441">
        <f>IF(ISBLANK('Data Entry'![441), "", 'Data Entry'![441)</f>
      </c>
      <c r="AB441">
        <f>IF(ISBLANK('Data Entry'!\441), "", 'Data Entry'!\441)</f>
      </c>
      <c r="AC441">
        <f>IF(ISBLANK('Data Entry'!]441), "", 'Data Entry'!]441)</f>
      </c>
      <c r="AD441">
        <f>IF(ISBLANK('Data Entry'!^441), "", 'Data Entry'!^441)</f>
      </c>
      <c r="AE441">
        <f>IF(ISBLANK('Data Entry'!_441), "", 'Data Entry'!_441)</f>
      </c>
      <c r="AF441">
        <f>IF(ISBLANK('Data Entry'!`441), "", 'Data Entry'!`441)</f>
      </c>
      <c r="AG441">
        <f>IF(ISBLANK('Data Entry'!a441), "", 'Data Entry'!a441)</f>
      </c>
      <c r="AH441">
        <f>IF(ISBLANK('Data Entry'!b441), "", 'Data Entry'!b441)</f>
      </c>
      <c r="AI441">
        <f>IF(ISBLANK('Data Entry'!c441), "", 'Data Entry'!c441)</f>
      </c>
      <c r="AJ441">
        <f>IF(ISBLANK('Data Entry'!d441), "", 'Data Entry'!d441)</f>
      </c>
      <c r="AK441">
        <f>IF(ISBLANK('Data Entry'!e441), "", 'Data Entry'!e441)</f>
      </c>
      <c r="AL441">
        <f>IF(ISBLANK('Data Entry'!f441), "", 'Data Entry'!f441)</f>
      </c>
      <c r="AM441">
        <f>IF(ISBLANK('Data Entry'!g441), "", 'Data Entry'!g441)</f>
      </c>
      <c r="AN441">
        <f>IF(ISBLANK('Data Entry'!h441), "", 'Data Entry'!h441)</f>
      </c>
    </row>
    <row r="442" spans="1:40" x14ac:dyDescent="0.25">
      <c r="A442">
        <f>IF(ISBLANK('Data Entry'!A442), "", 'Data Entry'!A442)</f>
      </c>
      <c r="B442">
        <f>IF(ISBLANK('Data Entry'!B442), "", 'Data Entry'!B442)</f>
      </c>
      <c r="C442">
        <f>IF(ISBLANK('Data Entry'!C442), "", 'Data Entry'!C442)</f>
      </c>
      <c r="D442">
        <f>IF(ISBLANK('Data Entry'!D442), "", 'Data Entry'!D442)</f>
      </c>
      <c r="E442">
        <f>IF(ISBLANK('Data Entry'!E442), "", 'Data Entry'!E442)</f>
      </c>
      <c r="F442">
        <f>IF(ISBLANK('Data Entry'!F442), "", 'Data Entry'!F442)</f>
      </c>
      <c r="G442">
        <f>IF(ISBLANK('Data Entry'!G442), "", 'Data Entry'!G442)</f>
      </c>
      <c r="H442">
        <f>IF(ISBLANK('Data Entry'!H442), "", 'Data Entry'!H442)</f>
      </c>
      <c r="I442">
        <f>IF(ISBLANK('Data Entry'!I442), "", 'Data Entry'!I442)</f>
      </c>
      <c r="J442">
        <f>IF(ISBLANK('Data Entry'!J442), "", 'Data Entry'!J442)</f>
      </c>
      <c r="K442">
        <f>IF(ISBLANK('Data Entry'!K442), "", 'Data Entry'!K442)</f>
      </c>
      <c r="L442">
        <f>IF(ISBLANK('Data Entry'!L442), "", 'Data Entry'!L442)</f>
      </c>
      <c r="M442">
        <f>IF(ISBLANK('Data Entry'!M442), "", 'Data Entry'!M442)</f>
      </c>
      <c r="N442">
        <f>IF(ISBLANK('Data Entry'!N442), "", 'Data Entry'!N442)</f>
      </c>
      <c r="O442">
        <f>IF(ISBLANK('Data Entry'!O442), "", 'Data Entry'!O442)</f>
      </c>
      <c r="P442">
        <f>IF(ISBLANK('Data Entry'!P442), "", 'Data Entry'!P442)</f>
      </c>
      <c r="Q442">
        <f>IF(ISBLANK('Data Entry'!Q442), "", 'Data Entry'!Q442)</f>
      </c>
      <c r="R442">
        <f>IF(ISBLANK('Data Entry'!R442), "", 'Data Entry'!R442)</f>
      </c>
      <c r="S442">
        <f>IF(ISBLANK('Data Entry'!S442), "", 'Data Entry'!S442)</f>
      </c>
      <c r="T442">
        <f>IF(ISBLANK('Data Entry'!T442), "", 'Data Entry'!T442)</f>
      </c>
      <c r="U442">
        <f>IF(ISBLANK('Data Entry'!U442), "", 'Data Entry'!U442)</f>
      </c>
      <c r="V442">
        <f>IF(ISBLANK('Data Entry'!V442), "", 'Data Entry'!V442)</f>
      </c>
      <c r="W442">
        <f>IF(ISBLANK('Data Entry'!W442), "", 'Data Entry'!W442)</f>
      </c>
      <c r="X442">
        <f>IF(ISBLANK('Data Entry'!X442), "", 'Data Entry'!X442)</f>
      </c>
      <c r="Y442">
        <f>IF(ISBLANK('Data Entry'!Y442), "", 'Data Entry'!Y442)</f>
      </c>
      <c r="Z442">
        <f>IF(ISBLANK('Data Entry'!Z442), "", 'Data Entry'!Z442)</f>
      </c>
      <c r="AA442">
        <f>IF(ISBLANK('Data Entry'![442), "", 'Data Entry'![442)</f>
      </c>
      <c r="AB442">
        <f>IF(ISBLANK('Data Entry'!\442), "", 'Data Entry'!\442)</f>
      </c>
      <c r="AC442">
        <f>IF(ISBLANK('Data Entry'!]442), "", 'Data Entry'!]442)</f>
      </c>
      <c r="AD442">
        <f>IF(ISBLANK('Data Entry'!^442), "", 'Data Entry'!^442)</f>
      </c>
      <c r="AE442">
        <f>IF(ISBLANK('Data Entry'!_442), "", 'Data Entry'!_442)</f>
      </c>
      <c r="AF442">
        <f>IF(ISBLANK('Data Entry'!`442), "", 'Data Entry'!`442)</f>
      </c>
      <c r="AG442">
        <f>IF(ISBLANK('Data Entry'!a442), "", 'Data Entry'!a442)</f>
      </c>
      <c r="AH442">
        <f>IF(ISBLANK('Data Entry'!b442), "", 'Data Entry'!b442)</f>
      </c>
      <c r="AI442">
        <f>IF(ISBLANK('Data Entry'!c442), "", 'Data Entry'!c442)</f>
      </c>
      <c r="AJ442">
        <f>IF(ISBLANK('Data Entry'!d442), "", 'Data Entry'!d442)</f>
      </c>
      <c r="AK442">
        <f>IF(ISBLANK('Data Entry'!e442), "", 'Data Entry'!e442)</f>
      </c>
      <c r="AL442">
        <f>IF(ISBLANK('Data Entry'!f442), "", 'Data Entry'!f442)</f>
      </c>
      <c r="AM442">
        <f>IF(ISBLANK('Data Entry'!g442), "", 'Data Entry'!g442)</f>
      </c>
      <c r="AN442">
        <f>IF(ISBLANK('Data Entry'!h442), "", 'Data Entry'!h442)</f>
      </c>
    </row>
    <row r="443" spans="1:40" x14ac:dyDescent="0.25">
      <c r="A443">
        <f>IF(ISBLANK('Data Entry'!A443), "", 'Data Entry'!A443)</f>
      </c>
      <c r="B443">
        <f>IF(ISBLANK('Data Entry'!B443), "", 'Data Entry'!B443)</f>
      </c>
      <c r="C443">
        <f>IF(ISBLANK('Data Entry'!C443), "", 'Data Entry'!C443)</f>
      </c>
      <c r="D443">
        <f>IF(ISBLANK('Data Entry'!D443), "", 'Data Entry'!D443)</f>
      </c>
      <c r="E443">
        <f>IF(ISBLANK('Data Entry'!E443), "", 'Data Entry'!E443)</f>
      </c>
      <c r="F443">
        <f>IF(ISBLANK('Data Entry'!F443), "", 'Data Entry'!F443)</f>
      </c>
      <c r="G443">
        <f>IF(ISBLANK('Data Entry'!G443), "", 'Data Entry'!G443)</f>
      </c>
      <c r="H443">
        <f>IF(ISBLANK('Data Entry'!H443), "", 'Data Entry'!H443)</f>
      </c>
      <c r="I443">
        <f>IF(ISBLANK('Data Entry'!I443), "", 'Data Entry'!I443)</f>
      </c>
      <c r="J443">
        <f>IF(ISBLANK('Data Entry'!J443), "", 'Data Entry'!J443)</f>
      </c>
      <c r="K443">
        <f>IF(ISBLANK('Data Entry'!K443), "", 'Data Entry'!K443)</f>
      </c>
      <c r="L443">
        <f>IF(ISBLANK('Data Entry'!L443), "", 'Data Entry'!L443)</f>
      </c>
      <c r="M443">
        <f>IF(ISBLANK('Data Entry'!M443), "", 'Data Entry'!M443)</f>
      </c>
      <c r="N443">
        <f>IF(ISBLANK('Data Entry'!N443), "", 'Data Entry'!N443)</f>
      </c>
      <c r="O443">
        <f>IF(ISBLANK('Data Entry'!O443), "", 'Data Entry'!O443)</f>
      </c>
      <c r="P443">
        <f>IF(ISBLANK('Data Entry'!P443), "", 'Data Entry'!P443)</f>
      </c>
      <c r="Q443">
        <f>IF(ISBLANK('Data Entry'!Q443), "", 'Data Entry'!Q443)</f>
      </c>
      <c r="R443">
        <f>IF(ISBLANK('Data Entry'!R443), "", 'Data Entry'!R443)</f>
      </c>
      <c r="S443">
        <f>IF(ISBLANK('Data Entry'!S443), "", 'Data Entry'!S443)</f>
      </c>
      <c r="T443">
        <f>IF(ISBLANK('Data Entry'!T443), "", 'Data Entry'!T443)</f>
      </c>
      <c r="U443">
        <f>IF(ISBLANK('Data Entry'!U443), "", 'Data Entry'!U443)</f>
      </c>
      <c r="V443">
        <f>IF(ISBLANK('Data Entry'!V443), "", 'Data Entry'!V443)</f>
      </c>
      <c r="W443">
        <f>IF(ISBLANK('Data Entry'!W443), "", 'Data Entry'!W443)</f>
      </c>
      <c r="X443">
        <f>IF(ISBLANK('Data Entry'!X443), "", 'Data Entry'!X443)</f>
      </c>
      <c r="Y443">
        <f>IF(ISBLANK('Data Entry'!Y443), "", 'Data Entry'!Y443)</f>
      </c>
      <c r="Z443">
        <f>IF(ISBLANK('Data Entry'!Z443), "", 'Data Entry'!Z443)</f>
      </c>
      <c r="AA443">
        <f>IF(ISBLANK('Data Entry'![443), "", 'Data Entry'![443)</f>
      </c>
      <c r="AB443">
        <f>IF(ISBLANK('Data Entry'!\443), "", 'Data Entry'!\443)</f>
      </c>
      <c r="AC443">
        <f>IF(ISBLANK('Data Entry'!]443), "", 'Data Entry'!]443)</f>
      </c>
      <c r="AD443">
        <f>IF(ISBLANK('Data Entry'!^443), "", 'Data Entry'!^443)</f>
      </c>
      <c r="AE443">
        <f>IF(ISBLANK('Data Entry'!_443), "", 'Data Entry'!_443)</f>
      </c>
      <c r="AF443">
        <f>IF(ISBLANK('Data Entry'!`443), "", 'Data Entry'!`443)</f>
      </c>
      <c r="AG443">
        <f>IF(ISBLANK('Data Entry'!a443), "", 'Data Entry'!a443)</f>
      </c>
      <c r="AH443">
        <f>IF(ISBLANK('Data Entry'!b443), "", 'Data Entry'!b443)</f>
      </c>
      <c r="AI443">
        <f>IF(ISBLANK('Data Entry'!c443), "", 'Data Entry'!c443)</f>
      </c>
      <c r="AJ443">
        <f>IF(ISBLANK('Data Entry'!d443), "", 'Data Entry'!d443)</f>
      </c>
      <c r="AK443">
        <f>IF(ISBLANK('Data Entry'!e443), "", 'Data Entry'!e443)</f>
      </c>
      <c r="AL443">
        <f>IF(ISBLANK('Data Entry'!f443), "", 'Data Entry'!f443)</f>
      </c>
      <c r="AM443">
        <f>IF(ISBLANK('Data Entry'!g443), "", 'Data Entry'!g443)</f>
      </c>
      <c r="AN443">
        <f>IF(ISBLANK('Data Entry'!h443), "", 'Data Entry'!h443)</f>
      </c>
    </row>
    <row r="444" spans="1:40" x14ac:dyDescent="0.25">
      <c r="A444">
        <f>IF(ISBLANK('Data Entry'!A444), "", 'Data Entry'!A444)</f>
      </c>
      <c r="B444">
        <f>IF(ISBLANK('Data Entry'!B444), "", 'Data Entry'!B444)</f>
      </c>
      <c r="C444">
        <f>IF(ISBLANK('Data Entry'!C444), "", 'Data Entry'!C444)</f>
      </c>
      <c r="D444">
        <f>IF(ISBLANK('Data Entry'!D444), "", 'Data Entry'!D444)</f>
      </c>
      <c r="E444">
        <f>IF(ISBLANK('Data Entry'!E444), "", 'Data Entry'!E444)</f>
      </c>
      <c r="F444">
        <f>IF(ISBLANK('Data Entry'!F444), "", 'Data Entry'!F444)</f>
      </c>
      <c r="G444">
        <f>IF(ISBLANK('Data Entry'!G444), "", 'Data Entry'!G444)</f>
      </c>
      <c r="H444">
        <f>IF(ISBLANK('Data Entry'!H444), "", 'Data Entry'!H444)</f>
      </c>
      <c r="I444">
        <f>IF(ISBLANK('Data Entry'!I444), "", 'Data Entry'!I444)</f>
      </c>
      <c r="J444">
        <f>IF(ISBLANK('Data Entry'!J444), "", 'Data Entry'!J444)</f>
      </c>
      <c r="K444">
        <f>IF(ISBLANK('Data Entry'!K444), "", 'Data Entry'!K444)</f>
      </c>
      <c r="L444">
        <f>IF(ISBLANK('Data Entry'!L444), "", 'Data Entry'!L444)</f>
      </c>
      <c r="M444">
        <f>IF(ISBLANK('Data Entry'!M444), "", 'Data Entry'!M444)</f>
      </c>
      <c r="N444">
        <f>IF(ISBLANK('Data Entry'!N444), "", 'Data Entry'!N444)</f>
      </c>
      <c r="O444">
        <f>IF(ISBLANK('Data Entry'!O444), "", 'Data Entry'!O444)</f>
      </c>
      <c r="P444">
        <f>IF(ISBLANK('Data Entry'!P444), "", 'Data Entry'!P444)</f>
      </c>
      <c r="Q444">
        <f>IF(ISBLANK('Data Entry'!Q444), "", 'Data Entry'!Q444)</f>
      </c>
      <c r="R444">
        <f>IF(ISBLANK('Data Entry'!R444), "", 'Data Entry'!R444)</f>
      </c>
      <c r="S444">
        <f>IF(ISBLANK('Data Entry'!S444), "", 'Data Entry'!S444)</f>
      </c>
      <c r="T444">
        <f>IF(ISBLANK('Data Entry'!T444), "", 'Data Entry'!T444)</f>
      </c>
      <c r="U444">
        <f>IF(ISBLANK('Data Entry'!U444), "", 'Data Entry'!U444)</f>
      </c>
      <c r="V444">
        <f>IF(ISBLANK('Data Entry'!V444), "", 'Data Entry'!V444)</f>
      </c>
      <c r="W444">
        <f>IF(ISBLANK('Data Entry'!W444), "", 'Data Entry'!W444)</f>
      </c>
      <c r="X444">
        <f>IF(ISBLANK('Data Entry'!X444), "", 'Data Entry'!X444)</f>
      </c>
      <c r="Y444">
        <f>IF(ISBLANK('Data Entry'!Y444), "", 'Data Entry'!Y444)</f>
      </c>
      <c r="Z444">
        <f>IF(ISBLANK('Data Entry'!Z444), "", 'Data Entry'!Z444)</f>
      </c>
      <c r="AA444">
        <f>IF(ISBLANK('Data Entry'![444), "", 'Data Entry'![444)</f>
      </c>
      <c r="AB444">
        <f>IF(ISBLANK('Data Entry'!\444), "", 'Data Entry'!\444)</f>
      </c>
      <c r="AC444">
        <f>IF(ISBLANK('Data Entry'!]444), "", 'Data Entry'!]444)</f>
      </c>
      <c r="AD444">
        <f>IF(ISBLANK('Data Entry'!^444), "", 'Data Entry'!^444)</f>
      </c>
      <c r="AE444">
        <f>IF(ISBLANK('Data Entry'!_444), "", 'Data Entry'!_444)</f>
      </c>
      <c r="AF444">
        <f>IF(ISBLANK('Data Entry'!`444), "", 'Data Entry'!`444)</f>
      </c>
      <c r="AG444">
        <f>IF(ISBLANK('Data Entry'!a444), "", 'Data Entry'!a444)</f>
      </c>
      <c r="AH444">
        <f>IF(ISBLANK('Data Entry'!b444), "", 'Data Entry'!b444)</f>
      </c>
      <c r="AI444">
        <f>IF(ISBLANK('Data Entry'!c444), "", 'Data Entry'!c444)</f>
      </c>
      <c r="AJ444">
        <f>IF(ISBLANK('Data Entry'!d444), "", 'Data Entry'!d444)</f>
      </c>
      <c r="AK444">
        <f>IF(ISBLANK('Data Entry'!e444), "", 'Data Entry'!e444)</f>
      </c>
      <c r="AL444">
        <f>IF(ISBLANK('Data Entry'!f444), "", 'Data Entry'!f444)</f>
      </c>
      <c r="AM444">
        <f>IF(ISBLANK('Data Entry'!g444), "", 'Data Entry'!g444)</f>
      </c>
      <c r="AN444">
        <f>IF(ISBLANK('Data Entry'!h444), "", 'Data Entry'!h444)</f>
      </c>
    </row>
    <row r="445" spans="1:40" x14ac:dyDescent="0.25">
      <c r="A445">
        <f>IF(ISBLANK('Data Entry'!A445), "", 'Data Entry'!A445)</f>
      </c>
      <c r="B445">
        <f>IF(ISBLANK('Data Entry'!B445), "", 'Data Entry'!B445)</f>
      </c>
      <c r="C445">
        <f>IF(ISBLANK('Data Entry'!C445), "", 'Data Entry'!C445)</f>
      </c>
      <c r="D445">
        <f>IF(ISBLANK('Data Entry'!D445), "", 'Data Entry'!D445)</f>
      </c>
      <c r="E445">
        <f>IF(ISBLANK('Data Entry'!E445), "", 'Data Entry'!E445)</f>
      </c>
      <c r="F445">
        <f>IF(ISBLANK('Data Entry'!F445), "", 'Data Entry'!F445)</f>
      </c>
      <c r="G445">
        <f>IF(ISBLANK('Data Entry'!G445), "", 'Data Entry'!G445)</f>
      </c>
      <c r="H445">
        <f>IF(ISBLANK('Data Entry'!H445), "", 'Data Entry'!H445)</f>
      </c>
      <c r="I445">
        <f>IF(ISBLANK('Data Entry'!I445), "", 'Data Entry'!I445)</f>
      </c>
      <c r="J445">
        <f>IF(ISBLANK('Data Entry'!J445), "", 'Data Entry'!J445)</f>
      </c>
      <c r="K445">
        <f>IF(ISBLANK('Data Entry'!K445), "", 'Data Entry'!K445)</f>
      </c>
      <c r="L445">
        <f>IF(ISBLANK('Data Entry'!L445), "", 'Data Entry'!L445)</f>
      </c>
      <c r="M445">
        <f>IF(ISBLANK('Data Entry'!M445), "", 'Data Entry'!M445)</f>
      </c>
      <c r="N445">
        <f>IF(ISBLANK('Data Entry'!N445), "", 'Data Entry'!N445)</f>
      </c>
      <c r="O445">
        <f>IF(ISBLANK('Data Entry'!O445), "", 'Data Entry'!O445)</f>
      </c>
      <c r="P445">
        <f>IF(ISBLANK('Data Entry'!P445), "", 'Data Entry'!P445)</f>
      </c>
      <c r="Q445">
        <f>IF(ISBLANK('Data Entry'!Q445), "", 'Data Entry'!Q445)</f>
      </c>
      <c r="R445">
        <f>IF(ISBLANK('Data Entry'!R445), "", 'Data Entry'!R445)</f>
      </c>
      <c r="S445">
        <f>IF(ISBLANK('Data Entry'!S445), "", 'Data Entry'!S445)</f>
      </c>
      <c r="T445">
        <f>IF(ISBLANK('Data Entry'!T445), "", 'Data Entry'!T445)</f>
      </c>
      <c r="U445">
        <f>IF(ISBLANK('Data Entry'!U445), "", 'Data Entry'!U445)</f>
      </c>
      <c r="V445">
        <f>IF(ISBLANK('Data Entry'!V445), "", 'Data Entry'!V445)</f>
      </c>
      <c r="W445">
        <f>IF(ISBLANK('Data Entry'!W445), "", 'Data Entry'!W445)</f>
      </c>
      <c r="X445">
        <f>IF(ISBLANK('Data Entry'!X445), "", 'Data Entry'!X445)</f>
      </c>
      <c r="Y445">
        <f>IF(ISBLANK('Data Entry'!Y445), "", 'Data Entry'!Y445)</f>
      </c>
      <c r="Z445">
        <f>IF(ISBLANK('Data Entry'!Z445), "", 'Data Entry'!Z445)</f>
      </c>
      <c r="AA445">
        <f>IF(ISBLANK('Data Entry'![445), "", 'Data Entry'![445)</f>
      </c>
      <c r="AB445">
        <f>IF(ISBLANK('Data Entry'!\445), "", 'Data Entry'!\445)</f>
      </c>
      <c r="AC445">
        <f>IF(ISBLANK('Data Entry'!]445), "", 'Data Entry'!]445)</f>
      </c>
      <c r="AD445">
        <f>IF(ISBLANK('Data Entry'!^445), "", 'Data Entry'!^445)</f>
      </c>
      <c r="AE445">
        <f>IF(ISBLANK('Data Entry'!_445), "", 'Data Entry'!_445)</f>
      </c>
      <c r="AF445">
        <f>IF(ISBLANK('Data Entry'!`445), "", 'Data Entry'!`445)</f>
      </c>
      <c r="AG445">
        <f>IF(ISBLANK('Data Entry'!a445), "", 'Data Entry'!a445)</f>
      </c>
      <c r="AH445">
        <f>IF(ISBLANK('Data Entry'!b445), "", 'Data Entry'!b445)</f>
      </c>
      <c r="AI445">
        <f>IF(ISBLANK('Data Entry'!c445), "", 'Data Entry'!c445)</f>
      </c>
      <c r="AJ445">
        <f>IF(ISBLANK('Data Entry'!d445), "", 'Data Entry'!d445)</f>
      </c>
      <c r="AK445">
        <f>IF(ISBLANK('Data Entry'!e445), "", 'Data Entry'!e445)</f>
      </c>
      <c r="AL445">
        <f>IF(ISBLANK('Data Entry'!f445), "", 'Data Entry'!f445)</f>
      </c>
      <c r="AM445">
        <f>IF(ISBLANK('Data Entry'!g445), "", 'Data Entry'!g445)</f>
      </c>
      <c r="AN445">
        <f>IF(ISBLANK('Data Entry'!h445), "", 'Data Entry'!h445)</f>
      </c>
    </row>
    <row r="446" spans="1:40" x14ac:dyDescent="0.25">
      <c r="A446">
        <f>IF(ISBLANK('Data Entry'!A446), "", 'Data Entry'!A446)</f>
      </c>
      <c r="B446">
        <f>IF(ISBLANK('Data Entry'!B446), "", 'Data Entry'!B446)</f>
      </c>
      <c r="C446">
        <f>IF(ISBLANK('Data Entry'!C446), "", 'Data Entry'!C446)</f>
      </c>
      <c r="D446">
        <f>IF(ISBLANK('Data Entry'!D446), "", 'Data Entry'!D446)</f>
      </c>
      <c r="E446">
        <f>IF(ISBLANK('Data Entry'!E446), "", 'Data Entry'!E446)</f>
      </c>
      <c r="F446">
        <f>IF(ISBLANK('Data Entry'!F446), "", 'Data Entry'!F446)</f>
      </c>
      <c r="G446">
        <f>IF(ISBLANK('Data Entry'!G446), "", 'Data Entry'!G446)</f>
      </c>
      <c r="H446">
        <f>IF(ISBLANK('Data Entry'!H446), "", 'Data Entry'!H446)</f>
      </c>
      <c r="I446">
        <f>IF(ISBLANK('Data Entry'!I446), "", 'Data Entry'!I446)</f>
      </c>
      <c r="J446">
        <f>IF(ISBLANK('Data Entry'!J446), "", 'Data Entry'!J446)</f>
      </c>
      <c r="K446">
        <f>IF(ISBLANK('Data Entry'!K446), "", 'Data Entry'!K446)</f>
      </c>
      <c r="L446">
        <f>IF(ISBLANK('Data Entry'!L446), "", 'Data Entry'!L446)</f>
      </c>
      <c r="M446">
        <f>IF(ISBLANK('Data Entry'!M446), "", 'Data Entry'!M446)</f>
      </c>
      <c r="N446">
        <f>IF(ISBLANK('Data Entry'!N446), "", 'Data Entry'!N446)</f>
      </c>
      <c r="O446">
        <f>IF(ISBLANK('Data Entry'!O446), "", 'Data Entry'!O446)</f>
      </c>
      <c r="P446">
        <f>IF(ISBLANK('Data Entry'!P446), "", 'Data Entry'!P446)</f>
      </c>
      <c r="Q446">
        <f>IF(ISBLANK('Data Entry'!Q446), "", 'Data Entry'!Q446)</f>
      </c>
      <c r="R446">
        <f>IF(ISBLANK('Data Entry'!R446), "", 'Data Entry'!R446)</f>
      </c>
      <c r="S446">
        <f>IF(ISBLANK('Data Entry'!S446), "", 'Data Entry'!S446)</f>
      </c>
      <c r="T446">
        <f>IF(ISBLANK('Data Entry'!T446), "", 'Data Entry'!T446)</f>
      </c>
      <c r="U446">
        <f>IF(ISBLANK('Data Entry'!U446), "", 'Data Entry'!U446)</f>
      </c>
      <c r="V446">
        <f>IF(ISBLANK('Data Entry'!V446), "", 'Data Entry'!V446)</f>
      </c>
      <c r="W446">
        <f>IF(ISBLANK('Data Entry'!W446), "", 'Data Entry'!W446)</f>
      </c>
      <c r="X446">
        <f>IF(ISBLANK('Data Entry'!X446), "", 'Data Entry'!X446)</f>
      </c>
      <c r="Y446">
        <f>IF(ISBLANK('Data Entry'!Y446), "", 'Data Entry'!Y446)</f>
      </c>
      <c r="Z446">
        <f>IF(ISBLANK('Data Entry'!Z446), "", 'Data Entry'!Z446)</f>
      </c>
      <c r="AA446">
        <f>IF(ISBLANK('Data Entry'![446), "", 'Data Entry'![446)</f>
      </c>
      <c r="AB446">
        <f>IF(ISBLANK('Data Entry'!\446), "", 'Data Entry'!\446)</f>
      </c>
      <c r="AC446">
        <f>IF(ISBLANK('Data Entry'!]446), "", 'Data Entry'!]446)</f>
      </c>
      <c r="AD446">
        <f>IF(ISBLANK('Data Entry'!^446), "", 'Data Entry'!^446)</f>
      </c>
      <c r="AE446">
        <f>IF(ISBLANK('Data Entry'!_446), "", 'Data Entry'!_446)</f>
      </c>
      <c r="AF446">
        <f>IF(ISBLANK('Data Entry'!`446), "", 'Data Entry'!`446)</f>
      </c>
      <c r="AG446">
        <f>IF(ISBLANK('Data Entry'!a446), "", 'Data Entry'!a446)</f>
      </c>
      <c r="AH446">
        <f>IF(ISBLANK('Data Entry'!b446), "", 'Data Entry'!b446)</f>
      </c>
      <c r="AI446">
        <f>IF(ISBLANK('Data Entry'!c446), "", 'Data Entry'!c446)</f>
      </c>
      <c r="AJ446">
        <f>IF(ISBLANK('Data Entry'!d446), "", 'Data Entry'!d446)</f>
      </c>
      <c r="AK446">
        <f>IF(ISBLANK('Data Entry'!e446), "", 'Data Entry'!e446)</f>
      </c>
      <c r="AL446">
        <f>IF(ISBLANK('Data Entry'!f446), "", 'Data Entry'!f446)</f>
      </c>
      <c r="AM446">
        <f>IF(ISBLANK('Data Entry'!g446), "", 'Data Entry'!g446)</f>
      </c>
      <c r="AN446">
        <f>IF(ISBLANK('Data Entry'!h446), "", 'Data Entry'!h446)</f>
      </c>
    </row>
    <row r="447" spans="1:40" x14ac:dyDescent="0.25">
      <c r="A447">
        <f>IF(ISBLANK('Data Entry'!A447), "", 'Data Entry'!A447)</f>
      </c>
      <c r="B447">
        <f>IF(ISBLANK('Data Entry'!B447), "", 'Data Entry'!B447)</f>
      </c>
      <c r="C447">
        <f>IF(ISBLANK('Data Entry'!C447), "", 'Data Entry'!C447)</f>
      </c>
      <c r="D447">
        <f>IF(ISBLANK('Data Entry'!D447), "", 'Data Entry'!D447)</f>
      </c>
      <c r="E447">
        <f>IF(ISBLANK('Data Entry'!E447), "", 'Data Entry'!E447)</f>
      </c>
      <c r="F447">
        <f>IF(ISBLANK('Data Entry'!F447), "", 'Data Entry'!F447)</f>
      </c>
      <c r="G447">
        <f>IF(ISBLANK('Data Entry'!G447), "", 'Data Entry'!G447)</f>
      </c>
      <c r="H447">
        <f>IF(ISBLANK('Data Entry'!H447), "", 'Data Entry'!H447)</f>
      </c>
      <c r="I447">
        <f>IF(ISBLANK('Data Entry'!I447), "", 'Data Entry'!I447)</f>
      </c>
      <c r="J447">
        <f>IF(ISBLANK('Data Entry'!J447), "", 'Data Entry'!J447)</f>
      </c>
      <c r="K447">
        <f>IF(ISBLANK('Data Entry'!K447), "", 'Data Entry'!K447)</f>
      </c>
      <c r="L447">
        <f>IF(ISBLANK('Data Entry'!L447), "", 'Data Entry'!L447)</f>
      </c>
      <c r="M447">
        <f>IF(ISBLANK('Data Entry'!M447), "", 'Data Entry'!M447)</f>
      </c>
      <c r="N447">
        <f>IF(ISBLANK('Data Entry'!N447), "", 'Data Entry'!N447)</f>
      </c>
      <c r="O447">
        <f>IF(ISBLANK('Data Entry'!O447), "", 'Data Entry'!O447)</f>
      </c>
      <c r="P447">
        <f>IF(ISBLANK('Data Entry'!P447), "", 'Data Entry'!P447)</f>
      </c>
      <c r="Q447">
        <f>IF(ISBLANK('Data Entry'!Q447), "", 'Data Entry'!Q447)</f>
      </c>
      <c r="R447">
        <f>IF(ISBLANK('Data Entry'!R447), "", 'Data Entry'!R447)</f>
      </c>
      <c r="S447">
        <f>IF(ISBLANK('Data Entry'!S447), "", 'Data Entry'!S447)</f>
      </c>
      <c r="T447">
        <f>IF(ISBLANK('Data Entry'!T447), "", 'Data Entry'!T447)</f>
      </c>
      <c r="U447">
        <f>IF(ISBLANK('Data Entry'!U447), "", 'Data Entry'!U447)</f>
      </c>
      <c r="V447">
        <f>IF(ISBLANK('Data Entry'!V447), "", 'Data Entry'!V447)</f>
      </c>
      <c r="W447">
        <f>IF(ISBLANK('Data Entry'!W447), "", 'Data Entry'!W447)</f>
      </c>
      <c r="X447">
        <f>IF(ISBLANK('Data Entry'!X447), "", 'Data Entry'!X447)</f>
      </c>
      <c r="Y447">
        <f>IF(ISBLANK('Data Entry'!Y447), "", 'Data Entry'!Y447)</f>
      </c>
      <c r="Z447">
        <f>IF(ISBLANK('Data Entry'!Z447), "", 'Data Entry'!Z447)</f>
      </c>
      <c r="AA447">
        <f>IF(ISBLANK('Data Entry'![447), "", 'Data Entry'![447)</f>
      </c>
      <c r="AB447">
        <f>IF(ISBLANK('Data Entry'!\447), "", 'Data Entry'!\447)</f>
      </c>
      <c r="AC447">
        <f>IF(ISBLANK('Data Entry'!]447), "", 'Data Entry'!]447)</f>
      </c>
      <c r="AD447">
        <f>IF(ISBLANK('Data Entry'!^447), "", 'Data Entry'!^447)</f>
      </c>
      <c r="AE447">
        <f>IF(ISBLANK('Data Entry'!_447), "", 'Data Entry'!_447)</f>
      </c>
      <c r="AF447">
        <f>IF(ISBLANK('Data Entry'!`447), "", 'Data Entry'!`447)</f>
      </c>
      <c r="AG447">
        <f>IF(ISBLANK('Data Entry'!a447), "", 'Data Entry'!a447)</f>
      </c>
      <c r="AH447">
        <f>IF(ISBLANK('Data Entry'!b447), "", 'Data Entry'!b447)</f>
      </c>
      <c r="AI447">
        <f>IF(ISBLANK('Data Entry'!c447), "", 'Data Entry'!c447)</f>
      </c>
      <c r="AJ447">
        <f>IF(ISBLANK('Data Entry'!d447), "", 'Data Entry'!d447)</f>
      </c>
      <c r="AK447">
        <f>IF(ISBLANK('Data Entry'!e447), "", 'Data Entry'!e447)</f>
      </c>
      <c r="AL447">
        <f>IF(ISBLANK('Data Entry'!f447), "", 'Data Entry'!f447)</f>
      </c>
      <c r="AM447">
        <f>IF(ISBLANK('Data Entry'!g447), "", 'Data Entry'!g447)</f>
      </c>
      <c r="AN447">
        <f>IF(ISBLANK('Data Entry'!h447), "", 'Data Entry'!h447)</f>
      </c>
    </row>
    <row r="448" spans="1:40" x14ac:dyDescent="0.25">
      <c r="A448">
        <f>IF(ISBLANK('Data Entry'!A448), "", 'Data Entry'!A448)</f>
      </c>
      <c r="B448">
        <f>IF(ISBLANK('Data Entry'!B448), "", 'Data Entry'!B448)</f>
      </c>
      <c r="C448">
        <f>IF(ISBLANK('Data Entry'!C448), "", 'Data Entry'!C448)</f>
      </c>
      <c r="D448">
        <f>IF(ISBLANK('Data Entry'!D448), "", 'Data Entry'!D448)</f>
      </c>
      <c r="E448">
        <f>IF(ISBLANK('Data Entry'!E448), "", 'Data Entry'!E448)</f>
      </c>
      <c r="F448">
        <f>IF(ISBLANK('Data Entry'!F448), "", 'Data Entry'!F448)</f>
      </c>
      <c r="G448">
        <f>IF(ISBLANK('Data Entry'!G448), "", 'Data Entry'!G448)</f>
      </c>
      <c r="H448">
        <f>IF(ISBLANK('Data Entry'!H448), "", 'Data Entry'!H448)</f>
      </c>
      <c r="I448">
        <f>IF(ISBLANK('Data Entry'!I448), "", 'Data Entry'!I448)</f>
      </c>
      <c r="J448">
        <f>IF(ISBLANK('Data Entry'!J448), "", 'Data Entry'!J448)</f>
      </c>
      <c r="K448">
        <f>IF(ISBLANK('Data Entry'!K448), "", 'Data Entry'!K448)</f>
      </c>
      <c r="L448">
        <f>IF(ISBLANK('Data Entry'!L448), "", 'Data Entry'!L448)</f>
      </c>
      <c r="M448">
        <f>IF(ISBLANK('Data Entry'!M448), "", 'Data Entry'!M448)</f>
      </c>
      <c r="N448">
        <f>IF(ISBLANK('Data Entry'!N448), "", 'Data Entry'!N448)</f>
      </c>
      <c r="O448">
        <f>IF(ISBLANK('Data Entry'!O448), "", 'Data Entry'!O448)</f>
      </c>
      <c r="P448">
        <f>IF(ISBLANK('Data Entry'!P448), "", 'Data Entry'!P448)</f>
      </c>
      <c r="Q448">
        <f>IF(ISBLANK('Data Entry'!Q448), "", 'Data Entry'!Q448)</f>
      </c>
      <c r="R448">
        <f>IF(ISBLANK('Data Entry'!R448), "", 'Data Entry'!R448)</f>
      </c>
      <c r="S448">
        <f>IF(ISBLANK('Data Entry'!S448), "", 'Data Entry'!S448)</f>
      </c>
      <c r="T448">
        <f>IF(ISBLANK('Data Entry'!T448), "", 'Data Entry'!T448)</f>
      </c>
      <c r="U448">
        <f>IF(ISBLANK('Data Entry'!U448), "", 'Data Entry'!U448)</f>
      </c>
      <c r="V448">
        <f>IF(ISBLANK('Data Entry'!V448), "", 'Data Entry'!V448)</f>
      </c>
      <c r="W448">
        <f>IF(ISBLANK('Data Entry'!W448), "", 'Data Entry'!W448)</f>
      </c>
      <c r="X448">
        <f>IF(ISBLANK('Data Entry'!X448), "", 'Data Entry'!X448)</f>
      </c>
      <c r="Y448">
        <f>IF(ISBLANK('Data Entry'!Y448), "", 'Data Entry'!Y448)</f>
      </c>
      <c r="Z448">
        <f>IF(ISBLANK('Data Entry'!Z448), "", 'Data Entry'!Z448)</f>
      </c>
      <c r="AA448">
        <f>IF(ISBLANK('Data Entry'![448), "", 'Data Entry'![448)</f>
      </c>
      <c r="AB448">
        <f>IF(ISBLANK('Data Entry'!\448), "", 'Data Entry'!\448)</f>
      </c>
      <c r="AC448">
        <f>IF(ISBLANK('Data Entry'!]448), "", 'Data Entry'!]448)</f>
      </c>
      <c r="AD448">
        <f>IF(ISBLANK('Data Entry'!^448), "", 'Data Entry'!^448)</f>
      </c>
      <c r="AE448">
        <f>IF(ISBLANK('Data Entry'!_448), "", 'Data Entry'!_448)</f>
      </c>
      <c r="AF448">
        <f>IF(ISBLANK('Data Entry'!`448), "", 'Data Entry'!`448)</f>
      </c>
      <c r="AG448">
        <f>IF(ISBLANK('Data Entry'!a448), "", 'Data Entry'!a448)</f>
      </c>
      <c r="AH448">
        <f>IF(ISBLANK('Data Entry'!b448), "", 'Data Entry'!b448)</f>
      </c>
      <c r="AI448">
        <f>IF(ISBLANK('Data Entry'!c448), "", 'Data Entry'!c448)</f>
      </c>
      <c r="AJ448">
        <f>IF(ISBLANK('Data Entry'!d448), "", 'Data Entry'!d448)</f>
      </c>
      <c r="AK448">
        <f>IF(ISBLANK('Data Entry'!e448), "", 'Data Entry'!e448)</f>
      </c>
      <c r="AL448">
        <f>IF(ISBLANK('Data Entry'!f448), "", 'Data Entry'!f448)</f>
      </c>
      <c r="AM448">
        <f>IF(ISBLANK('Data Entry'!g448), "", 'Data Entry'!g448)</f>
      </c>
      <c r="AN448">
        <f>IF(ISBLANK('Data Entry'!h448), "", 'Data Entry'!h448)</f>
      </c>
    </row>
    <row r="449" spans="1:40" x14ac:dyDescent="0.25">
      <c r="A449">
        <f>IF(ISBLANK('Data Entry'!A449), "", 'Data Entry'!A449)</f>
      </c>
      <c r="B449">
        <f>IF(ISBLANK('Data Entry'!B449), "", 'Data Entry'!B449)</f>
      </c>
      <c r="C449">
        <f>IF(ISBLANK('Data Entry'!C449), "", 'Data Entry'!C449)</f>
      </c>
      <c r="D449">
        <f>IF(ISBLANK('Data Entry'!D449), "", 'Data Entry'!D449)</f>
      </c>
      <c r="E449">
        <f>IF(ISBLANK('Data Entry'!E449), "", 'Data Entry'!E449)</f>
      </c>
      <c r="F449">
        <f>IF(ISBLANK('Data Entry'!F449), "", 'Data Entry'!F449)</f>
      </c>
      <c r="G449">
        <f>IF(ISBLANK('Data Entry'!G449), "", 'Data Entry'!G449)</f>
      </c>
      <c r="H449">
        <f>IF(ISBLANK('Data Entry'!H449), "", 'Data Entry'!H449)</f>
      </c>
      <c r="I449">
        <f>IF(ISBLANK('Data Entry'!I449), "", 'Data Entry'!I449)</f>
      </c>
      <c r="J449">
        <f>IF(ISBLANK('Data Entry'!J449), "", 'Data Entry'!J449)</f>
      </c>
      <c r="K449">
        <f>IF(ISBLANK('Data Entry'!K449), "", 'Data Entry'!K449)</f>
      </c>
      <c r="L449">
        <f>IF(ISBLANK('Data Entry'!L449), "", 'Data Entry'!L449)</f>
      </c>
      <c r="M449">
        <f>IF(ISBLANK('Data Entry'!M449), "", 'Data Entry'!M449)</f>
      </c>
      <c r="N449">
        <f>IF(ISBLANK('Data Entry'!N449), "", 'Data Entry'!N449)</f>
      </c>
      <c r="O449">
        <f>IF(ISBLANK('Data Entry'!O449), "", 'Data Entry'!O449)</f>
      </c>
      <c r="P449">
        <f>IF(ISBLANK('Data Entry'!P449), "", 'Data Entry'!P449)</f>
      </c>
      <c r="Q449">
        <f>IF(ISBLANK('Data Entry'!Q449), "", 'Data Entry'!Q449)</f>
      </c>
      <c r="R449">
        <f>IF(ISBLANK('Data Entry'!R449), "", 'Data Entry'!R449)</f>
      </c>
      <c r="S449">
        <f>IF(ISBLANK('Data Entry'!S449), "", 'Data Entry'!S449)</f>
      </c>
      <c r="T449">
        <f>IF(ISBLANK('Data Entry'!T449), "", 'Data Entry'!T449)</f>
      </c>
      <c r="U449">
        <f>IF(ISBLANK('Data Entry'!U449), "", 'Data Entry'!U449)</f>
      </c>
      <c r="V449">
        <f>IF(ISBLANK('Data Entry'!V449), "", 'Data Entry'!V449)</f>
      </c>
      <c r="W449">
        <f>IF(ISBLANK('Data Entry'!W449), "", 'Data Entry'!W449)</f>
      </c>
      <c r="X449">
        <f>IF(ISBLANK('Data Entry'!X449), "", 'Data Entry'!X449)</f>
      </c>
      <c r="Y449">
        <f>IF(ISBLANK('Data Entry'!Y449), "", 'Data Entry'!Y449)</f>
      </c>
      <c r="Z449">
        <f>IF(ISBLANK('Data Entry'!Z449), "", 'Data Entry'!Z449)</f>
      </c>
      <c r="AA449">
        <f>IF(ISBLANK('Data Entry'![449), "", 'Data Entry'![449)</f>
      </c>
      <c r="AB449">
        <f>IF(ISBLANK('Data Entry'!\449), "", 'Data Entry'!\449)</f>
      </c>
      <c r="AC449">
        <f>IF(ISBLANK('Data Entry'!]449), "", 'Data Entry'!]449)</f>
      </c>
      <c r="AD449">
        <f>IF(ISBLANK('Data Entry'!^449), "", 'Data Entry'!^449)</f>
      </c>
      <c r="AE449">
        <f>IF(ISBLANK('Data Entry'!_449), "", 'Data Entry'!_449)</f>
      </c>
      <c r="AF449">
        <f>IF(ISBLANK('Data Entry'!`449), "", 'Data Entry'!`449)</f>
      </c>
      <c r="AG449">
        <f>IF(ISBLANK('Data Entry'!a449), "", 'Data Entry'!a449)</f>
      </c>
      <c r="AH449">
        <f>IF(ISBLANK('Data Entry'!b449), "", 'Data Entry'!b449)</f>
      </c>
      <c r="AI449">
        <f>IF(ISBLANK('Data Entry'!c449), "", 'Data Entry'!c449)</f>
      </c>
      <c r="AJ449">
        <f>IF(ISBLANK('Data Entry'!d449), "", 'Data Entry'!d449)</f>
      </c>
      <c r="AK449">
        <f>IF(ISBLANK('Data Entry'!e449), "", 'Data Entry'!e449)</f>
      </c>
      <c r="AL449">
        <f>IF(ISBLANK('Data Entry'!f449), "", 'Data Entry'!f449)</f>
      </c>
      <c r="AM449">
        <f>IF(ISBLANK('Data Entry'!g449), "", 'Data Entry'!g449)</f>
      </c>
      <c r="AN449">
        <f>IF(ISBLANK('Data Entry'!h449), "", 'Data Entry'!h449)</f>
      </c>
    </row>
    <row r="450" spans="1:40" x14ac:dyDescent="0.25">
      <c r="A450">
        <f>IF(ISBLANK('Data Entry'!A450), "", 'Data Entry'!A450)</f>
      </c>
      <c r="B450">
        <f>IF(ISBLANK('Data Entry'!B450), "", 'Data Entry'!B450)</f>
      </c>
      <c r="C450">
        <f>IF(ISBLANK('Data Entry'!C450), "", 'Data Entry'!C450)</f>
      </c>
      <c r="D450">
        <f>IF(ISBLANK('Data Entry'!D450), "", 'Data Entry'!D450)</f>
      </c>
      <c r="E450">
        <f>IF(ISBLANK('Data Entry'!E450), "", 'Data Entry'!E450)</f>
      </c>
      <c r="F450">
        <f>IF(ISBLANK('Data Entry'!F450), "", 'Data Entry'!F450)</f>
      </c>
      <c r="G450">
        <f>IF(ISBLANK('Data Entry'!G450), "", 'Data Entry'!G450)</f>
      </c>
      <c r="H450">
        <f>IF(ISBLANK('Data Entry'!H450), "", 'Data Entry'!H450)</f>
      </c>
      <c r="I450">
        <f>IF(ISBLANK('Data Entry'!I450), "", 'Data Entry'!I450)</f>
      </c>
      <c r="J450">
        <f>IF(ISBLANK('Data Entry'!J450), "", 'Data Entry'!J450)</f>
      </c>
      <c r="K450">
        <f>IF(ISBLANK('Data Entry'!K450), "", 'Data Entry'!K450)</f>
      </c>
      <c r="L450">
        <f>IF(ISBLANK('Data Entry'!L450), "", 'Data Entry'!L450)</f>
      </c>
      <c r="M450">
        <f>IF(ISBLANK('Data Entry'!M450), "", 'Data Entry'!M450)</f>
      </c>
      <c r="N450">
        <f>IF(ISBLANK('Data Entry'!N450), "", 'Data Entry'!N450)</f>
      </c>
      <c r="O450">
        <f>IF(ISBLANK('Data Entry'!O450), "", 'Data Entry'!O450)</f>
      </c>
      <c r="P450">
        <f>IF(ISBLANK('Data Entry'!P450), "", 'Data Entry'!P450)</f>
      </c>
      <c r="Q450">
        <f>IF(ISBLANK('Data Entry'!Q450), "", 'Data Entry'!Q450)</f>
      </c>
      <c r="R450">
        <f>IF(ISBLANK('Data Entry'!R450), "", 'Data Entry'!R450)</f>
      </c>
      <c r="S450">
        <f>IF(ISBLANK('Data Entry'!S450), "", 'Data Entry'!S450)</f>
      </c>
      <c r="T450">
        <f>IF(ISBLANK('Data Entry'!T450), "", 'Data Entry'!T450)</f>
      </c>
      <c r="U450">
        <f>IF(ISBLANK('Data Entry'!U450), "", 'Data Entry'!U450)</f>
      </c>
      <c r="V450">
        <f>IF(ISBLANK('Data Entry'!V450), "", 'Data Entry'!V450)</f>
      </c>
      <c r="W450">
        <f>IF(ISBLANK('Data Entry'!W450), "", 'Data Entry'!W450)</f>
      </c>
      <c r="X450">
        <f>IF(ISBLANK('Data Entry'!X450), "", 'Data Entry'!X450)</f>
      </c>
      <c r="Y450">
        <f>IF(ISBLANK('Data Entry'!Y450), "", 'Data Entry'!Y450)</f>
      </c>
      <c r="Z450">
        <f>IF(ISBLANK('Data Entry'!Z450), "", 'Data Entry'!Z450)</f>
      </c>
      <c r="AA450">
        <f>IF(ISBLANK('Data Entry'![450), "", 'Data Entry'![450)</f>
      </c>
      <c r="AB450">
        <f>IF(ISBLANK('Data Entry'!\450), "", 'Data Entry'!\450)</f>
      </c>
      <c r="AC450">
        <f>IF(ISBLANK('Data Entry'!]450), "", 'Data Entry'!]450)</f>
      </c>
      <c r="AD450">
        <f>IF(ISBLANK('Data Entry'!^450), "", 'Data Entry'!^450)</f>
      </c>
      <c r="AE450">
        <f>IF(ISBLANK('Data Entry'!_450), "", 'Data Entry'!_450)</f>
      </c>
      <c r="AF450">
        <f>IF(ISBLANK('Data Entry'!`450), "", 'Data Entry'!`450)</f>
      </c>
      <c r="AG450">
        <f>IF(ISBLANK('Data Entry'!a450), "", 'Data Entry'!a450)</f>
      </c>
      <c r="AH450">
        <f>IF(ISBLANK('Data Entry'!b450), "", 'Data Entry'!b450)</f>
      </c>
      <c r="AI450">
        <f>IF(ISBLANK('Data Entry'!c450), "", 'Data Entry'!c450)</f>
      </c>
      <c r="AJ450">
        <f>IF(ISBLANK('Data Entry'!d450), "", 'Data Entry'!d450)</f>
      </c>
      <c r="AK450">
        <f>IF(ISBLANK('Data Entry'!e450), "", 'Data Entry'!e450)</f>
      </c>
      <c r="AL450">
        <f>IF(ISBLANK('Data Entry'!f450), "", 'Data Entry'!f450)</f>
      </c>
      <c r="AM450">
        <f>IF(ISBLANK('Data Entry'!g450), "", 'Data Entry'!g450)</f>
      </c>
      <c r="AN450">
        <f>IF(ISBLANK('Data Entry'!h450), "", 'Data Entry'!h450)</f>
      </c>
    </row>
    <row r="451" spans="1:40" x14ac:dyDescent="0.25">
      <c r="A451">
        <f>IF(ISBLANK('Data Entry'!A451), "", 'Data Entry'!A451)</f>
      </c>
      <c r="B451">
        <f>IF(ISBLANK('Data Entry'!B451), "", 'Data Entry'!B451)</f>
      </c>
      <c r="C451">
        <f>IF(ISBLANK('Data Entry'!C451), "", 'Data Entry'!C451)</f>
      </c>
      <c r="D451">
        <f>IF(ISBLANK('Data Entry'!D451), "", 'Data Entry'!D451)</f>
      </c>
      <c r="E451">
        <f>IF(ISBLANK('Data Entry'!E451), "", 'Data Entry'!E451)</f>
      </c>
      <c r="F451">
        <f>IF(ISBLANK('Data Entry'!F451), "", 'Data Entry'!F451)</f>
      </c>
      <c r="G451">
        <f>IF(ISBLANK('Data Entry'!G451), "", 'Data Entry'!G451)</f>
      </c>
      <c r="H451">
        <f>IF(ISBLANK('Data Entry'!H451), "", 'Data Entry'!H451)</f>
      </c>
      <c r="I451">
        <f>IF(ISBLANK('Data Entry'!I451), "", 'Data Entry'!I451)</f>
      </c>
      <c r="J451">
        <f>IF(ISBLANK('Data Entry'!J451), "", 'Data Entry'!J451)</f>
      </c>
      <c r="K451">
        <f>IF(ISBLANK('Data Entry'!K451), "", 'Data Entry'!K451)</f>
      </c>
      <c r="L451">
        <f>IF(ISBLANK('Data Entry'!L451), "", 'Data Entry'!L451)</f>
      </c>
      <c r="M451">
        <f>IF(ISBLANK('Data Entry'!M451), "", 'Data Entry'!M451)</f>
      </c>
      <c r="N451">
        <f>IF(ISBLANK('Data Entry'!N451), "", 'Data Entry'!N451)</f>
      </c>
      <c r="O451">
        <f>IF(ISBLANK('Data Entry'!O451), "", 'Data Entry'!O451)</f>
      </c>
      <c r="P451">
        <f>IF(ISBLANK('Data Entry'!P451), "", 'Data Entry'!P451)</f>
      </c>
      <c r="Q451">
        <f>IF(ISBLANK('Data Entry'!Q451), "", 'Data Entry'!Q451)</f>
      </c>
      <c r="R451">
        <f>IF(ISBLANK('Data Entry'!R451), "", 'Data Entry'!R451)</f>
      </c>
      <c r="S451">
        <f>IF(ISBLANK('Data Entry'!S451), "", 'Data Entry'!S451)</f>
      </c>
      <c r="T451">
        <f>IF(ISBLANK('Data Entry'!T451), "", 'Data Entry'!T451)</f>
      </c>
      <c r="U451">
        <f>IF(ISBLANK('Data Entry'!U451), "", 'Data Entry'!U451)</f>
      </c>
      <c r="V451">
        <f>IF(ISBLANK('Data Entry'!V451), "", 'Data Entry'!V451)</f>
      </c>
      <c r="W451">
        <f>IF(ISBLANK('Data Entry'!W451), "", 'Data Entry'!W451)</f>
      </c>
      <c r="X451">
        <f>IF(ISBLANK('Data Entry'!X451), "", 'Data Entry'!X451)</f>
      </c>
      <c r="Y451">
        <f>IF(ISBLANK('Data Entry'!Y451), "", 'Data Entry'!Y451)</f>
      </c>
      <c r="Z451">
        <f>IF(ISBLANK('Data Entry'!Z451), "", 'Data Entry'!Z451)</f>
      </c>
      <c r="AA451">
        <f>IF(ISBLANK('Data Entry'![451), "", 'Data Entry'![451)</f>
      </c>
      <c r="AB451">
        <f>IF(ISBLANK('Data Entry'!\451), "", 'Data Entry'!\451)</f>
      </c>
      <c r="AC451">
        <f>IF(ISBLANK('Data Entry'!]451), "", 'Data Entry'!]451)</f>
      </c>
      <c r="AD451">
        <f>IF(ISBLANK('Data Entry'!^451), "", 'Data Entry'!^451)</f>
      </c>
      <c r="AE451">
        <f>IF(ISBLANK('Data Entry'!_451), "", 'Data Entry'!_451)</f>
      </c>
      <c r="AF451">
        <f>IF(ISBLANK('Data Entry'!`451), "", 'Data Entry'!`451)</f>
      </c>
      <c r="AG451">
        <f>IF(ISBLANK('Data Entry'!a451), "", 'Data Entry'!a451)</f>
      </c>
      <c r="AH451">
        <f>IF(ISBLANK('Data Entry'!b451), "", 'Data Entry'!b451)</f>
      </c>
      <c r="AI451">
        <f>IF(ISBLANK('Data Entry'!c451), "", 'Data Entry'!c451)</f>
      </c>
      <c r="AJ451">
        <f>IF(ISBLANK('Data Entry'!d451), "", 'Data Entry'!d451)</f>
      </c>
      <c r="AK451">
        <f>IF(ISBLANK('Data Entry'!e451), "", 'Data Entry'!e451)</f>
      </c>
      <c r="AL451">
        <f>IF(ISBLANK('Data Entry'!f451), "", 'Data Entry'!f451)</f>
      </c>
      <c r="AM451">
        <f>IF(ISBLANK('Data Entry'!g451), "", 'Data Entry'!g451)</f>
      </c>
      <c r="AN451">
        <f>IF(ISBLANK('Data Entry'!h451), "", 'Data Entry'!h451)</f>
      </c>
    </row>
    <row r="452" spans="1:40" x14ac:dyDescent="0.25">
      <c r="A452">
        <f>IF(ISBLANK('Data Entry'!A452), "", 'Data Entry'!A452)</f>
      </c>
      <c r="B452">
        <f>IF(ISBLANK('Data Entry'!B452), "", 'Data Entry'!B452)</f>
      </c>
      <c r="C452">
        <f>IF(ISBLANK('Data Entry'!C452), "", 'Data Entry'!C452)</f>
      </c>
      <c r="D452">
        <f>IF(ISBLANK('Data Entry'!D452), "", 'Data Entry'!D452)</f>
      </c>
      <c r="E452">
        <f>IF(ISBLANK('Data Entry'!E452), "", 'Data Entry'!E452)</f>
      </c>
      <c r="F452">
        <f>IF(ISBLANK('Data Entry'!F452), "", 'Data Entry'!F452)</f>
      </c>
      <c r="G452">
        <f>IF(ISBLANK('Data Entry'!G452), "", 'Data Entry'!G452)</f>
      </c>
      <c r="H452">
        <f>IF(ISBLANK('Data Entry'!H452), "", 'Data Entry'!H452)</f>
      </c>
      <c r="I452">
        <f>IF(ISBLANK('Data Entry'!I452), "", 'Data Entry'!I452)</f>
      </c>
      <c r="J452">
        <f>IF(ISBLANK('Data Entry'!J452), "", 'Data Entry'!J452)</f>
      </c>
      <c r="K452">
        <f>IF(ISBLANK('Data Entry'!K452), "", 'Data Entry'!K452)</f>
      </c>
      <c r="L452">
        <f>IF(ISBLANK('Data Entry'!L452), "", 'Data Entry'!L452)</f>
      </c>
      <c r="M452">
        <f>IF(ISBLANK('Data Entry'!M452), "", 'Data Entry'!M452)</f>
      </c>
      <c r="N452">
        <f>IF(ISBLANK('Data Entry'!N452), "", 'Data Entry'!N452)</f>
      </c>
      <c r="O452">
        <f>IF(ISBLANK('Data Entry'!O452), "", 'Data Entry'!O452)</f>
      </c>
      <c r="P452">
        <f>IF(ISBLANK('Data Entry'!P452), "", 'Data Entry'!P452)</f>
      </c>
      <c r="Q452">
        <f>IF(ISBLANK('Data Entry'!Q452), "", 'Data Entry'!Q452)</f>
      </c>
      <c r="R452">
        <f>IF(ISBLANK('Data Entry'!R452), "", 'Data Entry'!R452)</f>
      </c>
      <c r="S452">
        <f>IF(ISBLANK('Data Entry'!S452), "", 'Data Entry'!S452)</f>
      </c>
      <c r="T452">
        <f>IF(ISBLANK('Data Entry'!T452), "", 'Data Entry'!T452)</f>
      </c>
      <c r="U452">
        <f>IF(ISBLANK('Data Entry'!U452), "", 'Data Entry'!U452)</f>
      </c>
      <c r="V452">
        <f>IF(ISBLANK('Data Entry'!V452), "", 'Data Entry'!V452)</f>
      </c>
      <c r="W452">
        <f>IF(ISBLANK('Data Entry'!W452), "", 'Data Entry'!W452)</f>
      </c>
      <c r="X452">
        <f>IF(ISBLANK('Data Entry'!X452), "", 'Data Entry'!X452)</f>
      </c>
      <c r="Y452">
        <f>IF(ISBLANK('Data Entry'!Y452), "", 'Data Entry'!Y452)</f>
      </c>
      <c r="Z452">
        <f>IF(ISBLANK('Data Entry'!Z452), "", 'Data Entry'!Z452)</f>
      </c>
      <c r="AA452">
        <f>IF(ISBLANK('Data Entry'![452), "", 'Data Entry'![452)</f>
      </c>
      <c r="AB452">
        <f>IF(ISBLANK('Data Entry'!\452), "", 'Data Entry'!\452)</f>
      </c>
      <c r="AC452">
        <f>IF(ISBLANK('Data Entry'!]452), "", 'Data Entry'!]452)</f>
      </c>
      <c r="AD452">
        <f>IF(ISBLANK('Data Entry'!^452), "", 'Data Entry'!^452)</f>
      </c>
      <c r="AE452">
        <f>IF(ISBLANK('Data Entry'!_452), "", 'Data Entry'!_452)</f>
      </c>
      <c r="AF452">
        <f>IF(ISBLANK('Data Entry'!`452), "", 'Data Entry'!`452)</f>
      </c>
      <c r="AG452">
        <f>IF(ISBLANK('Data Entry'!a452), "", 'Data Entry'!a452)</f>
      </c>
      <c r="AH452">
        <f>IF(ISBLANK('Data Entry'!b452), "", 'Data Entry'!b452)</f>
      </c>
      <c r="AI452">
        <f>IF(ISBLANK('Data Entry'!c452), "", 'Data Entry'!c452)</f>
      </c>
      <c r="AJ452">
        <f>IF(ISBLANK('Data Entry'!d452), "", 'Data Entry'!d452)</f>
      </c>
      <c r="AK452">
        <f>IF(ISBLANK('Data Entry'!e452), "", 'Data Entry'!e452)</f>
      </c>
      <c r="AL452">
        <f>IF(ISBLANK('Data Entry'!f452), "", 'Data Entry'!f452)</f>
      </c>
      <c r="AM452">
        <f>IF(ISBLANK('Data Entry'!g452), "", 'Data Entry'!g452)</f>
      </c>
      <c r="AN452">
        <f>IF(ISBLANK('Data Entry'!h452), "", 'Data Entry'!h452)</f>
      </c>
    </row>
    <row r="453" spans="1:40" x14ac:dyDescent="0.25">
      <c r="A453">
        <f>IF(ISBLANK('Data Entry'!A453), "", 'Data Entry'!A453)</f>
      </c>
      <c r="B453">
        <f>IF(ISBLANK('Data Entry'!B453), "", 'Data Entry'!B453)</f>
      </c>
      <c r="C453">
        <f>IF(ISBLANK('Data Entry'!C453), "", 'Data Entry'!C453)</f>
      </c>
      <c r="D453">
        <f>IF(ISBLANK('Data Entry'!D453), "", 'Data Entry'!D453)</f>
      </c>
      <c r="E453">
        <f>IF(ISBLANK('Data Entry'!E453), "", 'Data Entry'!E453)</f>
      </c>
      <c r="F453">
        <f>IF(ISBLANK('Data Entry'!F453), "", 'Data Entry'!F453)</f>
      </c>
      <c r="G453">
        <f>IF(ISBLANK('Data Entry'!G453), "", 'Data Entry'!G453)</f>
      </c>
      <c r="H453">
        <f>IF(ISBLANK('Data Entry'!H453), "", 'Data Entry'!H453)</f>
      </c>
      <c r="I453">
        <f>IF(ISBLANK('Data Entry'!I453), "", 'Data Entry'!I453)</f>
      </c>
      <c r="J453">
        <f>IF(ISBLANK('Data Entry'!J453), "", 'Data Entry'!J453)</f>
      </c>
      <c r="K453">
        <f>IF(ISBLANK('Data Entry'!K453), "", 'Data Entry'!K453)</f>
      </c>
      <c r="L453">
        <f>IF(ISBLANK('Data Entry'!L453), "", 'Data Entry'!L453)</f>
      </c>
      <c r="M453">
        <f>IF(ISBLANK('Data Entry'!M453), "", 'Data Entry'!M453)</f>
      </c>
      <c r="N453">
        <f>IF(ISBLANK('Data Entry'!N453), "", 'Data Entry'!N453)</f>
      </c>
      <c r="O453">
        <f>IF(ISBLANK('Data Entry'!O453), "", 'Data Entry'!O453)</f>
      </c>
      <c r="P453">
        <f>IF(ISBLANK('Data Entry'!P453), "", 'Data Entry'!P453)</f>
      </c>
      <c r="Q453">
        <f>IF(ISBLANK('Data Entry'!Q453), "", 'Data Entry'!Q453)</f>
      </c>
      <c r="R453">
        <f>IF(ISBLANK('Data Entry'!R453), "", 'Data Entry'!R453)</f>
      </c>
      <c r="S453">
        <f>IF(ISBLANK('Data Entry'!S453), "", 'Data Entry'!S453)</f>
      </c>
      <c r="T453">
        <f>IF(ISBLANK('Data Entry'!T453), "", 'Data Entry'!T453)</f>
      </c>
      <c r="U453">
        <f>IF(ISBLANK('Data Entry'!U453), "", 'Data Entry'!U453)</f>
      </c>
      <c r="V453">
        <f>IF(ISBLANK('Data Entry'!V453), "", 'Data Entry'!V453)</f>
      </c>
      <c r="W453">
        <f>IF(ISBLANK('Data Entry'!W453), "", 'Data Entry'!W453)</f>
      </c>
      <c r="X453">
        <f>IF(ISBLANK('Data Entry'!X453), "", 'Data Entry'!X453)</f>
      </c>
      <c r="Y453">
        <f>IF(ISBLANK('Data Entry'!Y453), "", 'Data Entry'!Y453)</f>
      </c>
      <c r="Z453">
        <f>IF(ISBLANK('Data Entry'!Z453), "", 'Data Entry'!Z453)</f>
      </c>
      <c r="AA453">
        <f>IF(ISBLANK('Data Entry'![453), "", 'Data Entry'![453)</f>
      </c>
      <c r="AB453">
        <f>IF(ISBLANK('Data Entry'!\453), "", 'Data Entry'!\453)</f>
      </c>
      <c r="AC453">
        <f>IF(ISBLANK('Data Entry'!]453), "", 'Data Entry'!]453)</f>
      </c>
      <c r="AD453">
        <f>IF(ISBLANK('Data Entry'!^453), "", 'Data Entry'!^453)</f>
      </c>
      <c r="AE453">
        <f>IF(ISBLANK('Data Entry'!_453), "", 'Data Entry'!_453)</f>
      </c>
      <c r="AF453">
        <f>IF(ISBLANK('Data Entry'!`453), "", 'Data Entry'!`453)</f>
      </c>
      <c r="AG453">
        <f>IF(ISBLANK('Data Entry'!a453), "", 'Data Entry'!a453)</f>
      </c>
      <c r="AH453">
        <f>IF(ISBLANK('Data Entry'!b453), "", 'Data Entry'!b453)</f>
      </c>
      <c r="AI453">
        <f>IF(ISBLANK('Data Entry'!c453), "", 'Data Entry'!c453)</f>
      </c>
      <c r="AJ453">
        <f>IF(ISBLANK('Data Entry'!d453), "", 'Data Entry'!d453)</f>
      </c>
      <c r="AK453">
        <f>IF(ISBLANK('Data Entry'!e453), "", 'Data Entry'!e453)</f>
      </c>
      <c r="AL453">
        <f>IF(ISBLANK('Data Entry'!f453), "", 'Data Entry'!f453)</f>
      </c>
      <c r="AM453">
        <f>IF(ISBLANK('Data Entry'!g453), "", 'Data Entry'!g453)</f>
      </c>
      <c r="AN453">
        <f>IF(ISBLANK('Data Entry'!h453), "", 'Data Entry'!h453)</f>
      </c>
    </row>
    <row r="454" spans="1:40" x14ac:dyDescent="0.25">
      <c r="A454">
        <f>IF(ISBLANK('Data Entry'!A454), "", 'Data Entry'!A454)</f>
      </c>
      <c r="B454">
        <f>IF(ISBLANK('Data Entry'!B454), "", 'Data Entry'!B454)</f>
      </c>
      <c r="C454">
        <f>IF(ISBLANK('Data Entry'!C454), "", 'Data Entry'!C454)</f>
      </c>
      <c r="D454">
        <f>IF(ISBLANK('Data Entry'!D454), "", 'Data Entry'!D454)</f>
      </c>
      <c r="E454">
        <f>IF(ISBLANK('Data Entry'!E454), "", 'Data Entry'!E454)</f>
      </c>
      <c r="F454">
        <f>IF(ISBLANK('Data Entry'!F454), "", 'Data Entry'!F454)</f>
      </c>
      <c r="G454">
        <f>IF(ISBLANK('Data Entry'!G454), "", 'Data Entry'!G454)</f>
      </c>
      <c r="H454">
        <f>IF(ISBLANK('Data Entry'!H454), "", 'Data Entry'!H454)</f>
      </c>
      <c r="I454">
        <f>IF(ISBLANK('Data Entry'!I454), "", 'Data Entry'!I454)</f>
      </c>
      <c r="J454">
        <f>IF(ISBLANK('Data Entry'!J454), "", 'Data Entry'!J454)</f>
      </c>
      <c r="K454">
        <f>IF(ISBLANK('Data Entry'!K454), "", 'Data Entry'!K454)</f>
      </c>
      <c r="L454">
        <f>IF(ISBLANK('Data Entry'!L454), "", 'Data Entry'!L454)</f>
      </c>
      <c r="M454">
        <f>IF(ISBLANK('Data Entry'!M454), "", 'Data Entry'!M454)</f>
      </c>
      <c r="N454">
        <f>IF(ISBLANK('Data Entry'!N454), "", 'Data Entry'!N454)</f>
      </c>
      <c r="O454">
        <f>IF(ISBLANK('Data Entry'!O454), "", 'Data Entry'!O454)</f>
      </c>
      <c r="P454">
        <f>IF(ISBLANK('Data Entry'!P454), "", 'Data Entry'!P454)</f>
      </c>
      <c r="Q454">
        <f>IF(ISBLANK('Data Entry'!Q454), "", 'Data Entry'!Q454)</f>
      </c>
      <c r="R454">
        <f>IF(ISBLANK('Data Entry'!R454), "", 'Data Entry'!R454)</f>
      </c>
      <c r="S454">
        <f>IF(ISBLANK('Data Entry'!S454), "", 'Data Entry'!S454)</f>
      </c>
      <c r="T454">
        <f>IF(ISBLANK('Data Entry'!T454), "", 'Data Entry'!T454)</f>
      </c>
      <c r="U454">
        <f>IF(ISBLANK('Data Entry'!U454), "", 'Data Entry'!U454)</f>
      </c>
      <c r="V454">
        <f>IF(ISBLANK('Data Entry'!V454), "", 'Data Entry'!V454)</f>
      </c>
      <c r="W454">
        <f>IF(ISBLANK('Data Entry'!W454), "", 'Data Entry'!W454)</f>
      </c>
      <c r="X454">
        <f>IF(ISBLANK('Data Entry'!X454), "", 'Data Entry'!X454)</f>
      </c>
      <c r="Y454">
        <f>IF(ISBLANK('Data Entry'!Y454), "", 'Data Entry'!Y454)</f>
      </c>
      <c r="Z454">
        <f>IF(ISBLANK('Data Entry'!Z454), "", 'Data Entry'!Z454)</f>
      </c>
      <c r="AA454">
        <f>IF(ISBLANK('Data Entry'![454), "", 'Data Entry'![454)</f>
      </c>
      <c r="AB454">
        <f>IF(ISBLANK('Data Entry'!\454), "", 'Data Entry'!\454)</f>
      </c>
      <c r="AC454">
        <f>IF(ISBLANK('Data Entry'!]454), "", 'Data Entry'!]454)</f>
      </c>
      <c r="AD454">
        <f>IF(ISBLANK('Data Entry'!^454), "", 'Data Entry'!^454)</f>
      </c>
      <c r="AE454">
        <f>IF(ISBLANK('Data Entry'!_454), "", 'Data Entry'!_454)</f>
      </c>
      <c r="AF454">
        <f>IF(ISBLANK('Data Entry'!`454), "", 'Data Entry'!`454)</f>
      </c>
      <c r="AG454">
        <f>IF(ISBLANK('Data Entry'!a454), "", 'Data Entry'!a454)</f>
      </c>
      <c r="AH454">
        <f>IF(ISBLANK('Data Entry'!b454), "", 'Data Entry'!b454)</f>
      </c>
      <c r="AI454">
        <f>IF(ISBLANK('Data Entry'!c454), "", 'Data Entry'!c454)</f>
      </c>
      <c r="AJ454">
        <f>IF(ISBLANK('Data Entry'!d454), "", 'Data Entry'!d454)</f>
      </c>
      <c r="AK454">
        <f>IF(ISBLANK('Data Entry'!e454), "", 'Data Entry'!e454)</f>
      </c>
      <c r="AL454">
        <f>IF(ISBLANK('Data Entry'!f454), "", 'Data Entry'!f454)</f>
      </c>
      <c r="AM454">
        <f>IF(ISBLANK('Data Entry'!g454), "", 'Data Entry'!g454)</f>
      </c>
      <c r="AN454">
        <f>IF(ISBLANK('Data Entry'!h454), "", 'Data Entry'!h454)</f>
      </c>
    </row>
    <row r="455" spans="1:40" x14ac:dyDescent="0.25">
      <c r="A455">
        <f>IF(ISBLANK('Data Entry'!A455), "", 'Data Entry'!A455)</f>
      </c>
      <c r="B455">
        <f>IF(ISBLANK('Data Entry'!B455), "", 'Data Entry'!B455)</f>
      </c>
      <c r="C455">
        <f>IF(ISBLANK('Data Entry'!C455), "", 'Data Entry'!C455)</f>
      </c>
      <c r="D455">
        <f>IF(ISBLANK('Data Entry'!D455), "", 'Data Entry'!D455)</f>
      </c>
      <c r="E455">
        <f>IF(ISBLANK('Data Entry'!E455), "", 'Data Entry'!E455)</f>
      </c>
      <c r="F455">
        <f>IF(ISBLANK('Data Entry'!F455), "", 'Data Entry'!F455)</f>
      </c>
      <c r="G455">
        <f>IF(ISBLANK('Data Entry'!G455), "", 'Data Entry'!G455)</f>
      </c>
      <c r="H455">
        <f>IF(ISBLANK('Data Entry'!H455), "", 'Data Entry'!H455)</f>
      </c>
      <c r="I455">
        <f>IF(ISBLANK('Data Entry'!I455), "", 'Data Entry'!I455)</f>
      </c>
      <c r="J455">
        <f>IF(ISBLANK('Data Entry'!J455), "", 'Data Entry'!J455)</f>
      </c>
      <c r="K455">
        <f>IF(ISBLANK('Data Entry'!K455), "", 'Data Entry'!K455)</f>
      </c>
      <c r="L455">
        <f>IF(ISBLANK('Data Entry'!L455), "", 'Data Entry'!L455)</f>
      </c>
      <c r="M455">
        <f>IF(ISBLANK('Data Entry'!M455), "", 'Data Entry'!M455)</f>
      </c>
      <c r="N455">
        <f>IF(ISBLANK('Data Entry'!N455), "", 'Data Entry'!N455)</f>
      </c>
      <c r="O455">
        <f>IF(ISBLANK('Data Entry'!O455), "", 'Data Entry'!O455)</f>
      </c>
      <c r="P455">
        <f>IF(ISBLANK('Data Entry'!P455), "", 'Data Entry'!P455)</f>
      </c>
      <c r="Q455">
        <f>IF(ISBLANK('Data Entry'!Q455), "", 'Data Entry'!Q455)</f>
      </c>
      <c r="R455">
        <f>IF(ISBLANK('Data Entry'!R455), "", 'Data Entry'!R455)</f>
      </c>
      <c r="S455">
        <f>IF(ISBLANK('Data Entry'!S455), "", 'Data Entry'!S455)</f>
      </c>
      <c r="T455">
        <f>IF(ISBLANK('Data Entry'!T455), "", 'Data Entry'!T455)</f>
      </c>
      <c r="U455">
        <f>IF(ISBLANK('Data Entry'!U455), "", 'Data Entry'!U455)</f>
      </c>
      <c r="V455">
        <f>IF(ISBLANK('Data Entry'!V455), "", 'Data Entry'!V455)</f>
      </c>
      <c r="W455">
        <f>IF(ISBLANK('Data Entry'!W455), "", 'Data Entry'!W455)</f>
      </c>
      <c r="X455">
        <f>IF(ISBLANK('Data Entry'!X455), "", 'Data Entry'!X455)</f>
      </c>
      <c r="Y455">
        <f>IF(ISBLANK('Data Entry'!Y455), "", 'Data Entry'!Y455)</f>
      </c>
      <c r="Z455">
        <f>IF(ISBLANK('Data Entry'!Z455), "", 'Data Entry'!Z455)</f>
      </c>
      <c r="AA455">
        <f>IF(ISBLANK('Data Entry'![455), "", 'Data Entry'![455)</f>
      </c>
      <c r="AB455">
        <f>IF(ISBLANK('Data Entry'!\455), "", 'Data Entry'!\455)</f>
      </c>
      <c r="AC455">
        <f>IF(ISBLANK('Data Entry'!]455), "", 'Data Entry'!]455)</f>
      </c>
      <c r="AD455">
        <f>IF(ISBLANK('Data Entry'!^455), "", 'Data Entry'!^455)</f>
      </c>
      <c r="AE455">
        <f>IF(ISBLANK('Data Entry'!_455), "", 'Data Entry'!_455)</f>
      </c>
      <c r="AF455">
        <f>IF(ISBLANK('Data Entry'!`455), "", 'Data Entry'!`455)</f>
      </c>
      <c r="AG455">
        <f>IF(ISBLANK('Data Entry'!a455), "", 'Data Entry'!a455)</f>
      </c>
      <c r="AH455">
        <f>IF(ISBLANK('Data Entry'!b455), "", 'Data Entry'!b455)</f>
      </c>
      <c r="AI455">
        <f>IF(ISBLANK('Data Entry'!c455), "", 'Data Entry'!c455)</f>
      </c>
      <c r="AJ455">
        <f>IF(ISBLANK('Data Entry'!d455), "", 'Data Entry'!d455)</f>
      </c>
      <c r="AK455">
        <f>IF(ISBLANK('Data Entry'!e455), "", 'Data Entry'!e455)</f>
      </c>
      <c r="AL455">
        <f>IF(ISBLANK('Data Entry'!f455), "", 'Data Entry'!f455)</f>
      </c>
      <c r="AM455">
        <f>IF(ISBLANK('Data Entry'!g455), "", 'Data Entry'!g455)</f>
      </c>
      <c r="AN455">
        <f>IF(ISBLANK('Data Entry'!h455), "", 'Data Entry'!h455)</f>
      </c>
    </row>
    <row r="456" spans="1:40" x14ac:dyDescent="0.25">
      <c r="A456">
        <f>IF(ISBLANK('Data Entry'!A456), "", 'Data Entry'!A456)</f>
      </c>
      <c r="B456">
        <f>IF(ISBLANK('Data Entry'!B456), "", 'Data Entry'!B456)</f>
      </c>
      <c r="C456">
        <f>IF(ISBLANK('Data Entry'!C456), "", 'Data Entry'!C456)</f>
      </c>
      <c r="D456">
        <f>IF(ISBLANK('Data Entry'!D456), "", 'Data Entry'!D456)</f>
      </c>
      <c r="E456">
        <f>IF(ISBLANK('Data Entry'!E456), "", 'Data Entry'!E456)</f>
      </c>
      <c r="F456">
        <f>IF(ISBLANK('Data Entry'!F456), "", 'Data Entry'!F456)</f>
      </c>
      <c r="G456">
        <f>IF(ISBLANK('Data Entry'!G456), "", 'Data Entry'!G456)</f>
      </c>
      <c r="H456">
        <f>IF(ISBLANK('Data Entry'!H456), "", 'Data Entry'!H456)</f>
      </c>
      <c r="I456">
        <f>IF(ISBLANK('Data Entry'!I456), "", 'Data Entry'!I456)</f>
      </c>
      <c r="J456">
        <f>IF(ISBLANK('Data Entry'!J456), "", 'Data Entry'!J456)</f>
      </c>
      <c r="K456">
        <f>IF(ISBLANK('Data Entry'!K456), "", 'Data Entry'!K456)</f>
      </c>
      <c r="L456">
        <f>IF(ISBLANK('Data Entry'!L456), "", 'Data Entry'!L456)</f>
      </c>
      <c r="M456">
        <f>IF(ISBLANK('Data Entry'!M456), "", 'Data Entry'!M456)</f>
      </c>
      <c r="N456">
        <f>IF(ISBLANK('Data Entry'!N456), "", 'Data Entry'!N456)</f>
      </c>
      <c r="O456">
        <f>IF(ISBLANK('Data Entry'!O456), "", 'Data Entry'!O456)</f>
      </c>
      <c r="P456">
        <f>IF(ISBLANK('Data Entry'!P456), "", 'Data Entry'!P456)</f>
      </c>
      <c r="Q456">
        <f>IF(ISBLANK('Data Entry'!Q456), "", 'Data Entry'!Q456)</f>
      </c>
      <c r="R456">
        <f>IF(ISBLANK('Data Entry'!R456), "", 'Data Entry'!R456)</f>
      </c>
      <c r="S456">
        <f>IF(ISBLANK('Data Entry'!S456), "", 'Data Entry'!S456)</f>
      </c>
      <c r="T456">
        <f>IF(ISBLANK('Data Entry'!T456), "", 'Data Entry'!T456)</f>
      </c>
      <c r="U456">
        <f>IF(ISBLANK('Data Entry'!U456), "", 'Data Entry'!U456)</f>
      </c>
      <c r="V456">
        <f>IF(ISBLANK('Data Entry'!V456), "", 'Data Entry'!V456)</f>
      </c>
      <c r="W456">
        <f>IF(ISBLANK('Data Entry'!W456), "", 'Data Entry'!W456)</f>
      </c>
      <c r="X456">
        <f>IF(ISBLANK('Data Entry'!X456), "", 'Data Entry'!X456)</f>
      </c>
      <c r="Y456">
        <f>IF(ISBLANK('Data Entry'!Y456), "", 'Data Entry'!Y456)</f>
      </c>
      <c r="Z456">
        <f>IF(ISBLANK('Data Entry'!Z456), "", 'Data Entry'!Z456)</f>
      </c>
      <c r="AA456">
        <f>IF(ISBLANK('Data Entry'![456), "", 'Data Entry'![456)</f>
      </c>
      <c r="AB456">
        <f>IF(ISBLANK('Data Entry'!\456), "", 'Data Entry'!\456)</f>
      </c>
      <c r="AC456">
        <f>IF(ISBLANK('Data Entry'!]456), "", 'Data Entry'!]456)</f>
      </c>
      <c r="AD456">
        <f>IF(ISBLANK('Data Entry'!^456), "", 'Data Entry'!^456)</f>
      </c>
      <c r="AE456">
        <f>IF(ISBLANK('Data Entry'!_456), "", 'Data Entry'!_456)</f>
      </c>
      <c r="AF456">
        <f>IF(ISBLANK('Data Entry'!`456), "", 'Data Entry'!`456)</f>
      </c>
      <c r="AG456">
        <f>IF(ISBLANK('Data Entry'!a456), "", 'Data Entry'!a456)</f>
      </c>
      <c r="AH456">
        <f>IF(ISBLANK('Data Entry'!b456), "", 'Data Entry'!b456)</f>
      </c>
      <c r="AI456">
        <f>IF(ISBLANK('Data Entry'!c456), "", 'Data Entry'!c456)</f>
      </c>
      <c r="AJ456">
        <f>IF(ISBLANK('Data Entry'!d456), "", 'Data Entry'!d456)</f>
      </c>
      <c r="AK456">
        <f>IF(ISBLANK('Data Entry'!e456), "", 'Data Entry'!e456)</f>
      </c>
      <c r="AL456">
        <f>IF(ISBLANK('Data Entry'!f456), "", 'Data Entry'!f456)</f>
      </c>
      <c r="AM456">
        <f>IF(ISBLANK('Data Entry'!g456), "", 'Data Entry'!g456)</f>
      </c>
      <c r="AN456">
        <f>IF(ISBLANK('Data Entry'!h456), "", 'Data Entry'!h456)</f>
      </c>
    </row>
    <row r="457" spans="1:40" x14ac:dyDescent="0.25">
      <c r="A457">
        <f>IF(ISBLANK('Data Entry'!A457), "", 'Data Entry'!A457)</f>
      </c>
      <c r="B457">
        <f>IF(ISBLANK('Data Entry'!B457), "", 'Data Entry'!B457)</f>
      </c>
      <c r="C457">
        <f>IF(ISBLANK('Data Entry'!C457), "", 'Data Entry'!C457)</f>
      </c>
      <c r="D457">
        <f>IF(ISBLANK('Data Entry'!D457), "", 'Data Entry'!D457)</f>
      </c>
      <c r="E457">
        <f>IF(ISBLANK('Data Entry'!E457), "", 'Data Entry'!E457)</f>
      </c>
      <c r="F457">
        <f>IF(ISBLANK('Data Entry'!F457), "", 'Data Entry'!F457)</f>
      </c>
      <c r="G457">
        <f>IF(ISBLANK('Data Entry'!G457), "", 'Data Entry'!G457)</f>
      </c>
      <c r="H457">
        <f>IF(ISBLANK('Data Entry'!H457), "", 'Data Entry'!H457)</f>
      </c>
      <c r="I457">
        <f>IF(ISBLANK('Data Entry'!I457), "", 'Data Entry'!I457)</f>
      </c>
      <c r="J457">
        <f>IF(ISBLANK('Data Entry'!J457), "", 'Data Entry'!J457)</f>
      </c>
      <c r="K457">
        <f>IF(ISBLANK('Data Entry'!K457), "", 'Data Entry'!K457)</f>
      </c>
      <c r="L457">
        <f>IF(ISBLANK('Data Entry'!L457), "", 'Data Entry'!L457)</f>
      </c>
      <c r="M457">
        <f>IF(ISBLANK('Data Entry'!M457), "", 'Data Entry'!M457)</f>
      </c>
      <c r="N457">
        <f>IF(ISBLANK('Data Entry'!N457), "", 'Data Entry'!N457)</f>
      </c>
      <c r="O457">
        <f>IF(ISBLANK('Data Entry'!O457), "", 'Data Entry'!O457)</f>
      </c>
      <c r="P457">
        <f>IF(ISBLANK('Data Entry'!P457), "", 'Data Entry'!P457)</f>
      </c>
      <c r="Q457">
        <f>IF(ISBLANK('Data Entry'!Q457), "", 'Data Entry'!Q457)</f>
      </c>
      <c r="R457">
        <f>IF(ISBLANK('Data Entry'!R457), "", 'Data Entry'!R457)</f>
      </c>
      <c r="S457">
        <f>IF(ISBLANK('Data Entry'!S457), "", 'Data Entry'!S457)</f>
      </c>
      <c r="T457">
        <f>IF(ISBLANK('Data Entry'!T457), "", 'Data Entry'!T457)</f>
      </c>
      <c r="U457">
        <f>IF(ISBLANK('Data Entry'!U457), "", 'Data Entry'!U457)</f>
      </c>
      <c r="V457">
        <f>IF(ISBLANK('Data Entry'!V457), "", 'Data Entry'!V457)</f>
      </c>
      <c r="W457">
        <f>IF(ISBLANK('Data Entry'!W457), "", 'Data Entry'!W457)</f>
      </c>
      <c r="X457">
        <f>IF(ISBLANK('Data Entry'!X457), "", 'Data Entry'!X457)</f>
      </c>
      <c r="Y457">
        <f>IF(ISBLANK('Data Entry'!Y457), "", 'Data Entry'!Y457)</f>
      </c>
      <c r="Z457">
        <f>IF(ISBLANK('Data Entry'!Z457), "", 'Data Entry'!Z457)</f>
      </c>
      <c r="AA457">
        <f>IF(ISBLANK('Data Entry'![457), "", 'Data Entry'![457)</f>
      </c>
      <c r="AB457">
        <f>IF(ISBLANK('Data Entry'!\457), "", 'Data Entry'!\457)</f>
      </c>
      <c r="AC457">
        <f>IF(ISBLANK('Data Entry'!]457), "", 'Data Entry'!]457)</f>
      </c>
      <c r="AD457">
        <f>IF(ISBLANK('Data Entry'!^457), "", 'Data Entry'!^457)</f>
      </c>
      <c r="AE457">
        <f>IF(ISBLANK('Data Entry'!_457), "", 'Data Entry'!_457)</f>
      </c>
      <c r="AF457">
        <f>IF(ISBLANK('Data Entry'!`457), "", 'Data Entry'!`457)</f>
      </c>
      <c r="AG457">
        <f>IF(ISBLANK('Data Entry'!a457), "", 'Data Entry'!a457)</f>
      </c>
      <c r="AH457">
        <f>IF(ISBLANK('Data Entry'!b457), "", 'Data Entry'!b457)</f>
      </c>
      <c r="AI457">
        <f>IF(ISBLANK('Data Entry'!c457), "", 'Data Entry'!c457)</f>
      </c>
      <c r="AJ457">
        <f>IF(ISBLANK('Data Entry'!d457), "", 'Data Entry'!d457)</f>
      </c>
      <c r="AK457">
        <f>IF(ISBLANK('Data Entry'!e457), "", 'Data Entry'!e457)</f>
      </c>
      <c r="AL457">
        <f>IF(ISBLANK('Data Entry'!f457), "", 'Data Entry'!f457)</f>
      </c>
      <c r="AM457">
        <f>IF(ISBLANK('Data Entry'!g457), "", 'Data Entry'!g457)</f>
      </c>
      <c r="AN457">
        <f>IF(ISBLANK('Data Entry'!h457), "", 'Data Entry'!h457)</f>
      </c>
    </row>
    <row r="458" spans="1:40" x14ac:dyDescent="0.25">
      <c r="A458">
        <f>IF(ISBLANK('Data Entry'!A458), "", 'Data Entry'!A458)</f>
      </c>
      <c r="B458">
        <f>IF(ISBLANK('Data Entry'!B458), "", 'Data Entry'!B458)</f>
      </c>
      <c r="C458">
        <f>IF(ISBLANK('Data Entry'!C458), "", 'Data Entry'!C458)</f>
      </c>
      <c r="D458">
        <f>IF(ISBLANK('Data Entry'!D458), "", 'Data Entry'!D458)</f>
      </c>
      <c r="E458">
        <f>IF(ISBLANK('Data Entry'!E458), "", 'Data Entry'!E458)</f>
      </c>
      <c r="F458">
        <f>IF(ISBLANK('Data Entry'!F458), "", 'Data Entry'!F458)</f>
      </c>
      <c r="G458">
        <f>IF(ISBLANK('Data Entry'!G458), "", 'Data Entry'!G458)</f>
      </c>
      <c r="H458">
        <f>IF(ISBLANK('Data Entry'!H458), "", 'Data Entry'!H458)</f>
      </c>
      <c r="I458">
        <f>IF(ISBLANK('Data Entry'!I458), "", 'Data Entry'!I458)</f>
      </c>
      <c r="J458">
        <f>IF(ISBLANK('Data Entry'!J458), "", 'Data Entry'!J458)</f>
      </c>
      <c r="K458">
        <f>IF(ISBLANK('Data Entry'!K458), "", 'Data Entry'!K458)</f>
      </c>
      <c r="L458">
        <f>IF(ISBLANK('Data Entry'!L458), "", 'Data Entry'!L458)</f>
      </c>
      <c r="M458">
        <f>IF(ISBLANK('Data Entry'!M458), "", 'Data Entry'!M458)</f>
      </c>
      <c r="N458">
        <f>IF(ISBLANK('Data Entry'!N458), "", 'Data Entry'!N458)</f>
      </c>
      <c r="O458">
        <f>IF(ISBLANK('Data Entry'!O458), "", 'Data Entry'!O458)</f>
      </c>
      <c r="P458">
        <f>IF(ISBLANK('Data Entry'!P458), "", 'Data Entry'!P458)</f>
      </c>
      <c r="Q458">
        <f>IF(ISBLANK('Data Entry'!Q458), "", 'Data Entry'!Q458)</f>
      </c>
      <c r="R458">
        <f>IF(ISBLANK('Data Entry'!R458), "", 'Data Entry'!R458)</f>
      </c>
      <c r="S458">
        <f>IF(ISBLANK('Data Entry'!S458), "", 'Data Entry'!S458)</f>
      </c>
      <c r="T458">
        <f>IF(ISBLANK('Data Entry'!T458), "", 'Data Entry'!T458)</f>
      </c>
      <c r="U458">
        <f>IF(ISBLANK('Data Entry'!U458), "", 'Data Entry'!U458)</f>
      </c>
      <c r="V458">
        <f>IF(ISBLANK('Data Entry'!V458), "", 'Data Entry'!V458)</f>
      </c>
      <c r="W458">
        <f>IF(ISBLANK('Data Entry'!W458), "", 'Data Entry'!W458)</f>
      </c>
      <c r="X458">
        <f>IF(ISBLANK('Data Entry'!X458), "", 'Data Entry'!X458)</f>
      </c>
      <c r="Y458">
        <f>IF(ISBLANK('Data Entry'!Y458), "", 'Data Entry'!Y458)</f>
      </c>
      <c r="Z458">
        <f>IF(ISBLANK('Data Entry'!Z458), "", 'Data Entry'!Z458)</f>
      </c>
      <c r="AA458">
        <f>IF(ISBLANK('Data Entry'![458), "", 'Data Entry'![458)</f>
      </c>
      <c r="AB458">
        <f>IF(ISBLANK('Data Entry'!\458), "", 'Data Entry'!\458)</f>
      </c>
      <c r="AC458">
        <f>IF(ISBLANK('Data Entry'!]458), "", 'Data Entry'!]458)</f>
      </c>
      <c r="AD458">
        <f>IF(ISBLANK('Data Entry'!^458), "", 'Data Entry'!^458)</f>
      </c>
      <c r="AE458">
        <f>IF(ISBLANK('Data Entry'!_458), "", 'Data Entry'!_458)</f>
      </c>
      <c r="AF458">
        <f>IF(ISBLANK('Data Entry'!`458), "", 'Data Entry'!`458)</f>
      </c>
      <c r="AG458">
        <f>IF(ISBLANK('Data Entry'!a458), "", 'Data Entry'!a458)</f>
      </c>
      <c r="AH458">
        <f>IF(ISBLANK('Data Entry'!b458), "", 'Data Entry'!b458)</f>
      </c>
      <c r="AI458">
        <f>IF(ISBLANK('Data Entry'!c458), "", 'Data Entry'!c458)</f>
      </c>
      <c r="AJ458">
        <f>IF(ISBLANK('Data Entry'!d458), "", 'Data Entry'!d458)</f>
      </c>
      <c r="AK458">
        <f>IF(ISBLANK('Data Entry'!e458), "", 'Data Entry'!e458)</f>
      </c>
      <c r="AL458">
        <f>IF(ISBLANK('Data Entry'!f458), "", 'Data Entry'!f458)</f>
      </c>
      <c r="AM458">
        <f>IF(ISBLANK('Data Entry'!g458), "", 'Data Entry'!g458)</f>
      </c>
      <c r="AN458">
        <f>IF(ISBLANK('Data Entry'!h458), "", 'Data Entry'!h458)</f>
      </c>
    </row>
    <row r="459" spans="1:40" x14ac:dyDescent="0.25">
      <c r="A459">
        <f>IF(ISBLANK('Data Entry'!A459), "", 'Data Entry'!A459)</f>
      </c>
      <c r="B459">
        <f>IF(ISBLANK('Data Entry'!B459), "", 'Data Entry'!B459)</f>
      </c>
      <c r="C459">
        <f>IF(ISBLANK('Data Entry'!C459), "", 'Data Entry'!C459)</f>
      </c>
      <c r="D459">
        <f>IF(ISBLANK('Data Entry'!D459), "", 'Data Entry'!D459)</f>
      </c>
      <c r="E459">
        <f>IF(ISBLANK('Data Entry'!E459), "", 'Data Entry'!E459)</f>
      </c>
      <c r="F459">
        <f>IF(ISBLANK('Data Entry'!F459), "", 'Data Entry'!F459)</f>
      </c>
      <c r="G459">
        <f>IF(ISBLANK('Data Entry'!G459), "", 'Data Entry'!G459)</f>
      </c>
      <c r="H459">
        <f>IF(ISBLANK('Data Entry'!H459), "", 'Data Entry'!H459)</f>
      </c>
      <c r="I459">
        <f>IF(ISBLANK('Data Entry'!I459), "", 'Data Entry'!I459)</f>
      </c>
      <c r="J459">
        <f>IF(ISBLANK('Data Entry'!J459), "", 'Data Entry'!J459)</f>
      </c>
      <c r="K459">
        <f>IF(ISBLANK('Data Entry'!K459), "", 'Data Entry'!K459)</f>
      </c>
      <c r="L459">
        <f>IF(ISBLANK('Data Entry'!L459), "", 'Data Entry'!L459)</f>
      </c>
      <c r="M459">
        <f>IF(ISBLANK('Data Entry'!M459), "", 'Data Entry'!M459)</f>
      </c>
      <c r="N459">
        <f>IF(ISBLANK('Data Entry'!N459), "", 'Data Entry'!N459)</f>
      </c>
      <c r="O459">
        <f>IF(ISBLANK('Data Entry'!O459), "", 'Data Entry'!O459)</f>
      </c>
      <c r="P459">
        <f>IF(ISBLANK('Data Entry'!P459), "", 'Data Entry'!P459)</f>
      </c>
      <c r="Q459">
        <f>IF(ISBLANK('Data Entry'!Q459), "", 'Data Entry'!Q459)</f>
      </c>
      <c r="R459">
        <f>IF(ISBLANK('Data Entry'!R459), "", 'Data Entry'!R459)</f>
      </c>
      <c r="S459">
        <f>IF(ISBLANK('Data Entry'!S459), "", 'Data Entry'!S459)</f>
      </c>
      <c r="T459">
        <f>IF(ISBLANK('Data Entry'!T459), "", 'Data Entry'!T459)</f>
      </c>
      <c r="U459">
        <f>IF(ISBLANK('Data Entry'!U459), "", 'Data Entry'!U459)</f>
      </c>
      <c r="V459">
        <f>IF(ISBLANK('Data Entry'!V459), "", 'Data Entry'!V459)</f>
      </c>
      <c r="W459">
        <f>IF(ISBLANK('Data Entry'!W459), "", 'Data Entry'!W459)</f>
      </c>
      <c r="X459">
        <f>IF(ISBLANK('Data Entry'!X459), "", 'Data Entry'!X459)</f>
      </c>
      <c r="Y459">
        <f>IF(ISBLANK('Data Entry'!Y459), "", 'Data Entry'!Y459)</f>
      </c>
      <c r="Z459">
        <f>IF(ISBLANK('Data Entry'!Z459), "", 'Data Entry'!Z459)</f>
      </c>
      <c r="AA459">
        <f>IF(ISBLANK('Data Entry'![459), "", 'Data Entry'![459)</f>
      </c>
      <c r="AB459">
        <f>IF(ISBLANK('Data Entry'!\459), "", 'Data Entry'!\459)</f>
      </c>
      <c r="AC459">
        <f>IF(ISBLANK('Data Entry'!]459), "", 'Data Entry'!]459)</f>
      </c>
      <c r="AD459">
        <f>IF(ISBLANK('Data Entry'!^459), "", 'Data Entry'!^459)</f>
      </c>
      <c r="AE459">
        <f>IF(ISBLANK('Data Entry'!_459), "", 'Data Entry'!_459)</f>
      </c>
      <c r="AF459">
        <f>IF(ISBLANK('Data Entry'!`459), "", 'Data Entry'!`459)</f>
      </c>
      <c r="AG459">
        <f>IF(ISBLANK('Data Entry'!a459), "", 'Data Entry'!a459)</f>
      </c>
      <c r="AH459">
        <f>IF(ISBLANK('Data Entry'!b459), "", 'Data Entry'!b459)</f>
      </c>
      <c r="AI459">
        <f>IF(ISBLANK('Data Entry'!c459), "", 'Data Entry'!c459)</f>
      </c>
      <c r="AJ459">
        <f>IF(ISBLANK('Data Entry'!d459), "", 'Data Entry'!d459)</f>
      </c>
      <c r="AK459">
        <f>IF(ISBLANK('Data Entry'!e459), "", 'Data Entry'!e459)</f>
      </c>
      <c r="AL459">
        <f>IF(ISBLANK('Data Entry'!f459), "", 'Data Entry'!f459)</f>
      </c>
      <c r="AM459">
        <f>IF(ISBLANK('Data Entry'!g459), "", 'Data Entry'!g459)</f>
      </c>
      <c r="AN459">
        <f>IF(ISBLANK('Data Entry'!h459), "", 'Data Entry'!h459)</f>
      </c>
    </row>
    <row r="460" spans="1:40" x14ac:dyDescent="0.25">
      <c r="A460">
        <f>IF(ISBLANK('Data Entry'!A460), "", 'Data Entry'!A460)</f>
      </c>
      <c r="B460">
        <f>IF(ISBLANK('Data Entry'!B460), "", 'Data Entry'!B460)</f>
      </c>
      <c r="C460">
        <f>IF(ISBLANK('Data Entry'!C460), "", 'Data Entry'!C460)</f>
      </c>
      <c r="D460">
        <f>IF(ISBLANK('Data Entry'!D460), "", 'Data Entry'!D460)</f>
      </c>
      <c r="E460">
        <f>IF(ISBLANK('Data Entry'!E460), "", 'Data Entry'!E460)</f>
      </c>
      <c r="F460">
        <f>IF(ISBLANK('Data Entry'!F460), "", 'Data Entry'!F460)</f>
      </c>
      <c r="G460">
        <f>IF(ISBLANK('Data Entry'!G460), "", 'Data Entry'!G460)</f>
      </c>
      <c r="H460">
        <f>IF(ISBLANK('Data Entry'!H460), "", 'Data Entry'!H460)</f>
      </c>
      <c r="I460">
        <f>IF(ISBLANK('Data Entry'!I460), "", 'Data Entry'!I460)</f>
      </c>
      <c r="J460">
        <f>IF(ISBLANK('Data Entry'!J460), "", 'Data Entry'!J460)</f>
      </c>
      <c r="K460">
        <f>IF(ISBLANK('Data Entry'!K460), "", 'Data Entry'!K460)</f>
      </c>
      <c r="L460">
        <f>IF(ISBLANK('Data Entry'!L460), "", 'Data Entry'!L460)</f>
      </c>
      <c r="M460">
        <f>IF(ISBLANK('Data Entry'!M460), "", 'Data Entry'!M460)</f>
      </c>
      <c r="N460">
        <f>IF(ISBLANK('Data Entry'!N460), "", 'Data Entry'!N460)</f>
      </c>
      <c r="O460">
        <f>IF(ISBLANK('Data Entry'!O460), "", 'Data Entry'!O460)</f>
      </c>
      <c r="P460">
        <f>IF(ISBLANK('Data Entry'!P460), "", 'Data Entry'!P460)</f>
      </c>
      <c r="Q460">
        <f>IF(ISBLANK('Data Entry'!Q460), "", 'Data Entry'!Q460)</f>
      </c>
      <c r="R460">
        <f>IF(ISBLANK('Data Entry'!R460), "", 'Data Entry'!R460)</f>
      </c>
      <c r="S460">
        <f>IF(ISBLANK('Data Entry'!S460), "", 'Data Entry'!S460)</f>
      </c>
      <c r="T460">
        <f>IF(ISBLANK('Data Entry'!T460), "", 'Data Entry'!T460)</f>
      </c>
      <c r="U460">
        <f>IF(ISBLANK('Data Entry'!U460), "", 'Data Entry'!U460)</f>
      </c>
      <c r="V460">
        <f>IF(ISBLANK('Data Entry'!V460), "", 'Data Entry'!V460)</f>
      </c>
      <c r="W460">
        <f>IF(ISBLANK('Data Entry'!W460), "", 'Data Entry'!W460)</f>
      </c>
      <c r="X460">
        <f>IF(ISBLANK('Data Entry'!X460), "", 'Data Entry'!X460)</f>
      </c>
      <c r="Y460">
        <f>IF(ISBLANK('Data Entry'!Y460), "", 'Data Entry'!Y460)</f>
      </c>
      <c r="Z460">
        <f>IF(ISBLANK('Data Entry'!Z460), "", 'Data Entry'!Z460)</f>
      </c>
      <c r="AA460">
        <f>IF(ISBLANK('Data Entry'![460), "", 'Data Entry'![460)</f>
      </c>
      <c r="AB460">
        <f>IF(ISBLANK('Data Entry'!\460), "", 'Data Entry'!\460)</f>
      </c>
      <c r="AC460">
        <f>IF(ISBLANK('Data Entry'!]460), "", 'Data Entry'!]460)</f>
      </c>
      <c r="AD460">
        <f>IF(ISBLANK('Data Entry'!^460), "", 'Data Entry'!^460)</f>
      </c>
      <c r="AE460">
        <f>IF(ISBLANK('Data Entry'!_460), "", 'Data Entry'!_460)</f>
      </c>
      <c r="AF460">
        <f>IF(ISBLANK('Data Entry'!`460), "", 'Data Entry'!`460)</f>
      </c>
      <c r="AG460">
        <f>IF(ISBLANK('Data Entry'!a460), "", 'Data Entry'!a460)</f>
      </c>
      <c r="AH460">
        <f>IF(ISBLANK('Data Entry'!b460), "", 'Data Entry'!b460)</f>
      </c>
      <c r="AI460">
        <f>IF(ISBLANK('Data Entry'!c460), "", 'Data Entry'!c460)</f>
      </c>
      <c r="AJ460">
        <f>IF(ISBLANK('Data Entry'!d460), "", 'Data Entry'!d460)</f>
      </c>
      <c r="AK460">
        <f>IF(ISBLANK('Data Entry'!e460), "", 'Data Entry'!e460)</f>
      </c>
      <c r="AL460">
        <f>IF(ISBLANK('Data Entry'!f460), "", 'Data Entry'!f460)</f>
      </c>
      <c r="AM460">
        <f>IF(ISBLANK('Data Entry'!g460), "", 'Data Entry'!g460)</f>
      </c>
      <c r="AN460">
        <f>IF(ISBLANK('Data Entry'!h460), "", 'Data Entry'!h460)</f>
      </c>
    </row>
    <row r="461" spans="1:40" x14ac:dyDescent="0.25">
      <c r="A461">
        <f>IF(ISBLANK('Data Entry'!A461), "", 'Data Entry'!A461)</f>
      </c>
      <c r="B461">
        <f>IF(ISBLANK('Data Entry'!B461), "", 'Data Entry'!B461)</f>
      </c>
      <c r="C461">
        <f>IF(ISBLANK('Data Entry'!C461), "", 'Data Entry'!C461)</f>
      </c>
      <c r="D461">
        <f>IF(ISBLANK('Data Entry'!D461), "", 'Data Entry'!D461)</f>
      </c>
      <c r="E461">
        <f>IF(ISBLANK('Data Entry'!E461), "", 'Data Entry'!E461)</f>
      </c>
      <c r="F461">
        <f>IF(ISBLANK('Data Entry'!F461), "", 'Data Entry'!F461)</f>
      </c>
      <c r="G461">
        <f>IF(ISBLANK('Data Entry'!G461), "", 'Data Entry'!G461)</f>
      </c>
      <c r="H461">
        <f>IF(ISBLANK('Data Entry'!H461), "", 'Data Entry'!H461)</f>
      </c>
      <c r="I461">
        <f>IF(ISBLANK('Data Entry'!I461), "", 'Data Entry'!I461)</f>
      </c>
      <c r="J461">
        <f>IF(ISBLANK('Data Entry'!J461), "", 'Data Entry'!J461)</f>
      </c>
      <c r="K461">
        <f>IF(ISBLANK('Data Entry'!K461), "", 'Data Entry'!K461)</f>
      </c>
      <c r="L461">
        <f>IF(ISBLANK('Data Entry'!L461), "", 'Data Entry'!L461)</f>
      </c>
      <c r="M461">
        <f>IF(ISBLANK('Data Entry'!M461), "", 'Data Entry'!M461)</f>
      </c>
      <c r="N461">
        <f>IF(ISBLANK('Data Entry'!N461), "", 'Data Entry'!N461)</f>
      </c>
      <c r="O461">
        <f>IF(ISBLANK('Data Entry'!O461), "", 'Data Entry'!O461)</f>
      </c>
      <c r="P461">
        <f>IF(ISBLANK('Data Entry'!P461), "", 'Data Entry'!P461)</f>
      </c>
      <c r="Q461">
        <f>IF(ISBLANK('Data Entry'!Q461), "", 'Data Entry'!Q461)</f>
      </c>
      <c r="R461">
        <f>IF(ISBLANK('Data Entry'!R461), "", 'Data Entry'!R461)</f>
      </c>
      <c r="S461">
        <f>IF(ISBLANK('Data Entry'!S461), "", 'Data Entry'!S461)</f>
      </c>
      <c r="T461">
        <f>IF(ISBLANK('Data Entry'!T461), "", 'Data Entry'!T461)</f>
      </c>
      <c r="U461">
        <f>IF(ISBLANK('Data Entry'!U461), "", 'Data Entry'!U461)</f>
      </c>
      <c r="V461">
        <f>IF(ISBLANK('Data Entry'!V461), "", 'Data Entry'!V461)</f>
      </c>
      <c r="W461">
        <f>IF(ISBLANK('Data Entry'!W461), "", 'Data Entry'!W461)</f>
      </c>
      <c r="X461">
        <f>IF(ISBLANK('Data Entry'!X461), "", 'Data Entry'!X461)</f>
      </c>
      <c r="Y461">
        <f>IF(ISBLANK('Data Entry'!Y461), "", 'Data Entry'!Y461)</f>
      </c>
      <c r="Z461">
        <f>IF(ISBLANK('Data Entry'!Z461), "", 'Data Entry'!Z461)</f>
      </c>
      <c r="AA461">
        <f>IF(ISBLANK('Data Entry'![461), "", 'Data Entry'![461)</f>
      </c>
      <c r="AB461">
        <f>IF(ISBLANK('Data Entry'!\461), "", 'Data Entry'!\461)</f>
      </c>
      <c r="AC461">
        <f>IF(ISBLANK('Data Entry'!]461), "", 'Data Entry'!]461)</f>
      </c>
      <c r="AD461">
        <f>IF(ISBLANK('Data Entry'!^461), "", 'Data Entry'!^461)</f>
      </c>
      <c r="AE461">
        <f>IF(ISBLANK('Data Entry'!_461), "", 'Data Entry'!_461)</f>
      </c>
      <c r="AF461">
        <f>IF(ISBLANK('Data Entry'!`461), "", 'Data Entry'!`461)</f>
      </c>
      <c r="AG461">
        <f>IF(ISBLANK('Data Entry'!a461), "", 'Data Entry'!a461)</f>
      </c>
      <c r="AH461">
        <f>IF(ISBLANK('Data Entry'!b461), "", 'Data Entry'!b461)</f>
      </c>
      <c r="AI461">
        <f>IF(ISBLANK('Data Entry'!c461), "", 'Data Entry'!c461)</f>
      </c>
      <c r="AJ461">
        <f>IF(ISBLANK('Data Entry'!d461), "", 'Data Entry'!d461)</f>
      </c>
      <c r="AK461">
        <f>IF(ISBLANK('Data Entry'!e461), "", 'Data Entry'!e461)</f>
      </c>
      <c r="AL461">
        <f>IF(ISBLANK('Data Entry'!f461), "", 'Data Entry'!f461)</f>
      </c>
      <c r="AM461">
        <f>IF(ISBLANK('Data Entry'!g461), "", 'Data Entry'!g461)</f>
      </c>
      <c r="AN461">
        <f>IF(ISBLANK('Data Entry'!h461), "", 'Data Entry'!h461)</f>
      </c>
    </row>
    <row r="462" spans="1:40" x14ac:dyDescent="0.25">
      <c r="A462">
        <f>IF(ISBLANK('Data Entry'!A462), "", 'Data Entry'!A462)</f>
      </c>
      <c r="B462">
        <f>IF(ISBLANK('Data Entry'!B462), "", 'Data Entry'!B462)</f>
      </c>
      <c r="C462">
        <f>IF(ISBLANK('Data Entry'!C462), "", 'Data Entry'!C462)</f>
      </c>
      <c r="D462">
        <f>IF(ISBLANK('Data Entry'!D462), "", 'Data Entry'!D462)</f>
      </c>
      <c r="E462">
        <f>IF(ISBLANK('Data Entry'!E462), "", 'Data Entry'!E462)</f>
      </c>
      <c r="F462">
        <f>IF(ISBLANK('Data Entry'!F462), "", 'Data Entry'!F462)</f>
      </c>
      <c r="G462">
        <f>IF(ISBLANK('Data Entry'!G462), "", 'Data Entry'!G462)</f>
      </c>
      <c r="H462">
        <f>IF(ISBLANK('Data Entry'!H462), "", 'Data Entry'!H462)</f>
      </c>
      <c r="I462">
        <f>IF(ISBLANK('Data Entry'!I462), "", 'Data Entry'!I462)</f>
      </c>
      <c r="J462">
        <f>IF(ISBLANK('Data Entry'!J462), "", 'Data Entry'!J462)</f>
      </c>
      <c r="K462">
        <f>IF(ISBLANK('Data Entry'!K462), "", 'Data Entry'!K462)</f>
      </c>
      <c r="L462">
        <f>IF(ISBLANK('Data Entry'!L462), "", 'Data Entry'!L462)</f>
      </c>
      <c r="M462">
        <f>IF(ISBLANK('Data Entry'!M462), "", 'Data Entry'!M462)</f>
      </c>
      <c r="N462">
        <f>IF(ISBLANK('Data Entry'!N462), "", 'Data Entry'!N462)</f>
      </c>
      <c r="O462">
        <f>IF(ISBLANK('Data Entry'!O462), "", 'Data Entry'!O462)</f>
      </c>
      <c r="P462">
        <f>IF(ISBLANK('Data Entry'!P462), "", 'Data Entry'!P462)</f>
      </c>
      <c r="Q462">
        <f>IF(ISBLANK('Data Entry'!Q462), "", 'Data Entry'!Q462)</f>
      </c>
      <c r="R462">
        <f>IF(ISBLANK('Data Entry'!R462), "", 'Data Entry'!R462)</f>
      </c>
      <c r="S462">
        <f>IF(ISBLANK('Data Entry'!S462), "", 'Data Entry'!S462)</f>
      </c>
      <c r="T462">
        <f>IF(ISBLANK('Data Entry'!T462), "", 'Data Entry'!T462)</f>
      </c>
      <c r="U462">
        <f>IF(ISBLANK('Data Entry'!U462), "", 'Data Entry'!U462)</f>
      </c>
      <c r="V462">
        <f>IF(ISBLANK('Data Entry'!V462), "", 'Data Entry'!V462)</f>
      </c>
      <c r="W462">
        <f>IF(ISBLANK('Data Entry'!W462), "", 'Data Entry'!W462)</f>
      </c>
      <c r="X462">
        <f>IF(ISBLANK('Data Entry'!X462), "", 'Data Entry'!X462)</f>
      </c>
      <c r="Y462">
        <f>IF(ISBLANK('Data Entry'!Y462), "", 'Data Entry'!Y462)</f>
      </c>
      <c r="Z462">
        <f>IF(ISBLANK('Data Entry'!Z462), "", 'Data Entry'!Z462)</f>
      </c>
      <c r="AA462">
        <f>IF(ISBLANK('Data Entry'![462), "", 'Data Entry'![462)</f>
      </c>
      <c r="AB462">
        <f>IF(ISBLANK('Data Entry'!\462), "", 'Data Entry'!\462)</f>
      </c>
      <c r="AC462">
        <f>IF(ISBLANK('Data Entry'!]462), "", 'Data Entry'!]462)</f>
      </c>
      <c r="AD462">
        <f>IF(ISBLANK('Data Entry'!^462), "", 'Data Entry'!^462)</f>
      </c>
      <c r="AE462">
        <f>IF(ISBLANK('Data Entry'!_462), "", 'Data Entry'!_462)</f>
      </c>
      <c r="AF462">
        <f>IF(ISBLANK('Data Entry'!`462), "", 'Data Entry'!`462)</f>
      </c>
      <c r="AG462">
        <f>IF(ISBLANK('Data Entry'!a462), "", 'Data Entry'!a462)</f>
      </c>
      <c r="AH462">
        <f>IF(ISBLANK('Data Entry'!b462), "", 'Data Entry'!b462)</f>
      </c>
      <c r="AI462">
        <f>IF(ISBLANK('Data Entry'!c462), "", 'Data Entry'!c462)</f>
      </c>
      <c r="AJ462">
        <f>IF(ISBLANK('Data Entry'!d462), "", 'Data Entry'!d462)</f>
      </c>
      <c r="AK462">
        <f>IF(ISBLANK('Data Entry'!e462), "", 'Data Entry'!e462)</f>
      </c>
      <c r="AL462">
        <f>IF(ISBLANK('Data Entry'!f462), "", 'Data Entry'!f462)</f>
      </c>
      <c r="AM462">
        <f>IF(ISBLANK('Data Entry'!g462), "", 'Data Entry'!g462)</f>
      </c>
      <c r="AN462">
        <f>IF(ISBLANK('Data Entry'!h462), "", 'Data Entry'!h462)</f>
      </c>
    </row>
    <row r="463" spans="1:40" x14ac:dyDescent="0.25">
      <c r="A463">
        <f>IF(ISBLANK('Data Entry'!A463), "", 'Data Entry'!A463)</f>
      </c>
      <c r="B463">
        <f>IF(ISBLANK('Data Entry'!B463), "", 'Data Entry'!B463)</f>
      </c>
      <c r="C463">
        <f>IF(ISBLANK('Data Entry'!C463), "", 'Data Entry'!C463)</f>
      </c>
      <c r="D463">
        <f>IF(ISBLANK('Data Entry'!D463), "", 'Data Entry'!D463)</f>
      </c>
      <c r="E463">
        <f>IF(ISBLANK('Data Entry'!E463), "", 'Data Entry'!E463)</f>
      </c>
      <c r="F463">
        <f>IF(ISBLANK('Data Entry'!F463), "", 'Data Entry'!F463)</f>
      </c>
      <c r="G463">
        <f>IF(ISBLANK('Data Entry'!G463), "", 'Data Entry'!G463)</f>
      </c>
      <c r="H463">
        <f>IF(ISBLANK('Data Entry'!H463), "", 'Data Entry'!H463)</f>
      </c>
      <c r="I463">
        <f>IF(ISBLANK('Data Entry'!I463), "", 'Data Entry'!I463)</f>
      </c>
      <c r="J463">
        <f>IF(ISBLANK('Data Entry'!J463), "", 'Data Entry'!J463)</f>
      </c>
      <c r="K463">
        <f>IF(ISBLANK('Data Entry'!K463), "", 'Data Entry'!K463)</f>
      </c>
      <c r="L463">
        <f>IF(ISBLANK('Data Entry'!L463), "", 'Data Entry'!L463)</f>
      </c>
      <c r="M463">
        <f>IF(ISBLANK('Data Entry'!M463), "", 'Data Entry'!M463)</f>
      </c>
      <c r="N463">
        <f>IF(ISBLANK('Data Entry'!N463), "", 'Data Entry'!N463)</f>
      </c>
      <c r="O463">
        <f>IF(ISBLANK('Data Entry'!O463), "", 'Data Entry'!O463)</f>
      </c>
      <c r="P463">
        <f>IF(ISBLANK('Data Entry'!P463), "", 'Data Entry'!P463)</f>
      </c>
      <c r="Q463">
        <f>IF(ISBLANK('Data Entry'!Q463), "", 'Data Entry'!Q463)</f>
      </c>
      <c r="R463">
        <f>IF(ISBLANK('Data Entry'!R463), "", 'Data Entry'!R463)</f>
      </c>
      <c r="S463">
        <f>IF(ISBLANK('Data Entry'!S463), "", 'Data Entry'!S463)</f>
      </c>
      <c r="T463">
        <f>IF(ISBLANK('Data Entry'!T463), "", 'Data Entry'!T463)</f>
      </c>
      <c r="U463">
        <f>IF(ISBLANK('Data Entry'!U463), "", 'Data Entry'!U463)</f>
      </c>
      <c r="V463">
        <f>IF(ISBLANK('Data Entry'!V463), "", 'Data Entry'!V463)</f>
      </c>
      <c r="W463">
        <f>IF(ISBLANK('Data Entry'!W463), "", 'Data Entry'!W463)</f>
      </c>
      <c r="X463">
        <f>IF(ISBLANK('Data Entry'!X463), "", 'Data Entry'!X463)</f>
      </c>
      <c r="Y463">
        <f>IF(ISBLANK('Data Entry'!Y463), "", 'Data Entry'!Y463)</f>
      </c>
      <c r="Z463">
        <f>IF(ISBLANK('Data Entry'!Z463), "", 'Data Entry'!Z463)</f>
      </c>
      <c r="AA463">
        <f>IF(ISBLANK('Data Entry'![463), "", 'Data Entry'![463)</f>
      </c>
      <c r="AB463">
        <f>IF(ISBLANK('Data Entry'!\463), "", 'Data Entry'!\463)</f>
      </c>
      <c r="AC463">
        <f>IF(ISBLANK('Data Entry'!]463), "", 'Data Entry'!]463)</f>
      </c>
      <c r="AD463">
        <f>IF(ISBLANK('Data Entry'!^463), "", 'Data Entry'!^463)</f>
      </c>
      <c r="AE463">
        <f>IF(ISBLANK('Data Entry'!_463), "", 'Data Entry'!_463)</f>
      </c>
      <c r="AF463">
        <f>IF(ISBLANK('Data Entry'!`463), "", 'Data Entry'!`463)</f>
      </c>
      <c r="AG463">
        <f>IF(ISBLANK('Data Entry'!a463), "", 'Data Entry'!a463)</f>
      </c>
      <c r="AH463">
        <f>IF(ISBLANK('Data Entry'!b463), "", 'Data Entry'!b463)</f>
      </c>
      <c r="AI463">
        <f>IF(ISBLANK('Data Entry'!c463), "", 'Data Entry'!c463)</f>
      </c>
      <c r="AJ463">
        <f>IF(ISBLANK('Data Entry'!d463), "", 'Data Entry'!d463)</f>
      </c>
      <c r="AK463">
        <f>IF(ISBLANK('Data Entry'!e463), "", 'Data Entry'!e463)</f>
      </c>
      <c r="AL463">
        <f>IF(ISBLANK('Data Entry'!f463), "", 'Data Entry'!f463)</f>
      </c>
      <c r="AM463">
        <f>IF(ISBLANK('Data Entry'!g463), "", 'Data Entry'!g463)</f>
      </c>
      <c r="AN463">
        <f>IF(ISBLANK('Data Entry'!h463), "", 'Data Entry'!h463)</f>
      </c>
    </row>
    <row r="464" spans="1:40" x14ac:dyDescent="0.25">
      <c r="A464">
        <f>IF(ISBLANK('Data Entry'!A464), "", 'Data Entry'!A464)</f>
      </c>
      <c r="B464">
        <f>IF(ISBLANK('Data Entry'!B464), "", 'Data Entry'!B464)</f>
      </c>
      <c r="C464">
        <f>IF(ISBLANK('Data Entry'!C464), "", 'Data Entry'!C464)</f>
      </c>
      <c r="D464">
        <f>IF(ISBLANK('Data Entry'!D464), "", 'Data Entry'!D464)</f>
      </c>
      <c r="E464">
        <f>IF(ISBLANK('Data Entry'!E464), "", 'Data Entry'!E464)</f>
      </c>
      <c r="F464">
        <f>IF(ISBLANK('Data Entry'!F464), "", 'Data Entry'!F464)</f>
      </c>
      <c r="G464">
        <f>IF(ISBLANK('Data Entry'!G464), "", 'Data Entry'!G464)</f>
      </c>
      <c r="H464">
        <f>IF(ISBLANK('Data Entry'!H464), "", 'Data Entry'!H464)</f>
      </c>
      <c r="I464">
        <f>IF(ISBLANK('Data Entry'!I464), "", 'Data Entry'!I464)</f>
      </c>
      <c r="J464">
        <f>IF(ISBLANK('Data Entry'!J464), "", 'Data Entry'!J464)</f>
      </c>
      <c r="K464">
        <f>IF(ISBLANK('Data Entry'!K464), "", 'Data Entry'!K464)</f>
      </c>
      <c r="L464">
        <f>IF(ISBLANK('Data Entry'!L464), "", 'Data Entry'!L464)</f>
      </c>
      <c r="M464">
        <f>IF(ISBLANK('Data Entry'!M464), "", 'Data Entry'!M464)</f>
      </c>
      <c r="N464">
        <f>IF(ISBLANK('Data Entry'!N464), "", 'Data Entry'!N464)</f>
      </c>
      <c r="O464">
        <f>IF(ISBLANK('Data Entry'!O464), "", 'Data Entry'!O464)</f>
      </c>
      <c r="P464">
        <f>IF(ISBLANK('Data Entry'!P464), "", 'Data Entry'!P464)</f>
      </c>
      <c r="Q464">
        <f>IF(ISBLANK('Data Entry'!Q464), "", 'Data Entry'!Q464)</f>
      </c>
      <c r="R464">
        <f>IF(ISBLANK('Data Entry'!R464), "", 'Data Entry'!R464)</f>
      </c>
      <c r="S464">
        <f>IF(ISBLANK('Data Entry'!S464), "", 'Data Entry'!S464)</f>
      </c>
      <c r="T464">
        <f>IF(ISBLANK('Data Entry'!T464), "", 'Data Entry'!T464)</f>
      </c>
      <c r="U464">
        <f>IF(ISBLANK('Data Entry'!U464), "", 'Data Entry'!U464)</f>
      </c>
      <c r="V464">
        <f>IF(ISBLANK('Data Entry'!V464), "", 'Data Entry'!V464)</f>
      </c>
      <c r="W464">
        <f>IF(ISBLANK('Data Entry'!W464), "", 'Data Entry'!W464)</f>
      </c>
      <c r="X464">
        <f>IF(ISBLANK('Data Entry'!X464), "", 'Data Entry'!X464)</f>
      </c>
      <c r="Y464">
        <f>IF(ISBLANK('Data Entry'!Y464), "", 'Data Entry'!Y464)</f>
      </c>
      <c r="Z464">
        <f>IF(ISBLANK('Data Entry'!Z464), "", 'Data Entry'!Z464)</f>
      </c>
      <c r="AA464">
        <f>IF(ISBLANK('Data Entry'![464), "", 'Data Entry'![464)</f>
      </c>
      <c r="AB464">
        <f>IF(ISBLANK('Data Entry'!\464), "", 'Data Entry'!\464)</f>
      </c>
      <c r="AC464">
        <f>IF(ISBLANK('Data Entry'!]464), "", 'Data Entry'!]464)</f>
      </c>
      <c r="AD464">
        <f>IF(ISBLANK('Data Entry'!^464), "", 'Data Entry'!^464)</f>
      </c>
      <c r="AE464">
        <f>IF(ISBLANK('Data Entry'!_464), "", 'Data Entry'!_464)</f>
      </c>
      <c r="AF464">
        <f>IF(ISBLANK('Data Entry'!`464), "", 'Data Entry'!`464)</f>
      </c>
      <c r="AG464">
        <f>IF(ISBLANK('Data Entry'!a464), "", 'Data Entry'!a464)</f>
      </c>
      <c r="AH464">
        <f>IF(ISBLANK('Data Entry'!b464), "", 'Data Entry'!b464)</f>
      </c>
      <c r="AI464">
        <f>IF(ISBLANK('Data Entry'!c464), "", 'Data Entry'!c464)</f>
      </c>
      <c r="AJ464">
        <f>IF(ISBLANK('Data Entry'!d464), "", 'Data Entry'!d464)</f>
      </c>
      <c r="AK464">
        <f>IF(ISBLANK('Data Entry'!e464), "", 'Data Entry'!e464)</f>
      </c>
      <c r="AL464">
        <f>IF(ISBLANK('Data Entry'!f464), "", 'Data Entry'!f464)</f>
      </c>
      <c r="AM464">
        <f>IF(ISBLANK('Data Entry'!g464), "", 'Data Entry'!g464)</f>
      </c>
      <c r="AN464">
        <f>IF(ISBLANK('Data Entry'!h464), "", 'Data Entry'!h464)</f>
      </c>
    </row>
    <row r="465" spans="1:40" x14ac:dyDescent="0.25">
      <c r="A465">
        <f>IF(ISBLANK('Data Entry'!A465), "", 'Data Entry'!A465)</f>
      </c>
      <c r="B465">
        <f>IF(ISBLANK('Data Entry'!B465), "", 'Data Entry'!B465)</f>
      </c>
      <c r="C465">
        <f>IF(ISBLANK('Data Entry'!C465), "", 'Data Entry'!C465)</f>
      </c>
      <c r="D465">
        <f>IF(ISBLANK('Data Entry'!D465), "", 'Data Entry'!D465)</f>
      </c>
      <c r="E465">
        <f>IF(ISBLANK('Data Entry'!E465), "", 'Data Entry'!E465)</f>
      </c>
      <c r="F465">
        <f>IF(ISBLANK('Data Entry'!F465), "", 'Data Entry'!F465)</f>
      </c>
      <c r="G465">
        <f>IF(ISBLANK('Data Entry'!G465), "", 'Data Entry'!G465)</f>
      </c>
      <c r="H465">
        <f>IF(ISBLANK('Data Entry'!H465), "", 'Data Entry'!H465)</f>
      </c>
      <c r="I465">
        <f>IF(ISBLANK('Data Entry'!I465), "", 'Data Entry'!I465)</f>
      </c>
      <c r="J465">
        <f>IF(ISBLANK('Data Entry'!J465), "", 'Data Entry'!J465)</f>
      </c>
      <c r="K465">
        <f>IF(ISBLANK('Data Entry'!K465), "", 'Data Entry'!K465)</f>
      </c>
      <c r="L465">
        <f>IF(ISBLANK('Data Entry'!L465), "", 'Data Entry'!L465)</f>
      </c>
      <c r="M465">
        <f>IF(ISBLANK('Data Entry'!M465), "", 'Data Entry'!M465)</f>
      </c>
      <c r="N465">
        <f>IF(ISBLANK('Data Entry'!N465), "", 'Data Entry'!N465)</f>
      </c>
      <c r="O465">
        <f>IF(ISBLANK('Data Entry'!O465), "", 'Data Entry'!O465)</f>
      </c>
      <c r="P465">
        <f>IF(ISBLANK('Data Entry'!P465), "", 'Data Entry'!P465)</f>
      </c>
      <c r="Q465">
        <f>IF(ISBLANK('Data Entry'!Q465), "", 'Data Entry'!Q465)</f>
      </c>
      <c r="R465">
        <f>IF(ISBLANK('Data Entry'!R465), "", 'Data Entry'!R465)</f>
      </c>
      <c r="S465">
        <f>IF(ISBLANK('Data Entry'!S465), "", 'Data Entry'!S465)</f>
      </c>
      <c r="T465">
        <f>IF(ISBLANK('Data Entry'!T465), "", 'Data Entry'!T465)</f>
      </c>
      <c r="U465">
        <f>IF(ISBLANK('Data Entry'!U465), "", 'Data Entry'!U465)</f>
      </c>
      <c r="V465">
        <f>IF(ISBLANK('Data Entry'!V465), "", 'Data Entry'!V465)</f>
      </c>
      <c r="W465">
        <f>IF(ISBLANK('Data Entry'!W465), "", 'Data Entry'!W465)</f>
      </c>
      <c r="X465">
        <f>IF(ISBLANK('Data Entry'!X465), "", 'Data Entry'!X465)</f>
      </c>
      <c r="Y465">
        <f>IF(ISBLANK('Data Entry'!Y465), "", 'Data Entry'!Y465)</f>
      </c>
      <c r="Z465">
        <f>IF(ISBLANK('Data Entry'!Z465), "", 'Data Entry'!Z465)</f>
      </c>
      <c r="AA465">
        <f>IF(ISBLANK('Data Entry'![465), "", 'Data Entry'![465)</f>
      </c>
      <c r="AB465">
        <f>IF(ISBLANK('Data Entry'!\465), "", 'Data Entry'!\465)</f>
      </c>
      <c r="AC465">
        <f>IF(ISBLANK('Data Entry'!]465), "", 'Data Entry'!]465)</f>
      </c>
      <c r="AD465">
        <f>IF(ISBLANK('Data Entry'!^465), "", 'Data Entry'!^465)</f>
      </c>
      <c r="AE465">
        <f>IF(ISBLANK('Data Entry'!_465), "", 'Data Entry'!_465)</f>
      </c>
      <c r="AF465">
        <f>IF(ISBLANK('Data Entry'!`465), "", 'Data Entry'!`465)</f>
      </c>
      <c r="AG465">
        <f>IF(ISBLANK('Data Entry'!a465), "", 'Data Entry'!a465)</f>
      </c>
      <c r="AH465">
        <f>IF(ISBLANK('Data Entry'!b465), "", 'Data Entry'!b465)</f>
      </c>
      <c r="AI465">
        <f>IF(ISBLANK('Data Entry'!c465), "", 'Data Entry'!c465)</f>
      </c>
      <c r="AJ465">
        <f>IF(ISBLANK('Data Entry'!d465), "", 'Data Entry'!d465)</f>
      </c>
      <c r="AK465">
        <f>IF(ISBLANK('Data Entry'!e465), "", 'Data Entry'!e465)</f>
      </c>
      <c r="AL465">
        <f>IF(ISBLANK('Data Entry'!f465), "", 'Data Entry'!f465)</f>
      </c>
      <c r="AM465">
        <f>IF(ISBLANK('Data Entry'!g465), "", 'Data Entry'!g465)</f>
      </c>
      <c r="AN465">
        <f>IF(ISBLANK('Data Entry'!h465), "", 'Data Entry'!h465)</f>
      </c>
    </row>
    <row r="466" spans="1:40" x14ac:dyDescent="0.25">
      <c r="A466">
        <f>IF(ISBLANK('Data Entry'!A466), "", 'Data Entry'!A466)</f>
      </c>
      <c r="B466">
        <f>IF(ISBLANK('Data Entry'!B466), "", 'Data Entry'!B466)</f>
      </c>
      <c r="C466">
        <f>IF(ISBLANK('Data Entry'!C466), "", 'Data Entry'!C466)</f>
      </c>
      <c r="D466">
        <f>IF(ISBLANK('Data Entry'!D466), "", 'Data Entry'!D466)</f>
      </c>
      <c r="E466">
        <f>IF(ISBLANK('Data Entry'!E466), "", 'Data Entry'!E466)</f>
      </c>
      <c r="F466">
        <f>IF(ISBLANK('Data Entry'!F466), "", 'Data Entry'!F466)</f>
      </c>
      <c r="G466">
        <f>IF(ISBLANK('Data Entry'!G466), "", 'Data Entry'!G466)</f>
      </c>
      <c r="H466">
        <f>IF(ISBLANK('Data Entry'!H466), "", 'Data Entry'!H466)</f>
      </c>
      <c r="I466">
        <f>IF(ISBLANK('Data Entry'!I466), "", 'Data Entry'!I466)</f>
      </c>
      <c r="J466">
        <f>IF(ISBLANK('Data Entry'!J466), "", 'Data Entry'!J466)</f>
      </c>
      <c r="K466">
        <f>IF(ISBLANK('Data Entry'!K466), "", 'Data Entry'!K466)</f>
      </c>
      <c r="L466">
        <f>IF(ISBLANK('Data Entry'!L466), "", 'Data Entry'!L466)</f>
      </c>
      <c r="M466">
        <f>IF(ISBLANK('Data Entry'!M466), "", 'Data Entry'!M466)</f>
      </c>
      <c r="N466">
        <f>IF(ISBLANK('Data Entry'!N466), "", 'Data Entry'!N466)</f>
      </c>
      <c r="O466">
        <f>IF(ISBLANK('Data Entry'!O466), "", 'Data Entry'!O466)</f>
      </c>
      <c r="P466">
        <f>IF(ISBLANK('Data Entry'!P466), "", 'Data Entry'!P466)</f>
      </c>
      <c r="Q466">
        <f>IF(ISBLANK('Data Entry'!Q466), "", 'Data Entry'!Q466)</f>
      </c>
      <c r="R466">
        <f>IF(ISBLANK('Data Entry'!R466), "", 'Data Entry'!R466)</f>
      </c>
      <c r="S466">
        <f>IF(ISBLANK('Data Entry'!S466), "", 'Data Entry'!S466)</f>
      </c>
      <c r="T466">
        <f>IF(ISBLANK('Data Entry'!T466), "", 'Data Entry'!T466)</f>
      </c>
      <c r="U466">
        <f>IF(ISBLANK('Data Entry'!U466), "", 'Data Entry'!U466)</f>
      </c>
      <c r="V466">
        <f>IF(ISBLANK('Data Entry'!V466), "", 'Data Entry'!V466)</f>
      </c>
      <c r="W466">
        <f>IF(ISBLANK('Data Entry'!W466), "", 'Data Entry'!W466)</f>
      </c>
      <c r="X466">
        <f>IF(ISBLANK('Data Entry'!X466), "", 'Data Entry'!X466)</f>
      </c>
      <c r="Y466">
        <f>IF(ISBLANK('Data Entry'!Y466), "", 'Data Entry'!Y466)</f>
      </c>
      <c r="Z466">
        <f>IF(ISBLANK('Data Entry'!Z466), "", 'Data Entry'!Z466)</f>
      </c>
      <c r="AA466">
        <f>IF(ISBLANK('Data Entry'![466), "", 'Data Entry'![466)</f>
      </c>
      <c r="AB466">
        <f>IF(ISBLANK('Data Entry'!\466), "", 'Data Entry'!\466)</f>
      </c>
      <c r="AC466">
        <f>IF(ISBLANK('Data Entry'!]466), "", 'Data Entry'!]466)</f>
      </c>
      <c r="AD466">
        <f>IF(ISBLANK('Data Entry'!^466), "", 'Data Entry'!^466)</f>
      </c>
      <c r="AE466">
        <f>IF(ISBLANK('Data Entry'!_466), "", 'Data Entry'!_466)</f>
      </c>
      <c r="AF466">
        <f>IF(ISBLANK('Data Entry'!`466), "", 'Data Entry'!`466)</f>
      </c>
      <c r="AG466">
        <f>IF(ISBLANK('Data Entry'!a466), "", 'Data Entry'!a466)</f>
      </c>
      <c r="AH466">
        <f>IF(ISBLANK('Data Entry'!b466), "", 'Data Entry'!b466)</f>
      </c>
      <c r="AI466">
        <f>IF(ISBLANK('Data Entry'!c466), "", 'Data Entry'!c466)</f>
      </c>
      <c r="AJ466">
        <f>IF(ISBLANK('Data Entry'!d466), "", 'Data Entry'!d466)</f>
      </c>
      <c r="AK466">
        <f>IF(ISBLANK('Data Entry'!e466), "", 'Data Entry'!e466)</f>
      </c>
      <c r="AL466">
        <f>IF(ISBLANK('Data Entry'!f466), "", 'Data Entry'!f466)</f>
      </c>
      <c r="AM466">
        <f>IF(ISBLANK('Data Entry'!g466), "", 'Data Entry'!g466)</f>
      </c>
      <c r="AN466">
        <f>IF(ISBLANK('Data Entry'!h466), "", 'Data Entry'!h466)</f>
      </c>
    </row>
    <row r="467" spans="1:40" x14ac:dyDescent="0.25">
      <c r="A467">
        <f>IF(ISBLANK('Data Entry'!A467), "", 'Data Entry'!A467)</f>
      </c>
      <c r="B467">
        <f>IF(ISBLANK('Data Entry'!B467), "", 'Data Entry'!B467)</f>
      </c>
      <c r="C467">
        <f>IF(ISBLANK('Data Entry'!C467), "", 'Data Entry'!C467)</f>
      </c>
      <c r="D467">
        <f>IF(ISBLANK('Data Entry'!D467), "", 'Data Entry'!D467)</f>
      </c>
      <c r="E467">
        <f>IF(ISBLANK('Data Entry'!E467), "", 'Data Entry'!E467)</f>
      </c>
      <c r="F467">
        <f>IF(ISBLANK('Data Entry'!F467), "", 'Data Entry'!F467)</f>
      </c>
      <c r="G467">
        <f>IF(ISBLANK('Data Entry'!G467), "", 'Data Entry'!G467)</f>
      </c>
      <c r="H467">
        <f>IF(ISBLANK('Data Entry'!H467), "", 'Data Entry'!H467)</f>
      </c>
      <c r="I467">
        <f>IF(ISBLANK('Data Entry'!I467), "", 'Data Entry'!I467)</f>
      </c>
      <c r="J467">
        <f>IF(ISBLANK('Data Entry'!J467), "", 'Data Entry'!J467)</f>
      </c>
      <c r="K467">
        <f>IF(ISBLANK('Data Entry'!K467), "", 'Data Entry'!K467)</f>
      </c>
      <c r="L467">
        <f>IF(ISBLANK('Data Entry'!L467), "", 'Data Entry'!L467)</f>
      </c>
      <c r="M467">
        <f>IF(ISBLANK('Data Entry'!M467), "", 'Data Entry'!M467)</f>
      </c>
      <c r="N467">
        <f>IF(ISBLANK('Data Entry'!N467), "", 'Data Entry'!N467)</f>
      </c>
      <c r="O467">
        <f>IF(ISBLANK('Data Entry'!O467), "", 'Data Entry'!O467)</f>
      </c>
      <c r="P467">
        <f>IF(ISBLANK('Data Entry'!P467), "", 'Data Entry'!P467)</f>
      </c>
      <c r="Q467">
        <f>IF(ISBLANK('Data Entry'!Q467), "", 'Data Entry'!Q467)</f>
      </c>
      <c r="R467">
        <f>IF(ISBLANK('Data Entry'!R467), "", 'Data Entry'!R467)</f>
      </c>
      <c r="S467">
        <f>IF(ISBLANK('Data Entry'!S467), "", 'Data Entry'!S467)</f>
      </c>
      <c r="T467">
        <f>IF(ISBLANK('Data Entry'!T467), "", 'Data Entry'!T467)</f>
      </c>
      <c r="U467">
        <f>IF(ISBLANK('Data Entry'!U467), "", 'Data Entry'!U467)</f>
      </c>
      <c r="V467">
        <f>IF(ISBLANK('Data Entry'!V467), "", 'Data Entry'!V467)</f>
      </c>
      <c r="W467">
        <f>IF(ISBLANK('Data Entry'!W467), "", 'Data Entry'!W467)</f>
      </c>
      <c r="X467">
        <f>IF(ISBLANK('Data Entry'!X467), "", 'Data Entry'!X467)</f>
      </c>
      <c r="Y467">
        <f>IF(ISBLANK('Data Entry'!Y467), "", 'Data Entry'!Y467)</f>
      </c>
      <c r="Z467">
        <f>IF(ISBLANK('Data Entry'!Z467), "", 'Data Entry'!Z467)</f>
      </c>
      <c r="AA467">
        <f>IF(ISBLANK('Data Entry'![467), "", 'Data Entry'![467)</f>
      </c>
      <c r="AB467">
        <f>IF(ISBLANK('Data Entry'!\467), "", 'Data Entry'!\467)</f>
      </c>
      <c r="AC467">
        <f>IF(ISBLANK('Data Entry'!]467), "", 'Data Entry'!]467)</f>
      </c>
      <c r="AD467">
        <f>IF(ISBLANK('Data Entry'!^467), "", 'Data Entry'!^467)</f>
      </c>
      <c r="AE467">
        <f>IF(ISBLANK('Data Entry'!_467), "", 'Data Entry'!_467)</f>
      </c>
      <c r="AF467">
        <f>IF(ISBLANK('Data Entry'!`467), "", 'Data Entry'!`467)</f>
      </c>
      <c r="AG467">
        <f>IF(ISBLANK('Data Entry'!a467), "", 'Data Entry'!a467)</f>
      </c>
      <c r="AH467">
        <f>IF(ISBLANK('Data Entry'!b467), "", 'Data Entry'!b467)</f>
      </c>
      <c r="AI467">
        <f>IF(ISBLANK('Data Entry'!c467), "", 'Data Entry'!c467)</f>
      </c>
      <c r="AJ467">
        <f>IF(ISBLANK('Data Entry'!d467), "", 'Data Entry'!d467)</f>
      </c>
      <c r="AK467">
        <f>IF(ISBLANK('Data Entry'!e467), "", 'Data Entry'!e467)</f>
      </c>
      <c r="AL467">
        <f>IF(ISBLANK('Data Entry'!f467), "", 'Data Entry'!f467)</f>
      </c>
      <c r="AM467">
        <f>IF(ISBLANK('Data Entry'!g467), "", 'Data Entry'!g467)</f>
      </c>
      <c r="AN467">
        <f>IF(ISBLANK('Data Entry'!h467), "", 'Data Entry'!h467)</f>
      </c>
    </row>
    <row r="468" spans="1:40" x14ac:dyDescent="0.25">
      <c r="A468">
        <f>IF(ISBLANK('Data Entry'!A468), "", 'Data Entry'!A468)</f>
      </c>
      <c r="B468">
        <f>IF(ISBLANK('Data Entry'!B468), "", 'Data Entry'!B468)</f>
      </c>
      <c r="C468">
        <f>IF(ISBLANK('Data Entry'!C468), "", 'Data Entry'!C468)</f>
      </c>
      <c r="D468">
        <f>IF(ISBLANK('Data Entry'!D468), "", 'Data Entry'!D468)</f>
      </c>
      <c r="E468">
        <f>IF(ISBLANK('Data Entry'!E468), "", 'Data Entry'!E468)</f>
      </c>
      <c r="F468">
        <f>IF(ISBLANK('Data Entry'!F468), "", 'Data Entry'!F468)</f>
      </c>
      <c r="G468">
        <f>IF(ISBLANK('Data Entry'!G468), "", 'Data Entry'!G468)</f>
      </c>
      <c r="H468">
        <f>IF(ISBLANK('Data Entry'!H468), "", 'Data Entry'!H468)</f>
      </c>
      <c r="I468">
        <f>IF(ISBLANK('Data Entry'!I468), "", 'Data Entry'!I468)</f>
      </c>
      <c r="J468">
        <f>IF(ISBLANK('Data Entry'!J468), "", 'Data Entry'!J468)</f>
      </c>
      <c r="K468">
        <f>IF(ISBLANK('Data Entry'!K468), "", 'Data Entry'!K468)</f>
      </c>
      <c r="L468">
        <f>IF(ISBLANK('Data Entry'!L468), "", 'Data Entry'!L468)</f>
      </c>
      <c r="M468">
        <f>IF(ISBLANK('Data Entry'!M468), "", 'Data Entry'!M468)</f>
      </c>
      <c r="N468">
        <f>IF(ISBLANK('Data Entry'!N468), "", 'Data Entry'!N468)</f>
      </c>
      <c r="O468">
        <f>IF(ISBLANK('Data Entry'!O468), "", 'Data Entry'!O468)</f>
      </c>
      <c r="P468">
        <f>IF(ISBLANK('Data Entry'!P468), "", 'Data Entry'!P468)</f>
      </c>
      <c r="Q468">
        <f>IF(ISBLANK('Data Entry'!Q468), "", 'Data Entry'!Q468)</f>
      </c>
      <c r="R468">
        <f>IF(ISBLANK('Data Entry'!R468), "", 'Data Entry'!R468)</f>
      </c>
      <c r="S468">
        <f>IF(ISBLANK('Data Entry'!S468), "", 'Data Entry'!S468)</f>
      </c>
      <c r="T468">
        <f>IF(ISBLANK('Data Entry'!T468), "", 'Data Entry'!T468)</f>
      </c>
      <c r="U468">
        <f>IF(ISBLANK('Data Entry'!U468), "", 'Data Entry'!U468)</f>
      </c>
      <c r="V468">
        <f>IF(ISBLANK('Data Entry'!V468), "", 'Data Entry'!V468)</f>
      </c>
      <c r="W468">
        <f>IF(ISBLANK('Data Entry'!W468), "", 'Data Entry'!W468)</f>
      </c>
      <c r="X468">
        <f>IF(ISBLANK('Data Entry'!X468), "", 'Data Entry'!X468)</f>
      </c>
      <c r="Y468">
        <f>IF(ISBLANK('Data Entry'!Y468), "", 'Data Entry'!Y468)</f>
      </c>
      <c r="Z468">
        <f>IF(ISBLANK('Data Entry'!Z468), "", 'Data Entry'!Z468)</f>
      </c>
      <c r="AA468">
        <f>IF(ISBLANK('Data Entry'![468), "", 'Data Entry'![468)</f>
      </c>
      <c r="AB468">
        <f>IF(ISBLANK('Data Entry'!\468), "", 'Data Entry'!\468)</f>
      </c>
      <c r="AC468">
        <f>IF(ISBLANK('Data Entry'!]468), "", 'Data Entry'!]468)</f>
      </c>
      <c r="AD468">
        <f>IF(ISBLANK('Data Entry'!^468), "", 'Data Entry'!^468)</f>
      </c>
      <c r="AE468">
        <f>IF(ISBLANK('Data Entry'!_468), "", 'Data Entry'!_468)</f>
      </c>
      <c r="AF468">
        <f>IF(ISBLANK('Data Entry'!`468), "", 'Data Entry'!`468)</f>
      </c>
      <c r="AG468">
        <f>IF(ISBLANK('Data Entry'!a468), "", 'Data Entry'!a468)</f>
      </c>
      <c r="AH468">
        <f>IF(ISBLANK('Data Entry'!b468), "", 'Data Entry'!b468)</f>
      </c>
      <c r="AI468">
        <f>IF(ISBLANK('Data Entry'!c468), "", 'Data Entry'!c468)</f>
      </c>
      <c r="AJ468">
        <f>IF(ISBLANK('Data Entry'!d468), "", 'Data Entry'!d468)</f>
      </c>
      <c r="AK468">
        <f>IF(ISBLANK('Data Entry'!e468), "", 'Data Entry'!e468)</f>
      </c>
      <c r="AL468">
        <f>IF(ISBLANK('Data Entry'!f468), "", 'Data Entry'!f468)</f>
      </c>
      <c r="AM468">
        <f>IF(ISBLANK('Data Entry'!g468), "", 'Data Entry'!g468)</f>
      </c>
      <c r="AN468">
        <f>IF(ISBLANK('Data Entry'!h468), "", 'Data Entry'!h468)</f>
      </c>
    </row>
    <row r="469" spans="1:40" x14ac:dyDescent="0.25">
      <c r="A469">
        <f>IF(ISBLANK('Data Entry'!A469), "", 'Data Entry'!A469)</f>
      </c>
      <c r="B469">
        <f>IF(ISBLANK('Data Entry'!B469), "", 'Data Entry'!B469)</f>
      </c>
      <c r="C469">
        <f>IF(ISBLANK('Data Entry'!C469), "", 'Data Entry'!C469)</f>
      </c>
      <c r="D469">
        <f>IF(ISBLANK('Data Entry'!D469), "", 'Data Entry'!D469)</f>
      </c>
      <c r="E469">
        <f>IF(ISBLANK('Data Entry'!E469), "", 'Data Entry'!E469)</f>
      </c>
      <c r="F469">
        <f>IF(ISBLANK('Data Entry'!F469), "", 'Data Entry'!F469)</f>
      </c>
      <c r="G469">
        <f>IF(ISBLANK('Data Entry'!G469), "", 'Data Entry'!G469)</f>
      </c>
      <c r="H469">
        <f>IF(ISBLANK('Data Entry'!H469), "", 'Data Entry'!H469)</f>
      </c>
      <c r="I469">
        <f>IF(ISBLANK('Data Entry'!I469), "", 'Data Entry'!I469)</f>
      </c>
      <c r="J469">
        <f>IF(ISBLANK('Data Entry'!J469), "", 'Data Entry'!J469)</f>
      </c>
      <c r="K469">
        <f>IF(ISBLANK('Data Entry'!K469), "", 'Data Entry'!K469)</f>
      </c>
      <c r="L469">
        <f>IF(ISBLANK('Data Entry'!L469), "", 'Data Entry'!L469)</f>
      </c>
      <c r="M469">
        <f>IF(ISBLANK('Data Entry'!M469), "", 'Data Entry'!M469)</f>
      </c>
      <c r="N469">
        <f>IF(ISBLANK('Data Entry'!N469), "", 'Data Entry'!N469)</f>
      </c>
      <c r="O469">
        <f>IF(ISBLANK('Data Entry'!O469), "", 'Data Entry'!O469)</f>
      </c>
      <c r="P469">
        <f>IF(ISBLANK('Data Entry'!P469), "", 'Data Entry'!P469)</f>
      </c>
      <c r="Q469">
        <f>IF(ISBLANK('Data Entry'!Q469), "", 'Data Entry'!Q469)</f>
      </c>
      <c r="R469">
        <f>IF(ISBLANK('Data Entry'!R469), "", 'Data Entry'!R469)</f>
      </c>
      <c r="S469">
        <f>IF(ISBLANK('Data Entry'!S469), "", 'Data Entry'!S469)</f>
      </c>
      <c r="T469">
        <f>IF(ISBLANK('Data Entry'!T469), "", 'Data Entry'!T469)</f>
      </c>
      <c r="U469">
        <f>IF(ISBLANK('Data Entry'!U469), "", 'Data Entry'!U469)</f>
      </c>
      <c r="V469">
        <f>IF(ISBLANK('Data Entry'!V469), "", 'Data Entry'!V469)</f>
      </c>
      <c r="W469">
        <f>IF(ISBLANK('Data Entry'!W469), "", 'Data Entry'!W469)</f>
      </c>
      <c r="X469">
        <f>IF(ISBLANK('Data Entry'!X469), "", 'Data Entry'!X469)</f>
      </c>
      <c r="Y469">
        <f>IF(ISBLANK('Data Entry'!Y469), "", 'Data Entry'!Y469)</f>
      </c>
      <c r="Z469">
        <f>IF(ISBLANK('Data Entry'!Z469), "", 'Data Entry'!Z469)</f>
      </c>
      <c r="AA469">
        <f>IF(ISBLANK('Data Entry'![469), "", 'Data Entry'![469)</f>
      </c>
      <c r="AB469">
        <f>IF(ISBLANK('Data Entry'!\469), "", 'Data Entry'!\469)</f>
      </c>
      <c r="AC469">
        <f>IF(ISBLANK('Data Entry'!]469), "", 'Data Entry'!]469)</f>
      </c>
      <c r="AD469">
        <f>IF(ISBLANK('Data Entry'!^469), "", 'Data Entry'!^469)</f>
      </c>
      <c r="AE469">
        <f>IF(ISBLANK('Data Entry'!_469), "", 'Data Entry'!_469)</f>
      </c>
      <c r="AF469">
        <f>IF(ISBLANK('Data Entry'!`469), "", 'Data Entry'!`469)</f>
      </c>
      <c r="AG469">
        <f>IF(ISBLANK('Data Entry'!a469), "", 'Data Entry'!a469)</f>
      </c>
      <c r="AH469">
        <f>IF(ISBLANK('Data Entry'!b469), "", 'Data Entry'!b469)</f>
      </c>
      <c r="AI469">
        <f>IF(ISBLANK('Data Entry'!c469), "", 'Data Entry'!c469)</f>
      </c>
      <c r="AJ469">
        <f>IF(ISBLANK('Data Entry'!d469), "", 'Data Entry'!d469)</f>
      </c>
      <c r="AK469">
        <f>IF(ISBLANK('Data Entry'!e469), "", 'Data Entry'!e469)</f>
      </c>
      <c r="AL469">
        <f>IF(ISBLANK('Data Entry'!f469), "", 'Data Entry'!f469)</f>
      </c>
      <c r="AM469">
        <f>IF(ISBLANK('Data Entry'!g469), "", 'Data Entry'!g469)</f>
      </c>
      <c r="AN469">
        <f>IF(ISBLANK('Data Entry'!h469), "", 'Data Entry'!h469)</f>
      </c>
    </row>
    <row r="470" spans="1:40" x14ac:dyDescent="0.25">
      <c r="A470">
        <f>IF(ISBLANK('Data Entry'!A470), "", 'Data Entry'!A470)</f>
      </c>
      <c r="B470">
        <f>IF(ISBLANK('Data Entry'!B470), "", 'Data Entry'!B470)</f>
      </c>
      <c r="C470">
        <f>IF(ISBLANK('Data Entry'!C470), "", 'Data Entry'!C470)</f>
      </c>
      <c r="D470">
        <f>IF(ISBLANK('Data Entry'!D470), "", 'Data Entry'!D470)</f>
      </c>
      <c r="E470">
        <f>IF(ISBLANK('Data Entry'!E470), "", 'Data Entry'!E470)</f>
      </c>
      <c r="F470">
        <f>IF(ISBLANK('Data Entry'!F470), "", 'Data Entry'!F470)</f>
      </c>
      <c r="G470">
        <f>IF(ISBLANK('Data Entry'!G470), "", 'Data Entry'!G470)</f>
      </c>
      <c r="H470">
        <f>IF(ISBLANK('Data Entry'!H470), "", 'Data Entry'!H470)</f>
      </c>
      <c r="I470">
        <f>IF(ISBLANK('Data Entry'!I470), "", 'Data Entry'!I470)</f>
      </c>
      <c r="J470">
        <f>IF(ISBLANK('Data Entry'!J470), "", 'Data Entry'!J470)</f>
      </c>
      <c r="K470">
        <f>IF(ISBLANK('Data Entry'!K470), "", 'Data Entry'!K470)</f>
      </c>
      <c r="L470">
        <f>IF(ISBLANK('Data Entry'!L470), "", 'Data Entry'!L470)</f>
      </c>
      <c r="M470">
        <f>IF(ISBLANK('Data Entry'!M470), "", 'Data Entry'!M470)</f>
      </c>
      <c r="N470">
        <f>IF(ISBLANK('Data Entry'!N470), "", 'Data Entry'!N470)</f>
      </c>
      <c r="O470">
        <f>IF(ISBLANK('Data Entry'!O470), "", 'Data Entry'!O470)</f>
      </c>
      <c r="P470">
        <f>IF(ISBLANK('Data Entry'!P470), "", 'Data Entry'!P470)</f>
      </c>
      <c r="Q470">
        <f>IF(ISBLANK('Data Entry'!Q470), "", 'Data Entry'!Q470)</f>
      </c>
      <c r="R470">
        <f>IF(ISBLANK('Data Entry'!R470), "", 'Data Entry'!R470)</f>
      </c>
      <c r="S470">
        <f>IF(ISBLANK('Data Entry'!S470), "", 'Data Entry'!S470)</f>
      </c>
      <c r="T470">
        <f>IF(ISBLANK('Data Entry'!T470), "", 'Data Entry'!T470)</f>
      </c>
      <c r="U470">
        <f>IF(ISBLANK('Data Entry'!U470), "", 'Data Entry'!U470)</f>
      </c>
      <c r="V470">
        <f>IF(ISBLANK('Data Entry'!V470), "", 'Data Entry'!V470)</f>
      </c>
      <c r="W470">
        <f>IF(ISBLANK('Data Entry'!W470), "", 'Data Entry'!W470)</f>
      </c>
      <c r="X470">
        <f>IF(ISBLANK('Data Entry'!X470), "", 'Data Entry'!X470)</f>
      </c>
      <c r="Y470">
        <f>IF(ISBLANK('Data Entry'!Y470), "", 'Data Entry'!Y470)</f>
      </c>
      <c r="Z470">
        <f>IF(ISBLANK('Data Entry'!Z470), "", 'Data Entry'!Z470)</f>
      </c>
      <c r="AA470">
        <f>IF(ISBLANK('Data Entry'![470), "", 'Data Entry'![470)</f>
      </c>
      <c r="AB470">
        <f>IF(ISBLANK('Data Entry'!\470), "", 'Data Entry'!\470)</f>
      </c>
      <c r="AC470">
        <f>IF(ISBLANK('Data Entry'!]470), "", 'Data Entry'!]470)</f>
      </c>
      <c r="AD470">
        <f>IF(ISBLANK('Data Entry'!^470), "", 'Data Entry'!^470)</f>
      </c>
      <c r="AE470">
        <f>IF(ISBLANK('Data Entry'!_470), "", 'Data Entry'!_470)</f>
      </c>
      <c r="AF470">
        <f>IF(ISBLANK('Data Entry'!`470), "", 'Data Entry'!`470)</f>
      </c>
      <c r="AG470">
        <f>IF(ISBLANK('Data Entry'!a470), "", 'Data Entry'!a470)</f>
      </c>
      <c r="AH470">
        <f>IF(ISBLANK('Data Entry'!b470), "", 'Data Entry'!b470)</f>
      </c>
      <c r="AI470">
        <f>IF(ISBLANK('Data Entry'!c470), "", 'Data Entry'!c470)</f>
      </c>
      <c r="AJ470">
        <f>IF(ISBLANK('Data Entry'!d470), "", 'Data Entry'!d470)</f>
      </c>
      <c r="AK470">
        <f>IF(ISBLANK('Data Entry'!e470), "", 'Data Entry'!e470)</f>
      </c>
      <c r="AL470">
        <f>IF(ISBLANK('Data Entry'!f470), "", 'Data Entry'!f470)</f>
      </c>
      <c r="AM470">
        <f>IF(ISBLANK('Data Entry'!g470), "", 'Data Entry'!g470)</f>
      </c>
      <c r="AN470">
        <f>IF(ISBLANK('Data Entry'!h470), "", 'Data Entry'!h470)</f>
      </c>
    </row>
    <row r="471" spans="1:40" x14ac:dyDescent="0.25">
      <c r="A471">
        <f>IF(ISBLANK('Data Entry'!A471), "", 'Data Entry'!A471)</f>
      </c>
      <c r="B471">
        <f>IF(ISBLANK('Data Entry'!B471), "", 'Data Entry'!B471)</f>
      </c>
      <c r="C471">
        <f>IF(ISBLANK('Data Entry'!C471), "", 'Data Entry'!C471)</f>
      </c>
      <c r="D471">
        <f>IF(ISBLANK('Data Entry'!D471), "", 'Data Entry'!D471)</f>
      </c>
      <c r="E471">
        <f>IF(ISBLANK('Data Entry'!E471), "", 'Data Entry'!E471)</f>
      </c>
      <c r="F471">
        <f>IF(ISBLANK('Data Entry'!F471), "", 'Data Entry'!F471)</f>
      </c>
      <c r="G471">
        <f>IF(ISBLANK('Data Entry'!G471), "", 'Data Entry'!G471)</f>
      </c>
      <c r="H471">
        <f>IF(ISBLANK('Data Entry'!H471), "", 'Data Entry'!H471)</f>
      </c>
      <c r="I471">
        <f>IF(ISBLANK('Data Entry'!I471), "", 'Data Entry'!I471)</f>
      </c>
      <c r="J471">
        <f>IF(ISBLANK('Data Entry'!J471), "", 'Data Entry'!J471)</f>
      </c>
      <c r="K471">
        <f>IF(ISBLANK('Data Entry'!K471), "", 'Data Entry'!K471)</f>
      </c>
      <c r="L471">
        <f>IF(ISBLANK('Data Entry'!L471), "", 'Data Entry'!L471)</f>
      </c>
      <c r="M471">
        <f>IF(ISBLANK('Data Entry'!M471), "", 'Data Entry'!M471)</f>
      </c>
      <c r="N471">
        <f>IF(ISBLANK('Data Entry'!N471), "", 'Data Entry'!N471)</f>
      </c>
      <c r="O471">
        <f>IF(ISBLANK('Data Entry'!O471), "", 'Data Entry'!O471)</f>
      </c>
      <c r="P471">
        <f>IF(ISBLANK('Data Entry'!P471), "", 'Data Entry'!P471)</f>
      </c>
      <c r="Q471">
        <f>IF(ISBLANK('Data Entry'!Q471), "", 'Data Entry'!Q471)</f>
      </c>
      <c r="R471">
        <f>IF(ISBLANK('Data Entry'!R471), "", 'Data Entry'!R471)</f>
      </c>
      <c r="S471">
        <f>IF(ISBLANK('Data Entry'!S471), "", 'Data Entry'!S471)</f>
      </c>
      <c r="T471">
        <f>IF(ISBLANK('Data Entry'!T471), "", 'Data Entry'!T471)</f>
      </c>
      <c r="U471">
        <f>IF(ISBLANK('Data Entry'!U471), "", 'Data Entry'!U471)</f>
      </c>
      <c r="V471">
        <f>IF(ISBLANK('Data Entry'!V471), "", 'Data Entry'!V471)</f>
      </c>
      <c r="W471">
        <f>IF(ISBLANK('Data Entry'!W471), "", 'Data Entry'!W471)</f>
      </c>
      <c r="X471">
        <f>IF(ISBLANK('Data Entry'!X471), "", 'Data Entry'!X471)</f>
      </c>
      <c r="Y471">
        <f>IF(ISBLANK('Data Entry'!Y471), "", 'Data Entry'!Y471)</f>
      </c>
      <c r="Z471">
        <f>IF(ISBLANK('Data Entry'!Z471), "", 'Data Entry'!Z471)</f>
      </c>
      <c r="AA471">
        <f>IF(ISBLANK('Data Entry'![471), "", 'Data Entry'![471)</f>
      </c>
      <c r="AB471">
        <f>IF(ISBLANK('Data Entry'!\471), "", 'Data Entry'!\471)</f>
      </c>
      <c r="AC471">
        <f>IF(ISBLANK('Data Entry'!]471), "", 'Data Entry'!]471)</f>
      </c>
      <c r="AD471">
        <f>IF(ISBLANK('Data Entry'!^471), "", 'Data Entry'!^471)</f>
      </c>
      <c r="AE471">
        <f>IF(ISBLANK('Data Entry'!_471), "", 'Data Entry'!_471)</f>
      </c>
      <c r="AF471">
        <f>IF(ISBLANK('Data Entry'!`471), "", 'Data Entry'!`471)</f>
      </c>
      <c r="AG471">
        <f>IF(ISBLANK('Data Entry'!a471), "", 'Data Entry'!a471)</f>
      </c>
      <c r="AH471">
        <f>IF(ISBLANK('Data Entry'!b471), "", 'Data Entry'!b471)</f>
      </c>
      <c r="AI471">
        <f>IF(ISBLANK('Data Entry'!c471), "", 'Data Entry'!c471)</f>
      </c>
      <c r="AJ471">
        <f>IF(ISBLANK('Data Entry'!d471), "", 'Data Entry'!d471)</f>
      </c>
      <c r="AK471">
        <f>IF(ISBLANK('Data Entry'!e471), "", 'Data Entry'!e471)</f>
      </c>
      <c r="AL471">
        <f>IF(ISBLANK('Data Entry'!f471), "", 'Data Entry'!f471)</f>
      </c>
      <c r="AM471">
        <f>IF(ISBLANK('Data Entry'!g471), "", 'Data Entry'!g471)</f>
      </c>
      <c r="AN471">
        <f>IF(ISBLANK('Data Entry'!h471), "", 'Data Entry'!h471)</f>
      </c>
    </row>
    <row r="472" spans="1:40" x14ac:dyDescent="0.25">
      <c r="A472">
        <f>IF(ISBLANK('Data Entry'!A472), "", 'Data Entry'!A472)</f>
      </c>
      <c r="B472">
        <f>IF(ISBLANK('Data Entry'!B472), "", 'Data Entry'!B472)</f>
      </c>
      <c r="C472">
        <f>IF(ISBLANK('Data Entry'!C472), "", 'Data Entry'!C472)</f>
      </c>
      <c r="D472">
        <f>IF(ISBLANK('Data Entry'!D472), "", 'Data Entry'!D472)</f>
      </c>
      <c r="E472">
        <f>IF(ISBLANK('Data Entry'!E472), "", 'Data Entry'!E472)</f>
      </c>
      <c r="F472">
        <f>IF(ISBLANK('Data Entry'!F472), "", 'Data Entry'!F472)</f>
      </c>
      <c r="G472">
        <f>IF(ISBLANK('Data Entry'!G472), "", 'Data Entry'!G472)</f>
      </c>
      <c r="H472">
        <f>IF(ISBLANK('Data Entry'!H472), "", 'Data Entry'!H472)</f>
      </c>
      <c r="I472">
        <f>IF(ISBLANK('Data Entry'!I472), "", 'Data Entry'!I472)</f>
      </c>
      <c r="J472">
        <f>IF(ISBLANK('Data Entry'!J472), "", 'Data Entry'!J472)</f>
      </c>
      <c r="K472">
        <f>IF(ISBLANK('Data Entry'!K472), "", 'Data Entry'!K472)</f>
      </c>
      <c r="L472">
        <f>IF(ISBLANK('Data Entry'!L472), "", 'Data Entry'!L472)</f>
      </c>
      <c r="M472">
        <f>IF(ISBLANK('Data Entry'!M472), "", 'Data Entry'!M472)</f>
      </c>
      <c r="N472">
        <f>IF(ISBLANK('Data Entry'!N472), "", 'Data Entry'!N472)</f>
      </c>
      <c r="O472">
        <f>IF(ISBLANK('Data Entry'!O472), "", 'Data Entry'!O472)</f>
      </c>
      <c r="P472">
        <f>IF(ISBLANK('Data Entry'!P472), "", 'Data Entry'!P472)</f>
      </c>
      <c r="Q472">
        <f>IF(ISBLANK('Data Entry'!Q472), "", 'Data Entry'!Q472)</f>
      </c>
      <c r="R472">
        <f>IF(ISBLANK('Data Entry'!R472), "", 'Data Entry'!R472)</f>
      </c>
      <c r="S472">
        <f>IF(ISBLANK('Data Entry'!S472), "", 'Data Entry'!S472)</f>
      </c>
      <c r="T472">
        <f>IF(ISBLANK('Data Entry'!T472), "", 'Data Entry'!T472)</f>
      </c>
      <c r="U472">
        <f>IF(ISBLANK('Data Entry'!U472), "", 'Data Entry'!U472)</f>
      </c>
      <c r="V472">
        <f>IF(ISBLANK('Data Entry'!V472), "", 'Data Entry'!V472)</f>
      </c>
      <c r="W472">
        <f>IF(ISBLANK('Data Entry'!W472), "", 'Data Entry'!W472)</f>
      </c>
      <c r="X472">
        <f>IF(ISBLANK('Data Entry'!X472), "", 'Data Entry'!X472)</f>
      </c>
      <c r="Y472">
        <f>IF(ISBLANK('Data Entry'!Y472), "", 'Data Entry'!Y472)</f>
      </c>
      <c r="Z472">
        <f>IF(ISBLANK('Data Entry'!Z472), "", 'Data Entry'!Z472)</f>
      </c>
      <c r="AA472">
        <f>IF(ISBLANK('Data Entry'![472), "", 'Data Entry'![472)</f>
      </c>
      <c r="AB472">
        <f>IF(ISBLANK('Data Entry'!\472), "", 'Data Entry'!\472)</f>
      </c>
      <c r="AC472">
        <f>IF(ISBLANK('Data Entry'!]472), "", 'Data Entry'!]472)</f>
      </c>
      <c r="AD472">
        <f>IF(ISBLANK('Data Entry'!^472), "", 'Data Entry'!^472)</f>
      </c>
      <c r="AE472">
        <f>IF(ISBLANK('Data Entry'!_472), "", 'Data Entry'!_472)</f>
      </c>
      <c r="AF472">
        <f>IF(ISBLANK('Data Entry'!`472), "", 'Data Entry'!`472)</f>
      </c>
      <c r="AG472">
        <f>IF(ISBLANK('Data Entry'!a472), "", 'Data Entry'!a472)</f>
      </c>
      <c r="AH472">
        <f>IF(ISBLANK('Data Entry'!b472), "", 'Data Entry'!b472)</f>
      </c>
      <c r="AI472">
        <f>IF(ISBLANK('Data Entry'!c472), "", 'Data Entry'!c472)</f>
      </c>
      <c r="AJ472">
        <f>IF(ISBLANK('Data Entry'!d472), "", 'Data Entry'!d472)</f>
      </c>
      <c r="AK472">
        <f>IF(ISBLANK('Data Entry'!e472), "", 'Data Entry'!e472)</f>
      </c>
      <c r="AL472">
        <f>IF(ISBLANK('Data Entry'!f472), "", 'Data Entry'!f472)</f>
      </c>
      <c r="AM472">
        <f>IF(ISBLANK('Data Entry'!g472), "", 'Data Entry'!g472)</f>
      </c>
      <c r="AN472">
        <f>IF(ISBLANK('Data Entry'!h472), "", 'Data Entry'!h472)</f>
      </c>
    </row>
    <row r="473" spans="1:40" x14ac:dyDescent="0.25">
      <c r="A473">
        <f>IF(ISBLANK('Data Entry'!A473), "", 'Data Entry'!A473)</f>
      </c>
      <c r="B473">
        <f>IF(ISBLANK('Data Entry'!B473), "", 'Data Entry'!B473)</f>
      </c>
      <c r="C473">
        <f>IF(ISBLANK('Data Entry'!C473), "", 'Data Entry'!C473)</f>
      </c>
      <c r="D473">
        <f>IF(ISBLANK('Data Entry'!D473), "", 'Data Entry'!D473)</f>
      </c>
      <c r="E473">
        <f>IF(ISBLANK('Data Entry'!E473), "", 'Data Entry'!E473)</f>
      </c>
      <c r="F473">
        <f>IF(ISBLANK('Data Entry'!F473), "", 'Data Entry'!F473)</f>
      </c>
      <c r="G473">
        <f>IF(ISBLANK('Data Entry'!G473), "", 'Data Entry'!G473)</f>
      </c>
      <c r="H473">
        <f>IF(ISBLANK('Data Entry'!H473), "", 'Data Entry'!H473)</f>
      </c>
      <c r="I473">
        <f>IF(ISBLANK('Data Entry'!I473), "", 'Data Entry'!I473)</f>
      </c>
      <c r="J473">
        <f>IF(ISBLANK('Data Entry'!J473), "", 'Data Entry'!J473)</f>
      </c>
      <c r="K473">
        <f>IF(ISBLANK('Data Entry'!K473), "", 'Data Entry'!K473)</f>
      </c>
      <c r="L473">
        <f>IF(ISBLANK('Data Entry'!L473), "", 'Data Entry'!L473)</f>
      </c>
      <c r="M473">
        <f>IF(ISBLANK('Data Entry'!M473), "", 'Data Entry'!M473)</f>
      </c>
      <c r="N473">
        <f>IF(ISBLANK('Data Entry'!N473), "", 'Data Entry'!N473)</f>
      </c>
      <c r="O473">
        <f>IF(ISBLANK('Data Entry'!O473), "", 'Data Entry'!O473)</f>
      </c>
      <c r="P473">
        <f>IF(ISBLANK('Data Entry'!P473), "", 'Data Entry'!P473)</f>
      </c>
      <c r="Q473">
        <f>IF(ISBLANK('Data Entry'!Q473), "", 'Data Entry'!Q473)</f>
      </c>
      <c r="R473">
        <f>IF(ISBLANK('Data Entry'!R473), "", 'Data Entry'!R473)</f>
      </c>
      <c r="S473">
        <f>IF(ISBLANK('Data Entry'!S473), "", 'Data Entry'!S473)</f>
      </c>
      <c r="T473">
        <f>IF(ISBLANK('Data Entry'!T473), "", 'Data Entry'!T473)</f>
      </c>
      <c r="U473">
        <f>IF(ISBLANK('Data Entry'!U473), "", 'Data Entry'!U473)</f>
      </c>
      <c r="V473">
        <f>IF(ISBLANK('Data Entry'!V473), "", 'Data Entry'!V473)</f>
      </c>
      <c r="W473">
        <f>IF(ISBLANK('Data Entry'!W473), "", 'Data Entry'!W473)</f>
      </c>
      <c r="X473">
        <f>IF(ISBLANK('Data Entry'!X473), "", 'Data Entry'!X473)</f>
      </c>
      <c r="Y473">
        <f>IF(ISBLANK('Data Entry'!Y473), "", 'Data Entry'!Y473)</f>
      </c>
      <c r="Z473">
        <f>IF(ISBLANK('Data Entry'!Z473), "", 'Data Entry'!Z473)</f>
      </c>
      <c r="AA473">
        <f>IF(ISBLANK('Data Entry'![473), "", 'Data Entry'![473)</f>
      </c>
      <c r="AB473">
        <f>IF(ISBLANK('Data Entry'!\473), "", 'Data Entry'!\473)</f>
      </c>
      <c r="AC473">
        <f>IF(ISBLANK('Data Entry'!]473), "", 'Data Entry'!]473)</f>
      </c>
      <c r="AD473">
        <f>IF(ISBLANK('Data Entry'!^473), "", 'Data Entry'!^473)</f>
      </c>
      <c r="AE473">
        <f>IF(ISBLANK('Data Entry'!_473), "", 'Data Entry'!_473)</f>
      </c>
      <c r="AF473">
        <f>IF(ISBLANK('Data Entry'!`473), "", 'Data Entry'!`473)</f>
      </c>
      <c r="AG473">
        <f>IF(ISBLANK('Data Entry'!a473), "", 'Data Entry'!a473)</f>
      </c>
      <c r="AH473">
        <f>IF(ISBLANK('Data Entry'!b473), "", 'Data Entry'!b473)</f>
      </c>
      <c r="AI473">
        <f>IF(ISBLANK('Data Entry'!c473), "", 'Data Entry'!c473)</f>
      </c>
      <c r="AJ473">
        <f>IF(ISBLANK('Data Entry'!d473), "", 'Data Entry'!d473)</f>
      </c>
      <c r="AK473">
        <f>IF(ISBLANK('Data Entry'!e473), "", 'Data Entry'!e473)</f>
      </c>
      <c r="AL473">
        <f>IF(ISBLANK('Data Entry'!f473), "", 'Data Entry'!f473)</f>
      </c>
      <c r="AM473">
        <f>IF(ISBLANK('Data Entry'!g473), "", 'Data Entry'!g473)</f>
      </c>
      <c r="AN473">
        <f>IF(ISBLANK('Data Entry'!h473), "", 'Data Entry'!h473)</f>
      </c>
    </row>
    <row r="474" spans="1:40" x14ac:dyDescent="0.25">
      <c r="A474">
        <f>IF(ISBLANK('Data Entry'!A474), "", 'Data Entry'!A474)</f>
      </c>
      <c r="B474">
        <f>IF(ISBLANK('Data Entry'!B474), "", 'Data Entry'!B474)</f>
      </c>
      <c r="C474">
        <f>IF(ISBLANK('Data Entry'!C474), "", 'Data Entry'!C474)</f>
      </c>
      <c r="D474">
        <f>IF(ISBLANK('Data Entry'!D474), "", 'Data Entry'!D474)</f>
      </c>
      <c r="E474">
        <f>IF(ISBLANK('Data Entry'!E474), "", 'Data Entry'!E474)</f>
      </c>
      <c r="F474">
        <f>IF(ISBLANK('Data Entry'!F474), "", 'Data Entry'!F474)</f>
      </c>
      <c r="G474">
        <f>IF(ISBLANK('Data Entry'!G474), "", 'Data Entry'!G474)</f>
      </c>
      <c r="H474">
        <f>IF(ISBLANK('Data Entry'!H474), "", 'Data Entry'!H474)</f>
      </c>
      <c r="I474">
        <f>IF(ISBLANK('Data Entry'!I474), "", 'Data Entry'!I474)</f>
      </c>
      <c r="J474">
        <f>IF(ISBLANK('Data Entry'!J474), "", 'Data Entry'!J474)</f>
      </c>
      <c r="K474">
        <f>IF(ISBLANK('Data Entry'!K474), "", 'Data Entry'!K474)</f>
      </c>
      <c r="L474">
        <f>IF(ISBLANK('Data Entry'!L474), "", 'Data Entry'!L474)</f>
      </c>
      <c r="M474">
        <f>IF(ISBLANK('Data Entry'!M474), "", 'Data Entry'!M474)</f>
      </c>
      <c r="N474">
        <f>IF(ISBLANK('Data Entry'!N474), "", 'Data Entry'!N474)</f>
      </c>
      <c r="O474">
        <f>IF(ISBLANK('Data Entry'!O474), "", 'Data Entry'!O474)</f>
      </c>
      <c r="P474">
        <f>IF(ISBLANK('Data Entry'!P474), "", 'Data Entry'!P474)</f>
      </c>
      <c r="Q474">
        <f>IF(ISBLANK('Data Entry'!Q474), "", 'Data Entry'!Q474)</f>
      </c>
      <c r="R474">
        <f>IF(ISBLANK('Data Entry'!R474), "", 'Data Entry'!R474)</f>
      </c>
      <c r="S474">
        <f>IF(ISBLANK('Data Entry'!S474), "", 'Data Entry'!S474)</f>
      </c>
      <c r="T474">
        <f>IF(ISBLANK('Data Entry'!T474), "", 'Data Entry'!T474)</f>
      </c>
      <c r="U474">
        <f>IF(ISBLANK('Data Entry'!U474), "", 'Data Entry'!U474)</f>
      </c>
      <c r="V474">
        <f>IF(ISBLANK('Data Entry'!V474), "", 'Data Entry'!V474)</f>
      </c>
      <c r="W474">
        <f>IF(ISBLANK('Data Entry'!W474), "", 'Data Entry'!W474)</f>
      </c>
      <c r="X474">
        <f>IF(ISBLANK('Data Entry'!X474), "", 'Data Entry'!X474)</f>
      </c>
      <c r="Y474">
        <f>IF(ISBLANK('Data Entry'!Y474), "", 'Data Entry'!Y474)</f>
      </c>
      <c r="Z474">
        <f>IF(ISBLANK('Data Entry'!Z474), "", 'Data Entry'!Z474)</f>
      </c>
      <c r="AA474">
        <f>IF(ISBLANK('Data Entry'![474), "", 'Data Entry'![474)</f>
      </c>
      <c r="AB474">
        <f>IF(ISBLANK('Data Entry'!\474), "", 'Data Entry'!\474)</f>
      </c>
      <c r="AC474">
        <f>IF(ISBLANK('Data Entry'!]474), "", 'Data Entry'!]474)</f>
      </c>
      <c r="AD474">
        <f>IF(ISBLANK('Data Entry'!^474), "", 'Data Entry'!^474)</f>
      </c>
      <c r="AE474">
        <f>IF(ISBLANK('Data Entry'!_474), "", 'Data Entry'!_474)</f>
      </c>
      <c r="AF474">
        <f>IF(ISBLANK('Data Entry'!`474), "", 'Data Entry'!`474)</f>
      </c>
      <c r="AG474">
        <f>IF(ISBLANK('Data Entry'!a474), "", 'Data Entry'!a474)</f>
      </c>
      <c r="AH474">
        <f>IF(ISBLANK('Data Entry'!b474), "", 'Data Entry'!b474)</f>
      </c>
      <c r="AI474">
        <f>IF(ISBLANK('Data Entry'!c474), "", 'Data Entry'!c474)</f>
      </c>
      <c r="AJ474">
        <f>IF(ISBLANK('Data Entry'!d474), "", 'Data Entry'!d474)</f>
      </c>
      <c r="AK474">
        <f>IF(ISBLANK('Data Entry'!e474), "", 'Data Entry'!e474)</f>
      </c>
      <c r="AL474">
        <f>IF(ISBLANK('Data Entry'!f474), "", 'Data Entry'!f474)</f>
      </c>
      <c r="AM474">
        <f>IF(ISBLANK('Data Entry'!g474), "", 'Data Entry'!g474)</f>
      </c>
      <c r="AN474">
        <f>IF(ISBLANK('Data Entry'!h474), "", 'Data Entry'!h474)</f>
      </c>
    </row>
    <row r="475" spans="1:40" x14ac:dyDescent="0.25">
      <c r="A475">
        <f>IF(ISBLANK('Data Entry'!A475), "", 'Data Entry'!A475)</f>
      </c>
      <c r="B475">
        <f>IF(ISBLANK('Data Entry'!B475), "", 'Data Entry'!B475)</f>
      </c>
      <c r="C475">
        <f>IF(ISBLANK('Data Entry'!C475), "", 'Data Entry'!C475)</f>
      </c>
      <c r="D475">
        <f>IF(ISBLANK('Data Entry'!D475), "", 'Data Entry'!D475)</f>
      </c>
      <c r="E475">
        <f>IF(ISBLANK('Data Entry'!E475), "", 'Data Entry'!E475)</f>
      </c>
      <c r="F475">
        <f>IF(ISBLANK('Data Entry'!F475), "", 'Data Entry'!F475)</f>
      </c>
      <c r="G475">
        <f>IF(ISBLANK('Data Entry'!G475), "", 'Data Entry'!G475)</f>
      </c>
      <c r="H475">
        <f>IF(ISBLANK('Data Entry'!H475), "", 'Data Entry'!H475)</f>
      </c>
      <c r="I475">
        <f>IF(ISBLANK('Data Entry'!I475), "", 'Data Entry'!I475)</f>
      </c>
      <c r="J475">
        <f>IF(ISBLANK('Data Entry'!J475), "", 'Data Entry'!J475)</f>
      </c>
      <c r="K475">
        <f>IF(ISBLANK('Data Entry'!K475), "", 'Data Entry'!K475)</f>
      </c>
      <c r="L475">
        <f>IF(ISBLANK('Data Entry'!L475), "", 'Data Entry'!L475)</f>
      </c>
      <c r="M475">
        <f>IF(ISBLANK('Data Entry'!M475), "", 'Data Entry'!M475)</f>
      </c>
      <c r="N475">
        <f>IF(ISBLANK('Data Entry'!N475), "", 'Data Entry'!N475)</f>
      </c>
      <c r="O475">
        <f>IF(ISBLANK('Data Entry'!O475), "", 'Data Entry'!O475)</f>
      </c>
      <c r="P475">
        <f>IF(ISBLANK('Data Entry'!P475), "", 'Data Entry'!P475)</f>
      </c>
      <c r="Q475">
        <f>IF(ISBLANK('Data Entry'!Q475), "", 'Data Entry'!Q475)</f>
      </c>
      <c r="R475">
        <f>IF(ISBLANK('Data Entry'!R475), "", 'Data Entry'!R475)</f>
      </c>
      <c r="S475">
        <f>IF(ISBLANK('Data Entry'!S475), "", 'Data Entry'!S475)</f>
      </c>
      <c r="T475">
        <f>IF(ISBLANK('Data Entry'!T475), "", 'Data Entry'!T475)</f>
      </c>
      <c r="U475">
        <f>IF(ISBLANK('Data Entry'!U475), "", 'Data Entry'!U475)</f>
      </c>
      <c r="V475">
        <f>IF(ISBLANK('Data Entry'!V475), "", 'Data Entry'!V475)</f>
      </c>
      <c r="W475">
        <f>IF(ISBLANK('Data Entry'!W475), "", 'Data Entry'!W475)</f>
      </c>
      <c r="X475">
        <f>IF(ISBLANK('Data Entry'!X475), "", 'Data Entry'!X475)</f>
      </c>
      <c r="Y475">
        <f>IF(ISBLANK('Data Entry'!Y475), "", 'Data Entry'!Y475)</f>
      </c>
      <c r="Z475">
        <f>IF(ISBLANK('Data Entry'!Z475), "", 'Data Entry'!Z475)</f>
      </c>
      <c r="AA475">
        <f>IF(ISBLANK('Data Entry'![475), "", 'Data Entry'![475)</f>
      </c>
      <c r="AB475">
        <f>IF(ISBLANK('Data Entry'!\475), "", 'Data Entry'!\475)</f>
      </c>
      <c r="AC475">
        <f>IF(ISBLANK('Data Entry'!]475), "", 'Data Entry'!]475)</f>
      </c>
      <c r="AD475">
        <f>IF(ISBLANK('Data Entry'!^475), "", 'Data Entry'!^475)</f>
      </c>
      <c r="AE475">
        <f>IF(ISBLANK('Data Entry'!_475), "", 'Data Entry'!_475)</f>
      </c>
      <c r="AF475">
        <f>IF(ISBLANK('Data Entry'!`475), "", 'Data Entry'!`475)</f>
      </c>
      <c r="AG475">
        <f>IF(ISBLANK('Data Entry'!a475), "", 'Data Entry'!a475)</f>
      </c>
      <c r="AH475">
        <f>IF(ISBLANK('Data Entry'!b475), "", 'Data Entry'!b475)</f>
      </c>
      <c r="AI475">
        <f>IF(ISBLANK('Data Entry'!c475), "", 'Data Entry'!c475)</f>
      </c>
      <c r="AJ475">
        <f>IF(ISBLANK('Data Entry'!d475), "", 'Data Entry'!d475)</f>
      </c>
      <c r="AK475">
        <f>IF(ISBLANK('Data Entry'!e475), "", 'Data Entry'!e475)</f>
      </c>
      <c r="AL475">
        <f>IF(ISBLANK('Data Entry'!f475), "", 'Data Entry'!f475)</f>
      </c>
      <c r="AM475">
        <f>IF(ISBLANK('Data Entry'!g475), "", 'Data Entry'!g475)</f>
      </c>
      <c r="AN475">
        <f>IF(ISBLANK('Data Entry'!h475), "", 'Data Entry'!h475)</f>
      </c>
    </row>
    <row r="476" spans="1:40" x14ac:dyDescent="0.25">
      <c r="A476">
        <f>IF(ISBLANK('Data Entry'!A476), "", 'Data Entry'!A476)</f>
      </c>
      <c r="B476">
        <f>IF(ISBLANK('Data Entry'!B476), "", 'Data Entry'!B476)</f>
      </c>
      <c r="C476">
        <f>IF(ISBLANK('Data Entry'!C476), "", 'Data Entry'!C476)</f>
      </c>
      <c r="D476">
        <f>IF(ISBLANK('Data Entry'!D476), "", 'Data Entry'!D476)</f>
      </c>
      <c r="E476">
        <f>IF(ISBLANK('Data Entry'!E476), "", 'Data Entry'!E476)</f>
      </c>
      <c r="F476">
        <f>IF(ISBLANK('Data Entry'!F476), "", 'Data Entry'!F476)</f>
      </c>
      <c r="G476">
        <f>IF(ISBLANK('Data Entry'!G476), "", 'Data Entry'!G476)</f>
      </c>
      <c r="H476">
        <f>IF(ISBLANK('Data Entry'!H476), "", 'Data Entry'!H476)</f>
      </c>
      <c r="I476">
        <f>IF(ISBLANK('Data Entry'!I476), "", 'Data Entry'!I476)</f>
      </c>
      <c r="J476">
        <f>IF(ISBLANK('Data Entry'!J476), "", 'Data Entry'!J476)</f>
      </c>
      <c r="K476">
        <f>IF(ISBLANK('Data Entry'!K476), "", 'Data Entry'!K476)</f>
      </c>
      <c r="L476">
        <f>IF(ISBLANK('Data Entry'!L476), "", 'Data Entry'!L476)</f>
      </c>
      <c r="M476">
        <f>IF(ISBLANK('Data Entry'!M476), "", 'Data Entry'!M476)</f>
      </c>
      <c r="N476">
        <f>IF(ISBLANK('Data Entry'!N476), "", 'Data Entry'!N476)</f>
      </c>
      <c r="O476">
        <f>IF(ISBLANK('Data Entry'!O476), "", 'Data Entry'!O476)</f>
      </c>
      <c r="P476">
        <f>IF(ISBLANK('Data Entry'!P476), "", 'Data Entry'!P476)</f>
      </c>
      <c r="Q476">
        <f>IF(ISBLANK('Data Entry'!Q476), "", 'Data Entry'!Q476)</f>
      </c>
      <c r="R476">
        <f>IF(ISBLANK('Data Entry'!R476), "", 'Data Entry'!R476)</f>
      </c>
      <c r="S476">
        <f>IF(ISBLANK('Data Entry'!S476), "", 'Data Entry'!S476)</f>
      </c>
      <c r="T476">
        <f>IF(ISBLANK('Data Entry'!T476), "", 'Data Entry'!T476)</f>
      </c>
      <c r="U476">
        <f>IF(ISBLANK('Data Entry'!U476), "", 'Data Entry'!U476)</f>
      </c>
      <c r="V476">
        <f>IF(ISBLANK('Data Entry'!V476), "", 'Data Entry'!V476)</f>
      </c>
      <c r="W476">
        <f>IF(ISBLANK('Data Entry'!W476), "", 'Data Entry'!W476)</f>
      </c>
      <c r="X476">
        <f>IF(ISBLANK('Data Entry'!X476), "", 'Data Entry'!X476)</f>
      </c>
      <c r="Y476">
        <f>IF(ISBLANK('Data Entry'!Y476), "", 'Data Entry'!Y476)</f>
      </c>
      <c r="Z476">
        <f>IF(ISBLANK('Data Entry'!Z476), "", 'Data Entry'!Z476)</f>
      </c>
      <c r="AA476">
        <f>IF(ISBLANK('Data Entry'![476), "", 'Data Entry'![476)</f>
      </c>
      <c r="AB476">
        <f>IF(ISBLANK('Data Entry'!\476), "", 'Data Entry'!\476)</f>
      </c>
      <c r="AC476">
        <f>IF(ISBLANK('Data Entry'!]476), "", 'Data Entry'!]476)</f>
      </c>
      <c r="AD476">
        <f>IF(ISBLANK('Data Entry'!^476), "", 'Data Entry'!^476)</f>
      </c>
      <c r="AE476">
        <f>IF(ISBLANK('Data Entry'!_476), "", 'Data Entry'!_476)</f>
      </c>
      <c r="AF476">
        <f>IF(ISBLANK('Data Entry'!`476), "", 'Data Entry'!`476)</f>
      </c>
      <c r="AG476">
        <f>IF(ISBLANK('Data Entry'!a476), "", 'Data Entry'!a476)</f>
      </c>
      <c r="AH476">
        <f>IF(ISBLANK('Data Entry'!b476), "", 'Data Entry'!b476)</f>
      </c>
      <c r="AI476">
        <f>IF(ISBLANK('Data Entry'!c476), "", 'Data Entry'!c476)</f>
      </c>
      <c r="AJ476">
        <f>IF(ISBLANK('Data Entry'!d476), "", 'Data Entry'!d476)</f>
      </c>
      <c r="AK476">
        <f>IF(ISBLANK('Data Entry'!e476), "", 'Data Entry'!e476)</f>
      </c>
      <c r="AL476">
        <f>IF(ISBLANK('Data Entry'!f476), "", 'Data Entry'!f476)</f>
      </c>
      <c r="AM476">
        <f>IF(ISBLANK('Data Entry'!g476), "", 'Data Entry'!g476)</f>
      </c>
      <c r="AN476">
        <f>IF(ISBLANK('Data Entry'!h476), "", 'Data Entry'!h476)</f>
      </c>
    </row>
    <row r="477" spans="1:40" x14ac:dyDescent="0.25">
      <c r="A477">
        <f>IF(ISBLANK('Data Entry'!A477), "", 'Data Entry'!A477)</f>
      </c>
      <c r="B477">
        <f>IF(ISBLANK('Data Entry'!B477), "", 'Data Entry'!B477)</f>
      </c>
      <c r="C477">
        <f>IF(ISBLANK('Data Entry'!C477), "", 'Data Entry'!C477)</f>
      </c>
      <c r="D477">
        <f>IF(ISBLANK('Data Entry'!D477), "", 'Data Entry'!D477)</f>
      </c>
      <c r="E477">
        <f>IF(ISBLANK('Data Entry'!E477), "", 'Data Entry'!E477)</f>
      </c>
      <c r="F477">
        <f>IF(ISBLANK('Data Entry'!F477), "", 'Data Entry'!F477)</f>
      </c>
      <c r="G477">
        <f>IF(ISBLANK('Data Entry'!G477), "", 'Data Entry'!G477)</f>
      </c>
      <c r="H477">
        <f>IF(ISBLANK('Data Entry'!H477), "", 'Data Entry'!H477)</f>
      </c>
      <c r="I477">
        <f>IF(ISBLANK('Data Entry'!I477), "", 'Data Entry'!I477)</f>
      </c>
      <c r="J477">
        <f>IF(ISBLANK('Data Entry'!J477), "", 'Data Entry'!J477)</f>
      </c>
      <c r="K477">
        <f>IF(ISBLANK('Data Entry'!K477), "", 'Data Entry'!K477)</f>
      </c>
      <c r="L477">
        <f>IF(ISBLANK('Data Entry'!L477), "", 'Data Entry'!L477)</f>
      </c>
      <c r="M477">
        <f>IF(ISBLANK('Data Entry'!M477), "", 'Data Entry'!M477)</f>
      </c>
      <c r="N477">
        <f>IF(ISBLANK('Data Entry'!N477), "", 'Data Entry'!N477)</f>
      </c>
      <c r="O477">
        <f>IF(ISBLANK('Data Entry'!O477), "", 'Data Entry'!O477)</f>
      </c>
      <c r="P477">
        <f>IF(ISBLANK('Data Entry'!P477), "", 'Data Entry'!P477)</f>
      </c>
      <c r="Q477">
        <f>IF(ISBLANK('Data Entry'!Q477), "", 'Data Entry'!Q477)</f>
      </c>
      <c r="R477">
        <f>IF(ISBLANK('Data Entry'!R477), "", 'Data Entry'!R477)</f>
      </c>
      <c r="S477">
        <f>IF(ISBLANK('Data Entry'!S477), "", 'Data Entry'!S477)</f>
      </c>
      <c r="T477">
        <f>IF(ISBLANK('Data Entry'!T477), "", 'Data Entry'!T477)</f>
      </c>
      <c r="U477">
        <f>IF(ISBLANK('Data Entry'!U477), "", 'Data Entry'!U477)</f>
      </c>
      <c r="V477">
        <f>IF(ISBLANK('Data Entry'!V477), "", 'Data Entry'!V477)</f>
      </c>
      <c r="W477">
        <f>IF(ISBLANK('Data Entry'!W477), "", 'Data Entry'!W477)</f>
      </c>
      <c r="X477">
        <f>IF(ISBLANK('Data Entry'!X477), "", 'Data Entry'!X477)</f>
      </c>
      <c r="Y477">
        <f>IF(ISBLANK('Data Entry'!Y477), "", 'Data Entry'!Y477)</f>
      </c>
      <c r="Z477">
        <f>IF(ISBLANK('Data Entry'!Z477), "", 'Data Entry'!Z477)</f>
      </c>
      <c r="AA477">
        <f>IF(ISBLANK('Data Entry'![477), "", 'Data Entry'![477)</f>
      </c>
      <c r="AB477">
        <f>IF(ISBLANK('Data Entry'!\477), "", 'Data Entry'!\477)</f>
      </c>
      <c r="AC477">
        <f>IF(ISBLANK('Data Entry'!]477), "", 'Data Entry'!]477)</f>
      </c>
      <c r="AD477">
        <f>IF(ISBLANK('Data Entry'!^477), "", 'Data Entry'!^477)</f>
      </c>
      <c r="AE477">
        <f>IF(ISBLANK('Data Entry'!_477), "", 'Data Entry'!_477)</f>
      </c>
      <c r="AF477">
        <f>IF(ISBLANK('Data Entry'!`477), "", 'Data Entry'!`477)</f>
      </c>
      <c r="AG477">
        <f>IF(ISBLANK('Data Entry'!a477), "", 'Data Entry'!a477)</f>
      </c>
      <c r="AH477">
        <f>IF(ISBLANK('Data Entry'!b477), "", 'Data Entry'!b477)</f>
      </c>
      <c r="AI477">
        <f>IF(ISBLANK('Data Entry'!c477), "", 'Data Entry'!c477)</f>
      </c>
      <c r="AJ477">
        <f>IF(ISBLANK('Data Entry'!d477), "", 'Data Entry'!d477)</f>
      </c>
      <c r="AK477">
        <f>IF(ISBLANK('Data Entry'!e477), "", 'Data Entry'!e477)</f>
      </c>
      <c r="AL477">
        <f>IF(ISBLANK('Data Entry'!f477), "", 'Data Entry'!f477)</f>
      </c>
      <c r="AM477">
        <f>IF(ISBLANK('Data Entry'!g477), "", 'Data Entry'!g477)</f>
      </c>
      <c r="AN477">
        <f>IF(ISBLANK('Data Entry'!h477), "", 'Data Entry'!h477)</f>
      </c>
    </row>
    <row r="478" spans="1:40" x14ac:dyDescent="0.25">
      <c r="A478">
        <f>IF(ISBLANK('Data Entry'!A478), "", 'Data Entry'!A478)</f>
      </c>
      <c r="B478">
        <f>IF(ISBLANK('Data Entry'!B478), "", 'Data Entry'!B478)</f>
      </c>
      <c r="C478">
        <f>IF(ISBLANK('Data Entry'!C478), "", 'Data Entry'!C478)</f>
      </c>
      <c r="D478">
        <f>IF(ISBLANK('Data Entry'!D478), "", 'Data Entry'!D478)</f>
      </c>
      <c r="E478">
        <f>IF(ISBLANK('Data Entry'!E478), "", 'Data Entry'!E478)</f>
      </c>
      <c r="F478">
        <f>IF(ISBLANK('Data Entry'!F478), "", 'Data Entry'!F478)</f>
      </c>
      <c r="G478">
        <f>IF(ISBLANK('Data Entry'!G478), "", 'Data Entry'!G478)</f>
      </c>
      <c r="H478">
        <f>IF(ISBLANK('Data Entry'!H478), "", 'Data Entry'!H478)</f>
      </c>
      <c r="I478">
        <f>IF(ISBLANK('Data Entry'!I478), "", 'Data Entry'!I478)</f>
      </c>
      <c r="J478">
        <f>IF(ISBLANK('Data Entry'!J478), "", 'Data Entry'!J478)</f>
      </c>
      <c r="K478">
        <f>IF(ISBLANK('Data Entry'!K478), "", 'Data Entry'!K478)</f>
      </c>
      <c r="L478">
        <f>IF(ISBLANK('Data Entry'!L478), "", 'Data Entry'!L478)</f>
      </c>
      <c r="M478">
        <f>IF(ISBLANK('Data Entry'!M478), "", 'Data Entry'!M478)</f>
      </c>
      <c r="N478">
        <f>IF(ISBLANK('Data Entry'!N478), "", 'Data Entry'!N478)</f>
      </c>
      <c r="O478">
        <f>IF(ISBLANK('Data Entry'!O478), "", 'Data Entry'!O478)</f>
      </c>
      <c r="P478">
        <f>IF(ISBLANK('Data Entry'!P478), "", 'Data Entry'!P478)</f>
      </c>
      <c r="Q478">
        <f>IF(ISBLANK('Data Entry'!Q478), "", 'Data Entry'!Q478)</f>
      </c>
      <c r="R478">
        <f>IF(ISBLANK('Data Entry'!R478), "", 'Data Entry'!R478)</f>
      </c>
      <c r="S478">
        <f>IF(ISBLANK('Data Entry'!S478), "", 'Data Entry'!S478)</f>
      </c>
      <c r="T478">
        <f>IF(ISBLANK('Data Entry'!T478), "", 'Data Entry'!T478)</f>
      </c>
      <c r="U478">
        <f>IF(ISBLANK('Data Entry'!U478), "", 'Data Entry'!U478)</f>
      </c>
      <c r="V478">
        <f>IF(ISBLANK('Data Entry'!V478), "", 'Data Entry'!V478)</f>
      </c>
      <c r="W478">
        <f>IF(ISBLANK('Data Entry'!W478), "", 'Data Entry'!W478)</f>
      </c>
      <c r="X478">
        <f>IF(ISBLANK('Data Entry'!X478), "", 'Data Entry'!X478)</f>
      </c>
      <c r="Y478">
        <f>IF(ISBLANK('Data Entry'!Y478), "", 'Data Entry'!Y478)</f>
      </c>
      <c r="Z478">
        <f>IF(ISBLANK('Data Entry'!Z478), "", 'Data Entry'!Z478)</f>
      </c>
      <c r="AA478">
        <f>IF(ISBLANK('Data Entry'![478), "", 'Data Entry'![478)</f>
      </c>
      <c r="AB478">
        <f>IF(ISBLANK('Data Entry'!\478), "", 'Data Entry'!\478)</f>
      </c>
      <c r="AC478">
        <f>IF(ISBLANK('Data Entry'!]478), "", 'Data Entry'!]478)</f>
      </c>
      <c r="AD478">
        <f>IF(ISBLANK('Data Entry'!^478), "", 'Data Entry'!^478)</f>
      </c>
      <c r="AE478">
        <f>IF(ISBLANK('Data Entry'!_478), "", 'Data Entry'!_478)</f>
      </c>
      <c r="AF478">
        <f>IF(ISBLANK('Data Entry'!`478), "", 'Data Entry'!`478)</f>
      </c>
      <c r="AG478">
        <f>IF(ISBLANK('Data Entry'!a478), "", 'Data Entry'!a478)</f>
      </c>
      <c r="AH478">
        <f>IF(ISBLANK('Data Entry'!b478), "", 'Data Entry'!b478)</f>
      </c>
      <c r="AI478">
        <f>IF(ISBLANK('Data Entry'!c478), "", 'Data Entry'!c478)</f>
      </c>
      <c r="AJ478">
        <f>IF(ISBLANK('Data Entry'!d478), "", 'Data Entry'!d478)</f>
      </c>
      <c r="AK478">
        <f>IF(ISBLANK('Data Entry'!e478), "", 'Data Entry'!e478)</f>
      </c>
      <c r="AL478">
        <f>IF(ISBLANK('Data Entry'!f478), "", 'Data Entry'!f478)</f>
      </c>
      <c r="AM478">
        <f>IF(ISBLANK('Data Entry'!g478), "", 'Data Entry'!g478)</f>
      </c>
      <c r="AN478">
        <f>IF(ISBLANK('Data Entry'!h478), "", 'Data Entry'!h478)</f>
      </c>
    </row>
    <row r="479" spans="1:40" x14ac:dyDescent="0.25">
      <c r="A479">
        <f>IF(ISBLANK('Data Entry'!A479), "", 'Data Entry'!A479)</f>
      </c>
      <c r="B479">
        <f>IF(ISBLANK('Data Entry'!B479), "", 'Data Entry'!B479)</f>
      </c>
      <c r="C479">
        <f>IF(ISBLANK('Data Entry'!C479), "", 'Data Entry'!C479)</f>
      </c>
      <c r="D479">
        <f>IF(ISBLANK('Data Entry'!D479), "", 'Data Entry'!D479)</f>
      </c>
      <c r="E479">
        <f>IF(ISBLANK('Data Entry'!E479), "", 'Data Entry'!E479)</f>
      </c>
      <c r="F479">
        <f>IF(ISBLANK('Data Entry'!F479), "", 'Data Entry'!F479)</f>
      </c>
      <c r="G479">
        <f>IF(ISBLANK('Data Entry'!G479), "", 'Data Entry'!G479)</f>
      </c>
      <c r="H479">
        <f>IF(ISBLANK('Data Entry'!H479), "", 'Data Entry'!H479)</f>
      </c>
      <c r="I479">
        <f>IF(ISBLANK('Data Entry'!I479), "", 'Data Entry'!I479)</f>
      </c>
      <c r="J479">
        <f>IF(ISBLANK('Data Entry'!J479), "", 'Data Entry'!J479)</f>
      </c>
      <c r="K479">
        <f>IF(ISBLANK('Data Entry'!K479), "", 'Data Entry'!K479)</f>
      </c>
      <c r="L479">
        <f>IF(ISBLANK('Data Entry'!L479), "", 'Data Entry'!L479)</f>
      </c>
      <c r="M479">
        <f>IF(ISBLANK('Data Entry'!M479), "", 'Data Entry'!M479)</f>
      </c>
      <c r="N479">
        <f>IF(ISBLANK('Data Entry'!N479), "", 'Data Entry'!N479)</f>
      </c>
      <c r="O479">
        <f>IF(ISBLANK('Data Entry'!O479), "", 'Data Entry'!O479)</f>
      </c>
      <c r="P479">
        <f>IF(ISBLANK('Data Entry'!P479), "", 'Data Entry'!P479)</f>
      </c>
      <c r="Q479">
        <f>IF(ISBLANK('Data Entry'!Q479), "", 'Data Entry'!Q479)</f>
      </c>
      <c r="R479">
        <f>IF(ISBLANK('Data Entry'!R479), "", 'Data Entry'!R479)</f>
      </c>
      <c r="S479">
        <f>IF(ISBLANK('Data Entry'!S479), "", 'Data Entry'!S479)</f>
      </c>
      <c r="T479">
        <f>IF(ISBLANK('Data Entry'!T479), "", 'Data Entry'!T479)</f>
      </c>
      <c r="U479">
        <f>IF(ISBLANK('Data Entry'!U479), "", 'Data Entry'!U479)</f>
      </c>
      <c r="V479">
        <f>IF(ISBLANK('Data Entry'!V479), "", 'Data Entry'!V479)</f>
      </c>
      <c r="W479">
        <f>IF(ISBLANK('Data Entry'!W479), "", 'Data Entry'!W479)</f>
      </c>
      <c r="X479">
        <f>IF(ISBLANK('Data Entry'!X479), "", 'Data Entry'!X479)</f>
      </c>
      <c r="Y479">
        <f>IF(ISBLANK('Data Entry'!Y479), "", 'Data Entry'!Y479)</f>
      </c>
      <c r="Z479">
        <f>IF(ISBLANK('Data Entry'!Z479), "", 'Data Entry'!Z479)</f>
      </c>
      <c r="AA479">
        <f>IF(ISBLANK('Data Entry'![479), "", 'Data Entry'![479)</f>
      </c>
      <c r="AB479">
        <f>IF(ISBLANK('Data Entry'!\479), "", 'Data Entry'!\479)</f>
      </c>
      <c r="AC479">
        <f>IF(ISBLANK('Data Entry'!]479), "", 'Data Entry'!]479)</f>
      </c>
      <c r="AD479">
        <f>IF(ISBLANK('Data Entry'!^479), "", 'Data Entry'!^479)</f>
      </c>
      <c r="AE479">
        <f>IF(ISBLANK('Data Entry'!_479), "", 'Data Entry'!_479)</f>
      </c>
      <c r="AF479">
        <f>IF(ISBLANK('Data Entry'!`479), "", 'Data Entry'!`479)</f>
      </c>
      <c r="AG479">
        <f>IF(ISBLANK('Data Entry'!a479), "", 'Data Entry'!a479)</f>
      </c>
      <c r="AH479">
        <f>IF(ISBLANK('Data Entry'!b479), "", 'Data Entry'!b479)</f>
      </c>
      <c r="AI479">
        <f>IF(ISBLANK('Data Entry'!c479), "", 'Data Entry'!c479)</f>
      </c>
      <c r="AJ479">
        <f>IF(ISBLANK('Data Entry'!d479), "", 'Data Entry'!d479)</f>
      </c>
      <c r="AK479">
        <f>IF(ISBLANK('Data Entry'!e479), "", 'Data Entry'!e479)</f>
      </c>
      <c r="AL479">
        <f>IF(ISBLANK('Data Entry'!f479), "", 'Data Entry'!f479)</f>
      </c>
      <c r="AM479">
        <f>IF(ISBLANK('Data Entry'!g479), "", 'Data Entry'!g479)</f>
      </c>
      <c r="AN479">
        <f>IF(ISBLANK('Data Entry'!h479), "", 'Data Entry'!h479)</f>
      </c>
    </row>
    <row r="480" spans="1:40" x14ac:dyDescent="0.25">
      <c r="A480">
        <f>IF(ISBLANK('Data Entry'!A480), "", 'Data Entry'!A480)</f>
      </c>
      <c r="B480">
        <f>IF(ISBLANK('Data Entry'!B480), "", 'Data Entry'!B480)</f>
      </c>
      <c r="C480">
        <f>IF(ISBLANK('Data Entry'!C480), "", 'Data Entry'!C480)</f>
      </c>
      <c r="D480">
        <f>IF(ISBLANK('Data Entry'!D480), "", 'Data Entry'!D480)</f>
      </c>
      <c r="E480">
        <f>IF(ISBLANK('Data Entry'!E480), "", 'Data Entry'!E480)</f>
      </c>
      <c r="F480">
        <f>IF(ISBLANK('Data Entry'!F480), "", 'Data Entry'!F480)</f>
      </c>
      <c r="G480">
        <f>IF(ISBLANK('Data Entry'!G480), "", 'Data Entry'!G480)</f>
      </c>
      <c r="H480">
        <f>IF(ISBLANK('Data Entry'!H480), "", 'Data Entry'!H480)</f>
      </c>
      <c r="I480">
        <f>IF(ISBLANK('Data Entry'!I480), "", 'Data Entry'!I480)</f>
      </c>
      <c r="J480">
        <f>IF(ISBLANK('Data Entry'!J480), "", 'Data Entry'!J480)</f>
      </c>
      <c r="K480">
        <f>IF(ISBLANK('Data Entry'!K480), "", 'Data Entry'!K480)</f>
      </c>
      <c r="L480">
        <f>IF(ISBLANK('Data Entry'!L480), "", 'Data Entry'!L480)</f>
      </c>
      <c r="M480">
        <f>IF(ISBLANK('Data Entry'!M480), "", 'Data Entry'!M480)</f>
      </c>
      <c r="N480">
        <f>IF(ISBLANK('Data Entry'!N480), "", 'Data Entry'!N480)</f>
      </c>
      <c r="O480">
        <f>IF(ISBLANK('Data Entry'!O480), "", 'Data Entry'!O480)</f>
      </c>
      <c r="P480">
        <f>IF(ISBLANK('Data Entry'!P480), "", 'Data Entry'!P480)</f>
      </c>
      <c r="Q480">
        <f>IF(ISBLANK('Data Entry'!Q480), "", 'Data Entry'!Q480)</f>
      </c>
      <c r="R480">
        <f>IF(ISBLANK('Data Entry'!R480), "", 'Data Entry'!R480)</f>
      </c>
      <c r="S480">
        <f>IF(ISBLANK('Data Entry'!S480), "", 'Data Entry'!S480)</f>
      </c>
      <c r="T480">
        <f>IF(ISBLANK('Data Entry'!T480), "", 'Data Entry'!T480)</f>
      </c>
      <c r="U480">
        <f>IF(ISBLANK('Data Entry'!U480), "", 'Data Entry'!U480)</f>
      </c>
      <c r="V480">
        <f>IF(ISBLANK('Data Entry'!V480), "", 'Data Entry'!V480)</f>
      </c>
      <c r="W480">
        <f>IF(ISBLANK('Data Entry'!W480), "", 'Data Entry'!W480)</f>
      </c>
      <c r="X480">
        <f>IF(ISBLANK('Data Entry'!X480), "", 'Data Entry'!X480)</f>
      </c>
      <c r="Y480">
        <f>IF(ISBLANK('Data Entry'!Y480), "", 'Data Entry'!Y480)</f>
      </c>
      <c r="Z480">
        <f>IF(ISBLANK('Data Entry'!Z480), "", 'Data Entry'!Z480)</f>
      </c>
      <c r="AA480">
        <f>IF(ISBLANK('Data Entry'![480), "", 'Data Entry'![480)</f>
      </c>
      <c r="AB480">
        <f>IF(ISBLANK('Data Entry'!\480), "", 'Data Entry'!\480)</f>
      </c>
      <c r="AC480">
        <f>IF(ISBLANK('Data Entry'!]480), "", 'Data Entry'!]480)</f>
      </c>
      <c r="AD480">
        <f>IF(ISBLANK('Data Entry'!^480), "", 'Data Entry'!^480)</f>
      </c>
      <c r="AE480">
        <f>IF(ISBLANK('Data Entry'!_480), "", 'Data Entry'!_480)</f>
      </c>
      <c r="AF480">
        <f>IF(ISBLANK('Data Entry'!`480), "", 'Data Entry'!`480)</f>
      </c>
      <c r="AG480">
        <f>IF(ISBLANK('Data Entry'!a480), "", 'Data Entry'!a480)</f>
      </c>
      <c r="AH480">
        <f>IF(ISBLANK('Data Entry'!b480), "", 'Data Entry'!b480)</f>
      </c>
      <c r="AI480">
        <f>IF(ISBLANK('Data Entry'!c480), "", 'Data Entry'!c480)</f>
      </c>
      <c r="AJ480">
        <f>IF(ISBLANK('Data Entry'!d480), "", 'Data Entry'!d480)</f>
      </c>
      <c r="AK480">
        <f>IF(ISBLANK('Data Entry'!e480), "", 'Data Entry'!e480)</f>
      </c>
      <c r="AL480">
        <f>IF(ISBLANK('Data Entry'!f480), "", 'Data Entry'!f480)</f>
      </c>
      <c r="AM480">
        <f>IF(ISBLANK('Data Entry'!g480), "", 'Data Entry'!g480)</f>
      </c>
      <c r="AN480">
        <f>IF(ISBLANK('Data Entry'!h480), "", 'Data Entry'!h480)</f>
      </c>
    </row>
    <row r="481" spans="1:40" x14ac:dyDescent="0.25">
      <c r="A481">
        <f>IF(ISBLANK('Data Entry'!A481), "", 'Data Entry'!A481)</f>
      </c>
      <c r="B481">
        <f>IF(ISBLANK('Data Entry'!B481), "", 'Data Entry'!B481)</f>
      </c>
      <c r="C481">
        <f>IF(ISBLANK('Data Entry'!C481), "", 'Data Entry'!C481)</f>
      </c>
      <c r="D481">
        <f>IF(ISBLANK('Data Entry'!D481), "", 'Data Entry'!D481)</f>
      </c>
      <c r="E481">
        <f>IF(ISBLANK('Data Entry'!E481), "", 'Data Entry'!E481)</f>
      </c>
      <c r="F481">
        <f>IF(ISBLANK('Data Entry'!F481), "", 'Data Entry'!F481)</f>
      </c>
      <c r="G481">
        <f>IF(ISBLANK('Data Entry'!G481), "", 'Data Entry'!G481)</f>
      </c>
      <c r="H481">
        <f>IF(ISBLANK('Data Entry'!H481), "", 'Data Entry'!H481)</f>
      </c>
      <c r="I481">
        <f>IF(ISBLANK('Data Entry'!I481), "", 'Data Entry'!I481)</f>
      </c>
      <c r="J481">
        <f>IF(ISBLANK('Data Entry'!J481), "", 'Data Entry'!J481)</f>
      </c>
      <c r="K481">
        <f>IF(ISBLANK('Data Entry'!K481), "", 'Data Entry'!K481)</f>
      </c>
      <c r="L481">
        <f>IF(ISBLANK('Data Entry'!L481), "", 'Data Entry'!L481)</f>
      </c>
      <c r="M481">
        <f>IF(ISBLANK('Data Entry'!M481), "", 'Data Entry'!M481)</f>
      </c>
      <c r="N481">
        <f>IF(ISBLANK('Data Entry'!N481), "", 'Data Entry'!N481)</f>
      </c>
      <c r="O481">
        <f>IF(ISBLANK('Data Entry'!O481), "", 'Data Entry'!O481)</f>
      </c>
      <c r="P481">
        <f>IF(ISBLANK('Data Entry'!P481), "", 'Data Entry'!P481)</f>
      </c>
      <c r="Q481">
        <f>IF(ISBLANK('Data Entry'!Q481), "", 'Data Entry'!Q481)</f>
      </c>
      <c r="R481">
        <f>IF(ISBLANK('Data Entry'!R481), "", 'Data Entry'!R481)</f>
      </c>
      <c r="S481">
        <f>IF(ISBLANK('Data Entry'!S481), "", 'Data Entry'!S481)</f>
      </c>
      <c r="T481">
        <f>IF(ISBLANK('Data Entry'!T481), "", 'Data Entry'!T481)</f>
      </c>
      <c r="U481">
        <f>IF(ISBLANK('Data Entry'!U481), "", 'Data Entry'!U481)</f>
      </c>
      <c r="V481">
        <f>IF(ISBLANK('Data Entry'!V481), "", 'Data Entry'!V481)</f>
      </c>
      <c r="W481">
        <f>IF(ISBLANK('Data Entry'!W481), "", 'Data Entry'!W481)</f>
      </c>
      <c r="X481">
        <f>IF(ISBLANK('Data Entry'!X481), "", 'Data Entry'!X481)</f>
      </c>
      <c r="Y481">
        <f>IF(ISBLANK('Data Entry'!Y481), "", 'Data Entry'!Y481)</f>
      </c>
      <c r="Z481">
        <f>IF(ISBLANK('Data Entry'!Z481), "", 'Data Entry'!Z481)</f>
      </c>
      <c r="AA481">
        <f>IF(ISBLANK('Data Entry'![481), "", 'Data Entry'![481)</f>
      </c>
      <c r="AB481">
        <f>IF(ISBLANK('Data Entry'!\481), "", 'Data Entry'!\481)</f>
      </c>
      <c r="AC481">
        <f>IF(ISBLANK('Data Entry'!]481), "", 'Data Entry'!]481)</f>
      </c>
      <c r="AD481">
        <f>IF(ISBLANK('Data Entry'!^481), "", 'Data Entry'!^481)</f>
      </c>
      <c r="AE481">
        <f>IF(ISBLANK('Data Entry'!_481), "", 'Data Entry'!_481)</f>
      </c>
      <c r="AF481">
        <f>IF(ISBLANK('Data Entry'!`481), "", 'Data Entry'!`481)</f>
      </c>
      <c r="AG481">
        <f>IF(ISBLANK('Data Entry'!a481), "", 'Data Entry'!a481)</f>
      </c>
      <c r="AH481">
        <f>IF(ISBLANK('Data Entry'!b481), "", 'Data Entry'!b481)</f>
      </c>
      <c r="AI481">
        <f>IF(ISBLANK('Data Entry'!c481), "", 'Data Entry'!c481)</f>
      </c>
      <c r="AJ481">
        <f>IF(ISBLANK('Data Entry'!d481), "", 'Data Entry'!d481)</f>
      </c>
      <c r="AK481">
        <f>IF(ISBLANK('Data Entry'!e481), "", 'Data Entry'!e481)</f>
      </c>
      <c r="AL481">
        <f>IF(ISBLANK('Data Entry'!f481), "", 'Data Entry'!f481)</f>
      </c>
      <c r="AM481">
        <f>IF(ISBLANK('Data Entry'!g481), "", 'Data Entry'!g481)</f>
      </c>
      <c r="AN481">
        <f>IF(ISBLANK('Data Entry'!h481), "", 'Data Entry'!h481)</f>
      </c>
    </row>
    <row r="482" spans="1:40" x14ac:dyDescent="0.25">
      <c r="A482">
        <f>IF(ISBLANK('Data Entry'!A482), "", 'Data Entry'!A482)</f>
      </c>
      <c r="B482">
        <f>IF(ISBLANK('Data Entry'!B482), "", 'Data Entry'!B482)</f>
      </c>
      <c r="C482">
        <f>IF(ISBLANK('Data Entry'!C482), "", 'Data Entry'!C482)</f>
      </c>
      <c r="D482">
        <f>IF(ISBLANK('Data Entry'!D482), "", 'Data Entry'!D482)</f>
      </c>
      <c r="E482">
        <f>IF(ISBLANK('Data Entry'!E482), "", 'Data Entry'!E482)</f>
      </c>
      <c r="F482">
        <f>IF(ISBLANK('Data Entry'!F482), "", 'Data Entry'!F482)</f>
      </c>
      <c r="G482">
        <f>IF(ISBLANK('Data Entry'!G482), "", 'Data Entry'!G482)</f>
      </c>
      <c r="H482">
        <f>IF(ISBLANK('Data Entry'!H482), "", 'Data Entry'!H482)</f>
      </c>
      <c r="I482">
        <f>IF(ISBLANK('Data Entry'!I482), "", 'Data Entry'!I482)</f>
      </c>
      <c r="J482">
        <f>IF(ISBLANK('Data Entry'!J482), "", 'Data Entry'!J482)</f>
      </c>
      <c r="K482">
        <f>IF(ISBLANK('Data Entry'!K482), "", 'Data Entry'!K482)</f>
      </c>
      <c r="L482">
        <f>IF(ISBLANK('Data Entry'!L482), "", 'Data Entry'!L482)</f>
      </c>
      <c r="M482">
        <f>IF(ISBLANK('Data Entry'!M482), "", 'Data Entry'!M482)</f>
      </c>
      <c r="N482">
        <f>IF(ISBLANK('Data Entry'!N482), "", 'Data Entry'!N482)</f>
      </c>
      <c r="O482">
        <f>IF(ISBLANK('Data Entry'!O482), "", 'Data Entry'!O482)</f>
      </c>
      <c r="P482">
        <f>IF(ISBLANK('Data Entry'!P482), "", 'Data Entry'!P482)</f>
      </c>
      <c r="Q482">
        <f>IF(ISBLANK('Data Entry'!Q482), "", 'Data Entry'!Q482)</f>
      </c>
      <c r="R482">
        <f>IF(ISBLANK('Data Entry'!R482), "", 'Data Entry'!R482)</f>
      </c>
      <c r="S482">
        <f>IF(ISBLANK('Data Entry'!S482), "", 'Data Entry'!S482)</f>
      </c>
      <c r="T482">
        <f>IF(ISBLANK('Data Entry'!T482), "", 'Data Entry'!T482)</f>
      </c>
      <c r="U482">
        <f>IF(ISBLANK('Data Entry'!U482), "", 'Data Entry'!U482)</f>
      </c>
      <c r="V482">
        <f>IF(ISBLANK('Data Entry'!V482), "", 'Data Entry'!V482)</f>
      </c>
      <c r="W482">
        <f>IF(ISBLANK('Data Entry'!W482), "", 'Data Entry'!W482)</f>
      </c>
      <c r="X482">
        <f>IF(ISBLANK('Data Entry'!X482), "", 'Data Entry'!X482)</f>
      </c>
      <c r="Y482">
        <f>IF(ISBLANK('Data Entry'!Y482), "", 'Data Entry'!Y482)</f>
      </c>
      <c r="Z482">
        <f>IF(ISBLANK('Data Entry'!Z482), "", 'Data Entry'!Z482)</f>
      </c>
      <c r="AA482">
        <f>IF(ISBLANK('Data Entry'![482), "", 'Data Entry'![482)</f>
      </c>
      <c r="AB482">
        <f>IF(ISBLANK('Data Entry'!\482), "", 'Data Entry'!\482)</f>
      </c>
      <c r="AC482">
        <f>IF(ISBLANK('Data Entry'!]482), "", 'Data Entry'!]482)</f>
      </c>
      <c r="AD482">
        <f>IF(ISBLANK('Data Entry'!^482), "", 'Data Entry'!^482)</f>
      </c>
      <c r="AE482">
        <f>IF(ISBLANK('Data Entry'!_482), "", 'Data Entry'!_482)</f>
      </c>
      <c r="AF482">
        <f>IF(ISBLANK('Data Entry'!`482), "", 'Data Entry'!`482)</f>
      </c>
      <c r="AG482">
        <f>IF(ISBLANK('Data Entry'!a482), "", 'Data Entry'!a482)</f>
      </c>
      <c r="AH482">
        <f>IF(ISBLANK('Data Entry'!b482), "", 'Data Entry'!b482)</f>
      </c>
      <c r="AI482">
        <f>IF(ISBLANK('Data Entry'!c482), "", 'Data Entry'!c482)</f>
      </c>
      <c r="AJ482">
        <f>IF(ISBLANK('Data Entry'!d482), "", 'Data Entry'!d482)</f>
      </c>
      <c r="AK482">
        <f>IF(ISBLANK('Data Entry'!e482), "", 'Data Entry'!e482)</f>
      </c>
      <c r="AL482">
        <f>IF(ISBLANK('Data Entry'!f482), "", 'Data Entry'!f482)</f>
      </c>
      <c r="AM482">
        <f>IF(ISBLANK('Data Entry'!g482), "", 'Data Entry'!g482)</f>
      </c>
      <c r="AN482">
        <f>IF(ISBLANK('Data Entry'!h482), "", 'Data Entry'!h482)</f>
      </c>
    </row>
    <row r="483" spans="1:40" x14ac:dyDescent="0.25">
      <c r="A483">
        <f>IF(ISBLANK('Data Entry'!A483), "", 'Data Entry'!A483)</f>
      </c>
      <c r="B483">
        <f>IF(ISBLANK('Data Entry'!B483), "", 'Data Entry'!B483)</f>
      </c>
      <c r="C483">
        <f>IF(ISBLANK('Data Entry'!C483), "", 'Data Entry'!C483)</f>
      </c>
      <c r="D483">
        <f>IF(ISBLANK('Data Entry'!D483), "", 'Data Entry'!D483)</f>
      </c>
      <c r="E483">
        <f>IF(ISBLANK('Data Entry'!E483), "", 'Data Entry'!E483)</f>
      </c>
      <c r="F483">
        <f>IF(ISBLANK('Data Entry'!F483), "", 'Data Entry'!F483)</f>
      </c>
      <c r="G483">
        <f>IF(ISBLANK('Data Entry'!G483), "", 'Data Entry'!G483)</f>
      </c>
      <c r="H483">
        <f>IF(ISBLANK('Data Entry'!H483), "", 'Data Entry'!H483)</f>
      </c>
      <c r="I483">
        <f>IF(ISBLANK('Data Entry'!I483), "", 'Data Entry'!I483)</f>
      </c>
      <c r="J483">
        <f>IF(ISBLANK('Data Entry'!J483), "", 'Data Entry'!J483)</f>
      </c>
      <c r="K483">
        <f>IF(ISBLANK('Data Entry'!K483), "", 'Data Entry'!K483)</f>
      </c>
      <c r="L483">
        <f>IF(ISBLANK('Data Entry'!L483), "", 'Data Entry'!L483)</f>
      </c>
      <c r="M483">
        <f>IF(ISBLANK('Data Entry'!M483), "", 'Data Entry'!M483)</f>
      </c>
      <c r="N483">
        <f>IF(ISBLANK('Data Entry'!N483), "", 'Data Entry'!N483)</f>
      </c>
      <c r="O483">
        <f>IF(ISBLANK('Data Entry'!O483), "", 'Data Entry'!O483)</f>
      </c>
      <c r="P483">
        <f>IF(ISBLANK('Data Entry'!P483), "", 'Data Entry'!P483)</f>
      </c>
      <c r="Q483">
        <f>IF(ISBLANK('Data Entry'!Q483), "", 'Data Entry'!Q483)</f>
      </c>
      <c r="R483">
        <f>IF(ISBLANK('Data Entry'!R483), "", 'Data Entry'!R483)</f>
      </c>
      <c r="S483">
        <f>IF(ISBLANK('Data Entry'!S483), "", 'Data Entry'!S483)</f>
      </c>
      <c r="T483">
        <f>IF(ISBLANK('Data Entry'!T483), "", 'Data Entry'!T483)</f>
      </c>
      <c r="U483">
        <f>IF(ISBLANK('Data Entry'!U483), "", 'Data Entry'!U483)</f>
      </c>
      <c r="V483">
        <f>IF(ISBLANK('Data Entry'!V483), "", 'Data Entry'!V483)</f>
      </c>
      <c r="W483">
        <f>IF(ISBLANK('Data Entry'!W483), "", 'Data Entry'!W483)</f>
      </c>
      <c r="X483">
        <f>IF(ISBLANK('Data Entry'!X483), "", 'Data Entry'!X483)</f>
      </c>
      <c r="Y483">
        <f>IF(ISBLANK('Data Entry'!Y483), "", 'Data Entry'!Y483)</f>
      </c>
      <c r="Z483">
        <f>IF(ISBLANK('Data Entry'!Z483), "", 'Data Entry'!Z483)</f>
      </c>
      <c r="AA483">
        <f>IF(ISBLANK('Data Entry'![483), "", 'Data Entry'![483)</f>
      </c>
      <c r="AB483">
        <f>IF(ISBLANK('Data Entry'!\483), "", 'Data Entry'!\483)</f>
      </c>
      <c r="AC483">
        <f>IF(ISBLANK('Data Entry'!]483), "", 'Data Entry'!]483)</f>
      </c>
      <c r="AD483">
        <f>IF(ISBLANK('Data Entry'!^483), "", 'Data Entry'!^483)</f>
      </c>
      <c r="AE483">
        <f>IF(ISBLANK('Data Entry'!_483), "", 'Data Entry'!_483)</f>
      </c>
      <c r="AF483">
        <f>IF(ISBLANK('Data Entry'!`483), "", 'Data Entry'!`483)</f>
      </c>
      <c r="AG483">
        <f>IF(ISBLANK('Data Entry'!a483), "", 'Data Entry'!a483)</f>
      </c>
      <c r="AH483">
        <f>IF(ISBLANK('Data Entry'!b483), "", 'Data Entry'!b483)</f>
      </c>
      <c r="AI483">
        <f>IF(ISBLANK('Data Entry'!c483), "", 'Data Entry'!c483)</f>
      </c>
      <c r="AJ483">
        <f>IF(ISBLANK('Data Entry'!d483), "", 'Data Entry'!d483)</f>
      </c>
      <c r="AK483">
        <f>IF(ISBLANK('Data Entry'!e483), "", 'Data Entry'!e483)</f>
      </c>
      <c r="AL483">
        <f>IF(ISBLANK('Data Entry'!f483), "", 'Data Entry'!f483)</f>
      </c>
      <c r="AM483">
        <f>IF(ISBLANK('Data Entry'!g483), "", 'Data Entry'!g483)</f>
      </c>
      <c r="AN483">
        <f>IF(ISBLANK('Data Entry'!h483), "", 'Data Entry'!h483)</f>
      </c>
    </row>
    <row r="484" spans="1:40" x14ac:dyDescent="0.25">
      <c r="A484">
        <f>IF(ISBLANK('Data Entry'!A484), "", 'Data Entry'!A484)</f>
      </c>
      <c r="B484">
        <f>IF(ISBLANK('Data Entry'!B484), "", 'Data Entry'!B484)</f>
      </c>
      <c r="C484">
        <f>IF(ISBLANK('Data Entry'!C484), "", 'Data Entry'!C484)</f>
      </c>
      <c r="D484">
        <f>IF(ISBLANK('Data Entry'!D484), "", 'Data Entry'!D484)</f>
      </c>
      <c r="E484">
        <f>IF(ISBLANK('Data Entry'!E484), "", 'Data Entry'!E484)</f>
      </c>
      <c r="F484">
        <f>IF(ISBLANK('Data Entry'!F484), "", 'Data Entry'!F484)</f>
      </c>
      <c r="G484">
        <f>IF(ISBLANK('Data Entry'!G484), "", 'Data Entry'!G484)</f>
      </c>
      <c r="H484">
        <f>IF(ISBLANK('Data Entry'!H484), "", 'Data Entry'!H484)</f>
      </c>
      <c r="I484">
        <f>IF(ISBLANK('Data Entry'!I484), "", 'Data Entry'!I484)</f>
      </c>
      <c r="J484">
        <f>IF(ISBLANK('Data Entry'!J484), "", 'Data Entry'!J484)</f>
      </c>
      <c r="K484">
        <f>IF(ISBLANK('Data Entry'!K484), "", 'Data Entry'!K484)</f>
      </c>
      <c r="L484">
        <f>IF(ISBLANK('Data Entry'!L484), "", 'Data Entry'!L484)</f>
      </c>
      <c r="M484">
        <f>IF(ISBLANK('Data Entry'!M484), "", 'Data Entry'!M484)</f>
      </c>
      <c r="N484">
        <f>IF(ISBLANK('Data Entry'!N484), "", 'Data Entry'!N484)</f>
      </c>
      <c r="O484">
        <f>IF(ISBLANK('Data Entry'!O484), "", 'Data Entry'!O484)</f>
      </c>
      <c r="P484">
        <f>IF(ISBLANK('Data Entry'!P484), "", 'Data Entry'!P484)</f>
      </c>
      <c r="Q484">
        <f>IF(ISBLANK('Data Entry'!Q484), "", 'Data Entry'!Q484)</f>
      </c>
      <c r="R484">
        <f>IF(ISBLANK('Data Entry'!R484), "", 'Data Entry'!R484)</f>
      </c>
      <c r="S484">
        <f>IF(ISBLANK('Data Entry'!S484), "", 'Data Entry'!S484)</f>
      </c>
      <c r="T484">
        <f>IF(ISBLANK('Data Entry'!T484), "", 'Data Entry'!T484)</f>
      </c>
      <c r="U484">
        <f>IF(ISBLANK('Data Entry'!U484), "", 'Data Entry'!U484)</f>
      </c>
      <c r="V484">
        <f>IF(ISBLANK('Data Entry'!V484), "", 'Data Entry'!V484)</f>
      </c>
      <c r="W484">
        <f>IF(ISBLANK('Data Entry'!W484), "", 'Data Entry'!W484)</f>
      </c>
      <c r="X484">
        <f>IF(ISBLANK('Data Entry'!X484), "", 'Data Entry'!X484)</f>
      </c>
      <c r="Y484">
        <f>IF(ISBLANK('Data Entry'!Y484), "", 'Data Entry'!Y484)</f>
      </c>
      <c r="Z484">
        <f>IF(ISBLANK('Data Entry'!Z484), "", 'Data Entry'!Z484)</f>
      </c>
      <c r="AA484">
        <f>IF(ISBLANK('Data Entry'![484), "", 'Data Entry'![484)</f>
      </c>
      <c r="AB484">
        <f>IF(ISBLANK('Data Entry'!\484), "", 'Data Entry'!\484)</f>
      </c>
      <c r="AC484">
        <f>IF(ISBLANK('Data Entry'!]484), "", 'Data Entry'!]484)</f>
      </c>
      <c r="AD484">
        <f>IF(ISBLANK('Data Entry'!^484), "", 'Data Entry'!^484)</f>
      </c>
      <c r="AE484">
        <f>IF(ISBLANK('Data Entry'!_484), "", 'Data Entry'!_484)</f>
      </c>
      <c r="AF484">
        <f>IF(ISBLANK('Data Entry'!`484), "", 'Data Entry'!`484)</f>
      </c>
      <c r="AG484">
        <f>IF(ISBLANK('Data Entry'!a484), "", 'Data Entry'!a484)</f>
      </c>
      <c r="AH484">
        <f>IF(ISBLANK('Data Entry'!b484), "", 'Data Entry'!b484)</f>
      </c>
      <c r="AI484">
        <f>IF(ISBLANK('Data Entry'!c484), "", 'Data Entry'!c484)</f>
      </c>
      <c r="AJ484">
        <f>IF(ISBLANK('Data Entry'!d484), "", 'Data Entry'!d484)</f>
      </c>
      <c r="AK484">
        <f>IF(ISBLANK('Data Entry'!e484), "", 'Data Entry'!e484)</f>
      </c>
      <c r="AL484">
        <f>IF(ISBLANK('Data Entry'!f484), "", 'Data Entry'!f484)</f>
      </c>
      <c r="AM484">
        <f>IF(ISBLANK('Data Entry'!g484), "", 'Data Entry'!g484)</f>
      </c>
      <c r="AN484">
        <f>IF(ISBLANK('Data Entry'!h484), "", 'Data Entry'!h484)</f>
      </c>
    </row>
    <row r="485" spans="1:40" x14ac:dyDescent="0.25">
      <c r="A485">
        <f>IF(ISBLANK('Data Entry'!A485), "", 'Data Entry'!A485)</f>
      </c>
      <c r="B485">
        <f>IF(ISBLANK('Data Entry'!B485), "", 'Data Entry'!B485)</f>
      </c>
      <c r="C485">
        <f>IF(ISBLANK('Data Entry'!C485), "", 'Data Entry'!C485)</f>
      </c>
      <c r="D485">
        <f>IF(ISBLANK('Data Entry'!D485), "", 'Data Entry'!D485)</f>
      </c>
      <c r="E485">
        <f>IF(ISBLANK('Data Entry'!E485), "", 'Data Entry'!E485)</f>
      </c>
      <c r="F485">
        <f>IF(ISBLANK('Data Entry'!F485), "", 'Data Entry'!F485)</f>
      </c>
      <c r="G485">
        <f>IF(ISBLANK('Data Entry'!G485), "", 'Data Entry'!G485)</f>
      </c>
      <c r="H485">
        <f>IF(ISBLANK('Data Entry'!H485), "", 'Data Entry'!H485)</f>
      </c>
      <c r="I485">
        <f>IF(ISBLANK('Data Entry'!I485), "", 'Data Entry'!I485)</f>
      </c>
      <c r="J485">
        <f>IF(ISBLANK('Data Entry'!J485), "", 'Data Entry'!J485)</f>
      </c>
      <c r="K485">
        <f>IF(ISBLANK('Data Entry'!K485), "", 'Data Entry'!K485)</f>
      </c>
      <c r="L485">
        <f>IF(ISBLANK('Data Entry'!L485), "", 'Data Entry'!L485)</f>
      </c>
      <c r="M485">
        <f>IF(ISBLANK('Data Entry'!M485), "", 'Data Entry'!M485)</f>
      </c>
      <c r="N485">
        <f>IF(ISBLANK('Data Entry'!N485), "", 'Data Entry'!N485)</f>
      </c>
      <c r="O485">
        <f>IF(ISBLANK('Data Entry'!O485), "", 'Data Entry'!O485)</f>
      </c>
      <c r="P485">
        <f>IF(ISBLANK('Data Entry'!P485), "", 'Data Entry'!P485)</f>
      </c>
      <c r="Q485">
        <f>IF(ISBLANK('Data Entry'!Q485), "", 'Data Entry'!Q485)</f>
      </c>
      <c r="R485">
        <f>IF(ISBLANK('Data Entry'!R485), "", 'Data Entry'!R485)</f>
      </c>
      <c r="S485">
        <f>IF(ISBLANK('Data Entry'!S485), "", 'Data Entry'!S485)</f>
      </c>
      <c r="T485">
        <f>IF(ISBLANK('Data Entry'!T485), "", 'Data Entry'!T485)</f>
      </c>
      <c r="U485">
        <f>IF(ISBLANK('Data Entry'!U485), "", 'Data Entry'!U485)</f>
      </c>
      <c r="V485">
        <f>IF(ISBLANK('Data Entry'!V485), "", 'Data Entry'!V485)</f>
      </c>
      <c r="W485">
        <f>IF(ISBLANK('Data Entry'!W485), "", 'Data Entry'!W485)</f>
      </c>
      <c r="X485">
        <f>IF(ISBLANK('Data Entry'!X485), "", 'Data Entry'!X485)</f>
      </c>
      <c r="Y485">
        <f>IF(ISBLANK('Data Entry'!Y485), "", 'Data Entry'!Y485)</f>
      </c>
      <c r="Z485">
        <f>IF(ISBLANK('Data Entry'!Z485), "", 'Data Entry'!Z485)</f>
      </c>
      <c r="AA485">
        <f>IF(ISBLANK('Data Entry'![485), "", 'Data Entry'![485)</f>
      </c>
      <c r="AB485">
        <f>IF(ISBLANK('Data Entry'!\485), "", 'Data Entry'!\485)</f>
      </c>
      <c r="AC485">
        <f>IF(ISBLANK('Data Entry'!]485), "", 'Data Entry'!]485)</f>
      </c>
      <c r="AD485">
        <f>IF(ISBLANK('Data Entry'!^485), "", 'Data Entry'!^485)</f>
      </c>
      <c r="AE485">
        <f>IF(ISBLANK('Data Entry'!_485), "", 'Data Entry'!_485)</f>
      </c>
      <c r="AF485">
        <f>IF(ISBLANK('Data Entry'!`485), "", 'Data Entry'!`485)</f>
      </c>
      <c r="AG485">
        <f>IF(ISBLANK('Data Entry'!a485), "", 'Data Entry'!a485)</f>
      </c>
      <c r="AH485">
        <f>IF(ISBLANK('Data Entry'!b485), "", 'Data Entry'!b485)</f>
      </c>
      <c r="AI485">
        <f>IF(ISBLANK('Data Entry'!c485), "", 'Data Entry'!c485)</f>
      </c>
      <c r="AJ485">
        <f>IF(ISBLANK('Data Entry'!d485), "", 'Data Entry'!d485)</f>
      </c>
      <c r="AK485">
        <f>IF(ISBLANK('Data Entry'!e485), "", 'Data Entry'!e485)</f>
      </c>
      <c r="AL485">
        <f>IF(ISBLANK('Data Entry'!f485), "", 'Data Entry'!f485)</f>
      </c>
      <c r="AM485">
        <f>IF(ISBLANK('Data Entry'!g485), "", 'Data Entry'!g485)</f>
      </c>
      <c r="AN485">
        <f>IF(ISBLANK('Data Entry'!h485), "", 'Data Entry'!h485)</f>
      </c>
    </row>
    <row r="486" spans="1:40" x14ac:dyDescent="0.25">
      <c r="A486">
        <f>IF(ISBLANK('Data Entry'!A486), "", 'Data Entry'!A486)</f>
      </c>
      <c r="B486">
        <f>IF(ISBLANK('Data Entry'!B486), "", 'Data Entry'!B486)</f>
      </c>
      <c r="C486">
        <f>IF(ISBLANK('Data Entry'!C486), "", 'Data Entry'!C486)</f>
      </c>
      <c r="D486">
        <f>IF(ISBLANK('Data Entry'!D486), "", 'Data Entry'!D486)</f>
      </c>
      <c r="E486">
        <f>IF(ISBLANK('Data Entry'!E486), "", 'Data Entry'!E486)</f>
      </c>
      <c r="F486">
        <f>IF(ISBLANK('Data Entry'!F486), "", 'Data Entry'!F486)</f>
      </c>
      <c r="G486">
        <f>IF(ISBLANK('Data Entry'!G486), "", 'Data Entry'!G486)</f>
      </c>
      <c r="H486">
        <f>IF(ISBLANK('Data Entry'!H486), "", 'Data Entry'!H486)</f>
      </c>
      <c r="I486">
        <f>IF(ISBLANK('Data Entry'!I486), "", 'Data Entry'!I486)</f>
      </c>
      <c r="J486">
        <f>IF(ISBLANK('Data Entry'!J486), "", 'Data Entry'!J486)</f>
      </c>
      <c r="K486">
        <f>IF(ISBLANK('Data Entry'!K486), "", 'Data Entry'!K486)</f>
      </c>
      <c r="L486">
        <f>IF(ISBLANK('Data Entry'!L486), "", 'Data Entry'!L486)</f>
      </c>
      <c r="M486">
        <f>IF(ISBLANK('Data Entry'!M486), "", 'Data Entry'!M486)</f>
      </c>
      <c r="N486">
        <f>IF(ISBLANK('Data Entry'!N486), "", 'Data Entry'!N486)</f>
      </c>
      <c r="O486">
        <f>IF(ISBLANK('Data Entry'!O486), "", 'Data Entry'!O486)</f>
      </c>
      <c r="P486">
        <f>IF(ISBLANK('Data Entry'!P486), "", 'Data Entry'!P486)</f>
      </c>
      <c r="Q486">
        <f>IF(ISBLANK('Data Entry'!Q486), "", 'Data Entry'!Q486)</f>
      </c>
      <c r="R486">
        <f>IF(ISBLANK('Data Entry'!R486), "", 'Data Entry'!R486)</f>
      </c>
      <c r="S486">
        <f>IF(ISBLANK('Data Entry'!S486), "", 'Data Entry'!S486)</f>
      </c>
      <c r="T486">
        <f>IF(ISBLANK('Data Entry'!T486), "", 'Data Entry'!T486)</f>
      </c>
      <c r="U486">
        <f>IF(ISBLANK('Data Entry'!U486), "", 'Data Entry'!U486)</f>
      </c>
      <c r="V486">
        <f>IF(ISBLANK('Data Entry'!V486), "", 'Data Entry'!V486)</f>
      </c>
      <c r="W486">
        <f>IF(ISBLANK('Data Entry'!W486), "", 'Data Entry'!W486)</f>
      </c>
      <c r="X486">
        <f>IF(ISBLANK('Data Entry'!X486), "", 'Data Entry'!X486)</f>
      </c>
      <c r="Y486">
        <f>IF(ISBLANK('Data Entry'!Y486), "", 'Data Entry'!Y486)</f>
      </c>
      <c r="Z486">
        <f>IF(ISBLANK('Data Entry'!Z486), "", 'Data Entry'!Z486)</f>
      </c>
      <c r="AA486">
        <f>IF(ISBLANK('Data Entry'![486), "", 'Data Entry'![486)</f>
      </c>
      <c r="AB486">
        <f>IF(ISBLANK('Data Entry'!\486), "", 'Data Entry'!\486)</f>
      </c>
      <c r="AC486">
        <f>IF(ISBLANK('Data Entry'!]486), "", 'Data Entry'!]486)</f>
      </c>
      <c r="AD486">
        <f>IF(ISBLANK('Data Entry'!^486), "", 'Data Entry'!^486)</f>
      </c>
      <c r="AE486">
        <f>IF(ISBLANK('Data Entry'!_486), "", 'Data Entry'!_486)</f>
      </c>
      <c r="AF486">
        <f>IF(ISBLANK('Data Entry'!`486), "", 'Data Entry'!`486)</f>
      </c>
      <c r="AG486">
        <f>IF(ISBLANK('Data Entry'!a486), "", 'Data Entry'!a486)</f>
      </c>
      <c r="AH486">
        <f>IF(ISBLANK('Data Entry'!b486), "", 'Data Entry'!b486)</f>
      </c>
      <c r="AI486">
        <f>IF(ISBLANK('Data Entry'!c486), "", 'Data Entry'!c486)</f>
      </c>
      <c r="AJ486">
        <f>IF(ISBLANK('Data Entry'!d486), "", 'Data Entry'!d486)</f>
      </c>
      <c r="AK486">
        <f>IF(ISBLANK('Data Entry'!e486), "", 'Data Entry'!e486)</f>
      </c>
      <c r="AL486">
        <f>IF(ISBLANK('Data Entry'!f486), "", 'Data Entry'!f486)</f>
      </c>
      <c r="AM486">
        <f>IF(ISBLANK('Data Entry'!g486), "", 'Data Entry'!g486)</f>
      </c>
      <c r="AN486">
        <f>IF(ISBLANK('Data Entry'!h486), "", 'Data Entry'!h486)</f>
      </c>
    </row>
    <row r="487" spans="1:40" x14ac:dyDescent="0.25">
      <c r="A487">
        <f>IF(ISBLANK('Data Entry'!A487), "", 'Data Entry'!A487)</f>
      </c>
      <c r="B487">
        <f>IF(ISBLANK('Data Entry'!B487), "", 'Data Entry'!B487)</f>
      </c>
      <c r="C487">
        <f>IF(ISBLANK('Data Entry'!C487), "", 'Data Entry'!C487)</f>
      </c>
      <c r="D487">
        <f>IF(ISBLANK('Data Entry'!D487), "", 'Data Entry'!D487)</f>
      </c>
      <c r="E487">
        <f>IF(ISBLANK('Data Entry'!E487), "", 'Data Entry'!E487)</f>
      </c>
      <c r="F487">
        <f>IF(ISBLANK('Data Entry'!F487), "", 'Data Entry'!F487)</f>
      </c>
      <c r="G487">
        <f>IF(ISBLANK('Data Entry'!G487), "", 'Data Entry'!G487)</f>
      </c>
      <c r="H487">
        <f>IF(ISBLANK('Data Entry'!H487), "", 'Data Entry'!H487)</f>
      </c>
      <c r="I487">
        <f>IF(ISBLANK('Data Entry'!I487), "", 'Data Entry'!I487)</f>
      </c>
      <c r="J487">
        <f>IF(ISBLANK('Data Entry'!J487), "", 'Data Entry'!J487)</f>
      </c>
      <c r="K487">
        <f>IF(ISBLANK('Data Entry'!K487), "", 'Data Entry'!K487)</f>
      </c>
      <c r="L487">
        <f>IF(ISBLANK('Data Entry'!L487), "", 'Data Entry'!L487)</f>
      </c>
      <c r="M487">
        <f>IF(ISBLANK('Data Entry'!M487), "", 'Data Entry'!M487)</f>
      </c>
      <c r="N487">
        <f>IF(ISBLANK('Data Entry'!N487), "", 'Data Entry'!N487)</f>
      </c>
      <c r="O487">
        <f>IF(ISBLANK('Data Entry'!O487), "", 'Data Entry'!O487)</f>
      </c>
      <c r="P487">
        <f>IF(ISBLANK('Data Entry'!P487), "", 'Data Entry'!P487)</f>
      </c>
      <c r="Q487">
        <f>IF(ISBLANK('Data Entry'!Q487), "", 'Data Entry'!Q487)</f>
      </c>
      <c r="R487">
        <f>IF(ISBLANK('Data Entry'!R487), "", 'Data Entry'!R487)</f>
      </c>
      <c r="S487">
        <f>IF(ISBLANK('Data Entry'!S487), "", 'Data Entry'!S487)</f>
      </c>
      <c r="T487">
        <f>IF(ISBLANK('Data Entry'!T487), "", 'Data Entry'!T487)</f>
      </c>
      <c r="U487">
        <f>IF(ISBLANK('Data Entry'!U487), "", 'Data Entry'!U487)</f>
      </c>
      <c r="V487">
        <f>IF(ISBLANK('Data Entry'!V487), "", 'Data Entry'!V487)</f>
      </c>
      <c r="W487">
        <f>IF(ISBLANK('Data Entry'!W487), "", 'Data Entry'!W487)</f>
      </c>
      <c r="X487">
        <f>IF(ISBLANK('Data Entry'!X487), "", 'Data Entry'!X487)</f>
      </c>
      <c r="Y487">
        <f>IF(ISBLANK('Data Entry'!Y487), "", 'Data Entry'!Y487)</f>
      </c>
      <c r="Z487">
        <f>IF(ISBLANK('Data Entry'!Z487), "", 'Data Entry'!Z487)</f>
      </c>
      <c r="AA487">
        <f>IF(ISBLANK('Data Entry'![487), "", 'Data Entry'![487)</f>
      </c>
      <c r="AB487">
        <f>IF(ISBLANK('Data Entry'!\487), "", 'Data Entry'!\487)</f>
      </c>
      <c r="AC487">
        <f>IF(ISBLANK('Data Entry'!]487), "", 'Data Entry'!]487)</f>
      </c>
      <c r="AD487">
        <f>IF(ISBLANK('Data Entry'!^487), "", 'Data Entry'!^487)</f>
      </c>
      <c r="AE487">
        <f>IF(ISBLANK('Data Entry'!_487), "", 'Data Entry'!_487)</f>
      </c>
      <c r="AF487">
        <f>IF(ISBLANK('Data Entry'!`487), "", 'Data Entry'!`487)</f>
      </c>
      <c r="AG487">
        <f>IF(ISBLANK('Data Entry'!a487), "", 'Data Entry'!a487)</f>
      </c>
      <c r="AH487">
        <f>IF(ISBLANK('Data Entry'!b487), "", 'Data Entry'!b487)</f>
      </c>
      <c r="AI487">
        <f>IF(ISBLANK('Data Entry'!c487), "", 'Data Entry'!c487)</f>
      </c>
      <c r="AJ487">
        <f>IF(ISBLANK('Data Entry'!d487), "", 'Data Entry'!d487)</f>
      </c>
      <c r="AK487">
        <f>IF(ISBLANK('Data Entry'!e487), "", 'Data Entry'!e487)</f>
      </c>
      <c r="AL487">
        <f>IF(ISBLANK('Data Entry'!f487), "", 'Data Entry'!f487)</f>
      </c>
      <c r="AM487">
        <f>IF(ISBLANK('Data Entry'!g487), "", 'Data Entry'!g487)</f>
      </c>
      <c r="AN487">
        <f>IF(ISBLANK('Data Entry'!h487), "", 'Data Entry'!h487)</f>
      </c>
    </row>
    <row r="488" spans="1:40" x14ac:dyDescent="0.25">
      <c r="A488">
        <f>IF(ISBLANK('Data Entry'!A488), "", 'Data Entry'!A488)</f>
      </c>
      <c r="B488">
        <f>IF(ISBLANK('Data Entry'!B488), "", 'Data Entry'!B488)</f>
      </c>
      <c r="C488">
        <f>IF(ISBLANK('Data Entry'!C488), "", 'Data Entry'!C488)</f>
      </c>
      <c r="D488">
        <f>IF(ISBLANK('Data Entry'!D488), "", 'Data Entry'!D488)</f>
      </c>
      <c r="E488">
        <f>IF(ISBLANK('Data Entry'!E488), "", 'Data Entry'!E488)</f>
      </c>
      <c r="F488">
        <f>IF(ISBLANK('Data Entry'!F488), "", 'Data Entry'!F488)</f>
      </c>
      <c r="G488">
        <f>IF(ISBLANK('Data Entry'!G488), "", 'Data Entry'!G488)</f>
      </c>
      <c r="H488">
        <f>IF(ISBLANK('Data Entry'!H488), "", 'Data Entry'!H488)</f>
      </c>
      <c r="I488">
        <f>IF(ISBLANK('Data Entry'!I488), "", 'Data Entry'!I488)</f>
      </c>
      <c r="J488">
        <f>IF(ISBLANK('Data Entry'!J488), "", 'Data Entry'!J488)</f>
      </c>
      <c r="K488">
        <f>IF(ISBLANK('Data Entry'!K488), "", 'Data Entry'!K488)</f>
      </c>
      <c r="L488">
        <f>IF(ISBLANK('Data Entry'!L488), "", 'Data Entry'!L488)</f>
      </c>
      <c r="M488">
        <f>IF(ISBLANK('Data Entry'!M488), "", 'Data Entry'!M488)</f>
      </c>
      <c r="N488">
        <f>IF(ISBLANK('Data Entry'!N488), "", 'Data Entry'!N488)</f>
      </c>
      <c r="O488">
        <f>IF(ISBLANK('Data Entry'!O488), "", 'Data Entry'!O488)</f>
      </c>
      <c r="P488">
        <f>IF(ISBLANK('Data Entry'!P488), "", 'Data Entry'!P488)</f>
      </c>
      <c r="Q488">
        <f>IF(ISBLANK('Data Entry'!Q488), "", 'Data Entry'!Q488)</f>
      </c>
      <c r="R488">
        <f>IF(ISBLANK('Data Entry'!R488), "", 'Data Entry'!R488)</f>
      </c>
      <c r="S488">
        <f>IF(ISBLANK('Data Entry'!S488), "", 'Data Entry'!S488)</f>
      </c>
      <c r="T488">
        <f>IF(ISBLANK('Data Entry'!T488), "", 'Data Entry'!T488)</f>
      </c>
      <c r="U488">
        <f>IF(ISBLANK('Data Entry'!U488), "", 'Data Entry'!U488)</f>
      </c>
      <c r="V488">
        <f>IF(ISBLANK('Data Entry'!V488), "", 'Data Entry'!V488)</f>
      </c>
      <c r="W488">
        <f>IF(ISBLANK('Data Entry'!W488), "", 'Data Entry'!W488)</f>
      </c>
      <c r="X488">
        <f>IF(ISBLANK('Data Entry'!X488), "", 'Data Entry'!X488)</f>
      </c>
      <c r="Y488">
        <f>IF(ISBLANK('Data Entry'!Y488), "", 'Data Entry'!Y488)</f>
      </c>
      <c r="Z488">
        <f>IF(ISBLANK('Data Entry'!Z488), "", 'Data Entry'!Z488)</f>
      </c>
      <c r="AA488">
        <f>IF(ISBLANK('Data Entry'![488), "", 'Data Entry'![488)</f>
      </c>
      <c r="AB488">
        <f>IF(ISBLANK('Data Entry'!\488), "", 'Data Entry'!\488)</f>
      </c>
      <c r="AC488">
        <f>IF(ISBLANK('Data Entry'!]488), "", 'Data Entry'!]488)</f>
      </c>
      <c r="AD488">
        <f>IF(ISBLANK('Data Entry'!^488), "", 'Data Entry'!^488)</f>
      </c>
      <c r="AE488">
        <f>IF(ISBLANK('Data Entry'!_488), "", 'Data Entry'!_488)</f>
      </c>
      <c r="AF488">
        <f>IF(ISBLANK('Data Entry'!`488), "", 'Data Entry'!`488)</f>
      </c>
      <c r="AG488">
        <f>IF(ISBLANK('Data Entry'!a488), "", 'Data Entry'!a488)</f>
      </c>
      <c r="AH488">
        <f>IF(ISBLANK('Data Entry'!b488), "", 'Data Entry'!b488)</f>
      </c>
      <c r="AI488">
        <f>IF(ISBLANK('Data Entry'!c488), "", 'Data Entry'!c488)</f>
      </c>
      <c r="AJ488">
        <f>IF(ISBLANK('Data Entry'!d488), "", 'Data Entry'!d488)</f>
      </c>
      <c r="AK488">
        <f>IF(ISBLANK('Data Entry'!e488), "", 'Data Entry'!e488)</f>
      </c>
      <c r="AL488">
        <f>IF(ISBLANK('Data Entry'!f488), "", 'Data Entry'!f488)</f>
      </c>
      <c r="AM488">
        <f>IF(ISBLANK('Data Entry'!g488), "", 'Data Entry'!g488)</f>
      </c>
      <c r="AN488">
        <f>IF(ISBLANK('Data Entry'!h488), "", 'Data Entry'!h488)</f>
      </c>
    </row>
    <row r="489" spans="1:40" x14ac:dyDescent="0.25">
      <c r="A489">
        <f>IF(ISBLANK('Data Entry'!A489), "", 'Data Entry'!A489)</f>
      </c>
      <c r="B489">
        <f>IF(ISBLANK('Data Entry'!B489), "", 'Data Entry'!B489)</f>
      </c>
      <c r="C489">
        <f>IF(ISBLANK('Data Entry'!C489), "", 'Data Entry'!C489)</f>
      </c>
      <c r="D489">
        <f>IF(ISBLANK('Data Entry'!D489), "", 'Data Entry'!D489)</f>
      </c>
      <c r="E489">
        <f>IF(ISBLANK('Data Entry'!E489), "", 'Data Entry'!E489)</f>
      </c>
      <c r="F489">
        <f>IF(ISBLANK('Data Entry'!F489), "", 'Data Entry'!F489)</f>
      </c>
      <c r="G489">
        <f>IF(ISBLANK('Data Entry'!G489), "", 'Data Entry'!G489)</f>
      </c>
      <c r="H489">
        <f>IF(ISBLANK('Data Entry'!H489), "", 'Data Entry'!H489)</f>
      </c>
      <c r="I489">
        <f>IF(ISBLANK('Data Entry'!I489), "", 'Data Entry'!I489)</f>
      </c>
      <c r="J489">
        <f>IF(ISBLANK('Data Entry'!J489), "", 'Data Entry'!J489)</f>
      </c>
      <c r="K489">
        <f>IF(ISBLANK('Data Entry'!K489), "", 'Data Entry'!K489)</f>
      </c>
      <c r="L489">
        <f>IF(ISBLANK('Data Entry'!L489), "", 'Data Entry'!L489)</f>
      </c>
      <c r="M489">
        <f>IF(ISBLANK('Data Entry'!M489), "", 'Data Entry'!M489)</f>
      </c>
      <c r="N489">
        <f>IF(ISBLANK('Data Entry'!N489), "", 'Data Entry'!N489)</f>
      </c>
      <c r="O489">
        <f>IF(ISBLANK('Data Entry'!O489), "", 'Data Entry'!O489)</f>
      </c>
      <c r="P489">
        <f>IF(ISBLANK('Data Entry'!P489), "", 'Data Entry'!P489)</f>
      </c>
      <c r="Q489">
        <f>IF(ISBLANK('Data Entry'!Q489), "", 'Data Entry'!Q489)</f>
      </c>
      <c r="R489">
        <f>IF(ISBLANK('Data Entry'!R489), "", 'Data Entry'!R489)</f>
      </c>
      <c r="S489">
        <f>IF(ISBLANK('Data Entry'!S489), "", 'Data Entry'!S489)</f>
      </c>
      <c r="T489">
        <f>IF(ISBLANK('Data Entry'!T489), "", 'Data Entry'!T489)</f>
      </c>
      <c r="U489">
        <f>IF(ISBLANK('Data Entry'!U489), "", 'Data Entry'!U489)</f>
      </c>
      <c r="V489">
        <f>IF(ISBLANK('Data Entry'!V489), "", 'Data Entry'!V489)</f>
      </c>
      <c r="W489">
        <f>IF(ISBLANK('Data Entry'!W489), "", 'Data Entry'!W489)</f>
      </c>
      <c r="X489">
        <f>IF(ISBLANK('Data Entry'!X489), "", 'Data Entry'!X489)</f>
      </c>
      <c r="Y489">
        <f>IF(ISBLANK('Data Entry'!Y489), "", 'Data Entry'!Y489)</f>
      </c>
      <c r="Z489">
        <f>IF(ISBLANK('Data Entry'!Z489), "", 'Data Entry'!Z489)</f>
      </c>
      <c r="AA489">
        <f>IF(ISBLANK('Data Entry'![489), "", 'Data Entry'![489)</f>
      </c>
      <c r="AB489">
        <f>IF(ISBLANK('Data Entry'!\489), "", 'Data Entry'!\489)</f>
      </c>
      <c r="AC489">
        <f>IF(ISBLANK('Data Entry'!]489), "", 'Data Entry'!]489)</f>
      </c>
      <c r="AD489">
        <f>IF(ISBLANK('Data Entry'!^489), "", 'Data Entry'!^489)</f>
      </c>
      <c r="AE489">
        <f>IF(ISBLANK('Data Entry'!_489), "", 'Data Entry'!_489)</f>
      </c>
      <c r="AF489">
        <f>IF(ISBLANK('Data Entry'!`489), "", 'Data Entry'!`489)</f>
      </c>
      <c r="AG489">
        <f>IF(ISBLANK('Data Entry'!a489), "", 'Data Entry'!a489)</f>
      </c>
      <c r="AH489">
        <f>IF(ISBLANK('Data Entry'!b489), "", 'Data Entry'!b489)</f>
      </c>
      <c r="AI489">
        <f>IF(ISBLANK('Data Entry'!c489), "", 'Data Entry'!c489)</f>
      </c>
      <c r="AJ489">
        <f>IF(ISBLANK('Data Entry'!d489), "", 'Data Entry'!d489)</f>
      </c>
      <c r="AK489">
        <f>IF(ISBLANK('Data Entry'!e489), "", 'Data Entry'!e489)</f>
      </c>
      <c r="AL489">
        <f>IF(ISBLANK('Data Entry'!f489), "", 'Data Entry'!f489)</f>
      </c>
      <c r="AM489">
        <f>IF(ISBLANK('Data Entry'!g489), "", 'Data Entry'!g489)</f>
      </c>
      <c r="AN489">
        <f>IF(ISBLANK('Data Entry'!h489), "", 'Data Entry'!h489)</f>
      </c>
    </row>
    <row r="490" spans="1:40" x14ac:dyDescent="0.25">
      <c r="A490">
        <f>IF(ISBLANK('Data Entry'!A490), "", 'Data Entry'!A490)</f>
      </c>
      <c r="B490">
        <f>IF(ISBLANK('Data Entry'!B490), "", 'Data Entry'!B490)</f>
      </c>
      <c r="C490">
        <f>IF(ISBLANK('Data Entry'!C490), "", 'Data Entry'!C490)</f>
      </c>
      <c r="D490">
        <f>IF(ISBLANK('Data Entry'!D490), "", 'Data Entry'!D490)</f>
      </c>
      <c r="E490">
        <f>IF(ISBLANK('Data Entry'!E490), "", 'Data Entry'!E490)</f>
      </c>
      <c r="F490">
        <f>IF(ISBLANK('Data Entry'!F490), "", 'Data Entry'!F490)</f>
      </c>
      <c r="G490">
        <f>IF(ISBLANK('Data Entry'!G490), "", 'Data Entry'!G490)</f>
      </c>
      <c r="H490">
        <f>IF(ISBLANK('Data Entry'!H490), "", 'Data Entry'!H490)</f>
      </c>
      <c r="I490">
        <f>IF(ISBLANK('Data Entry'!I490), "", 'Data Entry'!I490)</f>
      </c>
      <c r="J490">
        <f>IF(ISBLANK('Data Entry'!J490), "", 'Data Entry'!J490)</f>
      </c>
      <c r="K490">
        <f>IF(ISBLANK('Data Entry'!K490), "", 'Data Entry'!K490)</f>
      </c>
      <c r="L490">
        <f>IF(ISBLANK('Data Entry'!L490), "", 'Data Entry'!L490)</f>
      </c>
      <c r="M490">
        <f>IF(ISBLANK('Data Entry'!M490), "", 'Data Entry'!M490)</f>
      </c>
      <c r="N490">
        <f>IF(ISBLANK('Data Entry'!N490), "", 'Data Entry'!N490)</f>
      </c>
      <c r="O490">
        <f>IF(ISBLANK('Data Entry'!O490), "", 'Data Entry'!O490)</f>
      </c>
      <c r="P490">
        <f>IF(ISBLANK('Data Entry'!P490), "", 'Data Entry'!P490)</f>
      </c>
      <c r="Q490">
        <f>IF(ISBLANK('Data Entry'!Q490), "", 'Data Entry'!Q490)</f>
      </c>
      <c r="R490">
        <f>IF(ISBLANK('Data Entry'!R490), "", 'Data Entry'!R490)</f>
      </c>
      <c r="S490">
        <f>IF(ISBLANK('Data Entry'!S490), "", 'Data Entry'!S490)</f>
      </c>
      <c r="T490">
        <f>IF(ISBLANK('Data Entry'!T490), "", 'Data Entry'!T490)</f>
      </c>
      <c r="U490">
        <f>IF(ISBLANK('Data Entry'!U490), "", 'Data Entry'!U490)</f>
      </c>
      <c r="V490">
        <f>IF(ISBLANK('Data Entry'!V490), "", 'Data Entry'!V490)</f>
      </c>
      <c r="W490">
        <f>IF(ISBLANK('Data Entry'!W490), "", 'Data Entry'!W490)</f>
      </c>
      <c r="X490">
        <f>IF(ISBLANK('Data Entry'!X490), "", 'Data Entry'!X490)</f>
      </c>
      <c r="Y490">
        <f>IF(ISBLANK('Data Entry'!Y490), "", 'Data Entry'!Y490)</f>
      </c>
      <c r="Z490">
        <f>IF(ISBLANK('Data Entry'!Z490), "", 'Data Entry'!Z490)</f>
      </c>
      <c r="AA490">
        <f>IF(ISBLANK('Data Entry'![490), "", 'Data Entry'![490)</f>
      </c>
      <c r="AB490">
        <f>IF(ISBLANK('Data Entry'!\490), "", 'Data Entry'!\490)</f>
      </c>
      <c r="AC490">
        <f>IF(ISBLANK('Data Entry'!]490), "", 'Data Entry'!]490)</f>
      </c>
      <c r="AD490">
        <f>IF(ISBLANK('Data Entry'!^490), "", 'Data Entry'!^490)</f>
      </c>
      <c r="AE490">
        <f>IF(ISBLANK('Data Entry'!_490), "", 'Data Entry'!_490)</f>
      </c>
      <c r="AF490">
        <f>IF(ISBLANK('Data Entry'!`490), "", 'Data Entry'!`490)</f>
      </c>
      <c r="AG490">
        <f>IF(ISBLANK('Data Entry'!a490), "", 'Data Entry'!a490)</f>
      </c>
      <c r="AH490">
        <f>IF(ISBLANK('Data Entry'!b490), "", 'Data Entry'!b490)</f>
      </c>
      <c r="AI490">
        <f>IF(ISBLANK('Data Entry'!c490), "", 'Data Entry'!c490)</f>
      </c>
      <c r="AJ490">
        <f>IF(ISBLANK('Data Entry'!d490), "", 'Data Entry'!d490)</f>
      </c>
      <c r="AK490">
        <f>IF(ISBLANK('Data Entry'!e490), "", 'Data Entry'!e490)</f>
      </c>
      <c r="AL490">
        <f>IF(ISBLANK('Data Entry'!f490), "", 'Data Entry'!f490)</f>
      </c>
      <c r="AM490">
        <f>IF(ISBLANK('Data Entry'!g490), "", 'Data Entry'!g490)</f>
      </c>
      <c r="AN490">
        <f>IF(ISBLANK('Data Entry'!h490), "", 'Data Entry'!h490)</f>
      </c>
    </row>
    <row r="491" spans="1:40" x14ac:dyDescent="0.25">
      <c r="A491">
        <f>IF(ISBLANK('Data Entry'!A491), "", 'Data Entry'!A491)</f>
      </c>
      <c r="B491">
        <f>IF(ISBLANK('Data Entry'!B491), "", 'Data Entry'!B491)</f>
      </c>
      <c r="C491">
        <f>IF(ISBLANK('Data Entry'!C491), "", 'Data Entry'!C491)</f>
      </c>
      <c r="D491">
        <f>IF(ISBLANK('Data Entry'!D491), "", 'Data Entry'!D491)</f>
      </c>
      <c r="E491">
        <f>IF(ISBLANK('Data Entry'!E491), "", 'Data Entry'!E491)</f>
      </c>
      <c r="F491">
        <f>IF(ISBLANK('Data Entry'!F491), "", 'Data Entry'!F491)</f>
      </c>
      <c r="G491">
        <f>IF(ISBLANK('Data Entry'!G491), "", 'Data Entry'!G491)</f>
      </c>
      <c r="H491">
        <f>IF(ISBLANK('Data Entry'!H491), "", 'Data Entry'!H491)</f>
      </c>
      <c r="I491">
        <f>IF(ISBLANK('Data Entry'!I491), "", 'Data Entry'!I491)</f>
      </c>
      <c r="J491">
        <f>IF(ISBLANK('Data Entry'!J491), "", 'Data Entry'!J491)</f>
      </c>
      <c r="K491">
        <f>IF(ISBLANK('Data Entry'!K491), "", 'Data Entry'!K491)</f>
      </c>
      <c r="L491">
        <f>IF(ISBLANK('Data Entry'!L491), "", 'Data Entry'!L491)</f>
      </c>
      <c r="M491">
        <f>IF(ISBLANK('Data Entry'!M491), "", 'Data Entry'!M491)</f>
      </c>
      <c r="N491">
        <f>IF(ISBLANK('Data Entry'!N491), "", 'Data Entry'!N491)</f>
      </c>
      <c r="O491">
        <f>IF(ISBLANK('Data Entry'!O491), "", 'Data Entry'!O491)</f>
      </c>
      <c r="P491">
        <f>IF(ISBLANK('Data Entry'!P491), "", 'Data Entry'!P491)</f>
      </c>
      <c r="Q491">
        <f>IF(ISBLANK('Data Entry'!Q491), "", 'Data Entry'!Q491)</f>
      </c>
      <c r="R491">
        <f>IF(ISBLANK('Data Entry'!R491), "", 'Data Entry'!R491)</f>
      </c>
      <c r="S491">
        <f>IF(ISBLANK('Data Entry'!S491), "", 'Data Entry'!S491)</f>
      </c>
      <c r="T491">
        <f>IF(ISBLANK('Data Entry'!T491), "", 'Data Entry'!T491)</f>
      </c>
      <c r="U491">
        <f>IF(ISBLANK('Data Entry'!U491), "", 'Data Entry'!U491)</f>
      </c>
      <c r="V491">
        <f>IF(ISBLANK('Data Entry'!V491), "", 'Data Entry'!V491)</f>
      </c>
      <c r="W491">
        <f>IF(ISBLANK('Data Entry'!W491), "", 'Data Entry'!W491)</f>
      </c>
      <c r="X491">
        <f>IF(ISBLANK('Data Entry'!X491), "", 'Data Entry'!X491)</f>
      </c>
      <c r="Y491">
        <f>IF(ISBLANK('Data Entry'!Y491), "", 'Data Entry'!Y491)</f>
      </c>
      <c r="Z491">
        <f>IF(ISBLANK('Data Entry'!Z491), "", 'Data Entry'!Z491)</f>
      </c>
      <c r="AA491">
        <f>IF(ISBLANK('Data Entry'![491), "", 'Data Entry'![491)</f>
      </c>
      <c r="AB491">
        <f>IF(ISBLANK('Data Entry'!\491), "", 'Data Entry'!\491)</f>
      </c>
      <c r="AC491">
        <f>IF(ISBLANK('Data Entry'!]491), "", 'Data Entry'!]491)</f>
      </c>
      <c r="AD491">
        <f>IF(ISBLANK('Data Entry'!^491), "", 'Data Entry'!^491)</f>
      </c>
      <c r="AE491">
        <f>IF(ISBLANK('Data Entry'!_491), "", 'Data Entry'!_491)</f>
      </c>
      <c r="AF491">
        <f>IF(ISBLANK('Data Entry'!`491), "", 'Data Entry'!`491)</f>
      </c>
      <c r="AG491">
        <f>IF(ISBLANK('Data Entry'!a491), "", 'Data Entry'!a491)</f>
      </c>
      <c r="AH491">
        <f>IF(ISBLANK('Data Entry'!b491), "", 'Data Entry'!b491)</f>
      </c>
      <c r="AI491">
        <f>IF(ISBLANK('Data Entry'!c491), "", 'Data Entry'!c491)</f>
      </c>
      <c r="AJ491">
        <f>IF(ISBLANK('Data Entry'!d491), "", 'Data Entry'!d491)</f>
      </c>
      <c r="AK491">
        <f>IF(ISBLANK('Data Entry'!e491), "", 'Data Entry'!e491)</f>
      </c>
      <c r="AL491">
        <f>IF(ISBLANK('Data Entry'!f491), "", 'Data Entry'!f491)</f>
      </c>
      <c r="AM491">
        <f>IF(ISBLANK('Data Entry'!g491), "", 'Data Entry'!g491)</f>
      </c>
      <c r="AN491">
        <f>IF(ISBLANK('Data Entry'!h491), "", 'Data Entry'!h491)</f>
      </c>
    </row>
    <row r="492" spans="1:40" x14ac:dyDescent="0.25">
      <c r="A492">
        <f>IF(ISBLANK('Data Entry'!A492), "", 'Data Entry'!A492)</f>
      </c>
      <c r="B492">
        <f>IF(ISBLANK('Data Entry'!B492), "", 'Data Entry'!B492)</f>
      </c>
      <c r="C492">
        <f>IF(ISBLANK('Data Entry'!C492), "", 'Data Entry'!C492)</f>
      </c>
      <c r="D492">
        <f>IF(ISBLANK('Data Entry'!D492), "", 'Data Entry'!D492)</f>
      </c>
      <c r="E492">
        <f>IF(ISBLANK('Data Entry'!E492), "", 'Data Entry'!E492)</f>
      </c>
      <c r="F492">
        <f>IF(ISBLANK('Data Entry'!F492), "", 'Data Entry'!F492)</f>
      </c>
      <c r="G492">
        <f>IF(ISBLANK('Data Entry'!G492), "", 'Data Entry'!G492)</f>
      </c>
      <c r="H492">
        <f>IF(ISBLANK('Data Entry'!H492), "", 'Data Entry'!H492)</f>
      </c>
      <c r="I492">
        <f>IF(ISBLANK('Data Entry'!I492), "", 'Data Entry'!I492)</f>
      </c>
      <c r="J492">
        <f>IF(ISBLANK('Data Entry'!J492), "", 'Data Entry'!J492)</f>
      </c>
      <c r="K492">
        <f>IF(ISBLANK('Data Entry'!K492), "", 'Data Entry'!K492)</f>
      </c>
      <c r="L492">
        <f>IF(ISBLANK('Data Entry'!L492), "", 'Data Entry'!L492)</f>
      </c>
      <c r="M492">
        <f>IF(ISBLANK('Data Entry'!M492), "", 'Data Entry'!M492)</f>
      </c>
      <c r="N492">
        <f>IF(ISBLANK('Data Entry'!N492), "", 'Data Entry'!N492)</f>
      </c>
      <c r="O492">
        <f>IF(ISBLANK('Data Entry'!O492), "", 'Data Entry'!O492)</f>
      </c>
      <c r="P492">
        <f>IF(ISBLANK('Data Entry'!P492), "", 'Data Entry'!P492)</f>
      </c>
      <c r="Q492">
        <f>IF(ISBLANK('Data Entry'!Q492), "", 'Data Entry'!Q492)</f>
      </c>
      <c r="R492">
        <f>IF(ISBLANK('Data Entry'!R492), "", 'Data Entry'!R492)</f>
      </c>
      <c r="S492">
        <f>IF(ISBLANK('Data Entry'!S492), "", 'Data Entry'!S492)</f>
      </c>
      <c r="T492">
        <f>IF(ISBLANK('Data Entry'!T492), "", 'Data Entry'!T492)</f>
      </c>
      <c r="U492">
        <f>IF(ISBLANK('Data Entry'!U492), "", 'Data Entry'!U492)</f>
      </c>
      <c r="V492">
        <f>IF(ISBLANK('Data Entry'!V492), "", 'Data Entry'!V492)</f>
      </c>
      <c r="W492">
        <f>IF(ISBLANK('Data Entry'!W492), "", 'Data Entry'!W492)</f>
      </c>
      <c r="X492">
        <f>IF(ISBLANK('Data Entry'!X492), "", 'Data Entry'!X492)</f>
      </c>
      <c r="Y492">
        <f>IF(ISBLANK('Data Entry'!Y492), "", 'Data Entry'!Y492)</f>
      </c>
      <c r="Z492">
        <f>IF(ISBLANK('Data Entry'!Z492), "", 'Data Entry'!Z492)</f>
      </c>
      <c r="AA492">
        <f>IF(ISBLANK('Data Entry'![492), "", 'Data Entry'![492)</f>
      </c>
      <c r="AB492">
        <f>IF(ISBLANK('Data Entry'!\492), "", 'Data Entry'!\492)</f>
      </c>
      <c r="AC492">
        <f>IF(ISBLANK('Data Entry'!]492), "", 'Data Entry'!]492)</f>
      </c>
      <c r="AD492">
        <f>IF(ISBLANK('Data Entry'!^492), "", 'Data Entry'!^492)</f>
      </c>
      <c r="AE492">
        <f>IF(ISBLANK('Data Entry'!_492), "", 'Data Entry'!_492)</f>
      </c>
      <c r="AF492">
        <f>IF(ISBLANK('Data Entry'!`492), "", 'Data Entry'!`492)</f>
      </c>
      <c r="AG492">
        <f>IF(ISBLANK('Data Entry'!a492), "", 'Data Entry'!a492)</f>
      </c>
      <c r="AH492">
        <f>IF(ISBLANK('Data Entry'!b492), "", 'Data Entry'!b492)</f>
      </c>
      <c r="AI492">
        <f>IF(ISBLANK('Data Entry'!c492), "", 'Data Entry'!c492)</f>
      </c>
      <c r="AJ492">
        <f>IF(ISBLANK('Data Entry'!d492), "", 'Data Entry'!d492)</f>
      </c>
      <c r="AK492">
        <f>IF(ISBLANK('Data Entry'!e492), "", 'Data Entry'!e492)</f>
      </c>
      <c r="AL492">
        <f>IF(ISBLANK('Data Entry'!f492), "", 'Data Entry'!f492)</f>
      </c>
      <c r="AM492">
        <f>IF(ISBLANK('Data Entry'!g492), "", 'Data Entry'!g492)</f>
      </c>
      <c r="AN492">
        <f>IF(ISBLANK('Data Entry'!h492), "", 'Data Entry'!h492)</f>
      </c>
    </row>
    <row r="493" spans="1:40" x14ac:dyDescent="0.25">
      <c r="A493">
        <f>IF(ISBLANK('Data Entry'!A493), "", 'Data Entry'!A493)</f>
      </c>
      <c r="B493">
        <f>IF(ISBLANK('Data Entry'!B493), "", 'Data Entry'!B493)</f>
      </c>
      <c r="C493">
        <f>IF(ISBLANK('Data Entry'!C493), "", 'Data Entry'!C493)</f>
      </c>
      <c r="D493">
        <f>IF(ISBLANK('Data Entry'!D493), "", 'Data Entry'!D493)</f>
      </c>
      <c r="E493">
        <f>IF(ISBLANK('Data Entry'!E493), "", 'Data Entry'!E493)</f>
      </c>
      <c r="F493">
        <f>IF(ISBLANK('Data Entry'!F493), "", 'Data Entry'!F493)</f>
      </c>
      <c r="G493">
        <f>IF(ISBLANK('Data Entry'!G493), "", 'Data Entry'!G493)</f>
      </c>
      <c r="H493">
        <f>IF(ISBLANK('Data Entry'!H493), "", 'Data Entry'!H493)</f>
      </c>
      <c r="I493">
        <f>IF(ISBLANK('Data Entry'!I493), "", 'Data Entry'!I493)</f>
      </c>
      <c r="J493">
        <f>IF(ISBLANK('Data Entry'!J493), "", 'Data Entry'!J493)</f>
      </c>
      <c r="K493">
        <f>IF(ISBLANK('Data Entry'!K493), "", 'Data Entry'!K493)</f>
      </c>
      <c r="L493">
        <f>IF(ISBLANK('Data Entry'!L493), "", 'Data Entry'!L493)</f>
      </c>
      <c r="M493">
        <f>IF(ISBLANK('Data Entry'!M493), "", 'Data Entry'!M493)</f>
      </c>
      <c r="N493">
        <f>IF(ISBLANK('Data Entry'!N493), "", 'Data Entry'!N493)</f>
      </c>
      <c r="O493">
        <f>IF(ISBLANK('Data Entry'!O493), "", 'Data Entry'!O493)</f>
      </c>
      <c r="P493">
        <f>IF(ISBLANK('Data Entry'!P493), "", 'Data Entry'!P493)</f>
      </c>
      <c r="Q493">
        <f>IF(ISBLANK('Data Entry'!Q493), "", 'Data Entry'!Q493)</f>
      </c>
      <c r="R493">
        <f>IF(ISBLANK('Data Entry'!R493), "", 'Data Entry'!R493)</f>
      </c>
      <c r="S493">
        <f>IF(ISBLANK('Data Entry'!S493), "", 'Data Entry'!S493)</f>
      </c>
      <c r="T493">
        <f>IF(ISBLANK('Data Entry'!T493), "", 'Data Entry'!T493)</f>
      </c>
      <c r="U493">
        <f>IF(ISBLANK('Data Entry'!U493), "", 'Data Entry'!U493)</f>
      </c>
      <c r="V493">
        <f>IF(ISBLANK('Data Entry'!V493), "", 'Data Entry'!V493)</f>
      </c>
      <c r="W493">
        <f>IF(ISBLANK('Data Entry'!W493), "", 'Data Entry'!W493)</f>
      </c>
      <c r="X493">
        <f>IF(ISBLANK('Data Entry'!X493), "", 'Data Entry'!X493)</f>
      </c>
      <c r="Y493">
        <f>IF(ISBLANK('Data Entry'!Y493), "", 'Data Entry'!Y493)</f>
      </c>
      <c r="Z493">
        <f>IF(ISBLANK('Data Entry'!Z493), "", 'Data Entry'!Z493)</f>
      </c>
      <c r="AA493">
        <f>IF(ISBLANK('Data Entry'![493), "", 'Data Entry'![493)</f>
      </c>
      <c r="AB493">
        <f>IF(ISBLANK('Data Entry'!\493), "", 'Data Entry'!\493)</f>
      </c>
      <c r="AC493">
        <f>IF(ISBLANK('Data Entry'!]493), "", 'Data Entry'!]493)</f>
      </c>
      <c r="AD493">
        <f>IF(ISBLANK('Data Entry'!^493), "", 'Data Entry'!^493)</f>
      </c>
      <c r="AE493">
        <f>IF(ISBLANK('Data Entry'!_493), "", 'Data Entry'!_493)</f>
      </c>
      <c r="AF493">
        <f>IF(ISBLANK('Data Entry'!`493), "", 'Data Entry'!`493)</f>
      </c>
      <c r="AG493">
        <f>IF(ISBLANK('Data Entry'!a493), "", 'Data Entry'!a493)</f>
      </c>
      <c r="AH493">
        <f>IF(ISBLANK('Data Entry'!b493), "", 'Data Entry'!b493)</f>
      </c>
      <c r="AI493">
        <f>IF(ISBLANK('Data Entry'!c493), "", 'Data Entry'!c493)</f>
      </c>
      <c r="AJ493">
        <f>IF(ISBLANK('Data Entry'!d493), "", 'Data Entry'!d493)</f>
      </c>
      <c r="AK493">
        <f>IF(ISBLANK('Data Entry'!e493), "", 'Data Entry'!e493)</f>
      </c>
      <c r="AL493">
        <f>IF(ISBLANK('Data Entry'!f493), "", 'Data Entry'!f493)</f>
      </c>
      <c r="AM493">
        <f>IF(ISBLANK('Data Entry'!g493), "", 'Data Entry'!g493)</f>
      </c>
      <c r="AN493">
        <f>IF(ISBLANK('Data Entry'!h493), "", 'Data Entry'!h493)</f>
      </c>
    </row>
    <row r="494" spans="1:40" x14ac:dyDescent="0.25">
      <c r="A494">
        <f>IF(ISBLANK('Data Entry'!A494), "", 'Data Entry'!A494)</f>
      </c>
      <c r="B494">
        <f>IF(ISBLANK('Data Entry'!B494), "", 'Data Entry'!B494)</f>
      </c>
      <c r="C494">
        <f>IF(ISBLANK('Data Entry'!C494), "", 'Data Entry'!C494)</f>
      </c>
      <c r="D494">
        <f>IF(ISBLANK('Data Entry'!D494), "", 'Data Entry'!D494)</f>
      </c>
      <c r="E494">
        <f>IF(ISBLANK('Data Entry'!E494), "", 'Data Entry'!E494)</f>
      </c>
      <c r="F494">
        <f>IF(ISBLANK('Data Entry'!F494), "", 'Data Entry'!F494)</f>
      </c>
      <c r="G494">
        <f>IF(ISBLANK('Data Entry'!G494), "", 'Data Entry'!G494)</f>
      </c>
      <c r="H494">
        <f>IF(ISBLANK('Data Entry'!H494), "", 'Data Entry'!H494)</f>
      </c>
      <c r="I494">
        <f>IF(ISBLANK('Data Entry'!I494), "", 'Data Entry'!I494)</f>
      </c>
      <c r="J494">
        <f>IF(ISBLANK('Data Entry'!J494), "", 'Data Entry'!J494)</f>
      </c>
      <c r="K494">
        <f>IF(ISBLANK('Data Entry'!K494), "", 'Data Entry'!K494)</f>
      </c>
      <c r="L494">
        <f>IF(ISBLANK('Data Entry'!L494), "", 'Data Entry'!L494)</f>
      </c>
      <c r="M494">
        <f>IF(ISBLANK('Data Entry'!M494), "", 'Data Entry'!M494)</f>
      </c>
      <c r="N494">
        <f>IF(ISBLANK('Data Entry'!N494), "", 'Data Entry'!N494)</f>
      </c>
      <c r="O494">
        <f>IF(ISBLANK('Data Entry'!O494), "", 'Data Entry'!O494)</f>
      </c>
      <c r="P494">
        <f>IF(ISBLANK('Data Entry'!P494), "", 'Data Entry'!P494)</f>
      </c>
      <c r="Q494">
        <f>IF(ISBLANK('Data Entry'!Q494), "", 'Data Entry'!Q494)</f>
      </c>
      <c r="R494">
        <f>IF(ISBLANK('Data Entry'!R494), "", 'Data Entry'!R494)</f>
      </c>
      <c r="S494">
        <f>IF(ISBLANK('Data Entry'!S494), "", 'Data Entry'!S494)</f>
      </c>
      <c r="T494">
        <f>IF(ISBLANK('Data Entry'!T494), "", 'Data Entry'!T494)</f>
      </c>
      <c r="U494">
        <f>IF(ISBLANK('Data Entry'!U494), "", 'Data Entry'!U494)</f>
      </c>
      <c r="V494">
        <f>IF(ISBLANK('Data Entry'!V494), "", 'Data Entry'!V494)</f>
      </c>
      <c r="W494">
        <f>IF(ISBLANK('Data Entry'!W494), "", 'Data Entry'!W494)</f>
      </c>
      <c r="X494">
        <f>IF(ISBLANK('Data Entry'!X494), "", 'Data Entry'!X494)</f>
      </c>
      <c r="Y494">
        <f>IF(ISBLANK('Data Entry'!Y494), "", 'Data Entry'!Y494)</f>
      </c>
      <c r="Z494">
        <f>IF(ISBLANK('Data Entry'!Z494), "", 'Data Entry'!Z494)</f>
      </c>
      <c r="AA494">
        <f>IF(ISBLANK('Data Entry'![494), "", 'Data Entry'![494)</f>
      </c>
      <c r="AB494">
        <f>IF(ISBLANK('Data Entry'!\494), "", 'Data Entry'!\494)</f>
      </c>
      <c r="AC494">
        <f>IF(ISBLANK('Data Entry'!]494), "", 'Data Entry'!]494)</f>
      </c>
      <c r="AD494">
        <f>IF(ISBLANK('Data Entry'!^494), "", 'Data Entry'!^494)</f>
      </c>
      <c r="AE494">
        <f>IF(ISBLANK('Data Entry'!_494), "", 'Data Entry'!_494)</f>
      </c>
      <c r="AF494">
        <f>IF(ISBLANK('Data Entry'!`494), "", 'Data Entry'!`494)</f>
      </c>
      <c r="AG494">
        <f>IF(ISBLANK('Data Entry'!a494), "", 'Data Entry'!a494)</f>
      </c>
      <c r="AH494">
        <f>IF(ISBLANK('Data Entry'!b494), "", 'Data Entry'!b494)</f>
      </c>
      <c r="AI494">
        <f>IF(ISBLANK('Data Entry'!c494), "", 'Data Entry'!c494)</f>
      </c>
      <c r="AJ494">
        <f>IF(ISBLANK('Data Entry'!d494), "", 'Data Entry'!d494)</f>
      </c>
      <c r="AK494">
        <f>IF(ISBLANK('Data Entry'!e494), "", 'Data Entry'!e494)</f>
      </c>
      <c r="AL494">
        <f>IF(ISBLANK('Data Entry'!f494), "", 'Data Entry'!f494)</f>
      </c>
      <c r="AM494">
        <f>IF(ISBLANK('Data Entry'!g494), "", 'Data Entry'!g494)</f>
      </c>
      <c r="AN494">
        <f>IF(ISBLANK('Data Entry'!h494), "", 'Data Entry'!h494)</f>
      </c>
    </row>
    <row r="495" spans="1:40" x14ac:dyDescent="0.25">
      <c r="A495">
        <f>IF(ISBLANK('Data Entry'!A495), "", 'Data Entry'!A495)</f>
      </c>
      <c r="B495">
        <f>IF(ISBLANK('Data Entry'!B495), "", 'Data Entry'!B495)</f>
      </c>
      <c r="C495">
        <f>IF(ISBLANK('Data Entry'!C495), "", 'Data Entry'!C495)</f>
      </c>
      <c r="D495">
        <f>IF(ISBLANK('Data Entry'!D495), "", 'Data Entry'!D495)</f>
      </c>
      <c r="E495">
        <f>IF(ISBLANK('Data Entry'!E495), "", 'Data Entry'!E495)</f>
      </c>
      <c r="F495">
        <f>IF(ISBLANK('Data Entry'!F495), "", 'Data Entry'!F495)</f>
      </c>
      <c r="G495">
        <f>IF(ISBLANK('Data Entry'!G495), "", 'Data Entry'!G495)</f>
      </c>
      <c r="H495">
        <f>IF(ISBLANK('Data Entry'!H495), "", 'Data Entry'!H495)</f>
      </c>
      <c r="I495">
        <f>IF(ISBLANK('Data Entry'!I495), "", 'Data Entry'!I495)</f>
      </c>
      <c r="J495">
        <f>IF(ISBLANK('Data Entry'!J495), "", 'Data Entry'!J495)</f>
      </c>
      <c r="K495">
        <f>IF(ISBLANK('Data Entry'!K495), "", 'Data Entry'!K495)</f>
      </c>
      <c r="L495">
        <f>IF(ISBLANK('Data Entry'!L495), "", 'Data Entry'!L495)</f>
      </c>
      <c r="M495">
        <f>IF(ISBLANK('Data Entry'!M495), "", 'Data Entry'!M495)</f>
      </c>
      <c r="N495">
        <f>IF(ISBLANK('Data Entry'!N495), "", 'Data Entry'!N495)</f>
      </c>
      <c r="O495">
        <f>IF(ISBLANK('Data Entry'!O495), "", 'Data Entry'!O495)</f>
      </c>
      <c r="P495">
        <f>IF(ISBLANK('Data Entry'!P495), "", 'Data Entry'!P495)</f>
      </c>
      <c r="Q495">
        <f>IF(ISBLANK('Data Entry'!Q495), "", 'Data Entry'!Q495)</f>
      </c>
      <c r="R495">
        <f>IF(ISBLANK('Data Entry'!R495), "", 'Data Entry'!R495)</f>
      </c>
      <c r="S495">
        <f>IF(ISBLANK('Data Entry'!S495), "", 'Data Entry'!S495)</f>
      </c>
      <c r="T495">
        <f>IF(ISBLANK('Data Entry'!T495), "", 'Data Entry'!T495)</f>
      </c>
      <c r="U495">
        <f>IF(ISBLANK('Data Entry'!U495), "", 'Data Entry'!U495)</f>
      </c>
      <c r="V495">
        <f>IF(ISBLANK('Data Entry'!V495), "", 'Data Entry'!V495)</f>
      </c>
      <c r="W495">
        <f>IF(ISBLANK('Data Entry'!W495), "", 'Data Entry'!W495)</f>
      </c>
      <c r="X495">
        <f>IF(ISBLANK('Data Entry'!X495), "", 'Data Entry'!X495)</f>
      </c>
      <c r="Y495">
        <f>IF(ISBLANK('Data Entry'!Y495), "", 'Data Entry'!Y495)</f>
      </c>
      <c r="Z495">
        <f>IF(ISBLANK('Data Entry'!Z495), "", 'Data Entry'!Z495)</f>
      </c>
      <c r="AA495">
        <f>IF(ISBLANK('Data Entry'![495), "", 'Data Entry'![495)</f>
      </c>
      <c r="AB495">
        <f>IF(ISBLANK('Data Entry'!\495), "", 'Data Entry'!\495)</f>
      </c>
      <c r="AC495">
        <f>IF(ISBLANK('Data Entry'!]495), "", 'Data Entry'!]495)</f>
      </c>
      <c r="AD495">
        <f>IF(ISBLANK('Data Entry'!^495), "", 'Data Entry'!^495)</f>
      </c>
      <c r="AE495">
        <f>IF(ISBLANK('Data Entry'!_495), "", 'Data Entry'!_495)</f>
      </c>
      <c r="AF495">
        <f>IF(ISBLANK('Data Entry'!`495), "", 'Data Entry'!`495)</f>
      </c>
      <c r="AG495">
        <f>IF(ISBLANK('Data Entry'!a495), "", 'Data Entry'!a495)</f>
      </c>
      <c r="AH495">
        <f>IF(ISBLANK('Data Entry'!b495), "", 'Data Entry'!b495)</f>
      </c>
      <c r="AI495">
        <f>IF(ISBLANK('Data Entry'!c495), "", 'Data Entry'!c495)</f>
      </c>
      <c r="AJ495">
        <f>IF(ISBLANK('Data Entry'!d495), "", 'Data Entry'!d495)</f>
      </c>
      <c r="AK495">
        <f>IF(ISBLANK('Data Entry'!e495), "", 'Data Entry'!e495)</f>
      </c>
      <c r="AL495">
        <f>IF(ISBLANK('Data Entry'!f495), "", 'Data Entry'!f495)</f>
      </c>
      <c r="AM495">
        <f>IF(ISBLANK('Data Entry'!g495), "", 'Data Entry'!g495)</f>
      </c>
      <c r="AN495">
        <f>IF(ISBLANK('Data Entry'!h495), "", 'Data Entry'!h495)</f>
      </c>
    </row>
    <row r="496" spans="1:40" x14ac:dyDescent="0.25">
      <c r="A496">
        <f>IF(ISBLANK('Data Entry'!A496), "", 'Data Entry'!A496)</f>
      </c>
      <c r="B496">
        <f>IF(ISBLANK('Data Entry'!B496), "", 'Data Entry'!B496)</f>
      </c>
      <c r="C496">
        <f>IF(ISBLANK('Data Entry'!C496), "", 'Data Entry'!C496)</f>
      </c>
      <c r="D496">
        <f>IF(ISBLANK('Data Entry'!D496), "", 'Data Entry'!D496)</f>
      </c>
      <c r="E496">
        <f>IF(ISBLANK('Data Entry'!E496), "", 'Data Entry'!E496)</f>
      </c>
      <c r="F496">
        <f>IF(ISBLANK('Data Entry'!F496), "", 'Data Entry'!F496)</f>
      </c>
      <c r="G496">
        <f>IF(ISBLANK('Data Entry'!G496), "", 'Data Entry'!G496)</f>
      </c>
      <c r="H496">
        <f>IF(ISBLANK('Data Entry'!H496), "", 'Data Entry'!H496)</f>
      </c>
      <c r="I496">
        <f>IF(ISBLANK('Data Entry'!I496), "", 'Data Entry'!I496)</f>
      </c>
      <c r="J496">
        <f>IF(ISBLANK('Data Entry'!J496), "", 'Data Entry'!J496)</f>
      </c>
      <c r="K496">
        <f>IF(ISBLANK('Data Entry'!K496), "", 'Data Entry'!K496)</f>
      </c>
      <c r="L496">
        <f>IF(ISBLANK('Data Entry'!L496), "", 'Data Entry'!L496)</f>
      </c>
      <c r="M496">
        <f>IF(ISBLANK('Data Entry'!M496), "", 'Data Entry'!M496)</f>
      </c>
      <c r="N496">
        <f>IF(ISBLANK('Data Entry'!N496), "", 'Data Entry'!N496)</f>
      </c>
      <c r="O496">
        <f>IF(ISBLANK('Data Entry'!O496), "", 'Data Entry'!O496)</f>
      </c>
      <c r="P496">
        <f>IF(ISBLANK('Data Entry'!P496), "", 'Data Entry'!P496)</f>
      </c>
      <c r="Q496">
        <f>IF(ISBLANK('Data Entry'!Q496), "", 'Data Entry'!Q496)</f>
      </c>
      <c r="R496">
        <f>IF(ISBLANK('Data Entry'!R496), "", 'Data Entry'!R496)</f>
      </c>
      <c r="S496">
        <f>IF(ISBLANK('Data Entry'!S496), "", 'Data Entry'!S496)</f>
      </c>
      <c r="T496">
        <f>IF(ISBLANK('Data Entry'!T496), "", 'Data Entry'!T496)</f>
      </c>
      <c r="U496">
        <f>IF(ISBLANK('Data Entry'!U496), "", 'Data Entry'!U496)</f>
      </c>
      <c r="V496">
        <f>IF(ISBLANK('Data Entry'!V496), "", 'Data Entry'!V496)</f>
      </c>
      <c r="W496">
        <f>IF(ISBLANK('Data Entry'!W496), "", 'Data Entry'!W496)</f>
      </c>
      <c r="X496">
        <f>IF(ISBLANK('Data Entry'!X496), "", 'Data Entry'!X496)</f>
      </c>
      <c r="Y496">
        <f>IF(ISBLANK('Data Entry'!Y496), "", 'Data Entry'!Y496)</f>
      </c>
      <c r="Z496">
        <f>IF(ISBLANK('Data Entry'!Z496), "", 'Data Entry'!Z496)</f>
      </c>
      <c r="AA496">
        <f>IF(ISBLANK('Data Entry'![496), "", 'Data Entry'![496)</f>
      </c>
      <c r="AB496">
        <f>IF(ISBLANK('Data Entry'!\496), "", 'Data Entry'!\496)</f>
      </c>
      <c r="AC496">
        <f>IF(ISBLANK('Data Entry'!]496), "", 'Data Entry'!]496)</f>
      </c>
      <c r="AD496">
        <f>IF(ISBLANK('Data Entry'!^496), "", 'Data Entry'!^496)</f>
      </c>
      <c r="AE496">
        <f>IF(ISBLANK('Data Entry'!_496), "", 'Data Entry'!_496)</f>
      </c>
      <c r="AF496">
        <f>IF(ISBLANK('Data Entry'!`496), "", 'Data Entry'!`496)</f>
      </c>
      <c r="AG496">
        <f>IF(ISBLANK('Data Entry'!a496), "", 'Data Entry'!a496)</f>
      </c>
      <c r="AH496">
        <f>IF(ISBLANK('Data Entry'!b496), "", 'Data Entry'!b496)</f>
      </c>
      <c r="AI496">
        <f>IF(ISBLANK('Data Entry'!c496), "", 'Data Entry'!c496)</f>
      </c>
      <c r="AJ496">
        <f>IF(ISBLANK('Data Entry'!d496), "", 'Data Entry'!d496)</f>
      </c>
      <c r="AK496">
        <f>IF(ISBLANK('Data Entry'!e496), "", 'Data Entry'!e496)</f>
      </c>
      <c r="AL496">
        <f>IF(ISBLANK('Data Entry'!f496), "", 'Data Entry'!f496)</f>
      </c>
      <c r="AM496">
        <f>IF(ISBLANK('Data Entry'!g496), "", 'Data Entry'!g496)</f>
      </c>
      <c r="AN496">
        <f>IF(ISBLANK('Data Entry'!h496), "", 'Data Entry'!h496)</f>
      </c>
    </row>
    <row r="497" spans="1:40" x14ac:dyDescent="0.25">
      <c r="A497">
        <f>IF(ISBLANK('Data Entry'!A497), "", 'Data Entry'!A497)</f>
      </c>
      <c r="B497">
        <f>IF(ISBLANK('Data Entry'!B497), "", 'Data Entry'!B497)</f>
      </c>
      <c r="C497">
        <f>IF(ISBLANK('Data Entry'!C497), "", 'Data Entry'!C497)</f>
      </c>
      <c r="D497">
        <f>IF(ISBLANK('Data Entry'!D497), "", 'Data Entry'!D497)</f>
      </c>
      <c r="E497">
        <f>IF(ISBLANK('Data Entry'!E497), "", 'Data Entry'!E497)</f>
      </c>
      <c r="F497">
        <f>IF(ISBLANK('Data Entry'!F497), "", 'Data Entry'!F497)</f>
      </c>
      <c r="G497">
        <f>IF(ISBLANK('Data Entry'!G497), "", 'Data Entry'!G497)</f>
      </c>
      <c r="H497">
        <f>IF(ISBLANK('Data Entry'!H497), "", 'Data Entry'!H497)</f>
      </c>
      <c r="I497">
        <f>IF(ISBLANK('Data Entry'!I497), "", 'Data Entry'!I497)</f>
      </c>
      <c r="J497">
        <f>IF(ISBLANK('Data Entry'!J497), "", 'Data Entry'!J497)</f>
      </c>
      <c r="K497">
        <f>IF(ISBLANK('Data Entry'!K497), "", 'Data Entry'!K497)</f>
      </c>
      <c r="L497">
        <f>IF(ISBLANK('Data Entry'!L497), "", 'Data Entry'!L497)</f>
      </c>
      <c r="M497">
        <f>IF(ISBLANK('Data Entry'!M497), "", 'Data Entry'!M497)</f>
      </c>
      <c r="N497">
        <f>IF(ISBLANK('Data Entry'!N497), "", 'Data Entry'!N497)</f>
      </c>
      <c r="O497">
        <f>IF(ISBLANK('Data Entry'!O497), "", 'Data Entry'!O497)</f>
      </c>
      <c r="P497">
        <f>IF(ISBLANK('Data Entry'!P497), "", 'Data Entry'!P497)</f>
      </c>
      <c r="Q497">
        <f>IF(ISBLANK('Data Entry'!Q497), "", 'Data Entry'!Q497)</f>
      </c>
      <c r="R497">
        <f>IF(ISBLANK('Data Entry'!R497), "", 'Data Entry'!R497)</f>
      </c>
      <c r="S497">
        <f>IF(ISBLANK('Data Entry'!S497), "", 'Data Entry'!S497)</f>
      </c>
      <c r="T497">
        <f>IF(ISBLANK('Data Entry'!T497), "", 'Data Entry'!T497)</f>
      </c>
      <c r="U497">
        <f>IF(ISBLANK('Data Entry'!U497), "", 'Data Entry'!U497)</f>
      </c>
      <c r="V497">
        <f>IF(ISBLANK('Data Entry'!V497), "", 'Data Entry'!V497)</f>
      </c>
      <c r="W497">
        <f>IF(ISBLANK('Data Entry'!W497), "", 'Data Entry'!W497)</f>
      </c>
      <c r="X497">
        <f>IF(ISBLANK('Data Entry'!X497), "", 'Data Entry'!X497)</f>
      </c>
      <c r="Y497">
        <f>IF(ISBLANK('Data Entry'!Y497), "", 'Data Entry'!Y497)</f>
      </c>
      <c r="Z497">
        <f>IF(ISBLANK('Data Entry'!Z497), "", 'Data Entry'!Z497)</f>
      </c>
      <c r="AA497">
        <f>IF(ISBLANK('Data Entry'![497), "", 'Data Entry'![497)</f>
      </c>
      <c r="AB497">
        <f>IF(ISBLANK('Data Entry'!\497), "", 'Data Entry'!\497)</f>
      </c>
      <c r="AC497">
        <f>IF(ISBLANK('Data Entry'!]497), "", 'Data Entry'!]497)</f>
      </c>
      <c r="AD497">
        <f>IF(ISBLANK('Data Entry'!^497), "", 'Data Entry'!^497)</f>
      </c>
      <c r="AE497">
        <f>IF(ISBLANK('Data Entry'!_497), "", 'Data Entry'!_497)</f>
      </c>
      <c r="AF497">
        <f>IF(ISBLANK('Data Entry'!`497), "", 'Data Entry'!`497)</f>
      </c>
      <c r="AG497">
        <f>IF(ISBLANK('Data Entry'!a497), "", 'Data Entry'!a497)</f>
      </c>
      <c r="AH497">
        <f>IF(ISBLANK('Data Entry'!b497), "", 'Data Entry'!b497)</f>
      </c>
      <c r="AI497">
        <f>IF(ISBLANK('Data Entry'!c497), "", 'Data Entry'!c497)</f>
      </c>
      <c r="AJ497">
        <f>IF(ISBLANK('Data Entry'!d497), "", 'Data Entry'!d497)</f>
      </c>
      <c r="AK497">
        <f>IF(ISBLANK('Data Entry'!e497), "", 'Data Entry'!e497)</f>
      </c>
      <c r="AL497">
        <f>IF(ISBLANK('Data Entry'!f497), "", 'Data Entry'!f497)</f>
      </c>
      <c r="AM497">
        <f>IF(ISBLANK('Data Entry'!g497), "", 'Data Entry'!g497)</f>
      </c>
      <c r="AN497">
        <f>IF(ISBLANK('Data Entry'!h497), "", 'Data Entry'!h497)</f>
      </c>
    </row>
    <row r="498" spans="1:40" x14ac:dyDescent="0.25">
      <c r="A498">
        <f>IF(ISBLANK('Data Entry'!A498), "", 'Data Entry'!A498)</f>
      </c>
      <c r="B498">
        <f>IF(ISBLANK('Data Entry'!B498), "", 'Data Entry'!B498)</f>
      </c>
      <c r="C498">
        <f>IF(ISBLANK('Data Entry'!C498), "", 'Data Entry'!C498)</f>
      </c>
      <c r="D498">
        <f>IF(ISBLANK('Data Entry'!D498), "", 'Data Entry'!D498)</f>
      </c>
      <c r="E498">
        <f>IF(ISBLANK('Data Entry'!E498), "", 'Data Entry'!E498)</f>
      </c>
      <c r="F498">
        <f>IF(ISBLANK('Data Entry'!F498), "", 'Data Entry'!F498)</f>
      </c>
      <c r="G498">
        <f>IF(ISBLANK('Data Entry'!G498), "", 'Data Entry'!G498)</f>
      </c>
      <c r="H498">
        <f>IF(ISBLANK('Data Entry'!H498), "", 'Data Entry'!H498)</f>
      </c>
      <c r="I498">
        <f>IF(ISBLANK('Data Entry'!I498), "", 'Data Entry'!I498)</f>
      </c>
      <c r="J498">
        <f>IF(ISBLANK('Data Entry'!J498), "", 'Data Entry'!J498)</f>
      </c>
      <c r="K498">
        <f>IF(ISBLANK('Data Entry'!K498), "", 'Data Entry'!K498)</f>
      </c>
      <c r="L498">
        <f>IF(ISBLANK('Data Entry'!L498), "", 'Data Entry'!L498)</f>
      </c>
      <c r="M498">
        <f>IF(ISBLANK('Data Entry'!M498), "", 'Data Entry'!M498)</f>
      </c>
      <c r="N498">
        <f>IF(ISBLANK('Data Entry'!N498), "", 'Data Entry'!N498)</f>
      </c>
      <c r="O498">
        <f>IF(ISBLANK('Data Entry'!O498), "", 'Data Entry'!O498)</f>
      </c>
      <c r="P498">
        <f>IF(ISBLANK('Data Entry'!P498), "", 'Data Entry'!P498)</f>
      </c>
      <c r="Q498">
        <f>IF(ISBLANK('Data Entry'!Q498), "", 'Data Entry'!Q498)</f>
      </c>
      <c r="R498">
        <f>IF(ISBLANK('Data Entry'!R498), "", 'Data Entry'!R498)</f>
      </c>
      <c r="S498">
        <f>IF(ISBLANK('Data Entry'!S498), "", 'Data Entry'!S498)</f>
      </c>
      <c r="T498">
        <f>IF(ISBLANK('Data Entry'!T498), "", 'Data Entry'!T498)</f>
      </c>
      <c r="U498">
        <f>IF(ISBLANK('Data Entry'!U498), "", 'Data Entry'!U498)</f>
      </c>
      <c r="V498">
        <f>IF(ISBLANK('Data Entry'!V498), "", 'Data Entry'!V498)</f>
      </c>
      <c r="W498">
        <f>IF(ISBLANK('Data Entry'!W498), "", 'Data Entry'!W498)</f>
      </c>
      <c r="X498">
        <f>IF(ISBLANK('Data Entry'!X498), "", 'Data Entry'!X498)</f>
      </c>
      <c r="Y498">
        <f>IF(ISBLANK('Data Entry'!Y498), "", 'Data Entry'!Y498)</f>
      </c>
      <c r="Z498">
        <f>IF(ISBLANK('Data Entry'!Z498), "", 'Data Entry'!Z498)</f>
      </c>
      <c r="AA498">
        <f>IF(ISBLANK('Data Entry'![498), "", 'Data Entry'![498)</f>
      </c>
      <c r="AB498">
        <f>IF(ISBLANK('Data Entry'!\498), "", 'Data Entry'!\498)</f>
      </c>
      <c r="AC498">
        <f>IF(ISBLANK('Data Entry'!]498), "", 'Data Entry'!]498)</f>
      </c>
      <c r="AD498">
        <f>IF(ISBLANK('Data Entry'!^498), "", 'Data Entry'!^498)</f>
      </c>
      <c r="AE498">
        <f>IF(ISBLANK('Data Entry'!_498), "", 'Data Entry'!_498)</f>
      </c>
      <c r="AF498">
        <f>IF(ISBLANK('Data Entry'!`498), "", 'Data Entry'!`498)</f>
      </c>
      <c r="AG498">
        <f>IF(ISBLANK('Data Entry'!a498), "", 'Data Entry'!a498)</f>
      </c>
      <c r="AH498">
        <f>IF(ISBLANK('Data Entry'!b498), "", 'Data Entry'!b498)</f>
      </c>
      <c r="AI498">
        <f>IF(ISBLANK('Data Entry'!c498), "", 'Data Entry'!c498)</f>
      </c>
      <c r="AJ498">
        <f>IF(ISBLANK('Data Entry'!d498), "", 'Data Entry'!d498)</f>
      </c>
      <c r="AK498">
        <f>IF(ISBLANK('Data Entry'!e498), "", 'Data Entry'!e498)</f>
      </c>
      <c r="AL498">
        <f>IF(ISBLANK('Data Entry'!f498), "", 'Data Entry'!f498)</f>
      </c>
      <c r="AM498">
        <f>IF(ISBLANK('Data Entry'!g498), "", 'Data Entry'!g498)</f>
      </c>
      <c r="AN498">
        <f>IF(ISBLANK('Data Entry'!h498), "", 'Data Entry'!h498)</f>
      </c>
    </row>
    <row r="499" spans="1:40" x14ac:dyDescent="0.25">
      <c r="A499">
        <f>IF(ISBLANK('Data Entry'!A499), "", 'Data Entry'!A499)</f>
      </c>
      <c r="B499">
        <f>IF(ISBLANK('Data Entry'!B499), "", 'Data Entry'!B499)</f>
      </c>
      <c r="C499">
        <f>IF(ISBLANK('Data Entry'!C499), "", 'Data Entry'!C499)</f>
      </c>
      <c r="D499">
        <f>IF(ISBLANK('Data Entry'!D499), "", 'Data Entry'!D499)</f>
      </c>
      <c r="E499">
        <f>IF(ISBLANK('Data Entry'!E499), "", 'Data Entry'!E499)</f>
      </c>
      <c r="F499">
        <f>IF(ISBLANK('Data Entry'!F499), "", 'Data Entry'!F499)</f>
      </c>
      <c r="G499">
        <f>IF(ISBLANK('Data Entry'!G499), "", 'Data Entry'!G499)</f>
      </c>
      <c r="H499">
        <f>IF(ISBLANK('Data Entry'!H499), "", 'Data Entry'!H499)</f>
      </c>
      <c r="I499">
        <f>IF(ISBLANK('Data Entry'!I499), "", 'Data Entry'!I499)</f>
      </c>
      <c r="J499">
        <f>IF(ISBLANK('Data Entry'!J499), "", 'Data Entry'!J499)</f>
      </c>
      <c r="K499">
        <f>IF(ISBLANK('Data Entry'!K499), "", 'Data Entry'!K499)</f>
      </c>
      <c r="L499">
        <f>IF(ISBLANK('Data Entry'!L499), "", 'Data Entry'!L499)</f>
      </c>
      <c r="M499">
        <f>IF(ISBLANK('Data Entry'!M499), "", 'Data Entry'!M499)</f>
      </c>
      <c r="N499">
        <f>IF(ISBLANK('Data Entry'!N499), "", 'Data Entry'!N499)</f>
      </c>
      <c r="O499">
        <f>IF(ISBLANK('Data Entry'!O499), "", 'Data Entry'!O499)</f>
      </c>
      <c r="P499">
        <f>IF(ISBLANK('Data Entry'!P499), "", 'Data Entry'!P499)</f>
      </c>
      <c r="Q499">
        <f>IF(ISBLANK('Data Entry'!Q499), "", 'Data Entry'!Q499)</f>
      </c>
      <c r="R499">
        <f>IF(ISBLANK('Data Entry'!R499), "", 'Data Entry'!R499)</f>
      </c>
      <c r="S499">
        <f>IF(ISBLANK('Data Entry'!S499), "", 'Data Entry'!S499)</f>
      </c>
      <c r="T499">
        <f>IF(ISBLANK('Data Entry'!T499), "", 'Data Entry'!T499)</f>
      </c>
      <c r="U499">
        <f>IF(ISBLANK('Data Entry'!U499), "", 'Data Entry'!U499)</f>
      </c>
      <c r="V499">
        <f>IF(ISBLANK('Data Entry'!V499), "", 'Data Entry'!V499)</f>
      </c>
      <c r="W499">
        <f>IF(ISBLANK('Data Entry'!W499), "", 'Data Entry'!W499)</f>
      </c>
      <c r="X499">
        <f>IF(ISBLANK('Data Entry'!X499), "", 'Data Entry'!X499)</f>
      </c>
      <c r="Y499">
        <f>IF(ISBLANK('Data Entry'!Y499), "", 'Data Entry'!Y499)</f>
      </c>
      <c r="Z499">
        <f>IF(ISBLANK('Data Entry'!Z499), "", 'Data Entry'!Z499)</f>
      </c>
      <c r="AA499">
        <f>IF(ISBLANK('Data Entry'![499), "", 'Data Entry'![499)</f>
      </c>
      <c r="AB499">
        <f>IF(ISBLANK('Data Entry'!\499), "", 'Data Entry'!\499)</f>
      </c>
      <c r="AC499">
        <f>IF(ISBLANK('Data Entry'!]499), "", 'Data Entry'!]499)</f>
      </c>
      <c r="AD499">
        <f>IF(ISBLANK('Data Entry'!^499), "", 'Data Entry'!^499)</f>
      </c>
      <c r="AE499">
        <f>IF(ISBLANK('Data Entry'!_499), "", 'Data Entry'!_499)</f>
      </c>
      <c r="AF499">
        <f>IF(ISBLANK('Data Entry'!`499), "", 'Data Entry'!`499)</f>
      </c>
      <c r="AG499">
        <f>IF(ISBLANK('Data Entry'!a499), "", 'Data Entry'!a499)</f>
      </c>
      <c r="AH499">
        <f>IF(ISBLANK('Data Entry'!b499), "", 'Data Entry'!b499)</f>
      </c>
      <c r="AI499">
        <f>IF(ISBLANK('Data Entry'!c499), "", 'Data Entry'!c499)</f>
      </c>
      <c r="AJ499">
        <f>IF(ISBLANK('Data Entry'!d499), "", 'Data Entry'!d499)</f>
      </c>
      <c r="AK499">
        <f>IF(ISBLANK('Data Entry'!e499), "", 'Data Entry'!e499)</f>
      </c>
      <c r="AL499">
        <f>IF(ISBLANK('Data Entry'!f499), "", 'Data Entry'!f499)</f>
      </c>
      <c r="AM499">
        <f>IF(ISBLANK('Data Entry'!g499), "", 'Data Entry'!g499)</f>
      </c>
      <c r="AN499">
        <f>IF(ISBLANK('Data Entry'!h499), "", 'Data Entry'!h499)</f>
      </c>
    </row>
    <row r="500" spans="1:40" x14ac:dyDescent="0.25">
      <c r="A500">
        <f>IF(ISBLANK('Data Entry'!A500), "", 'Data Entry'!A500)</f>
      </c>
      <c r="B500">
        <f>IF(ISBLANK('Data Entry'!B500), "", 'Data Entry'!B500)</f>
      </c>
      <c r="C500">
        <f>IF(ISBLANK('Data Entry'!C500), "", 'Data Entry'!C500)</f>
      </c>
      <c r="D500">
        <f>IF(ISBLANK('Data Entry'!D500), "", 'Data Entry'!D500)</f>
      </c>
      <c r="E500">
        <f>IF(ISBLANK('Data Entry'!E500), "", 'Data Entry'!E500)</f>
      </c>
      <c r="F500">
        <f>IF(ISBLANK('Data Entry'!F500), "", 'Data Entry'!F500)</f>
      </c>
      <c r="G500">
        <f>IF(ISBLANK('Data Entry'!G500), "", 'Data Entry'!G500)</f>
      </c>
      <c r="H500">
        <f>IF(ISBLANK('Data Entry'!H500), "", 'Data Entry'!H500)</f>
      </c>
      <c r="I500">
        <f>IF(ISBLANK('Data Entry'!I500), "", 'Data Entry'!I500)</f>
      </c>
      <c r="J500">
        <f>IF(ISBLANK('Data Entry'!J500), "", 'Data Entry'!J500)</f>
      </c>
      <c r="K500">
        <f>IF(ISBLANK('Data Entry'!K500), "", 'Data Entry'!K500)</f>
      </c>
      <c r="L500">
        <f>IF(ISBLANK('Data Entry'!L500), "", 'Data Entry'!L500)</f>
      </c>
      <c r="M500">
        <f>IF(ISBLANK('Data Entry'!M500), "", 'Data Entry'!M500)</f>
      </c>
      <c r="N500">
        <f>IF(ISBLANK('Data Entry'!N500), "", 'Data Entry'!N500)</f>
      </c>
      <c r="O500">
        <f>IF(ISBLANK('Data Entry'!O500), "", 'Data Entry'!O500)</f>
      </c>
      <c r="P500">
        <f>IF(ISBLANK('Data Entry'!P500), "", 'Data Entry'!P500)</f>
      </c>
      <c r="Q500">
        <f>IF(ISBLANK('Data Entry'!Q500), "", 'Data Entry'!Q500)</f>
      </c>
      <c r="R500">
        <f>IF(ISBLANK('Data Entry'!R500), "", 'Data Entry'!R500)</f>
      </c>
      <c r="S500">
        <f>IF(ISBLANK('Data Entry'!S500), "", 'Data Entry'!S500)</f>
      </c>
      <c r="T500">
        <f>IF(ISBLANK('Data Entry'!T500), "", 'Data Entry'!T500)</f>
      </c>
      <c r="U500">
        <f>IF(ISBLANK('Data Entry'!U500), "", 'Data Entry'!U500)</f>
      </c>
      <c r="V500">
        <f>IF(ISBLANK('Data Entry'!V500), "", 'Data Entry'!V500)</f>
      </c>
      <c r="W500">
        <f>IF(ISBLANK('Data Entry'!W500), "", 'Data Entry'!W500)</f>
      </c>
      <c r="X500">
        <f>IF(ISBLANK('Data Entry'!X500), "", 'Data Entry'!X500)</f>
      </c>
      <c r="Y500">
        <f>IF(ISBLANK('Data Entry'!Y500), "", 'Data Entry'!Y500)</f>
      </c>
      <c r="Z500">
        <f>IF(ISBLANK('Data Entry'!Z500), "", 'Data Entry'!Z500)</f>
      </c>
      <c r="AA500">
        <f>IF(ISBLANK('Data Entry'![500), "", 'Data Entry'![500)</f>
      </c>
      <c r="AB500">
        <f>IF(ISBLANK('Data Entry'!\500), "", 'Data Entry'!\500)</f>
      </c>
      <c r="AC500">
        <f>IF(ISBLANK('Data Entry'!]500), "", 'Data Entry'!]500)</f>
      </c>
      <c r="AD500">
        <f>IF(ISBLANK('Data Entry'!^500), "", 'Data Entry'!^500)</f>
      </c>
      <c r="AE500">
        <f>IF(ISBLANK('Data Entry'!_500), "", 'Data Entry'!_500)</f>
      </c>
      <c r="AF500">
        <f>IF(ISBLANK('Data Entry'!`500), "", 'Data Entry'!`500)</f>
      </c>
      <c r="AG500">
        <f>IF(ISBLANK('Data Entry'!a500), "", 'Data Entry'!a500)</f>
      </c>
      <c r="AH500">
        <f>IF(ISBLANK('Data Entry'!b500), "", 'Data Entry'!b500)</f>
      </c>
      <c r="AI500">
        <f>IF(ISBLANK('Data Entry'!c500), "", 'Data Entry'!c500)</f>
      </c>
      <c r="AJ500">
        <f>IF(ISBLANK('Data Entry'!d500), "", 'Data Entry'!d500)</f>
      </c>
      <c r="AK500">
        <f>IF(ISBLANK('Data Entry'!e500), "", 'Data Entry'!e500)</f>
      </c>
      <c r="AL500">
        <f>IF(ISBLANK('Data Entry'!f500), "", 'Data Entry'!f500)</f>
      </c>
      <c r="AM500">
        <f>IF(ISBLANK('Data Entry'!g500), "", 'Data Entry'!g500)</f>
      </c>
      <c r="AN500">
        <f>IF(ISBLANK('Data Entry'!h500), "", 'Data Entry'!h500)</f>
      </c>
    </row>
    <row r="501" spans="1:40" x14ac:dyDescent="0.25">
      <c r="A501">
        <f>IF(ISBLANK('Data Entry'!A501), "", 'Data Entry'!A501)</f>
      </c>
      <c r="B501">
        <f>IF(ISBLANK('Data Entry'!B501), "", 'Data Entry'!B501)</f>
      </c>
      <c r="C501">
        <f>IF(ISBLANK('Data Entry'!C501), "", 'Data Entry'!C501)</f>
      </c>
      <c r="D501">
        <f>IF(ISBLANK('Data Entry'!D501), "", 'Data Entry'!D501)</f>
      </c>
      <c r="E501">
        <f>IF(ISBLANK('Data Entry'!E501), "", 'Data Entry'!E501)</f>
      </c>
      <c r="F501">
        <f>IF(ISBLANK('Data Entry'!F501), "", 'Data Entry'!F501)</f>
      </c>
      <c r="G501">
        <f>IF(ISBLANK('Data Entry'!G501), "", 'Data Entry'!G501)</f>
      </c>
      <c r="H501">
        <f>IF(ISBLANK('Data Entry'!H501), "", 'Data Entry'!H501)</f>
      </c>
      <c r="I501">
        <f>IF(ISBLANK('Data Entry'!I501), "", 'Data Entry'!I501)</f>
      </c>
      <c r="J501">
        <f>IF(ISBLANK('Data Entry'!J501), "", 'Data Entry'!J501)</f>
      </c>
      <c r="K501">
        <f>IF(ISBLANK('Data Entry'!K501), "", 'Data Entry'!K501)</f>
      </c>
      <c r="L501">
        <f>IF(ISBLANK('Data Entry'!L501), "", 'Data Entry'!L501)</f>
      </c>
      <c r="M501">
        <f>IF(ISBLANK('Data Entry'!M501), "", 'Data Entry'!M501)</f>
      </c>
      <c r="N501">
        <f>IF(ISBLANK('Data Entry'!N501), "", 'Data Entry'!N501)</f>
      </c>
      <c r="O501">
        <f>IF(ISBLANK('Data Entry'!O501), "", 'Data Entry'!O501)</f>
      </c>
      <c r="P501">
        <f>IF(ISBLANK('Data Entry'!P501), "", 'Data Entry'!P501)</f>
      </c>
      <c r="Q501">
        <f>IF(ISBLANK('Data Entry'!Q501), "", 'Data Entry'!Q501)</f>
      </c>
      <c r="R501">
        <f>IF(ISBLANK('Data Entry'!R501), "", 'Data Entry'!R501)</f>
      </c>
      <c r="S501">
        <f>IF(ISBLANK('Data Entry'!S501), "", 'Data Entry'!S501)</f>
      </c>
      <c r="T501">
        <f>IF(ISBLANK('Data Entry'!T501), "", 'Data Entry'!T501)</f>
      </c>
      <c r="U501">
        <f>IF(ISBLANK('Data Entry'!U501), "", 'Data Entry'!U501)</f>
      </c>
      <c r="V501">
        <f>IF(ISBLANK('Data Entry'!V501), "", 'Data Entry'!V501)</f>
      </c>
      <c r="W501">
        <f>IF(ISBLANK('Data Entry'!W501), "", 'Data Entry'!W501)</f>
      </c>
      <c r="X501">
        <f>IF(ISBLANK('Data Entry'!X501), "", 'Data Entry'!X501)</f>
      </c>
      <c r="Y501">
        <f>IF(ISBLANK('Data Entry'!Y501), "", 'Data Entry'!Y501)</f>
      </c>
      <c r="Z501">
        <f>IF(ISBLANK('Data Entry'!Z501), "", 'Data Entry'!Z501)</f>
      </c>
      <c r="AA501">
        <f>IF(ISBLANK('Data Entry'![501), "", 'Data Entry'![501)</f>
      </c>
      <c r="AB501">
        <f>IF(ISBLANK('Data Entry'!\501), "", 'Data Entry'!\501)</f>
      </c>
      <c r="AC501">
        <f>IF(ISBLANK('Data Entry'!]501), "", 'Data Entry'!]501)</f>
      </c>
      <c r="AD501">
        <f>IF(ISBLANK('Data Entry'!^501), "", 'Data Entry'!^501)</f>
      </c>
      <c r="AE501">
        <f>IF(ISBLANK('Data Entry'!_501), "", 'Data Entry'!_501)</f>
      </c>
      <c r="AF501">
        <f>IF(ISBLANK('Data Entry'!`501), "", 'Data Entry'!`501)</f>
      </c>
      <c r="AG501">
        <f>IF(ISBLANK('Data Entry'!a501), "", 'Data Entry'!a501)</f>
      </c>
      <c r="AH501">
        <f>IF(ISBLANK('Data Entry'!b501), "", 'Data Entry'!b501)</f>
      </c>
      <c r="AI501">
        <f>IF(ISBLANK('Data Entry'!c501), "", 'Data Entry'!c501)</f>
      </c>
      <c r="AJ501">
        <f>IF(ISBLANK('Data Entry'!d501), "", 'Data Entry'!d501)</f>
      </c>
      <c r="AK501">
        <f>IF(ISBLANK('Data Entry'!e501), "", 'Data Entry'!e501)</f>
      </c>
      <c r="AL501">
        <f>IF(ISBLANK('Data Entry'!f501), "", 'Data Entry'!f501)</f>
      </c>
      <c r="AM501">
        <f>IF(ISBLANK('Data Entry'!g501), "", 'Data Entry'!g501)</f>
      </c>
      <c r="AN501">
        <f>IF(ISBLANK('Data Entry'!h501), "", 'Data Entry'!h501)</f>
      </c>
    </row>
    <row r="502" spans="1:40" x14ac:dyDescent="0.25">
      <c r="A502">
        <f>IF(ISBLANK('Data Entry'!A502), "", 'Data Entry'!A502)</f>
      </c>
      <c r="B502">
        <f>IF(ISBLANK('Data Entry'!B502), "", 'Data Entry'!B502)</f>
      </c>
      <c r="C502">
        <f>IF(ISBLANK('Data Entry'!C502), "", 'Data Entry'!C502)</f>
      </c>
      <c r="D502">
        <f>IF(ISBLANK('Data Entry'!D502), "", 'Data Entry'!D502)</f>
      </c>
      <c r="E502">
        <f>IF(ISBLANK('Data Entry'!E502), "", 'Data Entry'!E502)</f>
      </c>
      <c r="F502">
        <f>IF(ISBLANK('Data Entry'!F502), "", 'Data Entry'!F502)</f>
      </c>
      <c r="G502">
        <f>IF(ISBLANK('Data Entry'!G502), "", 'Data Entry'!G502)</f>
      </c>
      <c r="H502">
        <f>IF(ISBLANK('Data Entry'!H502), "", 'Data Entry'!H502)</f>
      </c>
      <c r="I502">
        <f>IF(ISBLANK('Data Entry'!I502), "", 'Data Entry'!I502)</f>
      </c>
      <c r="J502">
        <f>IF(ISBLANK('Data Entry'!J502), "", 'Data Entry'!J502)</f>
      </c>
      <c r="K502">
        <f>IF(ISBLANK('Data Entry'!K502), "", 'Data Entry'!K502)</f>
      </c>
      <c r="L502">
        <f>IF(ISBLANK('Data Entry'!L502), "", 'Data Entry'!L502)</f>
      </c>
      <c r="M502">
        <f>IF(ISBLANK('Data Entry'!M502), "", 'Data Entry'!M502)</f>
      </c>
      <c r="N502">
        <f>IF(ISBLANK('Data Entry'!N502), "", 'Data Entry'!N502)</f>
      </c>
      <c r="O502">
        <f>IF(ISBLANK('Data Entry'!O502), "", 'Data Entry'!O502)</f>
      </c>
      <c r="P502">
        <f>IF(ISBLANK('Data Entry'!P502), "", 'Data Entry'!P502)</f>
      </c>
      <c r="Q502">
        <f>IF(ISBLANK('Data Entry'!Q502), "", 'Data Entry'!Q502)</f>
      </c>
      <c r="R502">
        <f>IF(ISBLANK('Data Entry'!R502), "", 'Data Entry'!R502)</f>
      </c>
      <c r="S502">
        <f>IF(ISBLANK('Data Entry'!S502), "", 'Data Entry'!S502)</f>
      </c>
      <c r="T502">
        <f>IF(ISBLANK('Data Entry'!T502), "", 'Data Entry'!T502)</f>
      </c>
      <c r="U502">
        <f>IF(ISBLANK('Data Entry'!U502), "", 'Data Entry'!U502)</f>
      </c>
      <c r="V502">
        <f>IF(ISBLANK('Data Entry'!V502), "", 'Data Entry'!V502)</f>
      </c>
      <c r="W502">
        <f>IF(ISBLANK('Data Entry'!W502), "", 'Data Entry'!W502)</f>
      </c>
      <c r="X502">
        <f>IF(ISBLANK('Data Entry'!X502), "", 'Data Entry'!X502)</f>
      </c>
      <c r="Y502">
        <f>IF(ISBLANK('Data Entry'!Y502), "", 'Data Entry'!Y502)</f>
      </c>
      <c r="Z502">
        <f>IF(ISBLANK('Data Entry'!Z502), "", 'Data Entry'!Z502)</f>
      </c>
      <c r="AA502">
        <f>IF(ISBLANK('Data Entry'![502), "", 'Data Entry'![502)</f>
      </c>
      <c r="AB502">
        <f>IF(ISBLANK('Data Entry'!\502), "", 'Data Entry'!\502)</f>
      </c>
      <c r="AC502">
        <f>IF(ISBLANK('Data Entry'!]502), "", 'Data Entry'!]502)</f>
      </c>
      <c r="AD502">
        <f>IF(ISBLANK('Data Entry'!^502), "", 'Data Entry'!^502)</f>
      </c>
      <c r="AE502">
        <f>IF(ISBLANK('Data Entry'!_502), "", 'Data Entry'!_502)</f>
      </c>
      <c r="AF502">
        <f>IF(ISBLANK('Data Entry'!`502), "", 'Data Entry'!`502)</f>
      </c>
      <c r="AG502">
        <f>IF(ISBLANK('Data Entry'!a502), "", 'Data Entry'!a502)</f>
      </c>
      <c r="AH502">
        <f>IF(ISBLANK('Data Entry'!b502), "", 'Data Entry'!b502)</f>
      </c>
      <c r="AI502">
        <f>IF(ISBLANK('Data Entry'!c502), "", 'Data Entry'!c502)</f>
      </c>
      <c r="AJ502">
        <f>IF(ISBLANK('Data Entry'!d502), "", 'Data Entry'!d502)</f>
      </c>
      <c r="AK502">
        <f>IF(ISBLANK('Data Entry'!e502), "", 'Data Entry'!e502)</f>
      </c>
      <c r="AL502">
        <f>IF(ISBLANK('Data Entry'!f502), "", 'Data Entry'!f502)</f>
      </c>
      <c r="AM502">
        <f>IF(ISBLANK('Data Entry'!g502), "", 'Data Entry'!g502)</f>
      </c>
      <c r="AN502">
        <f>IF(ISBLANK('Data Entry'!h502), "", 'Data Entry'!h502)</f>
      </c>
    </row>
    <row r="503" spans="1:40" x14ac:dyDescent="0.25">
      <c r="A503">
        <f>IF(ISBLANK('Data Entry'!A503), "", 'Data Entry'!A503)</f>
      </c>
      <c r="B503">
        <f>IF(ISBLANK('Data Entry'!B503), "", 'Data Entry'!B503)</f>
      </c>
      <c r="C503">
        <f>IF(ISBLANK('Data Entry'!C503), "", 'Data Entry'!C503)</f>
      </c>
      <c r="D503">
        <f>IF(ISBLANK('Data Entry'!D503), "", 'Data Entry'!D503)</f>
      </c>
      <c r="E503">
        <f>IF(ISBLANK('Data Entry'!E503), "", 'Data Entry'!E503)</f>
      </c>
      <c r="F503">
        <f>IF(ISBLANK('Data Entry'!F503), "", 'Data Entry'!F503)</f>
      </c>
      <c r="G503">
        <f>IF(ISBLANK('Data Entry'!G503), "", 'Data Entry'!G503)</f>
      </c>
      <c r="H503">
        <f>IF(ISBLANK('Data Entry'!H503), "", 'Data Entry'!H503)</f>
      </c>
      <c r="I503">
        <f>IF(ISBLANK('Data Entry'!I503), "", 'Data Entry'!I503)</f>
      </c>
      <c r="J503">
        <f>IF(ISBLANK('Data Entry'!J503), "", 'Data Entry'!J503)</f>
      </c>
      <c r="K503">
        <f>IF(ISBLANK('Data Entry'!K503), "", 'Data Entry'!K503)</f>
      </c>
      <c r="L503">
        <f>IF(ISBLANK('Data Entry'!L503), "", 'Data Entry'!L503)</f>
      </c>
      <c r="M503">
        <f>IF(ISBLANK('Data Entry'!M503), "", 'Data Entry'!M503)</f>
      </c>
      <c r="N503">
        <f>IF(ISBLANK('Data Entry'!N503), "", 'Data Entry'!N503)</f>
      </c>
      <c r="O503">
        <f>IF(ISBLANK('Data Entry'!O503), "", 'Data Entry'!O503)</f>
      </c>
      <c r="P503">
        <f>IF(ISBLANK('Data Entry'!P503), "", 'Data Entry'!P503)</f>
      </c>
      <c r="Q503">
        <f>IF(ISBLANK('Data Entry'!Q503), "", 'Data Entry'!Q503)</f>
      </c>
      <c r="R503">
        <f>IF(ISBLANK('Data Entry'!R503), "", 'Data Entry'!R503)</f>
      </c>
      <c r="S503">
        <f>IF(ISBLANK('Data Entry'!S503), "", 'Data Entry'!S503)</f>
      </c>
      <c r="T503">
        <f>IF(ISBLANK('Data Entry'!T503), "", 'Data Entry'!T503)</f>
      </c>
      <c r="U503">
        <f>IF(ISBLANK('Data Entry'!U503), "", 'Data Entry'!U503)</f>
      </c>
      <c r="V503">
        <f>IF(ISBLANK('Data Entry'!V503), "", 'Data Entry'!V503)</f>
      </c>
      <c r="W503">
        <f>IF(ISBLANK('Data Entry'!W503), "", 'Data Entry'!W503)</f>
      </c>
      <c r="X503">
        <f>IF(ISBLANK('Data Entry'!X503), "", 'Data Entry'!X503)</f>
      </c>
      <c r="Y503">
        <f>IF(ISBLANK('Data Entry'!Y503), "", 'Data Entry'!Y503)</f>
      </c>
      <c r="Z503">
        <f>IF(ISBLANK('Data Entry'!Z503), "", 'Data Entry'!Z503)</f>
      </c>
      <c r="AA503">
        <f>IF(ISBLANK('Data Entry'![503), "", 'Data Entry'![503)</f>
      </c>
      <c r="AB503">
        <f>IF(ISBLANK('Data Entry'!\503), "", 'Data Entry'!\503)</f>
      </c>
      <c r="AC503">
        <f>IF(ISBLANK('Data Entry'!]503), "", 'Data Entry'!]503)</f>
      </c>
      <c r="AD503">
        <f>IF(ISBLANK('Data Entry'!^503), "", 'Data Entry'!^503)</f>
      </c>
      <c r="AE503">
        <f>IF(ISBLANK('Data Entry'!_503), "", 'Data Entry'!_503)</f>
      </c>
      <c r="AF503">
        <f>IF(ISBLANK('Data Entry'!`503), "", 'Data Entry'!`503)</f>
      </c>
      <c r="AG503">
        <f>IF(ISBLANK('Data Entry'!a503), "", 'Data Entry'!a503)</f>
      </c>
      <c r="AH503">
        <f>IF(ISBLANK('Data Entry'!b503), "", 'Data Entry'!b503)</f>
      </c>
      <c r="AI503">
        <f>IF(ISBLANK('Data Entry'!c503), "", 'Data Entry'!c503)</f>
      </c>
      <c r="AJ503">
        <f>IF(ISBLANK('Data Entry'!d503), "", 'Data Entry'!d503)</f>
      </c>
      <c r="AK503">
        <f>IF(ISBLANK('Data Entry'!e503), "", 'Data Entry'!e503)</f>
      </c>
      <c r="AL503">
        <f>IF(ISBLANK('Data Entry'!f503), "", 'Data Entry'!f503)</f>
      </c>
      <c r="AM503">
        <f>IF(ISBLANK('Data Entry'!g503), "", 'Data Entry'!g503)</f>
      </c>
      <c r="AN503">
        <f>IF(ISBLANK('Data Entry'!h503), "", 'Data Entry'!h503)</f>
      </c>
    </row>
    <row r="504" spans="1:40" x14ac:dyDescent="0.25">
      <c r="A504">
        <f>IF(ISBLANK('Data Entry'!A504), "", 'Data Entry'!A504)</f>
      </c>
      <c r="B504">
        <f>IF(ISBLANK('Data Entry'!B504), "", 'Data Entry'!B504)</f>
      </c>
      <c r="C504">
        <f>IF(ISBLANK('Data Entry'!C504), "", 'Data Entry'!C504)</f>
      </c>
      <c r="D504">
        <f>IF(ISBLANK('Data Entry'!D504), "", 'Data Entry'!D504)</f>
      </c>
      <c r="E504">
        <f>IF(ISBLANK('Data Entry'!E504), "", 'Data Entry'!E504)</f>
      </c>
      <c r="F504">
        <f>IF(ISBLANK('Data Entry'!F504), "", 'Data Entry'!F504)</f>
      </c>
      <c r="G504">
        <f>IF(ISBLANK('Data Entry'!G504), "", 'Data Entry'!G504)</f>
      </c>
      <c r="H504">
        <f>IF(ISBLANK('Data Entry'!H504), "", 'Data Entry'!H504)</f>
      </c>
      <c r="I504">
        <f>IF(ISBLANK('Data Entry'!I504), "", 'Data Entry'!I504)</f>
      </c>
      <c r="J504">
        <f>IF(ISBLANK('Data Entry'!J504), "", 'Data Entry'!J504)</f>
      </c>
      <c r="K504">
        <f>IF(ISBLANK('Data Entry'!K504), "", 'Data Entry'!K504)</f>
      </c>
      <c r="L504">
        <f>IF(ISBLANK('Data Entry'!L504), "", 'Data Entry'!L504)</f>
      </c>
      <c r="M504">
        <f>IF(ISBLANK('Data Entry'!M504), "", 'Data Entry'!M504)</f>
      </c>
      <c r="N504">
        <f>IF(ISBLANK('Data Entry'!N504), "", 'Data Entry'!N504)</f>
      </c>
      <c r="O504">
        <f>IF(ISBLANK('Data Entry'!O504), "", 'Data Entry'!O504)</f>
      </c>
      <c r="P504">
        <f>IF(ISBLANK('Data Entry'!P504), "", 'Data Entry'!P504)</f>
      </c>
      <c r="Q504">
        <f>IF(ISBLANK('Data Entry'!Q504), "", 'Data Entry'!Q504)</f>
      </c>
      <c r="R504">
        <f>IF(ISBLANK('Data Entry'!R504), "", 'Data Entry'!R504)</f>
      </c>
      <c r="S504">
        <f>IF(ISBLANK('Data Entry'!S504), "", 'Data Entry'!S504)</f>
      </c>
      <c r="T504">
        <f>IF(ISBLANK('Data Entry'!T504), "", 'Data Entry'!T504)</f>
      </c>
      <c r="U504">
        <f>IF(ISBLANK('Data Entry'!U504), "", 'Data Entry'!U504)</f>
      </c>
      <c r="V504">
        <f>IF(ISBLANK('Data Entry'!V504), "", 'Data Entry'!V504)</f>
      </c>
      <c r="W504">
        <f>IF(ISBLANK('Data Entry'!W504), "", 'Data Entry'!W504)</f>
      </c>
      <c r="X504">
        <f>IF(ISBLANK('Data Entry'!X504), "", 'Data Entry'!X504)</f>
      </c>
      <c r="Y504">
        <f>IF(ISBLANK('Data Entry'!Y504), "", 'Data Entry'!Y504)</f>
      </c>
      <c r="Z504">
        <f>IF(ISBLANK('Data Entry'!Z504), "", 'Data Entry'!Z504)</f>
      </c>
      <c r="AA504">
        <f>IF(ISBLANK('Data Entry'![504), "", 'Data Entry'![504)</f>
      </c>
      <c r="AB504">
        <f>IF(ISBLANK('Data Entry'!\504), "", 'Data Entry'!\504)</f>
      </c>
      <c r="AC504">
        <f>IF(ISBLANK('Data Entry'!]504), "", 'Data Entry'!]504)</f>
      </c>
      <c r="AD504">
        <f>IF(ISBLANK('Data Entry'!^504), "", 'Data Entry'!^504)</f>
      </c>
      <c r="AE504">
        <f>IF(ISBLANK('Data Entry'!_504), "", 'Data Entry'!_504)</f>
      </c>
      <c r="AF504">
        <f>IF(ISBLANK('Data Entry'!`504), "", 'Data Entry'!`504)</f>
      </c>
      <c r="AG504">
        <f>IF(ISBLANK('Data Entry'!a504), "", 'Data Entry'!a504)</f>
      </c>
      <c r="AH504">
        <f>IF(ISBLANK('Data Entry'!b504), "", 'Data Entry'!b504)</f>
      </c>
      <c r="AI504">
        <f>IF(ISBLANK('Data Entry'!c504), "", 'Data Entry'!c504)</f>
      </c>
      <c r="AJ504">
        <f>IF(ISBLANK('Data Entry'!d504), "", 'Data Entry'!d504)</f>
      </c>
      <c r="AK504">
        <f>IF(ISBLANK('Data Entry'!e504), "", 'Data Entry'!e504)</f>
      </c>
      <c r="AL504">
        <f>IF(ISBLANK('Data Entry'!f504), "", 'Data Entry'!f504)</f>
      </c>
      <c r="AM504">
        <f>IF(ISBLANK('Data Entry'!g504), "", 'Data Entry'!g504)</f>
      </c>
      <c r="AN504">
        <f>IF(ISBLANK('Data Entry'!h504), "", 'Data Entry'!h504)</f>
      </c>
    </row>
    <row r="505" spans="1:40" x14ac:dyDescent="0.25">
      <c r="A505">
        <f>IF(ISBLANK('Data Entry'!A505), "", 'Data Entry'!A505)</f>
      </c>
      <c r="B505">
        <f>IF(ISBLANK('Data Entry'!B505), "", 'Data Entry'!B505)</f>
      </c>
      <c r="C505">
        <f>IF(ISBLANK('Data Entry'!C505), "", 'Data Entry'!C505)</f>
      </c>
      <c r="D505">
        <f>IF(ISBLANK('Data Entry'!D505), "", 'Data Entry'!D505)</f>
      </c>
      <c r="E505">
        <f>IF(ISBLANK('Data Entry'!E505), "", 'Data Entry'!E505)</f>
      </c>
      <c r="F505">
        <f>IF(ISBLANK('Data Entry'!F505), "", 'Data Entry'!F505)</f>
      </c>
      <c r="G505">
        <f>IF(ISBLANK('Data Entry'!G505), "", 'Data Entry'!G505)</f>
      </c>
      <c r="H505">
        <f>IF(ISBLANK('Data Entry'!H505), "", 'Data Entry'!H505)</f>
      </c>
      <c r="I505">
        <f>IF(ISBLANK('Data Entry'!I505), "", 'Data Entry'!I505)</f>
      </c>
      <c r="J505">
        <f>IF(ISBLANK('Data Entry'!J505), "", 'Data Entry'!J505)</f>
      </c>
      <c r="K505">
        <f>IF(ISBLANK('Data Entry'!K505), "", 'Data Entry'!K505)</f>
      </c>
      <c r="L505">
        <f>IF(ISBLANK('Data Entry'!L505), "", 'Data Entry'!L505)</f>
      </c>
      <c r="M505">
        <f>IF(ISBLANK('Data Entry'!M505), "", 'Data Entry'!M505)</f>
      </c>
      <c r="N505">
        <f>IF(ISBLANK('Data Entry'!N505), "", 'Data Entry'!N505)</f>
      </c>
      <c r="O505">
        <f>IF(ISBLANK('Data Entry'!O505), "", 'Data Entry'!O505)</f>
      </c>
      <c r="P505">
        <f>IF(ISBLANK('Data Entry'!P505), "", 'Data Entry'!P505)</f>
      </c>
      <c r="Q505">
        <f>IF(ISBLANK('Data Entry'!Q505), "", 'Data Entry'!Q505)</f>
      </c>
      <c r="R505">
        <f>IF(ISBLANK('Data Entry'!R505), "", 'Data Entry'!R505)</f>
      </c>
      <c r="S505">
        <f>IF(ISBLANK('Data Entry'!S505), "", 'Data Entry'!S505)</f>
      </c>
      <c r="T505">
        <f>IF(ISBLANK('Data Entry'!T505), "", 'Data Entry'!T505)</f>
      </c>
      <c r="U505">
        <f>IF(ISBLANK('Data Entry'!U505), "", 'Data Entry'!U505)</f>
      </c>
      <c r="V505">
        <f>IF(ISBLANK('Data Entry'!V505), "", 'Data Entry'!V505)</f>
      </c>
      <c r="W505">
        <f>IF(ISBLANK('Data Entry'!W505), "", 'Data Entry'!W505)</f>
      </c>
      <c r="X505">
        <f>IF(ISBLANK('Data Entry'!X505), "", 'Data Entry'!X505)</f>
      </c>
      <c r="Y505">
        <f>IF(ISBLANK('Data Entry'!Y505), "", 'Data Entry'!Y505)</f>
      </c>
      <c r="Z505">
        <f>IF(ISBLANK('Data Entry'!Z505), "", 'Data Entry'!Z505)</f>
      </c>
      <c r="AA505">
        <f>IF(ISBLANK('Data Entry'![505), "", 'Data Entry'![505)</f>
      </c>
      <c r="AB505">
        <f>IF(ISBLANK('Data Entry'!\505), "", 'Data Entry'!\505)</f>
      </c>
      <c r="AC505">
        <f>IF(ISBLANK('Data Entry'!]505), "", 'Data Entry'!]505)</f>
      </c>
      <c r="AD505">
        <f>IF(ISBLANK('Data Entry'!^505), "", 'Data Entry'!^505)</f>
      </c>
      <c r="AE505">
        <f>IF(ISBLANK('Data Entry'!_505), "", 'Data Entry'!_505)</f>
      </c>
      <c r="AF505">
        <f>IF(ISBLANK('Data Entry'!`505), "", 'Data Entry'!`505)</f>
      </c>
      <c r="AG505">
        <f>IF(ISBLANK('Data Entry'!a505), "", 'Data Entry'!a505)</f>
      </c>
      <c r="AH505">
        <f>IF(ISBLANK('Data Entry'!b505), "", 'Data Entry'!b505)</f>
      </c>
      <c r="AI505">
        <f>IF(ISBLANK('Data Entry'!c505), "", 'Data Entry'!c505)</f>
      </c>
      <c r="AJ505">
        <f>IF(ISBLANK('Data Entry'!d505), "", 'Data Entry'!d505)</f>
      </c>
      <c r="AK505">
        <f>IF(ISBLANK('Data Entry'!e505), "", 'Data Entry'!e505)</f>
      </c>
      <c r="AL505">
        <f>IF(ISBLANK('Data Entry'!f505), "", 'Data Entry'!f505)</f>
      </c>
      <c r="AM505">
        <f>IF(ISBLANK('Data Entry'!g505), "", 'Data Entry'!g505)</f>
      </c>
      <c r="AN505">
        <f>IF(ISBLANK('Data Entry'!h505), "", 'Data Entry'!h505)</f>
      </c>
    </row>
    <row r="506" spans="1:40" x14ac:dyDescent="0.25">
      <c r="A506">
        <f>IF(ISBLANK('Data Entry'!A506), "", 'Data Entry'!A506)</f>
      </c>
      <c r="B506">
        <f>IF(ISBLANK('Data Entry'!B506), "", 'Data Entry'!B506)</f>
      </c>
      <c r="C506">
        <f>IF(ISBLANK('Data Entry'!C506), "", 'Data Entry'!C506)</f>
      </c>
      <c r="D506">
        <f>IF(ISBLANK('Data Entry'!D506), "", 'Data Entry'!D506)</f>
      </c>
      <c r="E506">
        <f>IF(ISBLANK('Data Entry'!E506), "", 'Data Entry'!E506)</f>
      </c>
      <c r="F506">
        <f>IF(ISBLANK('Data Entry'!F506), "", 'Data Entry'!F506)</f>
      </c>
      <c r="G506">
        <f>IF(ISBLANK('Data Entry'!G506), "", 'Data Entry'!G506)</f>
      </c>
      <c r="H506">
        <f>IF(ISBLANK('Data Entry'!H506), "", 'Data Entry'!H506)</f>
      </c>
      <c r="I506">
        <f>IF(ISBLANK('Data Entry'!I506), "", 'Data Entry'!I506)</f>
      </c>
      <c r="J506">
        <f>IF(ISBLANK('Data Entry'!J506), "", 'Data Entry'!J506)</f>
      </c>
      <c r="K506">
        <f>IF(ISBLANK('Data Entry'!K506), "", 'Data Entry'!K506)</f>
      </c>
      <c r="L506">
        <f>IF(ISBLANK('Data Entry'!L506), "", 'Data Entry'!L506)</f>
      </c>
      <c r="M506">
        <f>IF(ISBLANK('Data Entry'!M506), "", 'Data Entry'!M506)</f>
      </c>
      <c r="N506">
        <f>IF(ISBLANK('Data Entry'!N506), "", 'Data Entry'!N506)</f>
      </c>
      <c r="O506">
        <f>IF(ISBLANK('Data Entry'!O506), "", 'Data Entry'!O506)</f>
      </c>
      <c r="P506">
        <f>IF(ISBLANK('Data Entry'!P506), "", 'Data Entry'!P506)</f>
      </c>
      <c r="Q506">
        <f>IF(ISBLANK('Data Entry'!Q506), "", 'Data Entry'!Q506)</f>
      </c>
      <c r="R506">
        <f>IF(ISBLANK('Data Entry'!R506), "", 'Data Entry'!R506)</f>
      </c>
      <c r="S506">
        <f>IF(ISBLANK('Data Entry'!S506), "", 'Data Entry'!S506)</f>
      </c>
      <c r="T506">
        <f>IF(ISBLANK('Data Entry'!T506), "", 'Data Entry'!T506)</f>
      </c>
      <c r="U506">
        <f>IF(ISBLANK('Data Entry'!U506), "", 'Data Entry'!U506)</f>
      </c>
      <c r="V506">
        <f>IF(ISBLANK('Data Entry'!V506), "", 'Data Entry'!V506)</f>
      </c>
      <c r="W506">
        <f>IF(ISBLANK('Data Entry'!W506), "", 'Data Entry'!W506)</f>
      </c>
      <c r="X506">
        <f>IF(ISBLANK('Data Entry'!X506), "", 'Data Entry'!X506)</f>
      </c>
      <c r="Y506">
        <f>IF(ISBLANK('Data Entry'!Y506), "", 'Data Entry'!Y506)</f>
      </c>
      <c r="Z506">
        <f>IF(ISBLANK('Data Entry'!Z506), "", 'Data Entry'!Z506)</f>
      </c>
      <c r="AA506">
        <f>IF(ISBLANK('Data Entry'![506), "", 'Data Entry'![506)</f>
      </c>
      <c r="AB506">
        <f>IF(ISBLANK('Data Entry'!\506), "", 'Data Entry'!\506)</f>
      </c>
      <c r="AC506">
        <f>IF(ISBLANK('Data Entry'!]506), "", 'Data Entry'!]506)</f>
      </c>
      <c r="AD506">
        <f>IF(ISBLANK('Data Entry'!^506), "", 'Data Entry'!^506)</f>
      </c>
      <c r="AE506">
        <f>IF(ISBLANK('Data Entry'!_506), "", 'Data Entry'!_506)</f>
      </c>
      <c r="AF506">
        <f>IF(ISBLANK('Data Entry'!`506), "", 'Data Entry'!`506)</f>
      </c>
      <c r="AG506">
        <f>IF(ISBLANK('Data Entry'!a506), "", 'Data Entry'!a506)</f>
      </c>
      <c r="AH506">
        <f>IF(ISBLANK('Data Entry'!b506), "", 'Data Entry'!b506)</f>
      </c>
      <c r="AI506">
        <f>IF(ISBLANK('Data Entry'!c506), "", 'Data Entry'!c506)</f>
      </c>
      <c r="AJ506">
        <f>IF(ISBLANK('Data Entry'!d506), "", 'Data Entry'!d506)</f>
      </c>
      <c r="AK506">
        <f>IF(ISBLANK('Data Entry'!e506), "", 'Data Entry'!e506)</f>
      </c>
      <c r="AL506">
        <f>IF(ISBLANK('Data Entry'!f506), "", 'Data Entry'!f506)</f>
      </c>
      <c r="AM506">
        <f>IF(ISBLANK('Data Entry'!g506), "", 'Data Entry'!g506)</f>
      </c>
      <c r="AN506">
        <f>IF(ISBLANK('Data Entry'!h506), "", 'Data Entry'!h506)</f>
      </c>
    </row>
    <row r="507" spans="1:40" x14ac:dyDescent="0.25">
      <c r="A507">
        <f>IF(ISBLANK('Data Entry'!A507), "", 'Data Entry'!A507)</f>
      </c>
      <c r="B507">
        <f>IF(ISBLANK('Data Entry'!B507), "", 'Data Entry'!B507)</f>
      </c>
      <c r="C507">
        <f>IF(ISBLANK('Data Entry'!C507), "", 'Data Entry'!C507)</f>
      </c>
      <c r="D507">
        <f>IF(ISBLANK('Data Entry'!D507), "", 'Data Entry'!D507)</f>
      </c>
      <c r="E507">
        <f>IF(ISBLANK('Data Entry'!E507), "", 'Data Entry'!E507)</f>
      </c>
      <c r="F507">
        <f>IF(ISBLANK('Data Entry'!F507), "", 'Data Entry'!F507)</f>
      </c>
      <c r="G507">
        <f>IF(ISBLANK('Data Entry'!G507), "", 'Data Entry'!G507)</f>
      </c>
      <c r="H507">
        <f>IF(ISBLANK('Data Entry'!H507), "", 'Data Entry'!H507)</f>
      </c>
      <c r="I507">
        <f>IF(ISBLANK('Data Entry'!I507), "", 'Data Entry'!I507)</f>
      </c>
      <c r="J507">
        <f>IF(ISBLANK('Data Entry'!J507), "", 'Data Entry'!J507)</f>
      </c>
      <c r="K507">
        <f>IF(ISBLANK('Data Entry'!K507), "", 'Data Entry'!K507)</f>
      </c>
      <c r="L507">
        <f>IF(ISBLANK('Data Entry'!L507), "", 'Data Entry'!L507)</f>
      </c>
      <c r="M507">
        <f>IF(ISBLANK('Data Entry'!M507), "", 'Data Entry'!M507)</f>
      </c>
      <c r="N507">
        <f>IF(ISBLANK('Data Entry'!N507), "", 'Data Entry'!N507)</f>
      </c>
      <c r="O507">
        <f>IF(ISBLANK('Data Entry'!O507), "", 'Data Entry'!O507)</f>
      </c>
      <c r="P507">
        <f>IF(ISBLANK('Data Entry'!P507), "", 'Data Entry'!P507)</f>
      </c>
      <c r="Q507">
        <f>IF(ISBLANK('Data Entry'!Q507), "", 'Data Entry'!Q507)</f>
      </c>
      <c r="R507">
        <f>IF(ISBLANK('Data Entry'!R507), "", 'Data Entry'!R507)</f>
      </c>
      <c r="S507">
        <f>IF(ISBLANK('Data Entry'!S507), "", 'Data Entry'!S507)</f>
      </c>
      <c r="T507">
        <f>IF(ISBLANK('Data Entry'!T507), "", 'Data Entry'!T507)</f>
      </c>
      <c r="U507">
        <f>IF(ISBLANK('Data Entry'!U507), "", 'Data Entry'!U507)</f>
      </c>
      <c r="V507">
        <f>IF(ISBLANK('Data Entry'!V507), "", 'Data Entry'!V507)</f>
      </c>
      <c r="W507">
        <f>IF(ISBLANK('Data Entry'!W507), "", 'Data Entry'!W507)</f>
      </c>
      <c r="X507">
        <f>IF(ISBLANK('Data Entry'!X507), "", 'Data Entry'!X507)</f>
      </c>
      <c r="Y507">
        <f>IF(ISBLANK('Data Entry'!Y507), "", 'Data Entry'!Y507)</f>
      </c>
      <c r="Z507">
        <f>IF(ISBLANK('Data Entry'!Z507), "", 'Data Entry'!Z507)</f>
      </c>
      <c r="AA507">
        <f>IF(ISBLANK('Data Entry'![507), "", 'Data Entry'![507)</f>
      </c>
      <c r="AB507">
        <f>IF(ISBLANK('Data Entry'!\507), "", 'Data Entry'!\507)</f>
      </c>
      <c r="AC507">
        <f>IF(ISBLANK('Data Entry'!]507), "", 'Data Entry'!]507)</f>
      </c>
      <c r="AD507">
        <f>IF(ISBLANK('Data Entry'!^507), "", 'Data Entry'!^507)</f>
      </c>
      <c r="AE507">
        <f>IF(ISBLANK('Data Entry'!_507), "", 'Data Entry'!_507)</f>
      </c>
      <c r="AF507">
        <f>IF(ISBLANK('Data Entry'!`507), "", 'Data Entry'!`507)</f>
      </c>
      <c r="AG507">
        <f>IF(ISBLANK('Data Entry'!a507), "", 'Data Entry'!a507)</f>
      </c>
      <c r="AH507">
        <f>IF(ISBLANK('Data Entry'!b507), "", 'Data Entry'!b507)</f>
      </c>
      <c r="AI507">
        <f>IF(ISBLANK('Data Entry'!c507), "", 'Data Entry'!c507)</f>
      </c>
      <c r="AJ507">
        <f>IF(ISBLANK('Data Entry'!d507), "", 'Data Entry'!d507)</f>
      </c>
      <c r="AK507">
        <f>IF(ISBLANK('Data Entry'!e507), "", 'Data Entry'!e507)</f>
      </c>
      <c r="AL507">
        <f>IF(ISBLANK('Data Entry'!f507), "", 'Data Entry'!f507)</f>
      </c>
      <c r="AM507">
        <f>IF(ISBLANK('Data Entry'!g507), "", 'Data Entry'!g507)</f>
      </c>
      <c r="AN507">
        <f>IF(ISBLANK('Data Entry'!h507), "", 'Data Entry'!h507)</f>
      </c>
    </row>
    <row r="508" spans="1:40" x14ac:dyDescent="0.25">
      <c r="A508">
        <f>IF(ISBLANK('Data Entry'!A508), "", 'Data Entry'!A508)</f>
      </c>
      <c r="B508">
        <f>IF(ISBLANK('Data Entry'!B508), "", 'Data Entry'!B508)</f>
      </c>
      <c r="C508">
        <f>IF(ISBLANK('Data Entry'!C508), "", 'Data Entry'!C508)</f>
      </c>
      <c r="D508">
        <f>IF(ISBLANK('Data Entry'!D508), "", 'Data Entry'!D508)</f>
      </c>
      <c r="E508">
        <f>IF(ISBLANK('Data Entry'!E508), "", 'Data Entry'!E508)</f>
      </c>
      <c r="F508">
        <f>IF(ISBLANK('Data Entry'!F508), "", 'Data Entry'!F508)</f>
      </c>
      <c r="G508">
        <f>IF(ISBLANK('Data Entry'!G508), "", 'Data Entry'!G508)</f>
      </c>
      <c r="H508">
        <f>IF(ISBLANK('Data Entry'!H508), "", 'Data Entry'!H508)</f>
      </c>
      <c r="I508">
        <f>IF(ISBLANK('Data Entry'!I508), "", 'Data Entry'!I508)</f>
      </c>
      <c r="J508">
        <f>IF(ISBLANK('Data Entry'!J508), "", 'Data Entry'!J508)</f>
      </c>
      <c r="K508">
        <f>IF(ISBLANK('Data Entry'!K508), "", 'Data Entry'!K508)</f>
      </c>
      <c r="L508">
        <f>IF(ISBLANK('Data Entry'!L508), "", 'Data Entry'!L508)</f>
      </c>
      <c r="M508">
        <f>IF(ISBLANK('Data Entry'!M508), "", 'Data Entry'!M508)</f>
      </c>
      <c r="N508">
        <f>IF(ISBLANK('Data Entry'!N508), "", 'Data Entry'!N508)</f>
      </c>
      <c r="O508">
        <f>IF(ISBLANK('Data Entry'!O508), "", 'Data Entry'!O508)</f>
      </c>
      <c r="P508">
        <f>IF(ISBLANK('Data Entry'!P508), "", 'Data Entry'!P508)</f>
      </c>
      <c r="Q508">
        <f>IF(ISBLANK('Data Entry'!Q508), "", 'Data Entry'!Q508)</f>
      </c>
      <c r="R508">
        <f>IF(ISBLANK('Data Entry'!R508), "", 'Data Entry'!R508)</f>
      </c>
      <c r="S508">
        <f>IF(ISBLANK('Data Entry'!S508), "", 'Data Entry'!S508)</f>
      </c>
      <c r="T508">
        <f>IF(ISBLANK('Data Entry'!T508), "", 'Data Entry'!T508)</f>
      </c>
      <c r="U508">
        <f>IF(ISBLANK('Data Entry'!U508), "", 'Data Entry'!U508)</f>
      </c>
      <c r="V508">
        <f>IF(ISBLANK('Data Entry'!V508), "", 'Data Entry'!V508)</f>
      </c>
      <c r="W508">
        <f>IF(ISBLANK('Data Entry'!W508), "", 'Data Entry'!W508)</f>
      </c>
      <c r="X508">
        <f>IF(ISBLANK('Data Entry'!X508), "", 'Data Entry'!X508)</f>
      </c>
      <c r="Y508">
        <f>IF(ISBLANK('Data Entry'!Y508), "", 'Data Entry'!Y508)</f>
      </c>
      <c r="Z508">
        <f>IF(ISBLANK('Data Entry'!Z508), "", 'Data Entry'!Z508)</f>
      </c>
      <c r="AA508">
        <f>IF(ISBLANK('Data Entry'![508), "", 'Data Entry'![508)</f>
      </c>
      <c r="AB508">
        <f>IF(ISBLANK('Data Entry'!\508), "", 'Data Entry'!\508)</f>
      </c>
      <c r="AC508">
        <f>IF(ISBLANK('Data Entry'!]508), "", 'Data Entry'!]508)</f>
      </c>
      <c r="AD508">
        <f>IF(ISBLANK('Data Entry'!^508), "", 'Data Entry'!^508)</f>
      </c>
      <c r="AE508">
        <f>IF(ISBLANK('Data Entry'!_508), "", 'Data Entry'!_508)</f>
      </c>
      <c r="AF508">
        <f>IF(ISBLANK('Data Entry'!`508), "", 'Data Entry'!`508)</f>
      </c>
      <c r="AG508">
        <f>IF(ISBLANK('Data Entry'!a508), "", 'Data Entry'!a508)</f>
      </c>
      <c r="AH508">
        <f>IF(ISBLANK('Data Entry'!b508), "", 'Data Entry'!b508)</f>
      </c>
      <c r="AI508">
        <f>IF(ISBLANK('Data Entry'!c508), "", 'Data Entry'!c508)</f>
      </c>
      <c r="AJ508">
        <f>IF(ISBLANK('Data Entry'!d508), "", 'Data Entry'!d508)</f>
      </c>
      <c r="AK508">
        <f>IF(ISBLANK('Data Entry'!e508), "", 'Data Entry'!e508)</f>
      </c>
      <c r="AL508">
        <f>IF(ISBLANK('Data Entry'!f508), "", 'Data Entry'!f508)</f>
      </c>
      <c r="AM508">
        <f>IF(ISBLANK('Data Entry'!g508), "", 'Data Entry'!g508)</f>
      </c>
      <c r="AN508">
        <f>IF(ISBLANK('Data Entry'!h508), "", 'Data Entry'!h508)</f>
      </c>
    </row>
    <row r="509" spans="1:40" x14ac:dyDescent="0.25">
      <c r="A509">
        <f>IF(ISBLANK('Data Entry'!A509), "", 'Data Entry'!A509)</f>
      </c>
      <c r="B509">
        <f>IF(ISBLANK('Data Entry'!B509), "", 'Data Entry'!B509)</f>
      </c>
      <c r="C509">
        <f>IF(ISBLANK('Data Entry'!C509), "", 'Data Entry'!C509)</f>
      </c>
      <c r="D509">
        <f>IF(ISBLANK('Data Entry'!D509), "", 'Data Entry'!D509)</f>
      </c>
      <c r="E509">
        <f>IF(ISBLANK('Data Entry'!E509), "", 'Data Entry'!E509)</f>
      </c>
      <c r="F509">
        <f>IF(ISBLANK('Data Entry'!F509), "", 'Data Entry'!F509)</f>
      </c>
      <c r="G509">
        <f>IF(ISBLANK('Data Entry'!G509), "", 'Data Entry'!G509)</f>
      </c>
      <c r="H509">
        <f>IF(ISBLANK('Data Entry'!H509), "", 'Data Entry'!H509)</f>
      </c>
      <c r="I509">
        <f>IF(ISBLANK('Data Entry'!I509), "", 'Data Entry'!I509)</f>
      </c>
      <c r="J509">
        <f>IF(ISBLANK('Data Entry'!J509), "", 'Data Entry'!J509)</f>
      </c>
      <c r="K509">
        <f>IF(ISBLANK('Data Entry'!K509), "", 'Data Entry'!K509)</f>
      </c>
      <c r="L509">
        <f>IF(ISBLANK('Data Entry'!L509), "", 'Data Entry'!L509)</f>
      </c>
      <c r="M509">
        <f>IF(ISBLANK('Data Entry'!M509), "", 'Data Entry'!M509)</f>
      </c>
      <c r="N509">
        <f>IF(ISBLANK('Data Entry'!N509), "", 'Data Entry'!N509)</f>
      </c>
      <c r="O509">
        <f>IF(ISBLANK('Data Entry'!O509), "", 'Data Entry'!O509)</f>
      </c>
      <c r="P509">
        <f>IF(ISBLANK('Data Entry'!P509), "", 'Data Entry'!P509)</f>
      </c>
      <c r="Q509">
        <f>IF(ISBLANK('Data Entry'!Q509), "", 'Data Entry'!Q509)</f>
      </c>
      <c r="R509">
        <f>IF(ISBLANK('Data Entry'!R509), "", 'Data Entry'!R509)</f>
      </c>
      <c r="S509">
        <f>IF(ISBLANK('Data Entry'!S509), "", 'Data Entry'!S509)</f>
      </c>
      <c r="T509">
        <f>IF(ISBLANK('Data Entry'!T509), "", 'Data Entry'!T509)</f>
      </c>
      <c r="U509">
        <f>IF(ISBLANK('Data Entry'!U509), "", 'Data Entry'!U509)</f>
      </c>
      <c r="V509">
        <f>IF(ISBLANK('Data Entry'!V509), "", 'Data Entry'!V509)</f>
      </c>
      <c r="W509">
        <f>IF(ISBLANK('Data Entry'!W509), "", 'Data Entry'!W509)</f>
      </c>
      <c r="X509">
        <f>IF(ISBLANK('Data Entry'!X509), "", 'Data Entry'!X509)</f>
      </c>
      <c r="Y509">
        <f>IF(ISBLANK('Data Entry'!Y509), "", 'Data Entry'!Y509)</f>
      </c>
      <c r="Z509">
        <f>IF(ISBLANK('Data Entry'!Z509), "", 'Data Entry'!Z509)</f>
      </c>
      <c r="AA509">
        <f>IF(ISBLANK('Data Entry'![509), "", 'Data Entry'![509)</f>
      </c>
      <c r="AB509">
        <f>IF(ISBLANK('Data Entry'!\509), "", 'Data Entry'!\509)</f>
      </c>
      <c r="AC509">
        <f>IF(ISBLANK('Data Entry'!]509), "", 'Data Entry'!]509)</f>
      </c>
      <c r="AD509">
        <f>IF(ISBLANK('Data Entry'!^509), "", 'Data Entry'!^509)</f>
      </c>
      <c r="AE509">
        <f>IF(ISBLANK('Data Entry'!_509), "", 'Data Entry'!_509)</f>
      </c>
      <c r="AF509">
        <f>IF(ISBLANK('Data Entry'!`509), "", 'Data Entry'!`509)</f>
      </c>
      <c r="AG509">
        <f>IF(ISBLANK('Data Entry'!a509), "", 'Data Entry'!a509)</f>
      </c>
      <c r="AH509">
        <f>IF(ISBLANK('Data Entry'!b509), "", 'Data Entry'!b509)</f>
      </c>
      <c r="AI509">
        <f>IF(ISBLANK('Data Entry'!c509), "", 'Data Entry'!c509)</f>
      </c>
      <c r="AJ509">
        <f>IF(ISBLANK('Data Entry'!d509), "", 'Data Entry'!d509)</f>
      </c>
      <c r="AK509">
        <f>IF(ISBLANK('Data Entry'!e509), "", 'Data Entry'!e509)</f>
      </c>
      <c r="AL509">
        <f>IF(ISBLANK('Data Entry'!f509), "", 'Data Entry'!f509)</f>
      </c>
      <c r="AM509">
        <f>IF(ISBLANK('Data Entry'!g509), "", 'Data Entry'!g509)</f>
      </c>
      <c r="AN509">
        <f>IF(ISBLANK('Data Entry'!h509), "", 'Data Entry'!h509)</f>
      </c>
    </row>
    <row r="510" spans="1:40" x14ac:dyDescent="0.25">
      <c r="A510">
        <f>IF(ISBLANK('Data Entry'!A510), "", 'Data Entry'!A510)</f>
      </c>
      <c r="B510">
        <f>IF(ISBLANK('Data Entry'!B510), "", 'Data Entry'!B510)</f>
      </c>
      <c r="C510">
        <f>IF(ISBLANK('Data Entry'!C510), "", 'Data Entry'!C510)</f>
      </c>
      <c r="D510">
        <f>IF(ISBLANK('Data Entry'!D510), "", 'Data Entry'!D510)</f>
      </c>
      <c r="E510">
        <f>IF(ISBLANK('Data Entry'!E510), "", 'Data Entry'!E510)</f>
      </c>
      <c r="F510">
        <f>IF(ISBLANK('Data Entry'!F510), "", 'Data Entry'!F510)</f>
      </c>
      <c r="G510">
        <f>IF(ISBLANK('Data Entry'!G510), "", 'Data Entry'!G510)</f>
      </c>
      <c r="H510">
        <f>IF(ISBLANK('Data Entry'!H510), "", 'Data Entry'!H510)</f>
      </c>
      <c r="I510">
        <f>IF(ISBLANK('Data Entry'!I510), "", 'Data Entry'!I510)</f>
      </c>
      <c r="J510">
        <f>IF(ISBLANK('Data Entry'!J510), "", 'Data Entry'!J510)</f>
      </c>
      <c r="K510">
        <f>IF(ISBLANK('Data Entry'!K510), "", 'Data Entry'!K510)</f>
      </c>
      <c r="L510">
        <f>IF(ISBLANK('Data Entry'!L510), "", 'Data Entry'!L510)</f>
      </c>
      <c r="M510">
        <f>IF(ISBLANK('Data Entry'!M510), "", 'Data Entry'!M510)</f>
      </c>
      <c r="N510">
        <f>IF(ISBLANK('Data Entry'!N510), "", 'Data Entry'!N510)</f>
      </c>
      <c r="O510">
        <f>IF(ISBLANK('Data Entry'!O510), "", 'Data Entry'!O510)</f>
      </c>
      <c r="P510">
        <f>IF(ISBLANK('Data Entry'!P510), "", 'Data Entry'!P510)</f>
      </c>
      <c r="Q510">
        <f>IF(ISBLANK('Data Entry'!Q510), "", 'Data Entry'!Q510)</f>
      </c>
      <c r="R510">
        <f>IF(ISBLANK('Data Entry'!R510), "", 'Data Entry'!R510)</f>
      </c>
      <c r="S510">
        <f>IF(ISBLANK('Data Entry'!S510), "", 'Data Entry'!S510)</f>
      </c>
      <c r="T510">
        <f>IF(ISBLANK('Data Entry'!T510), "", 'Data Entry'!T510)</f>
      </c>
      <c r="U510">
        <f>IF(ISBLANK('Data Entry'!U510), "", 'Data Entry'!U510)</f>
      </c>
      <c r="V510">
        <f>IF(ISBLANK('Data Entry'!V510), "", 'Data Entry'!V510)</f>
      </c>
      <c r="W510">
        <f>IF(ISBLANK('Data Entry'!W510), "", 'Data Entry'!W510)</f>
      </c>
      <c r="X510">
        <f>IF(ISBLANK('Data Entry'!X510), "", 'Data Entry'!X510)</f>
      </c>
      <c r="Y510">
        <f>IF(ISBLANK('Data Entry'!Y510), "", 'Data Entry'!Y510)</f>
      </c>
      <c r="Z510">
        <f>IF(ISBLANK('Data Entry'!Z510), "", 'Data Entry'!Z510)</f>
      </c>
      <c r="AA510">
        <f>IF(ISBLANK('Data Entry'![510), "", 'Data Entry'![510)</f>
      </c>
      <c r="AB510">
        <f>IF(ISBLANK('Data Entry'!\510), "", 'Data Entry'!\510)</f>
      </c>
      <c r="AC510">
        <f>IF(ISBLANK('Data Entry'!]510), "", 'Data Entry'!]510)</f>
      </c>
      <c r="AD510">
        <f>IF(ISBLANK('Data Entry'!^510), "", 'Data Entry'!^510)</f>
      </c>
      <c r="AE510">
        <f>IF(ISBLANK('Data Entry'!_510), "", 'Data Entry'!_510)</f>
      </c>
      <c r="AF510">
        <f>IF(ISBLANK('Data Entry'!`510), "", 'Data Entry'!`510)</f>
      </c>
      <c r="AG510">
        <f>IF(ISBLANK('Data Entry'!a510), "", 'Data Entry'!a510)</f>
      </c>
      <c r="AH510">
        <f>IF(ISBLANK('Data Entry'!b510), "", 'Data Entry'!b510)</f>
      </c>
      <c r="AI510">
        <f>IF(ISBLANK('Data Entry'!c510), "", 'Data Entry'!c510)</f>
      </c>
      <c r="AJ510">
        <f>IF(ISBLANK('Data Entry'!d510), "", 'Data Entry'!d510)</f>
      </c>
      <c r="AK510">
        <f>IF(ISBLANK('Data Entry'!e510), "", 'Data Entry'!e510)</f>
      </c>
      <c r="AL510">
        <f>IF(ISBLANK('Data Entry'!f510), "", 'Data Entry'!f510)</f>
      </c>
      <c r="AM510">
        <f>IF(ISBLANK('Data Entry'!g510), "", 'Data Entry'!g510)</f>
      </c>
      <c r="AN510">
        <f>IF(ISBLANK('Data Entry'!h510), "", 'Data Entry'!h510)</f>
      </c>
    </row>
    <row r="511" spans="1:40" x14ac:dyDescent="0.25">
      <c r="A511">
        <f>IF(ISBLANK('Data Entry'!A511), "", 'Data Entry'!A511)</f>
      </c>
      <c r="B511">
        <f>IF(ISBLANK('Data Entry'!B511), "", 'Data Entry'!B511)</f>
      </c>
      <c r="C511">
        <f>IF(ISBLANK('Data Entry'!C511), "", 'Data Entry'!C511)</f>
      </c>
      <c r="D511">
        <f>IF(ISBLANK('Data Entry'!D511), "", 'Data Entry'!D511)</f>
      </c>
      <c r="E511">
        <f>IF(ISBLANK('Data Entry'!E511), "", 'Data Entry'!E511)</f>
      </c>
      <c r="F511">
        <f>IF(ISBLANK('Data Entry'!F511), "", 'Data Entry'!F511)</f>
      </c>
      <c r="G511">
        <f>IF(ISBLANK('Data Entry'!G511), "", 'Data Entry'!G511)</f>
      </c>
      <c r="H511">
        <f>IF(ISBLANK('Data Entry'!H511), "", 'Data Entry'!H511)</f>
      </c>
      <c r="I511">
        <f>IF(ISBLANK('Data Entry'!I511), "", 'Data Entry'!I511)</f>
      </c>
      <c r="J511">
        <f>IF(ISBLANK('Data Entry'!J511), "", 'Data Entry'!J511)</f>
      </c>
      <c r="K511">
        <f>IF(ISBLANK('Data Entry'!K511), "", 'Data Entry'!K511)</f>
      </c>
      <c r="L511">
        <f>IF(ISBLANK('Data Entry'!L511), "", 'Data Entry'!L511)</f>
      </c>
      <c r="M511">
        <f>IF(ISBLANK('Data Entry'!M511), "", 'Data Entry'!M511)</f>
      </c>
      <c r="N511">
        <f>IF(ISBLANK('Data Entry'!N511), "", 'Data Entry'!N511)</f>
      </c>
      <c r="O511">
        <f>IF(ISBLANK('Data Entry'!O511), "", 'Data Entry'!O511)</f>
      </c>
      <c r="P511">
        <f>IF(ISBLANK('Data Entry'!P511), "", 'Data Entry'!P511)</f>
      </c>
      <c r="Q511">
        <f>IF(ISBLANK('Data Entry'!Q511), "", 'Data Entry'!Q511)</f>
      </c>
      <c r="R511">
        <f>IF(ISBLANK('Data Entry'!R511), "", 'Data Entry'!R511)</f>
      </c>
      <c r="S511">
        <f>IF(ISBLANK('Data Entry'!S511), "", 'Data Entry'!S511)</f>
      </c>
      <c r="T511">
        <f>IF(ISBLANK('Data Entry'!T511), "", 'Data Entry'!T511)</f>
      </c>
      <c r="U511">
        <f>IF(ISBLANK('Data Entry'!U511), "", 'Data Entry'!U511)</f>
      </c>
      <c r="V511">
        <f>IF(ISBLANK('Data Entry'!V511), "", 'Data Entry'!V511)</f>
      </c>
      <c r="W511">
        <f>IF(ISBLANK('Data Entry'!W511), "", 'Data Entry'!W511)</f>
      </c>
      <c r="X511">
        <f>IF(ISBLANK('Data Entry'!X511), "", 'Data Entry'!X511)</f>
      </c>
      <c r="Y511">
        <f>IF(ISBLANK('Data Entry'!Y511), "", 'Data Entry'!Y511)</f>
      </c>
      <c r="Z511">
        <f>IF(ISBLANK('Data Entry'!Z511), "", 'Data Entry'!Z511)</f>
      </c>
      <c r="AA511">
        <f>IF(ISBLANK('Data Entry'![511), "", 'Data Entry'![511)</f>
      </c>
      <c r="AB511">
        <f>IF(ISBLANK('Data Entry'!\511), "", 'Data Entry'!\511)</f>
      </c>
      <c r="AC511">
        <f>IF(ISBLANK('Data Entry'!]511), "", 'Data Entry'!]511)</f>
      </c>
      <c r="AD511">
        <f>IF(ISBLANK('Data Entry'!^511), "", 'Data Entry'!^511)</f>
      </c>
      <c r="AE511">
        <f>IF(ISBLANK('Data Entry'!_511), "", 'Data Entry'!_511)</f>
      </c>
      <c r="AF511">
        <f>IF(ISBLANK('Data Entry'!`511), "", 'Data Entry'!`511)</f>
      </c>
      <c r="AG511">
        <f>IF(ISBLANK('Data Entry'!a511), "", 'Data Entry'!a511)</f>
      </c>
      <c r="AH511">
        <f>IF(ISBLANK('Data Entry'!b511), "", 'Data Entry'!b511)</f>
      </c>
      <c r="AI511">
        <f>IF(ISBLANK('Data Entry'!c511), "", 'Data Entry'!c511)</f>
      </c>
      <c r="AJ511">
        <f>IF(ISBLANK('Data Entry'!d511), "", 'Data Entry'!d511)</f>
      </c>
      <c r="AK511">
        <f>IF(ISBLANK('Data Entry'!e511), "", 'Data Entry'!e511)</f>
      </c>
      <c r="AL511">
        <f>IF(ISBLANK('Data Entry'!f511), "", 'Data Entry'!f511)</f>
      </c>
      <c r="AM511">
        <f>IF(ISBLANK('Data Entry'!g511), "", 'Data Entry'!g511)</f>
      </c>
      <c r="AN511">
        <f>IF(ISBLANK('Data Entry'!h511), "", 'Data Entry'!h511)</f>
      </c>
    </row>
    <row r="512" spans="1:40" x14ac:dyDescent="0.25">
      <c r="A512">
        <f>IF(ISBLANK('Data Entry'!A512), "", 'Data Entry'!A512)</f>
      </c>
      <c r="B512">
        <f>IF(ISBLANK('Data Entry'!B512), "", 'Data Entry'!B512)</f>
      </c>
      <c r="C512">
        <f>IF(ISBLANK('Data Entry'!C512), "", 'Data Entry'!C512)</f>
      </c>
      <c r="D512">
        <f>IF(ISBLANK('Data Entry'!D512), "", 'Data Entry'!D512)</f>
      </c>
      <c r="E512">
        <f>IF(ISBLANK('Data Entry'!E512), "", 'Data Entry'!E512)</f>
      </c>
      <c r="F512">
        <f>IF(ISBLANK('Data Entry'!F512), "", 'Data Entry'!F512)</f>
      </c>
      <c r="G512">
        <f>IF(ISBLANK('Data Entry'!G512), "", 'Data Entry'!G512)</f>
      </c>
      <c r="H512">
        <f>IF(ISBLANK('Data Entry'!H512), "", 'Data Entry'!H512)</f>
      </c>
      <c r="I512">
        <f>IF(ISBLANK('Data Entry'!I512), "", 'Data Entry'!I512)</f>
      </c>
      <c r="J512">
        <f>IF(ISBLANK('Data Entry'!J512), "", 'Data Entry'!J512)</f>
      </c>
      <c r="K512">
        <f>IF(ISBLANK('Data Entry'!K512), "", 'Data Entry'!K512)</f>
      </c>
      <c r="L512">
        <f>IF(ISBLANK('Data Entry'!L512), "", 'Data Entry'!L512)</f>
      </c>
      <c r="M512">
        <f>IF(ISBLANK('Data Entry'!M512), "", 'Data Entry'!M512)</f>
      </c>
      <c r="N512">
        <f>IF(ISBLANK('Data Entry'!N512), "", 'Data Entry'!N512)</f>
      </c>
      <c r="O512">
        <f>IF(ISBLANK('Data Entry'!O512), "", 'Data Entry'!O512)</f>
      </c>
      <c r="P512">
        <f>IF(ISBLANK('Data Entry'!P512), "", 'Data Entry'!P512)</f>
      </c>
      <c r="Q512">
        <f>IF(ISBLANK('Data Entry'!Q512), "", 'Data Entry'!Q512)</f>
      </c>
      <c r="R512">
        <f>IF(ISBLANK('Data Entry'!R512), "", 'Data Entry'!R512)</f>
      </c>
      <c r="S512">
        <f>IF(ISBLANK('Data Entry'!S512), "", 'Data Entry'!S512)</f>
      </c>
      <c r="T512">
        <f>IF(ISBLANK('Data Entry'!T512), "", 'Data Entry'!T512)</f>
      </c>
      <c r="U512">
        <f>IF(ISBLANK('Data Entry'!U512), "", 'Data Entry'!U512)</f>
      </c>
      <c r="V512">
        <f>IF(ISBLANK('Data Entry'!V512), "", 'Data Entry'!V512)</f>
      </c>
      <c r="W512">
        <f>IF(ISBLANK('Data Entry'!W512), "", 'Data Entry'!W512)</f>
      </c>
      <c r="X512">
        <f>IF(ISBLANK('Data Entry'!X512), "", 'Data Entry'!X512)</f>
      </c>
      <c r="Y512">
        <f>IF(ISBLANK('Data Entry'!Y512), "", 'Data Entry'!Y512)</f>
      </c>
      <c r="Z512">
        <f>IF(ISBLANK('Data Entry'!Z512), "", 'Data Entry'!Z512)</f>
      </c>
      <c r="AA512">
        <f>IF(ISBLANK('Data Entry'![512), "", 'Data Entry'![512)</f>
      </c>
      <c r="AB512">
        <f>IF(ISBLANK('Data Entry'!\512), "", 'Data Entry'!\512)</f>
      </c>
      <c r="AC512">
        <f>IF(ISBLANK('Data Entry'!]512), "", 'Data Entry'!]512)</f>
      </c>
      <c r="AD512">
        <f>IF(ISBLANK('Data Entry'!^512), "", 'Data Entry'!^512)</f>
      </c>
      <c r="AE512">
        <f>IF(ISBLANK('Data Entry'!_512), "", 'Data Entry'!_512)</f>
      </c>
      <c r="AF512">
        <f>IF(ISBLANK('Data Entry'!`512), "", 'Data Entry'!`512)</f>
      </c>
      <c r="AG512">
        <f>IF(ISBLANK('Data Entry'!a512), "", 'Data Entry'!a512)</f>
      </c>
      <c r="AH512">
        <f>IF(ISBLANK('Data Entry'!b512), "", 'Data Entry'!b512)</f>
      </c>
      <c r="AI512">
        <f>IF(ISBLANK('Data Entry'!c512), "", 'Data Entry'!c512)</f>
      </c>
      <c r="AJ512">
        <f>IF(ISBLANK('Data Entry'!d512), "", 'Data Entry'!d512)</f>
      </c>
      <c r="AK512">
        <f>IF(ISBLANK('Data Entry'!e512), "", 'Data Entry'!e512)</f>
      </c>
      <c r="AL512">
        <f>IF(ISBLANK('Data Entry'!f512), "", 'Data Entry'!f512)</f>
      </c>
      <c r="AM512">
        <f>IF(ISBLANK('Data Entry'!g512), "", 'Data Entry'!g512)</f>
      </c>
      <c r="AN512">
        <f>IF(ISBLANK('Data Entry'!h512), "", 'Data Entry'!h512)</f>
      </c>
    </row>
    <row r="513" spans="1:40" x14ac:dyDescent="0.25">
      <c r="A513">
        <f>IF(ISBLANK('Data Entry'!A513), "", 'Data Entry'!A513)</f>
      </c>
      <c r="B513">
        <f>IF(ISBLANK('Data Entry'!B513), "", 'Data Entry'!B513)</f>
      </c>
      <c r="C513">
        <f>IF(ISBLANK('Data Entry'!C513), "", 'Data Entry'!C513)</f>
      </c>
      <c r="D513">
        <f>IF(ISBLANK('Data Entry'!D513), "", 'Data Entry'!D513)</f>
      </c>
      <c r="E513">
        <f>IF(ISBLANK('Data Entry'!E513), "", 'Data Entry'!E513)</f>
      </c>
      <c r="F513">
        <f>IF(ISBLANK('Data Entry'!F513), "", 'Data Entry'!F513)</f>
      </c>
      <c r="G513">
        <f>IF(ISBLANK('Data Entry'!G513), "", 'Data Entry'!G513)</f>
      </c>
      <c r="H513">
        <f>IF(ISBLANK('Data Entry'!H513), "", 'Data Entry'!H513)</f>
      </c>
      <c r="I513">
        <f>IF(ISBLANK('Data Entry'!I513), "", 'Data Entry'!I513)</f>
      </c>
      <c r="J513">
        <f>IF(ISBLANK('Data Entry'!J513), "", 'Data Entry'!J513)</f>
      </c>
      <c r="K513">
        <f>IF(ISBLANK('Data Entry'!K513), "", 'Data Entry'!K513)</f>
      </c>
      <c r="L513">
        <f>IF(ISBLANK('Data Entry'!L513), "", 'Data Entry'!L513)</f>
      </c>
      <c r="M513">
        <f>IF(ISBLANK('Data Entry'!M513), "", 'Data Entry'!M513)</f>
      </c>
      <c r="N513">
        <f>IF(ISBLANK('Data Entry'!N513), "", 'Data Entry'!N513)</f>
      </c>
      <c r="O513">
        <f>IF(ISBLANK('Data Entry'!O513), "", 'Data Entry'!O513)</f>
      </c>
      <c r="P513">
        <f>IF(ISBLANK('Data Entry'!P513), "", 'Data Entry'!P513)</f>
      </c>
      <c r="Q513">
        <f>IF(ISBLANK('Data Entry'!Q513), "", 'Data Entry'!Q513)</f>
      </c>
      <c r="R513">
        <f>IF(ISBLANK('Data Entry'!R513), "", 'Data Entry'!R513)</f>
      </c>
      <c r="S513">
        <f>IF(ISBLANK('Data Entry'!S513), "", 'Data Entry'!S513)</f>
      </c>
      <c r="T513">
        <f>IF(ISBLANK('Data Entry'!T513), "", 'Data Entry'!T513)</f>
      </c>
      <c r="U513">
        <f>IF(ISBLANK('Data Entry'!U513), "", 'Data Entry'!U513)</f>
      </c>
      <c r="V513">
        <f>IF(ISBLANK('Data Entry'!V513), "", 'Data Entry'!V513)</f>
      </c>
      <c r="W513">
        <f>IF(ISBLANK('Data Entry'!W513), "", 'Data Entry'!W513)</f>
      </c>
      <c r="X513">
        <f>IF(ISBLANK('Data Entry'!X513), "", 'Data Entry'!X513)</f>
      </c>
      <c r="Y513">
        <f>IF(ISBLANK('Data Entry'!Y513), "", 'Data Entry'!Y513)</f>
      </c>
      <c r="Z513">
        <f>IF(ISBLANK('Data Entry'!Z513), "", 'Data Entry'!Z513)</f>
      </c>
      <c r="AA513">
        <f>IF(ISBLANK('Data Entry'![513), "", 'Data Entry'![513)</f>
      </c>
      <c r="AB513">
        <f>IF(ISBLANK('Data Entry'!\513), "", 'Data Entry'!\513)</f>
      </c>
      <c r="AC513">
        <f>IF(ISBLANK('Data Entry'!]513), "", 'Data Entry'!]513)</f>
      </c>
      <c r="AD513">
        <f>IF(ISBLANK('Data Entry'!^513), "", 'Data Entry'!^513)</f>
      </c>
      <c r="AE513">
        <f>IF(ISBLANK('Data Entry'!_513), "", 'Data Entry'!_513)</f>
      </c>
      <c r="AF513">
        <f>IF(ISBLANK('Data Entry'!`513), "", 'Data Entry'!`513)</f>
      </c>
      <c r="AG513">
        <f>IF(ISBLANK('Data Entry'!a513), "", 'Data Entry'!a513)</f>
      </c>
      <c r="AH513">
        <f>IF(ISBLANK('Data Entry'!b513), "", 'Data Entry'!b513)</f>
      </c>
      <c r="AI513">
        <f>IF(ISBLANK('Data Entry'!c513), "", 'Data Entry'!c513)</f>
      </c>
      <c r="AJ513">
        <f>IF(ISBLANK('Data Entry'!d513), "", 'Data Entry'!d513)</f>
      </c>
      <c r="AK513">
        <f>IF(ISBLANK('Data Entry'!e513), "", 'Data Entry'!e513)</f>
      </c>
      <c r="AL513">
        <f>IF(ISBLANK('Data Entry'!f513), "", 'Data Entry'!f513)</f>
      </c>
      <c r="AM513">
        <f>IF(ISBLANK('Data Entry'!g513), "", 'Data Entry'!g513)</f>
      </c>
      <c r="AN513">
        <f>IF(ISBLANK('Data Entry'!h513), "", 'Data Entry'!h513)</f>
      </c>
    </row>
    <row r="514" spans="1:40" x14ac:dyDescent="0.25">
      <c r="A514">
        <f>IF(ISBLANK('Data Entry'!A514), "", 'Data Entry'!A514)</f>
      </c>
      <c r="B514">
        <f>IF(ISBLANK('Data Entry'!B514), "", 'Data Entry'!B514)</f>
      </c>
      <c r="C514">
        <f>IF(ISBLANK('Data Entry'!C514), "", 'Data Entry'!C514)</f>
      </c>
      <c r="D514">
        <f>IF(ISBLANK('Data Entry'!D514), "", 'Data Entry'!D514)</f>
      </c>
      <c r="E514">
        <f>IF(ISBLANK('Data Entry'!E514), "", 'Data Entry'!E514)</f>
      </c>
      <c r="F514">
        <f>IF(ISBLANK('Data Entry'!F514), "", 'Data Entry'!F514)</f>
      </c>
      <c r="G514">
        <f>IF(ISBLANK('Data Entry'!G514), "", 'Data Entry'!G514)</f>
      </c>
      <c r="H514">
        <f>IF(ISBLANK('Data Entry'!H514), "", 'Data Entry'!H514)</f>
      </c>
      <c r="I514">
        <f>IF(ISBLANK('Data Entry'!I514), "", 'Data Entry'!I514)</f>
      </c>
      <c r="J514">
        <f>IF(ISBLANK('Data Entry'!J514), "", 'Data Entry'!J514)</f>
      </c>
      <c r="K514">
        <f>IF(ISBLANK('Data Entry'!K514), "", 'Data Entry'!K514)</f>
      </c>
      <c r="L514">
        <f>IF(ISBLANK('Data Entry'!L514), "", 'Data Entry'!L514)</f>
      </c>
      <c r="M514">
        <f>IF(ISBLANK('Data Entry'!M514), "", 'Data Entry'!M514)</f>
      </c>
      <c r="N514">
        <f>IF(ISBLANK('Data Entry'!N514), "", 'Data Entry'!N514)</f>
      </c>
      <c r="O514">
        <f>IF(ISBLANK('Data Entry'!O514), "", 'Data Entry'!O514)</f>
      </c>
      <c r="P514">
        <f>IF(ISBLANK('Data Entry'!P514), "", 'Data Entry'!P514)</f>
      </c>
      <c r="Q514">
        <f>IF(ISBLANK('Data Entry'!Q514), "", 'Data Entry'!Q514)</f>
      </c>
      <c r="R514">
        <f>IF(ISBLANK('Data Entry'!R514), "", 'Data Entry'!R514)</f>
      </c>
      <c r="S514">
        <f>IF(ISBLANK('Data Entry'!S514), "", 'Data Entry'!S514)</f>
      </c>
      <c r="T514">
        <f>IF(ISBLANK('Data Entry'!T514), "", 'Data Entry'!T514)</f>
      </c>
      <c r="U514">
        <f>IF(ISBLANK('Data Entry'!U514), "", 'Data Entry'!U514)</f>
      </c>
      <c r="V514">
        <f>IF(ISBLANK('Data Entry'!V514), "", 'Data Entry'!V514)</f>
      </c>
      <c r="W514">
        <f>IF(ISBLANK('Data Entry'!W514), "", 'Data Entry'!W514)</f>
      </c>
      <c r="X514">
        <f>IF(ISBLANK('Data Entry'!X514), "", 'Data Entry'!X514)</f>
      </c>
      <c r="Y514">
        <f>IF(ISBLANK('Data Entry'!Y514), "", 'Data Entry'!Y514)</f>
      </c>
      <c r="Z514">
        <f>IF(ISBLANK('Data Entry'!Z514), "", 'Data Entry'!Z514)</f>
      </c>
      <c r="AA514">
        <f>IF(ISBLANK('Data Entry'![514), "", 'Data Entry'![514)</f>
      </c>
      <c r="AB514">
        <f>IF(ISBLANK('Data Entry'!\514), "", 'Data Entry'!\514)</f>
      </c>
      <c r="AC514">
        <f>IF(ISBLANK('Data Entry'!]514), "", 'Data Entry'!]514)</f>
      </c>
      <c r="AD514">
        <f>IF(ISBLANK('Data Entry'!^514), "", 'Data Entry'!^514)</f>
      </c>
      <c r="AE514">
        <f>IF(ISBLANK('Data Entry'!_514), "", 'Data Entry'!_514)</f>
      </c>
      <c r="AF514">
        <f>IF(ISBLANK('Data Entry'!`514), "", 'Data Entry'!`514)</f>
      </c>
      <c r="AG514">
        <f>IF(ISBLANK('Data Entry'!a514), "", 'Data Entry'!a514)</f>
      </c>
      <c r="AH514">
        <f>IF(ISBLANK('Data Entry'!b514), "", 'Data Entry'!b514)</f>
      </c>
      <c r="AI514">
        <f>IF(ISBLANK('Data Entry'!c514), "", 'Data Entry'!c514)</f>
      </c>
      <c r="AJ514">
        <f>IF(ISBLANK('Data Entry'!d514), "", 'Data Entry'!d514)</f>
      </c>
      <c r="AK514">
        <f>IF(ISBLANK('Data Entry'!e514), "", 'Data Entry'!e514)</f>
      </c>
      <c r="AL514">
        <f>IF(ISBLANK('Data Entry'!f514), "", 'Data Entry'!f514)</f>
      </c>
      <c r="AM514">
        <f>IF(ISBLANK('Data Entry'!g514), "", 'Data Entry'!g514)</f>
      </c>
      <c r="AN514">
        <f>IF(ISBLANK('Data Entry'!h514), "", 'Data Entry'!h514)</f>
      </c>
    </row>
    <row r="515" spans="1:40" x14ac:dyDescent="0.25">
      <c r="A515">
        <f>IF(ISBLANK('Data Entry'!A515), "", 'Data Entry'!A515)</f>
      </c>
      <c r="B515">
        <f>IF(ISBLANK('Data Entry'!B515), "", 'Data Entry'!B515)</f>
      </c>
      <c r="C515">
        <f>IF(ISBLANK('Data Entry'!C515), "", 'Data Entry'!C515)</f>
      </c>
      <c r="D515">
        <f>IF(ISBLANK('Data Entry'!D515), "", 'Data Entry'!D515)</f>
      </c>
      <c r="E515">
        <f>IF(ISBLANK('Data Entry'!E515), "", 'Data Entry'!E515)</f>
      </c>
      <c r="F515">
        <f>IF(ISBLANK('Data Entry'!F515), "", 'Data Entry'!F515)</f>
      </c>
      <c r="G515">
        <f>IF(ISBLANK('Data Entry'!G515), "", 'Data Entry'!G515)</f>
      </c>
      <c r="H515">
        <f>IF(ISBLANK('Data Entry'!H515), "", 'Data Entry'!H515)</f>
      </c>
      <c r="I515">
        <f>IF(ISBLANK('Data Entry'!I515), "", 'Data Entry'!I515)</f>
      </c>
      <c r="J515">
        <f>IF(ISBLANK('Data Entry'!J515), "", 'Data Entry'!J515)</f>
      </c>
      <c r="K515">
        <f>IF(ISBLANK('Data Entry'!K515), "", 'Data Entry'!K515)</f>
      </c>
      <c r="L515">
        <f>IF(ISBLANK('Data Entry'!L515), "", 'Data Entry'!L515)</f>
      </c>
      <c r="M515">
        <f>IF(ISBLANK('Data Entry'!M515), "", 'Data Entry'!M515)</f>
      </c>
      <c r="N515">
        <f>IF(ISBLANK('Data Entry'!N515), "", 'Data Entry'!N515)</f>
      </c>
      <c r="O515">
        <f>IF(ISBLANK('Data Entry'!O515), "", 'Data Entry'!O515)</f>
      </c>
      <c r="P515">
        <f>IF(ISBLANK('Data Entry'!P515), "", 'Data Entry'!P515)</f>
      </c>
      <c r="Q515">
        <f>IF(ISBLANK('Data Entry'!Q515), "", 'Data Entry'!Q515)</f>
      </c>
      <c r="R515">
        <f>IF(ISBLANK('Data Entry'!R515), "", 'Data Entry'!R515)</f>
      </c>
      <c r="S515">
        <f>IF(ISBLANK('Data Entry'!S515), "", 'Data Entry'!S515)</f>
      </c>
      <c r="T515">
        <f>IF(ISBLANK('Data Entry'!T515), "", 'Data Entry'!T515)</f>
      </c>
      <c r="U515">
        <f>IF(ISBLANK('Data Entry'!U515), "", 'Data Entry'!U515)</f>
      </c>
      <c r="V515">
        <f>IF(ISBLANK('Data Entry'!V515), "", 'Data Entry'!V515)</f>
      </c>
      <c r="W515">
        <f>IF(ISBLANK('Data Entry'!W515), "", 'Data Entry'!W515)</f>
      </c>
      <c r="X515">
        <f>IF(ISBLANK('Data Entry'!X515), "", 'Data Entry'!X515)</f>
      </c>
      <c r="Y515">
        <f>IF(ISBLANK('Data Entry'!Y515), "", 'Data Entry'!Y515)</f>
      </c>
      <c r="Z515">
        <f>IF(ISBLANK('Data Entry'!Z515), "", 'Data Entry'!Z515)</f>
      </c>
      <c r="AA515">
        <f>IF(ISBLANK('Data Entry'![515), "", 'Data Entry'![515)</f>
      </c>
      <c r="AB515">
        <f>IF(ISBLANK('Data Entry'!\515), "", 'Data Entry'!\515)</f>
      </c>
      <c r="AC515">
        <f>IF(ISBLANK('Data Entry'!]515), "", 'Data Entry'!]515)</f>
      </c>
      <c r="AD515">
        <f>IF(ISBLANK('Data Entry'!^515), "", 'Data Entry'!^515)</f>
      </c>
      <c r="AE515">
        <f>IF(ISBLANK('Data Entry'!_515), "", 'Data Entry'!_515)</f>
      </c>
      <c r="AF515">
        <f>IF(ISBLANK('Data Entry'!`515), "", 'Data Entry'!`515)</f>
      </c>
      <c r="AG515">
        <f>IF(ISBLANK('Data Entry'!a515), "", 'Data Entry'!a515)</f>
      </c>
      <c r="AH515">
        <f>IF(ISBLANK('Data Entry'!b515), "", 'Data Entry'!b515)</f>
      </c>
      <c r="AI515">
        <f>IF(ISBLANK('Data Entry'!c515), "", 'Data Entry'!c515)</f>
      </c>
      <c r="AJ515">
        <f>IF(ISBLANK('Data Entry'!d515), "", 'Data Entry'!d515)</f>
      </c>
      <c r="AK515">
        <f>IF(ISBLANK('Data Entry'!e515), "", 'Data Entry'!e515)</f>
      </c>
      <c r="AL515">
        <f>IF(ISBLANK('Data Entry'!f515), "", 'Data Entry'!f515)</f>
      </c>
      <c r="AM515">
        <f>IF(ISBLANK('Data Entry'!g515), "", 'Data Entry'!g515)</f>
      </c>
      <c r="AN515">
        <f>IF(ISBLANK('Data Entry'!h515), "", 'Data Entry'!h515)</f>
      </c>
    </row>
    <row r="516" spans="1:40" x14ac:dyDescent="0.25">
      <c r="A516">
        <f>IF(ISBLANK('Data Entry'!A516), "", 'Data Entry'!A516)</f>
      </c>
      <c r="B516">
        <f>IF(ISBLANK('Data Entry'!B516), "", 'Data Entry'!B516)</f>
      </c>
      <c r="C516">
        <f>IF(ISBLANK('Data Entry'!C516), "", 'Data Entry'!C516)</f>
      </c>
      <c r="D516">
        <f>IF(ISBLANK('Data Entry'!D516), "", 'Data Entry'!D516)</f>
      </c>
      <c r="E516">
        <f>IF(ISBLANK('Data Entry'!E516), "", 'Data Entry'!E516)</f>
      </c>
      <c r="F516">
        <f>IF(ISBLANK('Data Entry'!F516), "", 'Data Entry'!F516)</f>
      </c>
      <c r="G516">
        <f>IF(ISBLANK('Data Entry'!G516), "", 'Data Entry'!G516)</f>
      </c>
      <c r="H516">
        <f>IF(ISBLANK('Data Entry'!H516), "", 'Data Entry'!H516)</f>
      </c>
      <c r="I516">
        <f>IF(ISBLANK('Data Entry'!I516), "", 'Data Entry'!I516)</f>
      </c>
      <c r="J516">
        <f>IF(ISBLANK('Data Entry'!J516), "", 'Data Entry'!J516)</f>
      </c>
      <c r="K516">
        <f>IF(ISBLANK('Data Entry'!K516), "", 'Data Entry'!K516)</f>
      </c>
      <c r="L516">
        <f>IF(ISBLANK('Data Entry'!L516), "", 'Data Entry'!L516)</f>
      </c>
      <c r="M516">
        <f>IF(ISBLANK('Data Entry'!M516), "", 'Data Entry'!M516)</f>
      </c>
      <c r="N516">
        <f>IF(ISBLANK('Data Entry'!N516), "", 'Data Entry'!N516)</f>
      </c>
      <c r="O516">
        <f>IF(ISBLANK('Data Entry'!O516), "", 'Data Entry'!O516)</f>
      </c>
      <c r="P516">
        <f>IF(ISBLANK('Data Entry'!P516), "", 'Data Entry'!P516)</f>
      </c>
      <c r="Q516">
        <f>IF(ISBLANK('Data Entry'!Q516), "", 'Data Entry'!Q516)</f>
      </c>
      <c r="R516">
        <f>IF(ISBLANK('Data Entry'!R516), "", 'Data Entry'!R516)</f>
      </c>
      <c r="S516">
        <f>IF(ISBLANK('Data Entry'!S516), "", 'Data Entry'!S516)</f>
      </c>
      <c r="T516">
        <f>IF(ISBLANK('Data Entry'!T516), "", 'Data Entry'!T516)</f>
      </c>
      <c r="U516">
        <f>IF(ISBLANK('Data Entry'!U516), "", 'Data Entry'!U516)</f>
      </c>
      <c r="V516">
        <f>IF(ISBLANK('Data Entry'!V516), "", 'Data Entry'!V516)</f>
      </c>
      <c r="W516">
        <f>IF(ISBLANK('Data Entry'!W516), "", 'Data Entry'!W516)</f>
      </c>
      <c r="X516">
        <f>IF(ISBLANK('Data Entry'!X516), "", 'Data Entry'!X516)</f>
      </c>
      <c r="Y516">
        <f>IF(ISBLANK('Data Entry'!Y516), "", 'Data Entry'!Y516)</f>
      </c>
      <c r="Z516">
        <f>IF(ISBLANK('Data Entry'!Z516), "", 'Data Entry'!Z516)</f>
      </c>
      <c r="AA516">
        <f>IF(ISBLANK('Data Entry'![516), "", 'Data Entry'![516)</f>
      </c>
      <c r="AB516">
        <f>IF(ISBLANK('Data Entry'!\516), "", 'Data Entry'!\516)</f>
      </c>
      <c r="AC516">
        <f>IF(ISBLANK('Data Entry'!]516), "", 'Data Entry'!]516)</f>
      </c>
      <c r="AD516">
        <f>IF(ISBLANK('Data Entry'!^516), "", 'Data Entry'!^516)</f>
      </c>
      <c r="AE516">
        <f>IF(ISBLANK('Data Entry'!_516), "", 'Data Entry'!_516)</f>
      </c>
      <c r="AF516">
        <f>IF(ISBLANK('Data Entry'!`516), "", 'Data Entry'!`516)</f>
      </c>
      <c r="AG516">
        <f>IF(ISBLANK('Data Entry'!a516), "", 'Data Entry'!a516)</f>
      </c>
      <c r="AH516">
        <f>IF(ISBLANK('Data Entry'!b516), "", 'Data Entry'!b516)</f>
      </c>
      <c r="AI516">
        <f>IF(ISBLANK('Data Entry'!c516), "", 'Data Entry'!c516)</f>
      </c>
      <c r="AJ516">
        <f>IF(ISBLANK('Data Entry'!d516), "", 'Data Entry'!d516)</f>
      </c>
      <c r="AK516">
        <f>IF(ISBLANK('Data Entry'!e516), "", 'Data Entry'!e516)</f>
      </c>
      <c r="AL516">
        <f>IF(ISBLANK('Data Entry'!f516), "", 'Data Entry'!f516)</f>
      </c>
      <c r="AM516">
        <f>IF(ISBLANK('Data Entry'!g516), "", 'Data Entry'!g516)</f>
      </c>
      <c r="AN516">
        <f>IF(ISBLANK('Data Entry'!h516), "", 'Data Entry'!h516)</f>
      </c>
    </row>
    <row r="517" spans="1:40" x14ac:dyDescent="0.25">
      <c r="A517">
        <f>IF(ISBLANK('Data Entry'!A517), "", 'Data Entry'!A517)</f>
      </c>
      <c r="B517">
        <f>IF(ISBLANK('Data Entry'!B517), "", 'Data Entry'!B517)</f>
      </c>
      <c r="C517">
        <f>IF(ISBLANK('Data Entry'!C517), "", 'Data Entry'!C517)</f>
      </c>
      <c r="D517">
        <f>IF(ISBLANK('Data Entry'!D517), "", 'Data Entry'!D517)</f>
      </c>
      <c r="E517">
        <f>IF(ISBLANK('Data Entry'!E517), "", 'Data Entry'!E517)</f>
      </c>
      <c r="F517">
        <f>IF(ISBLANK('Data Entry'!F517), "", 'Data Entry'!F517)</f>
      </c>
      <c r="G517">
        <f>IF(ISBLANK('Data Entry'!G517), "", 'Data Entry'!G517)</f>
      </c>
      <c r="H517">
        <f>IF(ISBLANK('Data Entry'!H517), "", 'Data Entry'!H517)</f>
      </c>
      <c r="I517">
        <f>IF(ISBLANK('Data Entry'!I517), "", 'Data Entry'!I517)</f>
      </c>
      <c r="J517">
        <f>IF(ISBLANK('Data Entry'!J517), "", 'Data Entry'!J517)</f>
      </c>
      <c r="K517">
        <f>IF(ISBLANK('Data Entry'!K517), "", 'Data Entry'!K517)</f>
      </c>
      <c r="L517">
        <f>IF(ISBLANK('Data Entry'!L517), "", 'Data Entry'!L517)</f>
      </c>
      <c r="M517">
        <f>IF(ISBLANK('Data Entry'!M517), "", 'Data Entry'!M517)</f>
      </c>
      <c r="N517">
        <f>IF(ISBLANK('Data Entry'!N517), "", 'Data Entry'!N517)</f>
      </c>
      <c r="O517">
        <f>IF(ISBLANK('Data Entry'!O517), "", 'Data Entry'!O517)</f>
      </c>
      <c r="P517">
        <f>IF(ISBLANK('Data Entry'!P517), "", 'Data Entry'!P517)</f>
      </c>
      <c r="Q517">
        <f>IF(ISBLANK('Data Entry'!Q517), "", 'Data Entry'!Q517)</f>
      </c>
      <c r="R517">
        <f>IF(ISBLANK('Data Entry'!R517), "", 'Data Entry'!R517)</f>
      </c>
      <c r="S517">
        <f>IF(ISBLANK('Data Entry'!S517), "", 'Data Entry'!S517)</f>
      </c>
      <c r="T517">
        <f>IF(ISBLANK('Data Entry'!T517), "", 'Data Entry'!T517)</f>
      </c>
      <c r="U517">
        <f>IF(ISBLANK('Data Entry'!U517), "", 'Data Entry'!U517)</f>
      </c>
      <c r="V517">
        <f>IF(ISBLANK('Data Entry'!V517), "", 'Data Entry'!V517)</f>
      </c>
      <c r="W517">
        <f>IF(ISBLANK('Data Entry'!W517), "", 'Data Entry'!W517)</f>
      </c>
      <c r="X517">
        <f>IF(ISBLANK('Data Entry'!X517), "", 'Data Entry'!X517)</f>
      </c>
      <c r="Y517">
        <f>IF(ISBLANK('Data Entry'!Y517), "", 'Data Entry'!Y517)</f>
      </c>
      <c r="Z517">
        <f>IF(ISBLANK('Data Entry'!Z517), "", 'Data Entry'!Z517)</f>
      </c>
      <c r="AA517">
        <f>IF(ISBLANK('Data Entry'![517), "", 'Data Entry'![517)</f>
      </c>
      <c r="AB517">
        <f>IF(ISBLANK('Data Entry'!\517), "", 'Data Entry'!\517)</f>
      </c>
      <c r="AC517">
        <f>IF(ISBLANK('Data Entry'!]517), "", 'Data Entry'!]517)</f>
      </c>
      <c r="AD517">
        <f>IF(ISBLANK('Data Entry'!^517), "", 'Data Entry'!^517)</f>
      </c>
      <c r="AE517">
        <f>IF(ISBLANK('Data Entry'!_517), "", 'Data Entry'!_517)</f>
      </c>
      <c r="AF517">
        <f>IF(ISBLANK('Data Entry'!`517), "", 'Data Entry'!`517)</f>
      </c>
      <c r="AG517">
        <f>IF(ISBLANK('Data Entry'!a517), "", 'Data Entry'!a517)</f>
      </c>
      <c r="AH517">
        <f>IF(ISBLANK('Data Entry'!b517), "", 'Data Entry'!b517)</f>
      </c>
      <c r="AI517">
        <f>IF(ISBLANK('Data Entry'!c517), "", 'Data Entry'!c517)</f>
      </c>
      <c r="AJ517">
        <f>IF(ISBLANK('Data Entry'!d517), "", 'Data Entry'!d517)</f>
      </c>
      <c r="AK517">
        <f>IF(ISBLANK('Data Entry'!e517), "", 'Data Entry'!e517)</f>
      </c>
      <c r="AL517">
        <f>IF(ISBLANK('Data Entry'!f517), "", 'Data Entry'!f517)</f>
      </c>
      <c r="AM517">
        <f>IF(ISBLANK('Data Entry'!g517), "", 'Data Entry'!g517)</f>
      </c>
      <c r="AN517">
        <f>IF(ISBLANK('Data Entry'!h517), "", 'Data Entry'!h517)</f>
      </c>
    </row>
    <row r="518" spans="1:40" x14ac:dyDescent="0.25">
      <c r="A518">
        <f>IF(ISBLANK('Data Entry'!A518), "", 'Data Entry'!A518)</f>
      </c>
      <c r="B518">
        <f>IF(ISBLANK('Data Entry'!B518), "", 'Data Entry'!B518)</f>
      </c>
      <c r="C518">
        <f>IF(ISBLANK('Data Entry'!C518), "", 'Data Entry'!C518)</f>
      </c>
      <c r="D518">
        <f>IF(ISBLANK('Data Entry'!D518), "", 'Data Entry'!D518)</f>
      </c>
      <c r="E518">
        <f>IF(ISBLANK('Data Entry'!E518), "", 'Data Entry'!E518)</f>
      </c>
      <c r="F518">
        <f>IF(ISBLANK('Data Entry'!F518), "", 'Data Entry'!F518)</f>
      </c>
      <c r="G518">
        <f>IF(ISBLANK('Data Entry'!G518), "", 'Data Entry'!G518)</f>
      </c>
      <c r="H518">
        <f>IF(ISBLANK('Data Entry'!H518), "", 'Data Entry'!H518)</f>
      </c>
      <c r="I518">
        <f>IF(ISBLANK('Data Entry'!I518), "", 'Data Entry'!I518)</f>
      </c>
      <c r="J518">
        <f>IF(ISBLANK('Data Entry'!J518), "", 'Data Entry'!J518)</f>
      </c>
      <c r="K518">
        <f>IF(ISBLANK('Data Entry'!K518), "", 'Data Entry'!K518)</f>
      </c>
      <c r="L518">
        <f>IF(ISBLANK('Data Entry'!L518), "", 'Data Entry'!L518)</f>
      </c>
      <c r="M518">
        <f>IF(ISBLANK('Data Entry'!M518), "", 'Data Entry'!M518)</f>
      </c>
      <c r="N518">
        <f>IF(ISBLANK('Data Entry'!N518), "", 'Data Entry'!N518)</f>
      </c>
      <c r="O518">
        <f>IF(ISBLANK('Data Entry'!O518), "", 'Data Entry'!O518)</f>
      </c>
      <c r="P518">
        <f>IF(ISBLANK('Data Entry'!P518), "", 'Data Entry'!P518)</f>
      </c>
      <c r="Q518">
        <f>IF(ISBLANK('Data Entry'!Q518), "", 'Data Entry'!Q518)</f>
      </c>
      <c r="R518">
        <f>IF(ISBLANK('Data Entry'!R518), "", 'Data Entry'!R518)</f>
      </c>
      <c r="S518">
        <f>IF(ISBLANK('Data Entry'!S518), "", 'Data Entry'!S518)</f>
      </c>
      <c r="T518">
        <f>IF(ISBLANK('Data Entry'!T518), "", 'Data Entry'!T518)</f>
      </c>
      <c r="U518">
        <f>IF(ISBLANK('Data Entry'!U518), "", 'Data Entry'!U518)</f>
      </c>
      <c r="V518">
        <f>IF(ISBLANK('Data Entry'!V518), "", 'Data Entry'!V518)</f>
      </c>
      <c r="W518">
        <f>IF(ISBLANK('Data Entry'!W518), "", 'Data Entry'!W518)</f>
      </c>
      <c r="X518">
        <f>IF(ISBLANK('Data Entry'!X518), "", 'Data Entry'!X518)</f>
      </c>
      <c r="Y518">
        <f>IF(ISBLANK('Data Entry'!Y518), "", 'Data Entry'!Y518)</f>
      </c>
      <c r="Z518">
        <f>IF(ISBLANK('Data Entry'!Z518), "", 'Data Entry'!Z518)</f>
      </c>
      <c r="AA518">
        <f>IF(ISBLANK('Data Entry'![518), "", 'Data Entry'![518)</f>
      </c>
      <c r="AB518">
        <f>IF(ISBLANK('Data Entry'!\518), "", 'Data Entry'!\518)</f>
      </c>
      <c r="AC518">
        <f>IF(ISBLANK('Data Entry'!]518), "", 'Data Entry'!]518)</f>
      </c>
      <c r="AD518">
        <f>IF(ISBLANK('Data Entry'!^518), "", 'Data Entry'!^518)</f>
      </c>
      <c r="AE518">
        <f>IF(ISBLANK('Data Entry'!_518), "", 'Data Entry'!_518)</f>
      </c>
      <c r="AF518">
        <f>IF(ISBLANK('Data Entry'!`518), "", 'Data Entry'!`518)</f>
      </c>
      <c r="AG518">
        <f>IF(ISBLANK('Data Entry'!a518), "", 'Data Entry'!a518)</f>
      </c>
      <c r="AH518">
        <f>IF(ISBLANK('Data Entry'!b518), "", 'Data Entry'!b518)</f>
      </c>
      <c r="AI518">
        <f>IF(ISBLANK('Data Entry'!c518), "", 'Data Entry'!c518)</f>
      </c>
      <c r="AJ518">
        <f>IF(ISBLANK('Data Entry'!d518), "", 'Data Entry'!d518)</f>
      </c>
      <c r="AK518">
        <f>IF(ISBLANK('Data Entry'!e518), "", 'Data Entry'!e518)</f>
      </c>
      <c r="AL518">
        <f>IF(ISBLANK('Data Entry'!f518), "", 'Data Entry'!f518)</f>
      </c>
      <c r="AM518">
        <f>IF(ISBLANK('Data Entry'!g518), "", 'Data Entry'!g518)</f>
      </c>
      <c r="AN518">
        <f>IF(ISBLANK('Data Entry'!h518), "", 'Data Entry'!h518)</f>
      </c>
    </row>
    <row r="519" spans="1:40" x14ac:dyDescent="0.25">
      <c r="A519">
        <f>IF(ISBLANK('Data Entry'!A519), "", 'Data Entry'!A519)</f>
      </c>
      <c r="B519">
        <f>IF(ISBLANK('Data Entry'!B519), "", 'Data Entry'!B519)</f>
      </c>
      <c r="C519">
        <f>IF(ISBLANK('Data Entry'!C519), "", 'Data Entry'!C519)</f>
      </c>
      <c r="D519">
        <f>IF(ISBLANK('Data Entry'!D519), "", 'Data Entry'!D519)</f>
      </c>
      <c r="E519">
        <f>IF(ISBLANK('Data Entry'!E519), "", 'Data Entry'!E519)</f>
      </c>
      <c r="F519">
        <f>IF(ISBLANK('Data Entry'!F519), "", 'Data Entry'!F519)</f>
      </c>
      <c r="G519">
        <f>IF(ISBLANK('Data Entry'!G519), "", 'Data Entry'!G519)</f>
      </c>
      <c r="H519">
        <f>IF(ISBLANK('Data Entry'!H519), "", 'Data Entry'!H519)</f>
      </c>
      <c r="I519">
        <f>IF(ISBLANK('Data Entry'!I519), "", 'Data Entry'!I519)</f>
      </c>
      <c r="J519">
        <f>IF(ISBLANK('Data Entry'!J519), "", 'Data Entry'!J519)</f>
      </c>
      <c r="K519">
        <f>IF(ISBLANK('Data Entry'!K519), "", 'Data Entry'!K519)</f>
      </c>
      <c r="L519">
        <f>IF(ISBLANK('Data Entry'!L519), "", 'Data Entry'!L519)</f>
      </c>
      <c r="M519">
        <f>IF(ISBLANK('Data Entry'!M519), "", 'Data Entry'!M519)</f>
      </c>
      <c r="N519">
        <f>IF(ISBLANK('Data Entry'!N519), "", 'Data Entry'!N519)</f>
      </c>
      <c r="O519">
        <f>IF(ISBLANK('Data Entry'!O519), "", 'Data Entry'!O519)</f>
      </c>
      <c r="P519">
        <f>IF(ISBLANK('Data Entry'!P519), "", 'Data Entry'!P519)</f>
      </c>
      <c r="Q519">
        <f>IF(ISBLANK('Data Entry'!Q519), "", 'Data Entry'!Q519)</f>
      </c>
      <c r="R519">
        <f>IF(ISBLANK('Data Entry'!R519), "", 'Data Entry'!R519)</f>
      </c>
      <c r="S519">
        <f>IF(ISBLANK('Data Entry'!S519), "", 'Data Entry'!S519)</f>
      </c>
      <c r="T519">
        <f>IF(ISBLANK('Data Entry'!T519), "", 'Data Entry'!T519)</f>
      </c>
      <c r="U519">
        <f>IF(ISBLANK('Data Entry'!U519), "", 'Data Entry'!U519)</f>
      </c>
      <c r="V519">
        <f>IF(ISBLANK('Data Entry'!V519), "", 'Data Entry'!V519)</f>
      </c>
      <c r="W519">
        <f>IF(ISBLANK('Data Entry'!W519), "", 'Data Entry'!W519)</f>
      </c>
      <c r="X519">
        <f>IF(ISBLANK('Data Entry'!X519), "", 'Data Entry'!X519)</f>
      </c>
      <c r="Y519">
        <f>IF(ISBLANK('Data Entry'!Y519), "", 'Data Entry'!Y519)</f>
      </c>
      <c r="Z519">
        <f>IF(ISBLANK('Data Entry'!Z519), "", 'Data Entry'!Z519)</f>
      </c>
      <c r="AA519">
        <f>IF(ISBLANK('Data Entry'![519), "", 'Data Entry'![519)</f>
      </c>
      <c r="AB519">
        <f>IF(ISBLANK('Data Entry'!\519), "", 'Data Entry'!\519)</f>
      </c>
      <c r="AC519">
        <f>IF(ISBLANK('Data Entry'!]519), "", 'Data Entry'!]519)</f>
      </c>
      <c r="AD519">
        <f>IF(ISBLANK('Data Entry'!^519), "", 'Data Entry'!^519)</f>
      </c>
      <c r="AE519">
        <f>IF(ISBLANK('Data Entry'!_519), "", 'Data Entry'!_519)</f>
      </c>
      <c r="AF519">
        <f>IF(ISBLANK('Data Entry'!`519), "", 'Data Entry'!`519)</f>
      </c>
      <c r="AG519">
        <f>IF(ISBLANK('Data Entry'!a519), "", 'Data Entry'!a519)</f>
      </c>
      <c r="AH519">
        <f>IF(ISBLANK('Data Entry'!b519), "", 'Data Entry'!b519)</f>
      </c>
      <c r="AI519">
        <f>IF(ISBLANK('Data Entry'!c519), "", 'Data Entry'!c519)</f>
      </c>
      <c r="AJ519">
        <f>IF(ISBLANK('Data Entry'!d519), "", 'Data Entry'!d519)</f>
      </c>
      <c r="AK519">
        <f>IF(ISBLANK('Data Entry'!e519), "", 'Data Entry'!e519)</f>
      </c>
      <c r="AL519">
        <f>IF(ISBLANK('Data Entry'!f519), "", 'Data Entry'!f519)</f>
      </c>
      <c r="AM519">
        <f>IF(ISBLANK('Data Entry'!g519), "", 'Data Entry'!g519)</f>
      </c>
      <c r="AN519">
        <f>IF(ISBLANK('Data Entry'!h519), "", 'Data Entry'!h519)</f>
      </c>
    </row>
    <row r="520" spans="1:40" x14ac:dyDescent="0.25">
      <c r="A520">
        <f>IF(ISBLANK('Data Entry'!A520), "", 'Data Entry'!A520)</f>
      </c>
      <c r="B520">
        <f>IF(ISBLANK('Data Entry'!B520), "", 'Data Entry'!B520)</f>
      </c>
      <c r="C520">
        <f>IF(ISBLANK('Data Entry'!C520), "", 'Data Entry'!C520)</f>
      </c>
      <c r="D520">
        <f>IF(ISBLANK('Data Entry'!D520), "", 'Data Entry'!D520)</f>
      </c>
      <c r="E520">
        <f>IF(ISBLANK('Data Entry'!E520), "", 'Data Entry'!E520)</f>
      </c>
      <c r="F520">
        <f>IF(ISBLANK('Data Entry'!F520), "", 'Data Entry'!F520)</f>
      </c>
      <c r="G520">
        <f>IF(ISBLANK('Data Entry'!G520), "", 'Data Entry'!G520)</f>
      </c>
      <c r="H520">
        <f>IF(ISBLANK('Data Entry'!H520), "", 'Data Entry'!H520)</f>
      </c>
      <c r="I520">
        <f>IF(ISBLANK('Data Entry'!I520), "", 'Data Entry'!I520)</f>
      </c>
      <c r="J520">
        <f>IF(ISBLANK('Data Entry'!J520), "", 'Data Entry'!J520)</f>
      </c>
      <c r="K520">
        <f>IF(ISBLANK('Data Entry'!K520), "", 'Data Entry'!K520)</f>
      </c>
      <c r="L520">
        <f>IF(ISBLANK('Data Entry'!L520), "", 'Data Entry'!L520)</f>
      </c>
      <c r="M520">
        <f>IF(ISBLANK('Data Entry'!M520), "", 'Data Entry'!M520)</f>
      </c>
      <c r="N520">
        <f>IF(ISBLANK('Data Entry'!N520), "", 'Data Entry'!N520)</f>
      </c>
      <c r="O520">
        <f>IF(ISBLANK('Data Entry'!O520), "", 'Data Entry'!O520)</f>
      </c>
      <c r="P520">
        <f>IF(ISBLANK('Data Entry'!P520), "", 'Data Entry'!P520)</f>
      </c>
      <c r="Q520">
        <f>IF(ISBLANK('Data Entry'!Q520), "", 'Data Entry'!Q520)</f>
      </c>
      <c r="R520">
        <f>IF(ISBLANK('Data Entry'!R520), "", 'Data Entry'!R520)</f>
      </c>
      <c r="S520">
        <f>IF(ISBLANK('Data Entry'!S520), "", 'Data Entry'!S520)</f>
      </c>
      <c r="T520">
        <f>IF(ISBLANK('Data Entry'!T520), "", 'Data Entry'!T520)</f>
      </c>
      <c r="U520">
        <f>IF(ISBLANK('Data Entry'!U520), "", 'Data Entry'!U520)</f>
      </c>
      <c r="V520">
        <f>IF(ISBLANK('Data Entry'!V520), "", 'Data Entry'!V520)</f>
      </c>
      <c r="W520">
        <f>IF(ISBLANK('Data Entry'!W520), "", 'Data Entry'!W520)</f>
      </c>
      <c r="X520">
        <f>IF(ISBLANK('Data Entry'!X520), "", 'Data Entry'!X520)</f>
      </c>
      <c r="Y520">
        <f>IF(ISBLANK('Data Entry'!Y520), "", 'Data Entry'!Y520)</f>
      </c>
      <c r="Z520">
        <f>IF(ISBLANK('Data Entry'!Z520), "", 'Data Entry'!Z520)</f>
      </c>
      <c r="AA520">
        <f>IF(ISBLANK('Data Entry'![520), "", 'Data Entry'![520)</f>
      </c>
      <c r="AB520">
        <f>IF(ISBLANK('Data Entry'!\520), "", 'Data Entry'!\520)</f>
      </c>
      <c r="AC520">
        <f>IF(ISBLANK('Data Entry'!]520), "", 'Data Entry'!]520)</f>
      </c>
      <c r="AD520">
        <f>IF(ISBLANK('Data Entry'!^520), "", 'Data Entry'!^520)</f>
      </c>
      <c r="AE520">
        <f>IF(ISBLANK('Data Entry'!_520), "", 'Data Entry'!_520)</f>
      </c>
      <c r="AF520">
        <f>IF(ISBLANK('Data Entry'!`520), "", 'Data Entry'!`520)</f>
      </c>
      <c r="AG520">
        <f>IF(ISBLANK('Data Entry'!a520), "", 'Data Entry'!a520)</f>
      </c>
      <c r="AH520">
        <f>IF(ISBLANK('Data Entry'!b520), "", 'Data Entry'!b520)</f>
      </c>
      <c r="AI520">
        <f>IF(ISBLANK('Data Entry'!c520), "", 'Data Entry'!c520)</f>
      </c>
      <c r="AJ520">
        <f>IF(ISBLANK('Data Entry'!d520), "", 'Data Entry'!d520)</f>
      </c>
      <c r="AK520">
        <f>IF(ISBLANK('Data Entry'!e520), "", 'Data Entry'!e520)</f>
      </c>
      <c r="AL520">
        <f>IF(ISBLANK('Data Entry'!f520), "", 'Data Entry'!f520)</f>
      </c>
      <c r="AM520">
        <f>IF(ISBLANK('Data Entry'!g520), "", 'Data Entry'!g520)</f>
      </c>
      <c r="AN520">
        <f>IF(ISBLANK('Data Entry'!h520), "", 'Data Entry'!h520)</f>
      </c>
    </row>
    <row r="521" spans="1:40" x14ac:dyDescent="0.25">
      <c r="A521">
        <f>IF(ISBLANK('Data Entry'!A521), "", 'Data Entry'!A521)</f>
      </c>
      <c r="B521">
        <f>IF(ISBLANK('Data Entry'!B521), "", 'Data Entry'!B521)</f>
      </c>
      <c r="C521">
        <f>IF(ISBLANK('Data Entry'!C521), "", 'Data Entry'!C521)</f>
      </c>
      <c r="D521">
        <f>IF(ISBLANK('Data Entry'!D521), "", 'Data Entry'!D521)</f>
      </c>
      <c r="E521">
        <f>IF(ISBLANK('Data Entry'!E521), "", 'Data Entry'!E521)</f>
      </c>
      <c r="F521">
        <f>IF(ISBLANK('Data Entry'!F521), "", 'Data Entry'!F521)</f>
      </c>
      <c r="G521">
        <f>IF(ISBLANK('Data Entry'!G521), "", 'Data Entry'!G521)</f>
      </c>
      <c r="H521">
        <f>IF(ISBLANK('Data Entry'!H521), "", 'Data Entry'!H521)</f>
      </c>
      <c r="I521">
        <f>IF(ISBLANK('Data Entry'!I521), "", 'Data Entry'!I521)</f>
      </c>
      <c r="J521">
        <f>IF(ISBLANK('Data Entry'!J521), "", 'Data Entry'!J521)</f>
      </c>
      <c r="K521">
        <f>IF(ISBLANK('Data Entry'!K521), "", 'Data Entry'!K521)</f>
      </c>
      <c r="L521">
        <f>IF(ISBLANK('Data Entry'!L521), "", 'Data Entry'!L521)</f>
      </c>
      <c r="M521">
        <f>IF(ISBLANK('Data Entry'!M521), "", 'Data Entry'!M521)</f>
      </c>
      <c r="N521">
        <f>IF(ISBLANK('Data Entry'!N521), "", 'Data Entry'!N521)</f>
      </c>
      <c r="O521">
        <f>IF(ISBLANK('Data Entry'!O521), "", 'Data Entry'!O521)</f>
      </c>
      <c r="P521">
        <f>IF(ISBLANK('Data Entry'!P521), "", 'Data Entry'!P521)</f>
      </c>
      <c r="Q521">
        <f>IF(ISBLANK('Data Entry'!Q521), "", 'Data Entry'!Q521)</f>
      </c>
      <c r="R521">
        <f>IF(ISBLANK('Data Entry'!R521), "", 'Data Entry'!R521)</f>
      </c>
      <c r="S521">
        <f>IF(ISBLANK('Data Entry'!S521), "", 'Data Entry'!S521)</f>
      </c>
      <c r="T521">
        <f>IF(ISBLANK('Data Entry'!T521), "", 'Data Entry'!T521)</f>
      </c>
      <c r="U521">
        <f>IF(ISBLANK('Data Entry'!U521), "", 'Data Entry'!U521)</f>
      </c>
      <c r="V521">
        <f>IF(ISBLANK('Data Entry'!V521), "", 'Data Entry'!V521)</f>
      </c>
      <c r="W521">
        <f>IF(ISBLANK('Data Entry'!W521), "", 'Data Entry'!W521)</f>
      </c>
      <c r="X521">
        <f>IF(ISBLANK('Data Entry'!X521), "", 'Data Entry'!X521)</f>
      </c>
      <c r="Y521">
        <f>IF(ISBLANK('Data Entry'!Y521), "", 'Data Entry'!Y521)</f>
      </c>
      <c r="Z521">
        <f>IF(ISBLANK('Data Entry'!Z521), "", 'Data Entry'!Z521)</f>
      </c>
      <c r="AA521">
        <f>IF(ISBLANK('Data Entry'![521), "", 'Data Entry'![521)</f>
      </c>
      <c r="AB521">
        <f>IF(ISBLANK('Data Entry'!\521), "", 'Data Entry'!\521)</f>
      </c>
      <c r="AC521">
        <f>IF(ISBLANK('Data Entry'!]521), "", 'Data Entry'!]521)</f>
      </c>
      <c r="AD521">
        <f>IF(ISBLANK('Data Entry'!^521), "", 'Data Entry'!^521)</f>
      </c>
      <c r="AE521">
        <f>IF(ISBLANK('Data Entry'!_521), "", 'Data Entry'!_521)</f>
      </c>
      <c r="AF521">
        <f>IF(ISBLANK('Data Entry'!`521), "", 'Data Entry'!`521)</f>
      </c>
      <c r="AG521">
        <f>IF(ISBLANK('Data Entry'!a521), "", 'Data Entry'!a521)</f>
      </c>
      <c r="AH521">
        <f>IF(ISBLANK('Data Entry'!b521), "", 'Data Entry'!b521)</f>
      </c>
      <c r="AI521">
        <f>IF(ISBLANK('Data Entry'!c521), "", 'Data Entry'!c521)</f>
      </c>
      <c r="AJ521">
        <f>IF(ISBLANK('Data Entry'!d521), "", 'Data Entry'!d521)</f>
      </c>
      <c r="AK521">
        <f>IF(ISBLANK('Data Entry'!e521), "", 'Data Entry'!e521)</f>
      </c>
      <c r="AL521">
        <f>IF(ISBLANK('Data Entry'!f521), "", 'Data Entry'!f521)</f>
      </c>
      <c r="AM521">
        <f>IF(ISBLANK('Data Entry'!g521), "", 'Data Entry'!g521)</f>
      </c>
      <c r="AN521">
        <f>IF(ISBLANK('Data Entry'!h521), "", 'Data Entry'!h521)</f>
      </c>
    </row>
    <row r="522" spans="1:40" x14ac:dyDescent="0.25">
      <c r="A522">
        <f>IF(ISBLANK('Data Entry'!A522), "", 'Data Entry'!A522)</f>
      </c>
      <c r="B522">
        <f>IF(ISBLANK('Data Entry'!B522), "", 'Data Entry'!B522)</f>
      </c>
      <c r="C522">
        <f>IF(ISBLANK('Data Entry'!C522), "", 'Data Entry'!C522)</f>
      </c>
      <c r="D522">
        <f>IF(ISBLANK('Data Entry'!D522), "", 'Data Entry'!D522)</f>
      </c>
      <c r="E522">
        <f>IF(ISBLANK('Data Entry'!E522), "", 'Data Entry'!E522)</f>
      </c>
      <c r="F522">
        <f>IF(ISBLANK('Data Entry'!F522), "", 'Data Entry'!F522)</f>
      </c>
      <c r="G522">
        <f>IF(ISBLANK('Data Entry'!G522), "", 'Data Entry'!G522)</f>
      </c>
      <c r="H522">
        <f>IF(ISBLANK('Data Entry'!H522), "", 'Data Entry'!H522)</f>
      </c>
      <c r="I522">
        <f>IF(ISBLANK('Data Entry'!I522), "", 'Data Entry'!I522)</f>
      </c>
      <c r="J522">
        <f>IF(ISBLANK('Data Entry'!J522), "", 'Data Entry'!J522)</f>
      </c>
      <c r="K522">
        <f>IF(ISBLANK('Data Entry'!K522), "", 'Data Entry'!K522)</f>
      </c>
      <c r="L522">
        <f>IF(ISBLANK('Data Entry'!L522), "", 'Data Entry'!L522)</f>
      </c>
      <c r="M522">
        <f>IF(ISBLANK('Data Entry'!M522), "", 'Data Entry'!M522)</f>
      </c>
      <c r="N522">
        <f>IF(ISBLANK('Data Entry'!N522), "", 'Data Entry'!N522)</f>
      </c>
      <c r="O522">
        <f>IF(ISBLANK('Data Entry'!O522), "", 'Data Entry'!O522)</f>
      </c>
      <c r="P522">
        <f>IF(ISBLANK('Data Entry'!P522), "", 'Data Entry'!P522)</f>
      </c>
      <c r="Q522">
        <f>IF(ISBLANK('Data Entry'!Q522), "", 'Data Entry'!Q522)</f>
      </c>
      <c r="R522">
        <f>IF(ISBLANK('Data Entry'!R522), "", 'Data Entry'!R522)</f>
      </c>
      <c r="S522">
        <f>IF(ISBLANK('Data Entry'!S522), "", 'Data Entry'!S522)</f>
      </c>
      <c r="T522">
        <f>IF(ISBLANK('Data Entry'!T522), "", 'Data Entry'!T522)</f>
      </c>
      <c r="U522">
        <f>IF(ISBLANK('Data Entry'!U522), "", 'Data Entry'!U522)</f>
      </c>
      <c r="V522">
        <f>IF(ISBLANK('Data Entry'!V522), "", 'Data Entry'!V522)</f>
      </c>
      <c r="W522">
        <f>IF(ISBLANK('Data Entry'!W522), "", 'Data Entry'!W522)</f>
      </c>
      <c r="X522">
        <f>IF(ISBLANK('Data Entry'!X522), "", 'Data Entry'!X522)</f>
      </c>
      <c r="Y522">
        <f>IF(ISBLANK('Data Entry'!Y522), "", 'Data Entry'!Y522)</f>
      </c>
      <c r="Z522">
        <f>IF(ISBLANK('Data Entry'!Z522), "", 'Data Entry'!Z522)</f>
      </c>
      <c r="AA522">
        <f>IF(ISBLANK('Data Entry'![522), "", 'Data Entry'![522)</f>
      </c>
      <c r="AB522">
        <f>IF(ISBLANK('Data Entry'!\522), "", 'Data Entry'!\522)</f>
      </c>
      <c r="AC522">
        <f>IF(ISBLANK('Data Entry'!]522), "", 'Data Entry'!]522)</f>
      </c>
      <c r="AD522">
        <f>IF(ISBLANK('Data Entry'!^522), "", 'Data Entry'!^522)</f>
      </c>
      <c r="AE522">
        <f>IF(ISBLANK('Data Entry'!_522), "", 'Data Entry'!_522)</f>
      </c>
      <c r="AF522">
        <f>IF(ISBLANK('Data Entry'!`522), "", 'Data Entry'!`522)</f>
      </c>
      <c r="AG522">
        <f>IF(ISBLANK('Data Entry'!a522), "", 'Data Entry'!a522)</f>
      </c>
      <c r="AH522">
        <f>IF(ISBLANK('Data Entry'!b522), "", 'Data Entry'!b522)</f>
      </c>
      <c r="AI522">
        <f>IF(ISBLANK('Data Entry'!c522), "", 'Data Entry'!c522)</f>
      </c>
      <c r="AJ522">
        <f>IF(ISBLANK('Data Entry'!d522), "", 'Data Entry'!d522)</f>
      </c>
      <c r="AK522">
        <f>IF(ISBLANK('Data Entry'!e522), "", 'Data Entry'!e522)</f>
      </c>
      <c r="AL522">
        <f>IF(ISBLANK('Data Entry'!f522), "", 'Data Entry'!f522)</f>
      </c>
      <c r="AM522">
        <f>IF(ISBLANK('Data Entry'!g522), "", 'Data Entry'!g522)</f>
      </c>
      <c r="AN522">
        <f>IF(ISBLANK('Data Entry'!h522), "", 'Data Entry'!h522)</f>
      </c>
    </row>
    <row r="523" spans="1:40" x14ac:dyDescent="0.25">
      <c r="A523">
        <f>IF(ISBLANK('Data Entry'!A523), "", 'Data Entry'!A523)</f>
      </c>
      <c r="B523">
        <f>IF(ISBLANK('Data Entry'!B523), "", 'Data Entry'!B523)</f>
      </c>
      <c r="C523">
        <f>IF(ISBLANK('Data Entry'!C523), "", 'Data Entry'!C523)</f>
      </c>
      <c r="D523">
        <f>IF(ISBLANK('Data Entry'!D523), "", 'Data Entry'!D523)</f>
      </c>
      <c r="E523">
        <f>IF(ISBLANK('Data Entry'!E523), "", 'Data Entry'!E523)</f>
      </c>
      <c r="F523">
        <f>IF(ISBLANK('Data Entry'!F523), "", 'Data Entry'!F523)</f>
      </c>
      <c r="G523">
        <f>IF(ISBLANK('Data Entry'!G523), "", 'Data Entry'!G523)</f>
      </c>
      <c r="H523">
        <f>IF(ISBLANK('Data Entry'!H523), "", 'Data Entry'!H523)</f>
      </c>
      <c r="I523">
        <f>IF(ISBLANK('Data Entry'!I523), "", 'Data Entry'!I523)</f>
      </c>
      <c r="J523">
        <f>IF(ISBLANK('Data Entry'!J523), "", 'Data Entry'!J523)</f>
      </c>
      <c r="K523">
        <f>IF(ISBLANK('Data Entry'!K523), "", 'Data Entry'!K523)</f>
      </c>
      <c r="L523">
        <f>IF(ISBLANK('Data Entry'!L523), "", 'Data Entry'!L523)</f>
      </c>
      <c r="M523">
        <f>IF(ISBLANK('Data Entry'!M523), "", 'Data Entry'!M523)</f>
      </c>
      <c r="N523">
        <f>IF(ISBLANK('Data Entry'!N523), "", 'Data Entry'!N523)</f>
      </c>
      <c r="O523">
        <f>IF(ISBLANK('Data Entry'!O523), "", 'Data Entry'!O523)</f>
      </c>
      <c r="P523">
        <f>IF(ISBLANK('Data Entry'!P523), "", 'Data Entry'!P523)</f>
      </c>
      <c r="Q523">
        <f>IF(ISBLANK('Data Entry'!Q523), "", 'Data Entry'!Q523)</f>
      </c>
      <c r="R523">
        <f>IF(ISBLANK('Data Entry'!R523), "", 'Data Entry'!R523)</f>
      </c>
      <c r="S523">
        <f>IF(ISBLANK('Data Entry'!S523), "", 'Data Entry'!S523)</f>
      </c>
      <c r="T523">
        <f>IF(ISBLANK('Data Entry'!T523), "", 'Data Entry'!T523)</f>
      </c>
      <c r="U523">
        <f>IF(ISBLANK('Data Entry'!U523), "", 'Data Entry'!U523)</f>
      </c>
      <c r="V523">
        <f>IF(ISBLANK('Data Entry'!V523), "", 'Data Entry'!V523)</f>
      </c>
      <c r="W523">
        <f>IF(ISBLANK('Data Entry'!W523), "", 'Data Entry'!W523)</f>
      </c>
      <c r="X523">
        <f>IF(ISBLANK('Data Entry'!X523), "", 'Data Entry'!X523)</f>
      </c>
      <c r="Y523">
        <f>IF(ISBLANK('Data Entry'!Y523), "", 'Data Entry'!Y523)</f>
      </c>
      <c r="Z523">
        <f>IF(ISBLANK('Data Entry'!Z523), "", 'Data Entry'!Z523)</f>
      </c>
      <c r="AA523">
        <f>IF(ISBLANK('Data Entry'![523), "", 'Data Entry'![523)</f>
      </c>
      <c r="AB523">
        <f>IF(ISBLANK('Data Entry'!\523), "", 'Data Entry'!\523)</f>
      </c>
      <c r="AC523">
        <f>IF(ISBLANK('Data Entry'!]523), "", 'Data Entry'!]523)</f>
      </c>
      <c r="AD523">
        <f>IF(ISBLANK('Data Entry'!^523), "", 'Data Entry'!^523)</f>
      </c>
      <c r="AE523">
        <f>IF(ISBLANK('Data Entry'!_523), "", 'Data Entry'!_523)</f>
      </c>
      <c r="AF523">
        <f>IF(ISBLANK('Data Entry'!`523), "", 'Data Entry'!`523)</f>
      </c>
      <c r="AG523">
        <f>IF(ISBLANK('Data Entry'!a523), "", 'Data Entry'!a523)</f>
      </c>
      <c r="AH523">
        <f>IF(ISBLANK('Data Entry'!b523), "", 'Data Entry'!b523)</f>
      </c>
      <c r="AI523">
        <f>IF(ISBLANK('Data Entry'!c523), "", 'Data Entry'!c523)</f>
      </c>
      <c r="AJ523">
        <f>IF(ISBLANK('Data Entry'!d523), "", 'Data Entry'!d523)</f>
      </c>
      <c r="AK523">
        <f>IF(ISBLANK('Data Entry'!e523), "", 'Data Entry'!e523)</f>
      </c>
      <c r="AL523">
        <f>IF(ISBLANK('Data Entry'!f523), "", 'Data Entry'!f523)</f>
      </c>
      <c r="AM523">
        <f>IF(ISBLANK('Data Entry'!g523), "", 'Data Entry'!g523)</f>
      </c>
      <c r="AN523">
        <f>IF(ISBLANK('Data Entry'!h523), "", 'Data Entry'!h523)</f>
      </c>
    </row>
    <row r="524" spans="1:40" x14ac:dyDescent="0.25">
      <c r="A524">
        <f>IF(ISBLANK('Data Entry'!A524), "", 'Data Entry'!A524)</f>
      </c>
      <c r="B524">
        <f>IF(ISBLANK('Data Entry'!B524), "", 'Data Entry'!B524)</f>
      </c>
      <c r="C524">
        <f>IF(ISBLANK('Data Entry'!C524), "", 'Data Entry'!C524)</f>
      </c>
      <c r="D524">
        <f>IF(ISBLANK('Data Entry'!D524), "", 'Data Entry'!D524)</f>
      </c>
      <c r="E524">
        <f>IF(ISBLANK('Data Entry'!E524), "", 'Data Entry'!E524)</f>
      </c>
      <c r="F524">
        <f>IF(ISBLANK('Data Entry'!F524), "", 'Data Entry'!F524)</f>
      </c>
      <c r="G524">
        <f>IF(ISBLANK('Data Entry'!G524), "", 'Data Entry'!G524)</f>
      </c>
      <c r="H524">
        <f>IF(ISBLANK('Data Entry'!H524), "", 'Data Entry'!H524)</f>
      </c>
      <c r="I524">
        <f>IF(ISBLANK('Data Entry'!I524), "", 'Data Entry'!I524)</f>
      </c>
      <c r="J524">
        <f>IF(ISBLANK('Data Entry'!J524), "", 'Data Entry'!J524)</f>
      </c>
      <c r="K524">
        <f>IF(ISBLANK('Data Entry'!K524), "", 'Data Entry'!K524)</f>
      </c>
      <c r="L524">
        <f>IF(ISBLANK('Data Entry'!L524), "", 'Data Entry'!L524)</f>
      </c>
      <c r="M524">
        <f>IF(ISBLANK('Data Entry'!M524), "", 'Data Entry'!M524)</f>
      </c>
      <c r="N524">
        <f>IF(ISBLANK('Data Entry'!N524), "", 'Data Entry'!N524)</f>
      </c>
      <c r="O524">
        <f>IF(ISBLANK('Data Entry'!O524), "", 'Data Entry'!O524)</f>
      </c>
      <c r="P524">
        <f>IF(ISBLANK('Data Entry'!P524), "", 'Data Entry'!P524)</f>
      </c>
      <c r="Q524">
        <f>IF(ISBLANK('Data Entry'!Q524), "", 'Data Entry'!Q524)</f>
      </c>
      <c r="R524">
        <f>IF(ISBLANK('Data Entry'!R524), "", 'Data Entry'!R524)</f>
      </c>
      <c r="S524">
        <f>IF(ISBLANK('Data Entry'!S524), "", 'Data Entry'!S524)</f>
      </c>
      <c r="T524">
        <f>IF(ISBLANK('Data Entry'!T524), "", 'Data Entry'!T524)</f>
      </c>
      <c r="U524">
        <f>IF(ISBLANK('Data Entry'!U524), "", 'Data Entry'!U524)</f>
      </c>
      <c r="V524">
        <f>IF(ISBLANK('Data Entry'!V524), "", 'Data Entry'!V524)</f>
      </c>
      <c r="W524">
        <f>IF(ISBLANK('Data Entry'!W524), "", 'Data Entry'!W524)</f>
      </c>
      <c r="X524">
        <f>IF(ISBLANK('Data Entry'!X524), "", 'Data Entry'!X524)</f>
      </c>
      <c r="Y524">
        <f>IF(ISBLANK('Data Entry'!Y524), "", 'Data Entry'!Y524)</f>
      </c>
      <c r="Z524">
        <f>IF(ISBLANK('Data Entry'!Z524), "", 'Data Entry'!Z524)</f>
      </c>
      <c r="AA524">
        <f>IF(ISBLANK('Data Entry'![524), "", 'Data Entry'![524)</f>
      </c>
      <c r="AB524">
        <f>IF(ISBLANK('Data Entry'!\524), "", 'Data Entry'!\524)</f>
      </c>
      <c r="AC524">
        <f>IF(ISBLANK('Data Entry'!]524), "", 'Data Entry'!]524)</f>
      </c>
      <c r="AD524">
        <f>IF(ISBLANK('Data Entry'!^524), "", 'Data Entry'!^524)</f>
      </c>
      <c r="AE524">
        <f>IF(ISBLANK('Data Entry'!_524), "", 'Data Entry'!_524)</f>
      </c>
      <c r="AF524">
        <f>IF(ISBLANK('Data Entry'!`524), "", 'Data Entry'!`524)</f>
      </c>
      <c r="AG524">
        <f>IF(ISBLANK('Data Entry'!a524), "", 'Data Entry'!a524)</f>
      </c>
      <c r="AH524">
        <f>IF(ISBLANK('Data Entry'!b524), "", 'Data Entry'!b524)</f>
      </c>
      <c r="AI524">
        <f>IF(ISBLANK('Data Entry'!c524), "", 'Data Entry'!c524)</f>
      </c>
      <c r="AJ524">
        <f>IF(ISBLANK('Data Entry'!d524), "", 'Data Entry'!d524)</f>
      </c>
      <c r="AK524">
        <f>IF(ISBLANK('Data Entry'!e524), "", 'Data Entry'!e524)</f>
      </c>
      <c r="AL524">
        <f>IF(ISBLANK('Data Entry'!f524), "", 'Data Entry'!f524)</f>
      </c>
      <c r="AM524">
        <f>IF(ISBLANK('Data Entry'!g524), "", 'Data Entry'!g524)</f>
      </c>
      <c r="AN524">
        <f>IF(ISBLANK('Data Entry'!h524), "", 'Data Entry'!h524)</f>
      </c>
    </row>
    <row r="525" spans="1:40" x14ac:dyDescent="0.25">
      <c r="A525">
        <f>IF(ISBLANK('Data Entry'!A525), "", 'Data Entry'!A525)</f>
      </c>
      <c r="B525">
        <f>IF(ISBLANK('Data Entry'!B525), "", 'Data Entry'!B525)</f>
      </c>
      <c r="C525">
        <f>IF(ISBLANK('Data Entry'!C525), "", 'Data Entry'!C525)</f>
      </c>
      <c r="D525">
        <f>IF(ISBLANK('Data Entry'!D525), "", 'Data Entry'!D525)</f>
      </c>
      <c r="E525">
        <f>IF(ISBLANK('Data Entry'!E525), "", 'Data Entry'!E525)</f>
      </c>
      <c r="F525">
        <f>IF(ISBLANK('Data Entry'!F525), "", 'Data Entry'!F525)</f>
      </c>
      <c r="G525">
        <f>IF(ISBLANK('Data Entry'!G525), "", 'Data Entry'!G525)</f>
      </c>
      <c r="H525">
        <f>IF(ISBLANK('Data Entry'!H525), "", 'Data Entry'!H525)</f>
      </c>
      <c r="I525">
        <f>IF(ISBLANK('Data Entry'!I525), "", 'Data Entry'!I525)</f>
      </c>
      <c r="J525">
        <f>IF(ISBLANK('Data Entry'!J525), "", 'Data Entry'!J525)</f>
      </c>
      <c r="K525">
        <f>IF(ISBLANK('Data Entry'!K525), "", 'Data Entry'!K525)</f>
      </c>
      <c r="L525">
        <f>IF(ISBLANK('Data Entry'!L525), "", 'Data Entry'!L525)</f>
      </c>
      <c r="M525">
        <f>IF(ISBLANK('Data Entry'!M525), "", 'Data Entry'!M525)</f>
      </c>
      <c r="N525">
        <f>IF(ISBLANK('Data Entry'!N525), "", 'Data Entry'!N525)</f>
      </c>
      <c r="O525">
        <f>IF(ISBLANK('Data Entry'!O525), "", 'Data Entry'!O525)</f>
      </c>
      <c r="P525">
        <f>IF(ISBLANK('Data Entry'!P525), "", 'Data Entry'!P525)</f>
      </c>
      <c r="Q525">
        <f>IF(ISBLANK('Data Entry'!Q525), "", 'Data Entry'!Q525)</f>
      </c>
      <c r="R525">
        <f>IF(ISBLANK('Data Entry'!R525), "", 'Data Entry'!R525)</f>
      </c>
      <c r="S525">
        <f>IF(ISBLANK('Data Entry'!S525), "", 'Data Entry'!S525)</f>
      </c>
      <c r="T525">
        <f>IF(ISBLANK('Data Entry'!T525), "", 'Data Entry'!T525)</f>
      </c>
      <c r="U525">
        <f>IF(ISBLANK('Data Entry'!U525), "", 'Data Entry'!U525)</f>
      </c>
      <c r="V525">
        <f>IF(ISBLANK('Data Entry'!V525), "", 'Data Entry'!V525)</f>
      </c>
      <c r="W525">
        <f>IF(ISBLANK('Data Entry'!W525), "", 'Data Entry'!W525)</f>
      </c>
      <c r="X525">
        <f>IF(ISBLANK('Data Entry'!X525), "", 'Data Entry'!X525)</f>
      </c>
      <c r="Y525">
        <f>IF(ISBLANK('Data Entry'!Y525), "", 'Data Entry'!Y525)</f>
      </c>
      <c r="Z525">
        <f>IF(ISBLANK('Data Entry'!Z525), "", 'Data Entry'!Z525)</f>
      </c>
      <c r="AA525">
        <f>IF(ISBLANK('Data Entry'![525), "", 'Data Entry'![525)</f>
      </c>
      <c r="AB525">
        <f>IF(ISBLANK('Data Entry'!\525), "", 'Data Entry'!\525)</f>
      </c>
      <c r="AC525">
        <f>IF(ISBLANK('Data Entry'!]525), "", 'Data Entry'!]525)</f>
      </c>
      <c r="AD525">
        <f>IF(ISBLANK('Data Entry'!^525), "", 'Data Entry'!^525)</f>
      </c>
      <c r="AE525">
        <f>IF(ISBLANK('Data Entry'!_525), "", 'Data Entry'!_525)</f>
      </c>
      <c r="AF525">
        <f>IF(ISBLANK('Data Entry'!`525), "", 'Data Entry'!`525)</f>
      </c>
      <c r="AG525">
        <f>IF(ISBLANK('Data Entry'!a525), "", 'Data Entry'!a525)</f>
      </c>
      <c r="AH525">
        <f>IF(ISBLANK('Data Entry'!b525), "", 'Data Entry'!b525)</f>
      </c>
      <c r="AI525">
        <f>IF(ISBLANK('Data Entry'!c525), "", 'Data Entry'!c525)</f>
      </c>
      <c r="AJ525">
        <f>IF(ISBLANK('Data Entry'!d525), "", 'Data Entry'!d525)</f>
      </c>
      <c r="AK525">
        <f>IF(ISBLANK('Data Entry'!e525), "", 'Data Entry'!e525)</f>
      </c>
      <c r="AL525">
        <f>IF(ISBLANK('Data Entry'!f525), "", 'Data Entry'!f525)</f>
      </c>
      <c r="AM525">
        <f>IF(ISBLANK('Data Entry'!g525), "", 'Data Entry'!g525)</f>
      </c>
      <c r="AN525">
        <f>IF(ISBLANK('Data Entry'!h525), "", 'Data Entry'!h525)</f>
      </c>
    </row>
    <row r="526" spans="1:40" x14ac:dyDescent="0.25">
      <c r="A526">
        <f>IF(ISBLANK('Data Entry'!A526), "", 'Data Entry'!A526)</f>
      </c>
      <c r="B526">
        <f>IF(ISBLANK('Data Entry'!B526), "", 'Data Entry'!B526)</f>
      </c>
      <c r="C526">
        <f>IF(ISBLANK('Data Entry'!C526), "", 'Data Entry'!C526)</f>
      </c>
      <c r="D526">
        <f>IF(ISBLANK('Data Entry'!D526), "", 'Data Entry'!D526)</f>
      </c>
      <c r="E526">
        <f>IF(ISBLANK('Data Entry'!E526), "", 'Data Entry'!E526)</f>
      </c>
      <c r="F526">
        <f>IF(ISBLANK('Data Entry'!F526), "", 'Data Entry'!F526)</f>
      </c>
      <c r="G526">
        <f>IF(ISBLANK('Data Entry'!G526), "", 'Data Entry'!G526)</f>
      </c>
      <c r="H526">
        <f>IF(ISBLANK('Data Entry'!H526), "", 'Data Entry'!H526)</f>
      </c>
      <c r="I526">
        <f>IF(ISBLANK('Data Entry'!I526), "", 'Data Entry'!I526)</f>
      </c>
      <c r="J526">
        <f>IF(ISBLANK('Data Entry'!J526), "", 'Data Entry'!J526)</f>
      </c>
      <c r="K526">
        <f>IF(ISBLANK('Data Entry'!K526), "", 'Data Entry'!K526)</f>
      </c>
      <c r="L526">
        <f>IF(ISBLANK('Data Entry'!L526), "", 'Data Entry'!L526)</f>
      </c>
      <c r="M526">
        <f>IF(ISBLANK('Data Entry'!M526), "", 'Data Entry'!M526)</f>
      </c>
      <c r="N526">
        <f>IF(ISBLANK('Data Entry'!N526), "", 'Data Entry'!N526)</f>
      </c>
      <c r="O526">
        <f>IF(ISBLANK('Data Entry'!O526), "", 'Data Entry'!O526)</f>
      </c>
      <c r="P526">
        <f>IF(ISBLANK('Data Entry'!P526), "", 'Data Entry'!P526)</f>
      </c>
      <c r="Q526">
        <f>IF(ISBLANK('Data Entry'!Q526), "", 'Data Entry'!Q526)</f>
      </c>
      <c r="R526">
        <f>IF(ISBLANK('Data Entry'!R526), "", 'Data Entry'!R526)</f>
      </c>
      <c r="S526">
        <f>IF(ISBLANK('Data Entry'!S526), "", 'Data Entry'!S526)</f>
      </c>
      <c r="T526">
        <f>IF(ISBLANK('Data Entry'!T526), "", 'Data Entry'!T526)</f>
      </c>
      <c r="U526">
        <f>IF(ISBLANK('Data Entry'!U526), "", 'Data Entry'!U526)</f>
      </c>
      <c r="V526">
        <f>IF(ISBLANK('Data Entry'!V526), "", 'Data Entry'!V526)</f>
      </c>
      <c r="W526">
        <f>IF(ISBLANK('Data Entry'!W526), "", 'Data Entry'!W526)</f>
      </c>
      <c r="X526">
        <f>IF(ISBLANK('Data Entry'!X526), "", 'Data Entry'!X526)</f>
      </c>
      <c r="Y526">
        <f>IF(ISBLANK('Data Entry'!Y526), "", 'Data Entry'!Y526)</f>
      </c>
      <c r="Z526">
        <f>IF(ISBLANK('Data Entry'!Z526), "", 'Data Entry'!Z526)</f>
      </c>
      <c r="AA526">
        <f>IF(ISBLANK('Data Entry'![526), "", 'Data Entry'![526)</f>
      </c>
      <c r="AB526">
        <f>IF(ISBLANK('Data Entry'!\526), "", 'Data Entry'!\526)</f>
      </c>
      <c r="AC526">
        <f>IF(ISBLANK('Data Entry'!]526), "", 'Data Entry'!]526)</f>
      </c>
      <c r="AD526">
        <f>IF(ISBLANK('Data Entry'!^526), "", 'Data Entry'!^526)</f>
      </c>
      <c r="AE526">
        <f>IF(ISBLANK('Data Entry'!_526), "", 'Data Entry'!_526)</f>
      </c>
      <c r="AF526">
        <f>IF(ISBLANK('Data Entry'!`526), "", 'Data Entry'!`526)</f>
      </c>
      <c r="AG526">
        <f>IF(ISBLANK('Data Entry'!a526), "", 'Data Entry'!a526)</f>
      </c>
      <c r="AH526">
        <f>IF(ISBLANK('Data Entry'!b526), "", 'Data Entry'!b526)</f>
      </c>
      <c r="AI526">
        <f>IF(ISBLANK('Data Entry'!c526), "", 'Data Entry'!c526)</f>
      </c>
      <c r="AJ526">
        <f>IF(ISBLANK('Data Entry'!d526), "", 'Data Entry'!d526)</f>
      </c>
      <c r="AK526">
        <f>IF(ISBLANK('Data Entry'!e526), "", 'Data Entry'!e526)</f>
      </c>
      <c r="AL526">
        <f>IF(ISBLANK('Data Entry'!f526), "", 'Data Entry'!f526)</f>
      </c>
      <c r="AM526">
        <f>IF(ISBLANK('Data Entry'!g526), "", 'Data Entry'!g526)</f>
      </c>
      <c r="AN526">
        <f>IF(ISBLANK('Data Entry'!h526), "", 'Data Entry'!h526)</f>
      </c>
    </row>
    <row r="527" spans="1:40" x14ac:dyDescent="0.25">
      <c r="A527">
        <f>IF(ISBLANK('Data Entry'!A527), "", 'Data Entry'!A527)</f>
      </c>
      <c r="B527">
        <f>IF(ISBLANK('Data Entry'!B527), "", 'Data Entry'!B527)</f>
      </c>
      <c r="C527">
        <f>IF(ISBLANK('Data Entry'!C527), "", 'Data Entry'!C527)</f>
      </c>
      <c r="D527">
        <f>IF(ISBLANK('Data Entry'!D527), "", 'Data Entry'!D527)</f>
      </c>
      <c r="E527">
        <f>IF(ISBLANK('Data Entry'!E527), "", 'Data Entry'!E527)</f>
      </c>
      <c r="F527">
        <f>IF(ISBLANK('Data Entry'!F527), "", 'Data Entry'!F527)</f>
      </c>
      <c r="G527">
        <f>IF(ISBLANK('Data Entry'!G527), "", 'Data Entry'!G527)</f>
      </c>
      <c r="H527">
        <f>IF(ISBLANK('Data Entry'!H527), "", 'Data Entry'!H527)</f>
      </c>
      <c r="I527">
        <f>IF(ISBLANK('Data Entry'!I527), "", 'Data Entry'!I527)</f>
      </c>
      <c r="J527">
        <f>IF(ISBLANK('Data Entry'!J527), "", 'Data Entry'!J527)</f>
      </c>
      <c r="K527">
        <f>IF(ISBLANK('Data Entry'!K527), "", 'Data Entry'!K527)</f>
      </c>
      <c r="L527">
        <f>IF(ISBLANK('Data Entry'!L527), "", 'Data Entry'!L527)</f>
      </c>
      <c r="M527">
        <f>IF(ISBLANK('Data Entry'!M527), "", 'Data Entry'!M527)</f>
      </c>
      <c r="N527">
        <f>IF(ISBLANK('Data Entry'!N527), "", 'Data Entry'!N527)</f>
      </c>
      <c r="O527">
        <f>IF(ISBLANK('Data Entry'!O527), "", 'Data Entry'!O527)</f>
      </c>
      <c r="P527">
        <f>IF(ISBLANK('Data Entry'!P527), "", 'Data Entry'!P527)</f>
      </c>
      <c r="Q527">
        <f>IF(ISBLANK('Data Entry'!Q527), "", 'Data Entry'!Q527)</f>
      </c>
      <c r="R527">
        <f>IF(ISBLANK('Data Entry'!R527), "", 'Data Entry'!R527)</f>
      </c>
      <c r="S527">
        <f>IF(ISBLANK('Data Entry'!S527), "", 'Data Entry'!S527)</f>
      </c>
      <c r="T527">
        <f>IF(ISBLANK('Data Entry'!T527), "", 'Data Entry'!T527)</f>
      </c>
      <c r="U527">
        <f>IF(ISBLANK('Data Entry'!U527), "", 'Data Entry'!U527)</f>
      </c>
      <c r="V527">
        <f>IF(ISBLANK('Data Entry'!V527), "", 'Data Entry'!V527)</f>
      </c>
      <c r="W527">
        <f>IF(ISBLANK('Data Entry'!W527), "", 'Data Entry'!W527)</f>
      </c>
      <c r="X527">
        <f>IF(ISBLANK('Data Entry'!X527), "", 'Data Entry'!X527)</f>
      </c>
      <c r="Y527">
        <f>IF(ISBLANK('Data Entry'!Y527), "", 'Data Entry'!Y527)</f>
      </c>
      <c r="Z527">
        <f>IF(ISBLANK('Data Entry'!Z527), "", 'Data Entry'!Z527)</f>
      </c>
      <c r="AA527">
        <f>IF(ISBLANK('Data Entry'![527), "", 'Data Entry'![527)</f>
      </c>
      <c r="AB527">
        <f>IF(ISBLANK('Data Entry'!\527), "", 'Data Entry'!\527)</f>
      </c>
      <c r="AC527">
        <f>IF(ISBLANK('Data Entry'!]527), "", 'Data Entry'!]527)</f>
      </c>
      <c r="AD527">
        <f>IF(ISBLANK('Data Entry'!^527), "", 'Data Entry'!^527)</f>
      </c>
      <c r="AE527">
        <f>IF(ISBLANK('Data Entry'!_527), "", 'Data Entry'!_527)</f>
      </c>
      <c r="AF527">
        <f>IF(ISBLANK('Data Entry'!`527), "", 'Data Entry'!`527)</f>
      </c>
      <c r="AG527">
        <f>IF(ISBLANK('Data Entry'!a527), "", 'Data Entry'!a527)</f>
      </c>
      <c r="AH527">
        <f>IF(ISBLANK('Data Entry'!b527), "", 'Data Entry'!b527)</f>
      </c>
      <c r="AI527">
        <f>IF(ISBLANK('Data Entry'!c527), "", 'Data Entry'!c527)</f>
      </c>
      <c r="AJ527">
        <f>IF(ISBLANK('Data Entry'!d527), "", 'Data Entry'!d527)</f>
      </c>
      <c r="AK527">
        <f>IF(ISBLANK('Data Entry'!e527), "", 'Data Entry'!e527)</f>
      </c>
      <c r="AL527">
        <f>IF(ISBLANK('Data Entry'!f527), "", 'Data Entry'!f527)</f>
      </c>
      <c r="AM527">
        <f>IF(ISBLANK('Data Entry'!g527), "", 'Data Entry'!g527)</f>
      </c>
      <c r="AN527">
        <f>IF(ISBLANK('Data Entry'!h527), "", 'Data Entry'!h527)</f>
      </c>
    </row>
    <row r="528" spans="1:40" x14ac:dyDescent="0.25">
      <c r="A528">
        <f>IF(ISBLANK('Data Entry'!A528), "", 'Data Entry'!A528)</f>
      </c>
      <c r="B528">
        <f>IF(ISBLANK('Data Entry'!B528), "", 'Data Entry'!B528)</f>
      </c>
      <c r="C528">
        <f>IF(ISBLANK('Data Entry'!C528), "", 'Data Entry'!C528)</f>
      </c>
      <c r="D528">
        <f>IF(ISBLANK('Data Entry'!D528), "", 'Data Entry'!D528)</f>
      </c>
      <c r="E528">
        <f>IF(ISBLANK('Data Entry'!E528), "", 'Data Entry'!E528)</f>
      </c>
      <c r="F528">
        <f>IF(ISBLANK('Data Entry'!F528), "", 'Data Entry'!F528)</f>
      </c>
      <c r="G528">
        <f>IF(ISBLANK('Data Entry'!G528), "", 'Data Entry'!G528)</f>
      </c>
      <c r="H528">
        <f>IF(ISBLANK('Data Entry'!H528), "", 'Data Entry'!H528)</f>
      </c>
      <c r="I528">
        <f>IF(ISBLANK('Data Entry'!I528), "", 'Data Entry'!I528)</f>
      </c>
      <c r="J528">
        <f>IF(ISBLANK('Data Entry'!J528), "", 'Data Entry'!J528)</f>
      </c>
      <c r="K528">
        <f>IF(ISBLANK('Data Entry'!K528), "", 'Data Entry'!K528)</f>
      </c>
      <c r="L528">
        <f>IF(ISBLANK('Data Entry'!L528), "", 'Data Entry'!L528)</f>
      </c>
      <c r="M528">
        <f>IF(ISBLANK('Data Entry'!M528), "", 'Data Entry'!M528)</f>
      </c>
      <c r="N528">
        <f>IF(ISBLANK('Data Entry'!N528), "", 'Data Entry'!N528)</f>
      </c>
      <c r="O528">
        <f>IF(ISBLANK('Data Entry'!O528), "", 'Data Entry'!O528)</f>
      </c>
      <c r="P528">
        <f>IF(ISBLANK('Data Entry'!P528), "", 'Data Entry'!P528)</f>
      </c>
      <c r="Q528">
        <f>IF(ISBLANK('Data Entry'!Q528), "", 'Data Entry'!Q528)</f>
      </c>
      <c r="R528">
        <f>IF(ISBLANK('Data Entry'!R528), "", 'Data Entry'!R528)</f>
      </c>
      <c r="S528">
        <f>IF(ISBLANK('Data Entry'!S528), "", 'Data Entry'!S528)</f>
      </c>
      <c r="T528">
        <f>IF(ISBLANK('Data Entry'!T528), "", 'Data Entry'!T528)</f>
      </c>
      <c r="U528">
        <f>IF(ISBLANK('Data Entry'!U528), "", 'Data Entry'!U528)</f>
      </c>
      <c r="V528">
        <f>IF(ISBLANK('Data Entry'!V528), "", 'Data Entry'!V528)</f>
      </c>
      <c r="W528">
        <f>IF(ISBLANK('Data Entry'!W528), "", 'Data Entry'!W528)</f>
      </c>
      <c r="X528">
        <f>IF(ISBLANK('Data Entry'!X528), "", 'Data Entry'!X528)</f>
      </c>
      <c r="Y528">
        <f>IF(ISBLANK('Data Entry'!Y528), "", 'Data Entry'!Y528)</f>
      </c>
      <c r="Z528">
        <f>IF(ISBLANK('Data Entry'!Z528), "", 'Data Entry'!Z528)</f>
      </c>
      <c r="AA528">
        <f>IF(ISBLANK('Data Entry'![528), "", 'Data Entry'![528)</f>
      </c>
      <c r="AB528">
        <f>IF(ISBLANK('Data Entry'!\528), "", 'Data Entry'!\528)</f>
      </c>
      <c r="AC528">
        <f>IF(ISBLANK('Data Entry'!]528), "", 'Data Entry'!]528)</f>
      </c>
      <c r="AD528">
        <f>IF(ISBLANK('Data Entry'!^528), "", 'Data Entry'!^528)</f>
      </c>
      <c r="AE528">
        <f>IF(ISBLANK('Data Entry'!_528), "", 'Data Entry'!_528)</f>
      </c>
      <c r="AF528">
        <f>IF(ISBLANK('Data Entry'!`528), "", 'Data Entry'!`528)</f>
      </c>
      <c r="AG528">
        <f>IF(ISBLANK('Data Entry'!a528), "", 'Data Entry'!a528)</f>
      </c>
      <c r="AH528">
        <f>IF(ISBLANK('Data Entry'!b528), "", 'Data Entry'!b528)</f>
      </c>
      <c r="AI528">
        <f>IF(ISBLANK('Data Entry'!c528), "", 'Data Entry'!c528)</f>
      </c>
      <c r="AJ528">
        <f>IF(ISBLANK('Data Entry'!d528), "", 'Data Entry'!d528)</f>
      </c>
      <c r="AK528">
        <f>IF(ISBLANK('Data Entry'!e528), "", 'Data Entry'!e528)</f>
      </c>
      <c r="AL528">
        <f>IF(ISBLANK('Data Entry'!f528), "", 'Data Entry'!f528)</f>
      </c>
      <c r="AM528">
        <f>IF(ISBLANK('Data Entry'!g528), "", 'Data Entry'!g528)</f>
      </c>
      <c r="AN528">
        <f>IF(ISBLANK('Data Entry'!h528), "", 'Data Entry'!h528)</f>
      </c>
    </row>
    <row r="529" spans="1:40" x14ac:dyDescent="0.25">
      <c r="A529">
        <f>IF(ISBLANK('Data Entry'!A529), "", 'Data Entry'!A529)</f>
      </c>
      <c r="B529">
        <f>IF(ISBLANK('Data Entry'!B529), "", 'Data Entry'!B529)</f>
      </c>
      <c r="C529">
        <f>IF(ISBLANK('Data Entry'!C529), "", 'Data Entry'!C529)</f>
      </c>
      <c r="D529">
        <f>IF(ISBLANK('Data Entry'!D529), "", 'Data Entry'!D529)</f>
      </c>
      <c r="E529">
        <f>IF(ISBLANK('Data Entry'!E529), "", 'Data Entry'!E529)</f>
      </c>
      <c r="F529">
        <f>IF(ISBLANK('Data Entry'!F529), "", 'Data Entry'!F529)</f>
      </c>
      <c r="G529">
        <f>IF(ISBLANK('Data Entry'!G529), "", 'Data Entry'!G529)</f>
      </c>
      <c r="H529">
        <f>IF(ISBLANK('Data Entry'!H529), "", 'Data Entry'!H529)</f>
      </c>
      <c r="I529">
        <f>IF(ISBLANK('Data Entry'!I529), "", 'Data Entry'!I529)</f>
      </c>
      <c r="J529">
        <f>IF(ISBLANK('Data Entry'!J529), "", 'Data Entry'!J529)</f>
      </c>
      <c r="K529">
        <f>IF(ISBLANK('Data Entry'!K529), "", 'Data Entry'!K529)</f>
      </c>
      <c r="L529">
        <f>IF(ISBLANK('Data Entry'!L529), "", 'Data Entry'!L529)</f>
      </c>
      <c r="M529">
        <f>IF(ISBLANK('Data Entry'!M529), "", 'Data Entry'!M529)</f>
      </c>
      <c r="N529">
        <f>IF(ISBLANK('Data Entry'!N529), "", 'Data Entry'!N529)</f>
      </c>
      <c r="O529">
        <f>IF(ISBLANK('Data Entry'!O529), "", 'Data Entry'!O529)</f>
      </c>
      <c r="P529">
        <f>IF(ISBLANK('Data Entry'!P529), "", 'Data Entry'!P529)</f>
      </c>
      <c r="Q529">
        <f>IF(ISBLANK('Data Entry'!Q529), "", 'Data Entry'!Q529)</f>
      </c>
      <c r="R529">
        <f>IF(ISBLANK('Data Entry'!R529), "", 'Data Entry'!R529)</f>
      </c>
      <c r="S529">
        <f>IF(ISBLANK('Data Entry'!S529), "", 'Data Entry'!S529)</f>
      </c>
      <c r="T529">
        <f>IF(ISBLANK('Data Entry'!T529), "", 'Data Entry'!T529)</f>
      </c>
      <c r="U529">
        <f>IF(ISBLANK('Data Entry'!U529), "", 'Data Entry'!U529)</f>
      </c>
      <c r="V529">
        <f>IF(ISBLANK('Data Entry'!V529), "", 'Data Entry'!V529)</f>
      </c>
      <c r="W529">
        <f>IF(ISBLANK('Data Entry'!W529), "", 'Data Entry'!W529)</f>
      </c>
      <c r="X529">
        <f>IF(ISBLANK('Data Entry'!X529), "", 'Data Entry'!X529)</f>
      </c>
      <c r="Y529">
        <f>IF(ISBLANK('Data Entry'!Y529), "", 'Data Entry'!Y529)</f>
      </c>
      <c r="Z529">
        <f>IF(ISBLANK('Data Entry'!Z529), "", 'Data Entry'!Z529)</f>
      </c>
      <c r="AA529">
        <f>IF(ISBLANK('Data Entry'![529), "", 'Data Entry'![529)</f>
      </c>
      <c r="AB529">
        <f>IF(ISBLANK('Data Entry'!\529), "", 'Data Entry'!\529)</f>
      </c>
      <c r="AC529">
        <f>IF(ISBLANK('Data Entry'!]529), "", 'Data Entry'!]529)</f>
      </c>
      <c r="AD529">
        <f>IF(ISBLANK('Data Entry'!^529), "", 'Data Entry'!^529)</f>
      </c>
      <c r="AE529">
        <f>IF(ISBLANK('Data Entry'!_529), "", 'Data Entry'!_529)</f>
      </c>
      <c r="AF529">
        <f>IF(ISBLANK('Data Entry'!`529), "", 'Data Entry'!`529)</f>
      </c>
      <c r="AG529">
        <f>IF(ISBLANK('Data Entry'!a529), "", 'Data Entry'!a529)</f>
      </c>
      <c r="AH529">
        <f>IF(ISBLANK('Data Entry'!b529), "", 'Data Entry'!b529)</f>
      </c>
      <c r="AI529">
        <f>IF(ISBLANK('Data Entry'!c529), "", 'Data Entry'!c529)</f>
      </c>
      <c r="AJ529">
        <f>IF(ISBLANK('Data Entry'!d529), "", 'Data Entry'!d529)</f>
      </c>
      <c r="AK529">
        <f>IF(ISBLANK('Data Entry'!e529), "", 'Data Entry'!e529)</f>
      </c>
      <c r="AL529">
        <f>IF(ISBLANK('Data Entry'!f529), "", 'Data Entry'!f529)</f>
      </c>
      <c r="AM529">
        <f>IF(ISBLANK('Data Entry'!g529), "", 'Data Entry'!g529)</f>
      </c>
      <c r="AN529">
        <f>IF(ISBLANK('Data Entry'!h529), "", 'Data Entry'!h529)</f>
      </c>
    </row>
    <row r="530" spans="1:40" x14ac:dyDescent="0.25">
      <c r="A530">
        <f>IF(ISBLANK('Data Entry'!A530), "", 'Data Entry'!A530)</f>
      </c>
      <c r="B530">
        <f>IF(ISBLANK('Data Entry'!B530), "", 'Data Entry'!B530)</f>
      </c>
      <c r="C530">
        <f>IF(ISBLANK('Data Entry'!C530), "", 'Data Entry'!C530)</f>
      </c>
      <c r="D530">
        <f>IF(ISBLANK('Data Entry'!D530), "", 'Data Entry'!D530)</f>
      </c>
      <c r="E530">
        <f>IF(ISBLANK('Data Entry'!E530), "", 'Data Entry'!E530)</f>
      </c>
      <c r="F530">
        <f>IF(ISBLANK('Data Entry'!F530), "", 'Data Entry'!F530)</f>
      </c>
      <c r="G530">
        <f>IF(ISBLANK('Data Entry'!G530), "", 'Data Entry'!G530)</f>
      </c>
      <c r="H530">
        <f>IF(ISBLANK('Data Entry'!H530), "", 'Data Entry'!H530)</f>
      </c>
      <c r="I530">
        <f>IF(ISBLANK('Data Entry'!I530), "", 'Data Entry'!I530)</f>
      </c>
      <c r="J530">
        <f>IF(ISBLANK('Data Entry'!J530), "", 'Data Entry'!J530)</f>
      </c>
      <c r="K530">
        <f>IF(ISBLANK('Data Entry'!K530), "", 'Data Entry'!K530)</f>
      </c>
      <c r="L530">
        <f>IF(ISBLANK('Data Entry'!L530), "", 'Data Entry'!L530)</f>
      </c>
      <c r="M530">
        <f>IF(ISBLANK('Data Entry'!M530), "", 'Data Entry'!M530)</f>
      </c>
      <c r="N530">
        <f>IF(ISBLANK('Data Entry'!N530), "", 'Data Entry'!N530)</f>
      </c>
      <c r="O530">
        <f>IF(ISBLANK('Data Entry'!O530), "", 'Data Entry'!O530)</f>
      </c>
      <c r="P530">
        <f>IF(ISBLANK('Data Entry'!P530), "", 'Data Entry'!P530)</f>
      </c>
      <c r="Q530">
        <f>IF(ISBLANK('Data Entry'!Q530), "", 'Data Entry'!Q530)</f>
      </c>
      <c r="R530">
        <f>IF(ISBLANK('Data Entry'!R530), "", 'Data Entry'!R530)</f>
      </c>
      <c r="S530">
        <f>IF(ISBLANK('Data Entry'!S530), "", 'Data Entry'!S530)</f>
      </c>
      <c r="T530">
        <f>IF(ISBLANK('Data Entry'!T530), "", 'Data Entry'!T530)</f>
      </c>
      <c r="U530">
        <f>IF(ISBLANK('Data Entry'!U530), "", 'Data Entry'!U530)</f>
      </c>
      <c r="V530">
        <f>IF(ISBLANK('Data Entry'!V530), "", 'Data Entry'!V530)</f>
      </c>
      <c r="W530">
        <f>IF(ISBLANK('Data Entry'!W530), "", 'Data Entry'!W530)</f>
      </c>
      <c r="X530">
        <f>IF(ISBLANK('Data Entry'!X530), "", 'Data Entry'!X530)</f>
      </c>
      <c r="Y530">
        <f>IF(ISBLANK('Data Entry'!Y530), "", 'Data Entry'!Y530)</f>
      </c>
      <c r="Z530">
        <f>IF(ISBLANK('Data Entry'!Z530), "", 'Data Entry'!Z530)</f>
      </c>
      <c r="AA530">
        <f>IF(ISBLANK('Data Entry'![530), "", 'Data Entry'![530)</f>
      </c>
      <c r="AB530">
        <f>IF(ISBLANK('Data Entry'!\530), "", 'Data Entry'!\530)</f>
      </c>
      <c r="AC530">
        <f>IF(ISBLANK('Data Entry'!]530), "", 'Data Entry'!]530)</f>
      </c>
      <c r="AD530">
        <f>IF(ISBLANK('Data Entry'!^530), "", 'Data Entry'!^530)</f>
      </c>
      <c r="AE530">
        <f>IF(ISBLANK('Data Entry'!_530), "", 'Data Entry'!_530)</f>
      </c>
      <c r="AF530">
        <f>IF(ISBLANK('Data Entry'!`530), "", 'Data Entry'!`530)</f>
      </c>
      <c r="AG530">
        <f>IF(ISBLANK('Data Entry'!a530), "", 'Data Entry'!a530)</f>
      </c>
      <c r="AH530">
        <f>IF(ISBLANK('Data Entry'!b530), "", 'Data Entry'!b530)</f>
      </c>
      <c r="AI530">
        <f>IF(ISBLANK('Data Entry'!c530), "", 'Data Entry'!c530)</f>
      </c>
      <c r="AJ530">
        <f>IF(ISBLANK('Data Entry'!d530), "", 'Data Entry'!d530)</f>
      </c>
      <c r="AK530">
        <f>IF(ISBLANK('Data Entry'!e530), "", 'Data Entry'!e530)</f>
      </c>
      <c r="AL530">
        <f>IF(ISBLANK('Data Entry'!f530), "", 'Data Entry'!f530)</f>
      </c>
      <c r="AM530">
        <f>IF(ISBLANK('Data Entry'!g530), "", 'Data Entry'!g530)</f>
      </c>
      <c r="AN530">
        <f>IF(ISBLANK('Data Entry'!h530), "", 'Data Entry'!h530)</f>
      </c>
    </row>
    <row r="531" spans="1:40" x14ac:dyDescent="0.25">
      <c r="A531">
        <f>IF(ISBLANK('Data Entry'!A531), "", 'Data Entry'!A531)</f>
      </c>
      <c r="B531">
        <f>IF(ISBLANK('Data Entry'!B531), "", 'Data Entry'!B531)</f>
      </c>
      <c r="C531">
        <f>IF(ISBLANK('Data Entry'!C531), "", 'Data Entry'!C531)</f>
      </c>
      <c r="D531">
        <f>IF(ISBLANK('Data Entry'!D531), "", 'Data Entry'!D531)</f>
      </c>
      <c r="E531">
        <f>IF(ISBLANK('Data Entry'!E531), "", 'Data Entry'!E531)</f>
      </c>
      <c r="F531">
        <f>IF(ISBLANK('Data Entry'!F531), "", 'Data Entry'!F531)</f>
      </c>
      <c r="G531">
        <f>IF(ISBLANK('Data Entry'!G531), "", 'Data Entry'!G531)</f>
      </c>
      <c r="H531">
        <f>IF(ISBLANK('Data Entry'!H531), "", 'Data Entry'!H531)</f>
      </c>
      <c r="I531">
        <f>IF(ISBLANK('Data Entry'!I531), "", 'Data Entry'!I531)</f>
      </c>
      <c r="J531">
        <f>IF(ISBLANK('Data Entry'!J531), "", 'Data Entry'!J531)</f>
      </c>
      <c r="K531">
        <f>IF(ISBLANK('Data Entry'!K531), "", 'Data Entry'!K531)</f>
      </c>
      <c r="L531">
        <f>IF(ISBLANK('Data Entry'!L531), "", 'Data Entry'!L531)</f>
      </c>
      <c r="M531">
        <f>IF(ISBLANK('Data Entry'!M531), "", 'Data Entry'!M531)</f>
      </c>
      <c r="N531">
        <f>IF(ISBLANK('Data Entry'!N531), "", 'Data Entry'!N531)</f>
      </c>
      <c r="O531">
        <f>IF(ISBLANK('Data Entry'!O531), "", 'Data Entry'!O531)</f>
      </c>
      <c r="P531">
        <f>IF(ISBLANK('Data Entry'!P531), "", 'Data Entry'!P531)</f>
      </c>
      <c r="Q531">
        <f>IF(ISBLANK('Data Entry'!Q531), "", 'Data Entry'!Q531)</f>
      </c>
      <c r="R531">
        <f>IF(ISBLANK('Data Entry'!R531), "", 'Data Entry'!R531)</f>
      </c>
      <c r="S531">
        <f>IF(ISBLANK('Data Entry'!S531), "", 'Data Entry'!S531)</f>
      </c>
      <c r="T531">
        <f>IF(ISBLANK('Data Entry'!T531), "", 'Data Entry'!T531)</f>
      </c>
      <c r="U531">
        <f>IF(ISBLANK('Data Entry'!U531), "", 'Data Entry'!U531)</f>
      </c>
      <c r="V531">
        <f>IF(ISBLANK('Data Entry'!V531), "", 'Data Entry'!V531)</f>
      </c>
      <c r="W531">
        <f>IF(ISBLANK('Data Entry'!W531), "", 'Data Entry'!W531)</f>
      </c>
      <c r="X531">
        <f>IF(ISBLANK('Data Entry'!X531), "", 'Data Entry'!X531)</f>
      </c>
      <c r="Y531">
        <f>IF(ISBLANK('Data Entry'!Y531), "", 'Data Entry'!Y531)</f>
      </c>
      <c r="Z531">
        <f>IF(ISBLANK('Data Entry'!Z531), "", 'Data Entry'!Z531)</f>
      </c>
      <c r="AA531">
        <f>IF(ISBLANK('Data Entry'![531), "", 'Data Entry'![531)</f>
      </c>
      <c r="AB531">
        <f>IF(ISBLANK('Data Entry'!\531), "", 'Data Entry'!\531)</f>
      </c>
      <c r="AC531">
        <f>IF(ISBLANK('Data Entry'!]531), "", 'Data Entry'!]531)</f>
      </c>
      <c r="AD531">
        <f>IF(ISBLANK('Data Entry'!^531), "", 'Data Entry'!^531)</f>
      </c>
      <c r="AE531">
        <f>IF(ISBLANK('Data Entry'!_531), "", 'Data Entry'!_531)</f>
      </c>
      <c r="AF531">
        <f>IF(ISBLANK('Data Entry'!`531), "", 'Data Entry'!`531)</f>
      </c>
      <c r="AG531">
        <f>IF(ISBLANK('Data Entry'!a531), "", 'Data Entry'!a531)</f>
      </c>
      <c r="AH531">
        <f>IF(ISBLANK('Data Entry'!b531), "", 'Data Entry'!b531)</f>
      </c>
      <c r="AI531">
        <f>IF(ISBLANK('Data Entry'!c531), "", 'Data Entry'!c531)</f>
      </c>
      <c r="AJ531">
        <f>IF(ISBLANK('Data Entry'!d531), "", 'Data Entry'!d531)</f>
      </c>
      <c r="AK531">
        <f>IF(ISBLANK('Data Entry'!e531), "", 'Data Entry'!e531)</f>
      </c>
      <c r="AL531">
        <f>IF(ISBLANK('Data Entry'!f531), "", 'Data Entry'!f531)</f>
      </c>
      <c r="AM531">
        <f>IF(ISBLANK('Data Entry'!g531), "", 'Data Entry'!g531)</f>
      </c>
      <c r="AN531">
        <f>IF(ISBLANK('Data Entry'!h531), "", 'Data Entry'!h531)</f>
      </c>
    </row>
    <row r="532" spans="1:40" x14ac:dyDescent="0.25">
      <c r="A532">
        <f>IF(ISBLANK('Data Entry'!A532), "", 'Data Entry'!A532)</f>
      </c>
      <c r="B532">
        <f>IF(ISBLANK('Data Entry'!B532), "", 'Data Entry'!B532)</f>
      </c>
      <c r="C532">
        <f>IF(ISBLANK('Data Entry'!C532), "", 'Data Entry'!C532)</f>
      </c>
      <c r="D532">
        <f>IF(ISBLANK('Data Entry'!D532), "", 'Data Entry'!D532)</f>
      </c>
      <c r="E532">
        <f>IF(ISBLANK('Data Entry'!E532), "", 'Data Entry'!E532)</f>
      </c>
      <c r="F532">
        <f>IF(ISBLANK('Data Entry'!F532), "", 'Data Entry'!F532)</f>
      </c>
      <c r="G532">
        <f>IF(ISBLANK('Data Entry'!G532), "", 'Data Entry'!G532)</f>
      </c>
      <c r="H532">
        <f>IF(ISBLANK('Data Entry'!H532), "", 'Data Entry'!H532)</f>
      </c>
      <c r="I532">
        <f>IF(ISBLANK('Data Entry'!I532), "", 'Data Entry'!I532)</f>
      </c>
      <c r="J532">
        <f>IF(ISBLANK('Data Entry'!J532), "", 'Data Entry'!J532)</f>
      </c>
      <c r="K532">
        <f>IF(ISBLANK('Data Entry'!K532), "", 'Data Entry'!K532)</f>
      </c>
      <c r="L532">
        <f>IF(ISBLANK('Data Entry'!L532), "", 'Data Entry'!L532)</f>
      </c>
      <c r="M532">
        <f>IF(ISBLANK('Data Entry'!M532), "", 'Data Entry'!M532)</f>
      </c>
      <c r="N532">
        <f>IF(ISBLANK('Data Entry'!N532), "", 'Data Entry'!N532)</f>
      </c>
      <c r="O532">
        <f>IF(ISBLANK('Data Entry'!O532), "", 'Data Entry'!O532)</f>
      </c>
      <c r="P532">
        <f>IF(ISBLANK('Data Entry'!P532), "", 'Data Entry'!P532)</f>
      </c>
      <c r="Q532">
        <f>IF(ISBLANK('Data Entry'!Q532), "", 'Data Entry'!Q532)</f>
      </c>
      <c r="R532">
        <f>IF(ISBLANK('Data Entry'!R532), "", 'Data Entry'!R532)</f>
      </c>
      <c r="S532">
        <f>IF(ISBLANK('Data Entry'!S532), "", 'Data Entry'!S532)</f>
      </c>
      <c r="T532">
        <f>IF(ISBLANK('Data Entry'!T532), "", 'Data Entry'!T532)</f>
      </c>
      <c r="U532">
        <f>IF(ISBLANK('Data Entry'!U532), "", 'Data Entry'!U532)</f>
      </c>
      <c r="V532">
        <f>IF(ISBLANK('Data Entry'!V532), "", 'Data Entry'!V532)</f>
      </c>
      <c r="W532">
        <f>IF(ISBLANK('Data Entry'!W532), "", 'Data Entry'!W532)</f>
      </c>
      <c r="X532">
        <f>IF(ISBLANK('Data Entry'!X532), "", 'Data Entry'!X532)</f>
      </c>
      <c r="Y532">
        <f>IF(ISBLANK('Data Entry'!Y532), "", 'Data Entry'!Y532)</f>
      </c>
      <c r="Z532">
        <f>IF(ISBLANK('Data Entry'!Z532), "", 'Data Entry'!Z532)</f>
      </c>
      <c r="AA532">
        <f>IF(ISBLANK('Data Entry'![532), "", 'Data Entry'![532)</f>
      </c>
      <c r="AB532">
        <f>IF(ISBLANK('Data Entry'!\532), "", 'Data Entry'!\532)</f>
      </c>
      <c r="AC532">
        <f>IF(ISBLANK('Data Entry'!]532), "", 'Data Entry'!]532)</f>
      </c>
      <c r="AD532">
        <f>IF(ISBLANK('Data Entry'!^532), "", 'Data Entry'!^532)</f>
      </c>
      <c r="AE532">
        <f>IF(ISBLANK('Data Entry'!_532), "", 'Data Entry'!_532)</f>
      </c>
      <c r="AF532">
        <f>IF(ISBLANK('Data Entry'!`532), "", 'Data Entry'!`532)</f>
      </c>
      <c r="AG532">
        <f>IF(ISBLANK('Data Entry'!a532), "", 'Data Entry'!a532)</f>
      </c>
      <c r="AH532">
        <f>IF(ISBLANK('Data Entry'!b532), "", 'Data Entry'!b532)</f>
      </c>
      <c r="AI532">
        <f>IF(ISBLANK('Data Entry'!c532), "", 'Data Entry'!c532)</f>
      </c>
      <c r="AJ532">
        <f>IF(ISBLANK('Data Entry'!d532), "", 'Data Entry'!d532)</f>
      </c>
      <c r="AK532">
        <f>IF(ISBLANK('Data Entry'!e532), "", 'Data Entry'!e532)</f>
      </c>
      <c r="AL532">
        <f>IF(ISBLANK('Data Entry'!f532), "", 'Data Entry'!f532)</f>
      </c>
      <c r="AM532">
        <f>IF(ISBLANK('Data Entry'!g532), "", 'Data Entry'!g532)</f>
      </c>
      <c r="AN532">
        <f>IF(ISBLANK('Data Entry'!h532), "", 'Data Entry'!h532)</f>
      </c>
    </row>
    <row r="533" spans="1:40" x14ac:dyDescent="0.25">
      <c r="A533">
        <f>IF(ISBLANK('Data Entry'!A533), "", 'Data Entry'!A533)</f>
      </c>
      <c r="B533">
        <f>IF(ISBLANK('Data Entry'!B533), "", 'Data Entry'!B533)</f>
      </c>
      <c r="C533">
        <f>IF(ISBLANK('Data Entry'!C533), "", 'Data Entry'!C533)</f>
      </c>
      <c r="D533">
        <f>IF(ISBLANK('Data Entry'!D533), "", 'Data Entry'!D533)</f>
      </c>
      <c r="E533">
        <f>IF(ISBLANK('Data Entry'!E533), "", 'Data Entry'!E533)</f>
      </c>
      <c r="F533">
        <f>IF(ISBLANK('Data Entry'!F533), "", 'Data Entry'!F533)</f>
      </c>
      <c r="G533">
        <f>IF(ISBLANK('Data Entry'!G533), "", 'Data Entry'!G533)</f>
      </c>
      <c r="H533">
        <f>IF(ISBLANK('Data Entry'!H533), "", 'Data Entry'!H533)</f>
      </c>
      <c r="I533">
        <f>IF(ISBLANK('Data Entry'!I533), "", 'Data Entry'!I533)</f>
      </c>
      <c r="J533">
        <f>IF(ISBLANK('Data Entry'!J533), "", 'Data Entry'!J533)</f>
      </c>
      <c r="K533">
        <f>IF(ISBLANK('Data Entry'!K533), "", 'Data Entry'!K533)</f>
      </c>
      <c r="L533">
        <f>IF(ISBLANK('Data Entry'!L533), "", 'Data Entry'!L533)</f>
      </c>
      <c r="M533">
        <f>IF(ISBLANK('Data Entry'!M533), "", 'Data Entry'!M533)</f>
      </c>
      <c r="N533">
        <f>IF(ISBLANK('Data Entry'!N533), "", 'Data Entry'!N533)</f>
      </c>
      <c r="O533">
        <f>IF(ISBLANK('Data Entry'!O533), "", 'Data Entry'!O533)</f>
      </c>
      <c r="P533">
        <f>IF(ISBLANK('Data Entry'!P533), "", 'Data Entry'!P533)</f>
      </c>
      <c r="Q533">
        <f>IF(ISBLANK('Data Entry'!Q533), "", 'Data Entry'!Q533)</f>
      </c>
      <c r="R533">
        <f>IF(ISBLANK('Data Entry'!R533), "", 'Data Entry'!R533)</f>
      </c>
      <c r="S533">
        <f>IF(ISBLANK('Data Entry'!S533), "", 'Data Entry'!S533)</f>
      </c>
      <c r="T533">
        <f>IF(ISBLANK('Data Entry'!T533), "", 'Data Entry'!T533)</f>
      </c>
      <c r="U533">
        <f>IF(ISBLANK('Data Entry'!U533), "", 'Data Entry'!U533)</f>
      </c>
      <c r="V533">
        <f>IF(ISBLANK('Data Entry'!V533), "", 'Data Entry'!V533)</f>
      </c>
      <c r="W533">
        <f>IF(ISBLANK('Data Entry'!W533), "", 'Data Entry'!W533)</f>
      </c>
      <c r="X533">
        <f>IF(ISBLANK('Data Entry'!X533), "", 'Data Entry'!X533)</f>
      </c>
      <c r="Y533">
        <f>IF(ISBLANK('Data Entry'!Y533), "", 'Data Entry'!Y533)</f>
      </c>
      <c r="Z533">
        <f>IF(ISBLANK('Data Entry'!Z533), "", 'Data Entry'!Z533)</f>
      </c>
      <c r="AA533">
        <f>IF(ISBLANK('Data Entry'![533), "", 'Data Entry'![533)</f>
      </c>
      <c r="AB533">
        <f>IF(ISBLANK('Data Entry'!\533), "", 'Data Entry'!\533)</f>
      </c>
      <c r="AC533">
        <f>IF(ISBLANK('Data Entry'!]533), "", 'Data Entry'!]533)</f>
      </c>
      <c r="AD533">
        <f>IF(ISBLANK('Data Entry'!^533), "", 'Data Entry'!^533)</f>
      </c>
      <c r="AE533">
        <f>IF(ISBLANK('Data Entry'!_533), "", 'Data Entry'!_533)</f>
      </c>
      <c r="AF533">
        <f>IF(ISBLANK('Data Entry'!`533), "", 'Data Entry'!`533)</f>
      </c>
      <c r="AG533">
        <f>IF(ISBLANK('Data Entry'!a533), "", 'Data Entry'!a533)</f>
      </c>
      <c r="AH533">
        <f>IF(ISBLANK('Data Entry'!b533), "", 'Data Entry'!b533)</f>
      </c>
      <c r="AI533">
        <f>IF(ISBLANK('Data Entry'!c533), "", 'Data Entry'!c533)</f>
      </c>
      <c r="AJ533">
        <f>IF(ISBLANK('Data Entry'!d533), "", 'Data Entry'!d533)</f>
      </c>
      <c r="AK533">
        <f>IF(ISBLANK('Data Entry'!e533), "", 'Data Entry'!e533)</f>
      </c>
      <c r="AL533">
        <f>IF(ISBLANK('Data Entry'!f533), "", 'Data Entry'!f533)</f>
      </c>
      <c r="AM533">
        <f>IF(ISBLANK('Data Entry'!g533), "", 'Data Entry'!g533)</f>
      </c>
      <c r="AN533">
        <f>IF(ISBLANK('Data Entry'!h533), "", 'Data Entry'!h533)</f>
      </c>
    </row>
    <row r="534" spans="1:40" x14ac:dyDescent="0.25">
      <c r="A534">
        <f>IF(ISBLANK('Data Entry'!A534), "", 'Data Entry'!A534)</f>
      </c>
      <c r="B534">
        <f>IF(ISBLANK('Data Entry'!B534), "", 'Data Entry'!B534)</f>
      </c>
      <c r="C534">
        <f>IF(ISBLANK('Data Entry'!C534), "", 'Data Entry'!C534)</f>
      </c>
      <c r="D534">
        <f>IF(ISBLANK('Data Entry'!D534), "", 'Data Entry'!D534)</f>
      </c>
      <c r="E534">
        <f>IF(ISBLANK('Data Entry'!E534), "", 'Data Entry'!E534)</f>
      </c>
      <c r="F534">
        <f>IF(ISBLANK('Data Entry'!F534), "", 'Data Entry'!F534)</f>
      </c>
      <c r="G534">
        <f>IF(ISBLANK('Data Entry'!G534), "", 'Data Entry'!G534)</f>
      </c>
      <c r="H534">
        <f>IF(ISBLANK('Data Entry'!H534), "", 'Data Entry'!H534)</f>
      </c>
      <c r="I534">
        <f>IF(ISBLANK('Data Entry'!I534), "", 'Data Entry'!I534)</f>
      </c>
      <c r="J534">
        <f>IF(ISBLANK('Data Entry'!J534), "", 'Data Entry'!J534)</f>
      </c>
      <c r="K534">
        <f>IF(ISBLANK('Data Entry'!K534), "", 'Data Entry'!K534)</f>
      </c>
      <c r="L534">
        <f>IF(ISBLANK('Data Entry'!L534), "", 'Data Entry'!L534)</f>
      </c>
      <c r="M534">
        <f>IF(ISBLANK('Data Entry'!M534), "", 'Data Entry'!M534)</f>
      </c>
      <c r="N534">
        <f>IF(ISBLANK('Data Entry'!N534), "", 'Data Entry'!N534)</f>
      </c>
      <c r="O534">
        <f>IF(ISBLANK('Data Entry'!O534), "", 'Data Entry'!O534)</f>
      </c>
      <c r="P534">
        <f>IF(ISBLANK('Data Entry'!P534), "", 'Data Entry'!P534)</f>
      </c>
      <c r="Q534">
        <f>IF(ISBLANK('Data Entry'!Q534), "", 'Data Entry'!Q534)</f>
      </c>
      <c r="R534">
        <f>IF(ISBLANK('Data Entry'!R534), "", 'Data Entry'!R534)</f>
      </c>
      <c r="S534">
        <f>IF(ISBLANK('Data Entry'!S534), "", 'Data Entry'!S534)</f>
      </c>
      <c r="T534">
        <f>IF(ISBLANK('Data Entry'!T534), "", 'Data Entry'!T534)</f>
      </c>
      <c r="U534">
        <f>IF(ISBLANK('Data Entry'!U534), "", 'Data Entry'!U534)</f>
      </c>
      <c r="V534">
        <f>IF(ISBLANK('Data Entry'!V534), "", 'Data Entry'!V534)</f>
      </c>
      <c r="W534">
        <f>IF(ISBLANK('Data Entry'!W534), "", 'Data Entry'!W534)</f>
      </c>
      <c r="X534">
        <f>IF(ISBLANK('Data Entry'!X534), "", 'Data Entry'!X534)</f>
      </c>
      <c r="Y534">
        <f>IF(ISBLANK('Data Entry'!Y534), "", 'Data Entry'!Y534)</f>
      </c>
      <c r="Z534">
        <f>IF(ISBLANK('Data Entry'!Z534), "", 'Data Entry'!Z534)</f>
      </c>
      <c r="AA534">
        <f>IF(ISBLANK('Data Entry'![534), "", 'Data Entry'![534)</f>
      </c>
      <c r="AB534">
        <f>IF(ISBLANK('Data Entry'!\534), "", 'Data Entry'!\534)</f>
      </c>
      <c r="AC534">
        <f>IF(ISBLANK('Data Entry'!]534), "", 'Data Entry'!]534)</f>
      </c>
      <c r="AD534">
        <f>IF(ISBLANK('Data Entry'!^534), "", 'Data Entry'!^534)</f>
      </c>
      <c r="AE534">
        <f>IF(ISBLANK('Data Entry'!_534), "", 'Data Entry'!_534)</f>
      </c>
      <c r="AF534">
        <f>IF(ISBLANK('Data Entry'!`534), "", 'Data Entry'!`534)</f>
      </c>
      <c r="AG534">
        <f>IF(ISBLANK('Data Entry'!a534), "", 'Data Entry'!a534)</f>
      </c>
      <c r="AH534">
        <f>IF(ISBLANK('Data Entry'!b534), "", 'Data Entry'!b534)</f>
      </c>
      <c r="AI534">
        <f>IF(ISBLANK('Data Entry'!c534), "", 'Data Entry'!c534)</f>
      </c>
      <c r="AJ534">
        <f>IF(ISBLANK('Data Entry'!d534), "", 'Data Entry'!d534)</f>
      </c>
      <c r="AK534">
        <f>IF(ISBLANK('Data Entry'!e534), "", 'Data Entry'!e534)</f>
      </c>
      <c r="AL534">
        <f>IF(ISBLANK('Data Entry'!f534), "", 'Data Entry'!f534)</f>
      </c>
      <c r="AM534">
        <f>IF(ISBLANK('Data Entry'!g534), "", 'Data Entry'!g534)</f>
      </c>
      <c r="AN534">
        <f>IF(ISBLANK('Data Entry'!h534), "", 'Data Entry'!h534)</f>
      </c>
    </row>
    <row r="535" spans="1:40" x14ac:dyDescent="0.25">
      <c r="A535">
        <f>IF(ISBLANK('Data Entry'!A535), "", 'Data Entry'!A535)</f>
      </c>
      <c r="B535">
        <f>IF(ISBLANK('Data Entry'!B535), "", 'Data Entry'!B535)</f>
      </c>
      <c r="C535">
        <f>IF(ISBLANK('Data Entry'!C535), "", 'Data Entry'!C535)</f>
      </c>
      <c r="D535">
        <f>IF(ISBLANK('Data Entry'!D535), "", 'Data Entry'!D535)</f>
      </c>
      <c r="E535">
        <f>IF(ISBLANK('Data Entry'!E535), "", 'Data Entry'!E535)</f>
      </c>
      <c r="F535">
        <f>IF(ISBLANK('Data Entry'!F535), "", 'Data Entry'!F535)</f>
      </c>
      <c r="G535">
        <f>IF(ISBLANK('Data Entry'!G535), "", 'Data Entry'!G535)</f>
      </c>
      <c r="H535">
        <f>IF(ISBLANK('Data Entry'!H535), "", 'Data Entry'!H535)</f>
      </c>
      <c r="I535">
        <f>IF(ISBLANK('Data Entry'!I535), "", 'Data Entry'!I535)</f>
      </c>
      <c r="J535">
        <f>IF(ISBLANK('Data Entry'!J535), "", 'Data Entry'!J535)</f>
      </c>
      <c r="K535">
        <f>IF(ISBLANK('Data Entry'!K535), "", 'Data Entry'!K535)</f>
      </c>
      <c r="L535">
        <f>IF(ISBLANK('Data Entry'!L535), "", 'Data Entry'!L535)</f>
      </c>
      <c r="M535">
        <f>IF(ISBLANK('Data Entry'!M535), "", 'Data Entry'!M535)</f>
      </c>
      <c r="N535">
        <f>IF(ISBLANK('Data Entry'!N535), "", 'Data Entry'!N535)</f>
      </c>
      <c r="O535">
        <f>IF(ISBLANK('Data Entry'!O535), "", 'Data Entry'!O535)</f>
      </c>
      <c r="P535">
        <f>IF(ISBLANK('Data Entry'!P535), "", 'Data Entry'!P535)</f>
      </c>
      <c r="Q535">
        <f>IF(ISBLANK('Data Entry'!Q535), "", 'Data Entry'!Q535)</f>
      </c>
      <c r="R535">
        <f>IF(ISBLANK('Data Entry'!R535), "", 'Data Entry'!R535)</f>
      </c>
      <c r="S535">
        <f>IF(ISBLANK('Data Entry'!S535), "", 'Data Entry'!S535)</f>
      </c>
      <c r="T535">
        <f>IF(ISBLANK('Data Entry'!T535), "", 'Data Entry'!T535)</f>
      </c>
      <c r="U535">
        <f>IF(ISBLANK('Data Entry'!U535), "", 'Data Entry'!U535)</f>
      </c>
      <c r="V535">
        <f>IF(ISBLANK('Data Entry'!V535), "", 'Data Entry'!V535)</f>
      </c>
      <c r="W535">
        <f>IF(ISBLANK('Data Entry'!W535), "", 'Data Entry'!W535)</f>
      </c>
      <c r="X535">
        <f>IF(ISBLANK('Data Entry'!X535), "", 'Data Entry'!X535)</f>
      </c>
      <c r="Y535">
        <f>IF(ISBLANK('Data Entry'!Y535), "", 'Data Entry'!Y535)</f>
      </c>
      <c r="Z535">
        <f>IF(ISBLANK('Data Entry'!Z535), "", 'Data Entry'!Z535)</f>
      </c>
      <c r="AA535">
        <f>IF(ISBLANK('Data Entry'![535), "", 'Data Entry'![535)</f>
      </c>
      <c r="AB535">
        <f>IF(ISBLANK('Data Entry'!\535), "", 'Data Entry'!\535)</f>
      </c>
      <c r="AC535">
        <f>IF(ISBLANK('Data Entry'!]535), "", 'Data Entry'!]535)</f>
      </c>
      <c r="AD535">
        <f>IF(ISBLANK('Data Entry'!^535), "", 'Data Entry'!^535)</f>
      </c>
      <c r="AE535">
        <f>IF(ISBLANK('Data Entry'!_535), "", 'Data Entry'!_535)</f>
      </c>
      <c r="AF535">
        <f>IF(ISBLANK('Data Entry'!`535), "", 'Data Entry'!`535)</f>
      </c>
      <c r="AG535">
        <f>IF(ISBLANK('Data Entry'!a535), "", 'Data Entry'!a535)</f>
      </c>
      <c r="AH535">
        <f>IF(ISBLANK('Data Entry'!b535), "", 'Data Entry'!b535)</f>
      </c>
      <c r="AI535">
        <f>IF(ISBLANK('Data Entry'!c535), "", 'Data Entry'!c535)</f>
      </c>
      <c r="AJ535">
        <f>IF(ISBLANK('Data Entry'!d535), "", 'Data Entry'!d535)</f>
      </c>
      <c r="AK535">
        <f>IF(ISBLANK('Data Entry'!e535), "", 'Data Entry'!e535)</f>
      </c>
      <c r="AL535">
        <f>IF(ISBLANK('Data Entry'!f535), "", 'Data Entry'!f535)</f>
      </c>
      <c r="AM535">
        <f>IF(ISBLANK('Data Entry'!g535), "", 'Data Entry'!g535)</f>
      </c>
      <c r="AN535">
        <f>IF(ISBLANK('Data Entry'!h535), "", 'Data Entry'!h535)</f>
      </c>
    </row>
    <row r="536" spans="1:40" x14ac:dyDescent="0.25">
      <c r="A536">
        <f>IF(ISBLANK('Data Entry'!A536), "", 'Data Entry'!A536)</f>
      </c>
      <c r="B536">
        <f>IF(ISBLANK('Data Entry'!B536), "", 'Data Entry'!B536)</f>
      </c>
      <c r="C536">
        <f>IF(ISBLANK('Data Entry'!C536), "", 'Data Entry'!C536)</f>
      </c>
      <c r="D536">
        <f>IF(ISBLANK('Data Entry'!D536), "", 'Data Entry'!D536)</f>
      </c>
      <c r="E536">
        <f>IF(ISBLANK('Data Entry'!E536), "", 'Data Entry'!E536)</f>
      </c>
      <c r="F536">
        <f>IF(ISBLANK('Data Entry'!F536), "", 'Data Entry'!F536)</f>
      </c>
      <c r="G536">
        <f>IF(ISBLANK('Data Entry'!G536), "", 'Data Entry'!G536)</f>
      </c>
      <c r="H536">
        <f>IF(ISBLANK('Data Entry'!H536), "", 'Data Entry'!H536)</f>
      </c>
      <c r="I536">
        <f>IF(ISBLANK('Data Entry'!I536), "", 'Data Entry'!I536)</f>
      </c>
      <c r="J536">
        <f>IF(ISBLANK('Data Entry'!J536), "", 'Data Entry'!J536)</f>
      </c>
      <c r="K536">
        <f>IF(ISBLANK('Data Entry'!K536), "", 'Data Entry'!K536)</f>
      </c>
      <c r="L536">
        <f>IF(ISBLANK('Data Entry'!L536), "", 'Data Entry'!L536)</f>
      </c>
      <c r="M536">
        <f>IF(ISBLANK('Data Entry'!M536), "", 'Data Entry'!M536)</f>
      </c>
      <c r="N536">
        <f>IF(ISBLANK('Data Entry'!N536), "", 'Data Entry'!N536)</f>
      </c>
      <c r="O536">
        <f>IF(ISBLANK('Data Entry'!O536), "", 'Data Entry'!O536)</f>
      </c>
      <c r="P536">
        <f>IF(ISBLANK('Data Entry'!P536), "", 'Data Entry'!P536)</f>
      </c>
      <c r="Q536">
        <f>IF(ISBLANK('Data Entry'!Q536), "", 'Data Entry'!Q536)</f>
      </c>
      <c r="R536">
        <f>IF(ISBLANK('Data Entry'!R536), "", 'Data Entry'!R536)</f>
      </c>
      <c r="S536">
        <f>IF(ISBLANK('Data Entry'!S536), "", 'Data Entry'!S536)</f>
      </c>
      <c r="T536">
        <f>IF(ISBLANK('Data Entry'!T536), "", 'Data Entry'!T536)</f>
      </c>
      <c r="U536">
        <f>IF(ISBLANK('Data Entry'!U536), "", 'Data Entry'!U536)</f>
      </c>
      <c r="V536">
        <f>IF(ISBLANK('Data Entry'!V536), "", 'Data Entry'!V536)</f>
      </c>
      <c r="W536">
        <f>IF(ISBLANK('Data Entry'!W536), "", 'Data Entry'!W536)</f>
      </c>
      <c r="X536">
        <f>IF(ISBLANK('Data Entry'!X536), "", 'Data Entry'!X536)</f>
      </c>
      <c r="Y536">
        <f>IF(ISBLANK('Data Entry'!Y536), "", 'Data Entry'!Y536)</f>
      </c>
      <c r="Z536">
        <f>IF(ISBLANK('Data Entry'!Z536), "", 'Data Entry'!Z536)</f>
      </c>
      <c r="AA536">
        <f>IF(ISBLANK('Data Entry'![536), "", 'Data Entry'![536)</f>
      </c>
      <c r="AB536">
        <f>IF(ISBLANK('Data Entry'!\536), "", 'Data Entry'!\536)</f>
      </c>
      <c r="AC536">
        <f>IF(ISBLANK('Data Entry'!]536), "", 'Data Entry'!]536)</f>
      </c>
      <c r="AD536">
        <f>IF(ISBLANK('Data Entry'!^536), "", 'Data Entry'!^536)</f>
      </c>
      <c r="AE536">
        <f>IF(ISBLANK('Data Entry'!_536), "", 'Data Entry'!_536)</f>
      </c>
      <c r="AF536">
        <f>IF(ISBLANK('Data Entry'!`536), "", 'Data Entry'!`536)</f>
      </c>
      <c r="AG536">
        <f>IF(ISBLANK('Data Entry'!a536), "", 'Data Entry'!a536)</f>
      </c>
      <c r="AH536">
        <f>IF(ISBLANK('Data Entry'!b536), "", 'Data Entry'!b536)</f>
      </c>
      <c r="AI536">
        <f>IF(ISBLANK('Data Entry'!c536), "", 'Data Entry'!c536)</f>
      </c>
      <c r="AJ536">
        <f>IF(ISBLANK('Data Entry'!d536), "", 'Data Entry'!d536)</f>
      </c>
      <c r="AK536">
        <f>IF(ISBLANK('Data Entry'!e536), "", 'Data Entry'!e536)</f>
      </c>
      <c r="AL536">
        <f>IF(ISBLANK('Data Entry'!f536), "", 'Data Entry'!f536)</f>
      </c>
      <c r="AM536">
        <f>IF(ISBLANK('Data Entry'!g536), "", 'Data Entry'!g536)</f>
      </c>
      <c r="AN536">
        <f>IF(ISBLANK('Data Entry'!h536), "", 'Data Entry'!h536)</f>
      </c>
    </row>
    <row r="537" spans="1:40" x14ac:dyDescent="0.25">
      <c r="A537">
        <f>IF(ISBLANK('Data Entry'!A537), "", 'Data Entry'!A537)</f>
      </c>
      <c r="B537">
        <f>IF(ISBLANK('Data Entry'!B537), "", 'Data Entry'!B537)</f>
      </c>
      <c r="C537">
        <f>IF(ISBLANK('Data Entry'!C537), "", 'Data Entry'!C537)</f>
      </c>
      <c r="D537">
        <f>IF(ISBLANK('Data Entry'!D537), "", 'Data Entry'!D537)</f>
      </c>
      <c r="E537">
        <f>IF(ISBLANK('Data Entry'!E537), "", 'Data Entry'!E537)</f>
      </c>
      <c r="F537">
        <f>IF(ISBLANK('Data Entry'!F537), "", 'Data Entry'!F537)</f>
      </c>
      <c r="G537">
        <f>IF(ISBLANK('Data Entry'!G537), "", 'Data Entry'!G537)</f>
      </c>
      <c r="H537">
        <f>IF(ISBLANK('Data Entry'!H537), "", 'Data Entry'!H537)</f>
      </c>
      <c r="I537">
        <f>IF(ISBLANK('Data Entry'!I537), "", 'Data Entry'!I537)</f>
      </c>
      <c r="J537">
        <f>IF(ISBLANK('Data Entry'!J537), "", 'Data Entry'!J537)</f>
      </c>
      <c r="K537">
        <f>IF(ISBLANK('Data Entry'!K537), "", 'Data Entry'!K537)</f>
      </c>
      <c r="L537">
        <f>IF(ISBLANK('Data Entry'!L537), "", 'Data Entry'!L537)</f>
      </c>
      <c r="M537">
        <f>IF(ISBLANK('Data Entry'!M537), "", 'Data Entry'!M537)</f>
      </c>
      <c r="N537">
        <f>IF(ISBLANK('Data Entry'!N537), "", 'Data Entry'!N537)</f>
      </c>
      <c r="O537">
        <f>IF(ISBLANK('Data Entry'!O537), "", 'Data Entry'!O537)</f>
      </c>
      <c r="P537">
        <f>IF(ISBLANK('Data Entry'!P537), "", 'Data Entry'!P537)</f>
      </c>
      <c r="Q537">
        <f>IF(ISBLANK('Data Entry'!Q537), "", 'Data Entry'!Q537)</f>
      </c>
      <c r="R537">
        <f>IF(ISBLANK('Data Entry'!R537), "", 'Data Entry'!R537)</f>
      </c>
      <c r="S537">
        <f>IF(ISBLANK('Data Entry'!S537), "", 'Data Entry'!S537)</f>
      </c>
      <c r="T537">
        <f>IF(ISBLANK('Data Entry'!T537), "", 'Data Entry'!T537)</f>
      </c>
      <c r="U537">
        <f>IF(ISBLANK('Data Entry'!U537), "", 'Data Entry'!U537)</f>
      </c>
      <c r="V537">
        <f>IF(ISBLANK('Data Entry'!V537), "", 'Data Entry'!V537)</f>
      </c>
      <c r="W537">
        <f>IF(ISBLANK('Data Entry'!W537), "", 'Data Entry'!W537)</f>
      </c>
      <c r="X537">
        <f>IF(ISBLANK('Data Entry'!X537), "", 'Data Entry'!X537)</f>
      </c>
      <c r="Y537">
        <f>IF(ISBLANK('Data Entry'!Y537), "", 'Data Entry'!Y537)</f>
      </c>
      <c r="Z537">
        <f>IF(ISBLANK('Data Entry'!Z537), "", 'Data Entry'!Z537)</f>
      </c>
      <c r="AA537">
        <f>IF(ISBLANK('Data Entry'![537), "", 'Data Entry'![537)</f>
      </c>
      <c r="AB537">
        <f>IF(ISBLANK('Data Entry'!\537), "", 'Data Entry'!\537)</f>
      </c>
      <c r="AC537">
        <f>IF(ISBLANK('Data Entry'!]537), "", 'Data Entry'!]537)</f>
      </c>
      <c r="AD537">
        <f>IF(ISBLANK('Data Entry'!^537), "", 'Data Entry'!^537)</f>
      </c>
      <c r="AE537">
        <f>IF(ISBLANK('Data Entry'!_537), "", 'Data Entry'!_537)</f>
      </c>
      <c r="AF537">
        <f>IF(ISBLANK('Data Entry'!`537), "", 'Data Entry'!`537)</f>
      </c>
      <c r="AG537">
        <f>IF(ISBLANK('Data Entry'!a537), "", 'Data Entry'!a537)</f>
      </c>
      <c r="AH537">
        <f>IF(ISBLANK('Data Entry'!b537), "", 'Data Entry'!b537)</f>
      </c>
      <c r="AI537">
        <f>IF(ISBLANK('Data Entry'!c537), "", 'Data Entry'!c537)</f>
      </c>
      <c r="AJ537">
        <f>IF(ISBLANK('Data Entry'!d537), "", 'Data Entry'!d537)</f>
      </c>
      <c r="AK537">
        <f>IF(ISBLANK('Data Entry'!e537), "", 'Data Entry'!e537)</f>
      </c>
      <c r="AL537">
        <f>IF(ISBLANK('Data Entry'!f537), "", 'Data Entry'!f537)</f>
      </c>
      <c r="AM537">
        <f>IF(ISBLANK('Data Entry'!g537), "", 'Data Entry'!g537)</f>
      </c>
      <c r="AN537">
        <f>IF(ISBLANK('Data Entry'!h537), "", 'Data Entry'!h537)</f>
      </c>
    </row>
    <row r="538" spans="1:40" x14ac:dyDescent="0.25">
      <c r="A538">
        <f>IF(ISBLANK('Data Entry'!A538), "", 'Data Entry'!A538)</f>
      </c>
      <c r="B538">
        <f>IF(ISBLANK('Data Entry'!B538), "", 'Data Entry'!B538)</f>
      </c>
      <c r="C538">
        <f>IF(ISBLANK('Data Entry'!C538), "", 'Data Entry'!C538)</f>
      </c>
      <c r="D538">
        <f>IF(ISBLANK('Data Entry'!D538), "", 'Data Entry'!D538)</f>
      </c>
      <c r="E538">
        <f>IF(ISBLANK('Data Entry'!E538), "", 'Data Entry'!E538)</f>
      </c>
      <c r="F538">
        <f>IF(ISBLANK('Data Entry'!F538), "", 'Data Entry'!F538)</f>
      </c>
      <c r="G538">
        <f>IF(ISBLANK('Data Entry'!G538), "", 'Data Entry'!G538)</f>
      </c>
      <c r="H538">
        <f>IF(ISBLANK('Data Entry'!H538), "", 'Data Entry'!H538)</f>
      </c>
      <c r="I538">
        <f>IF(ISBLANK('Data Entry'!I538), "", 'Data Entry'!I538)</f>
      </c>
      <c r="J538">
        <f>IF(ISBLANK('Data Entry'!J538), "", 'Data Entry'!J538)</f>
      </c>
      <c r="K538">
        <f>IF(ISBLANK('Data Entry'!K538), "", 'Data Entry'!K538)</f>
      </c>
      <c r="L538">
        <f>IF(ISBLANK('Data Entry'!L538), "", 'Data Entry'!L538)</f>
      </c>
      <c r="M538">
        <f>IF(ISBLANK('Data Entry'!M538), "", 'Data Entry'!M538)</f>
      </c>
      <c r="N538">
        <f>IF(ISBLANK('Data Entry'!N538), "", 'Data Entry'!N538)</f>
      </c>
      <c r="O538">
        <f>IF(ISBLANK('Data Entry'!O538), "", 'Data Entry'!O538)</f>
      </c>
      <c r="P538">
        <f>IF(ISBLANK('Data Entry'!P538), "", 'Data Entry'!P538)</f>
      </c>
      <c r="Q538">
        <f>IF(ISBLANK('Data Entry'!Q538), "", 'Data Entry'!Q538)</f>
      </c>
      <c r="R538">
        <f>IF(ISBLANK('Data Entry'!R538), "", 'Data Entry'!R538)</f>
      </c>
      <c r="S538">
        <f>IF(ISBLANK('Data Entry'!S538), "", 'Data Entry'!S538)</f>
      </c>
      <c r="T538">
        <f>IF(ISBLANK('Data Entry'!T538), "", 'Data Entry'!T538)</f>
      </c>
      <c r="U538">
        <f>IF(ISBLANK('Data Entry'!U538), "", 'Data Entry'!U538)</f>
      </c>
      <c r="V538">
        <f>IF(ISBLANK('Data Entry'!V538), "", 'Data Entry'!V538)</f>
      </c>
      <c r="W538">
        <f>IF(ISBLANK('Data Entry'!W538), "", 'Data Entry'!W538)</f>
      </c>
      <c r="X538">
        <f>IF(ISBLANK('Data Entry'!X538), "", 'Data Entry'!X538)</f>
      </c>
      <c r="Y538">
        <f>IF(ISBLANK('Data Entry'!Y538), "", 'Data Entry'!Y538)</f>
      </c>
      <c r="Z538">
        <f>IF(ISBLANK('Data Entry'!Z538), "", 'Data Entry'!Z538)</f>
      </c>
      <c r="AA538">
        <f>IF(ISBLANK('Data Entry'![538), "", 'Data Entry'![538)</f>
      </c>
      <c r="AB538">
        <f>IF(ISBLANK('Data Entry'!\538), "", 'Data Entry'!\538)</f>
      </c>
      <c r="AC538">
        <f>IF(ISBLANK('Data Entry'!]538), "", 'Data Entry'!]538)</f>
      </c>
      <c r="AD538">
        <f>IF(ISBLANK('Data Entry'!^538), "", 'Data Entry'!^538)</f>
      </c>
      <c r="AE538">
        <f>IF(ISBLANK('Data Entry'!_538), "", 'Data Entry'!_538)</f>
      </c>
      <c r="AF538">
        <f>IF(ISBLANK('Data Entry'!`538), "", 'Data Entry'!`538)</f>
      </c>
      <c r="AG538">
        <f>IF(ISBLANK('Data Entry'!a538), "", 'Data Entry'!a538)</f>
      </c>
      <c r="AH538">
        <f>IF(ISBLANK('Data Entry'!b538), "", 'Data Entry'!b538)</f>
      </c>
      <c r="AI538">
        <f>IF(ISBLANK('Data Entry'!c538), "", 'Data Entry'!c538)</f>
      </c>
      <c r="AJ538">
        <f>IF(ISBLANK('Data Entry'!d538), "", 'Data Entry'!d538)</f>
      </c>
      <c r="AK538">
        <f>IF(ISBLANK('Data Entry'!e538), "", 'Data Entry'!e538)</f>
      </c>
      <c r="AL538">
        <f>IF(ISBLANK('Data Entry'!f538), "", 'Data Entry'!f538)</f>
      </c>
      <c r="AM538">
        <f>IF(ISBLANK('Data Entry'!g538), "", 'Data Entry'!g538)</f>
      </c>
      <c r="AN538">
        <f>IF(ISBLANK('Data Entry'!h538), "", 'Data Entry'!h538)</f>
      </c>
    </row>
    <row r="539" spans="1:40" x14ac:dyDescent="0.25">
      <c r="A539">
        <f>IF(ISBLANK('Data Entry'!A539), "", 'Data Entry'!A539)</f>
      </c>
      <c r="B539">
        <f>IF(ISBLANK('Data Entry'!B539), "", 'Data Entry'!B539)</f>
      </c>
      <c r="C539">
        <f>IF(ISBLANK('Data Entry'!C539), "", 'Data Entry'!C539)</f>
      </c>
      <c r="D539">
        <f>IF(ISBLANK('Data Entry'!D539), "", 'Data Entry'!D539)</f>
      </c>
      <c r="E539">
        <f>IF(ISBLANK('Data Entry'!E539), "", 'Data Entry'!E539)</f>
      </c>
      <c r="F539">
        <f>IF(ISBLANK('Data Entry'!F539), "", 'Data Entry'!F539)</f>
      </c>
      <c r="G539">
        <f>IF(ISBLANK('Data Entry'!G539), "", 'Data Entry'!G539)</f>
      </c>
      <c r="H539">
        <f>IF(ISBLANK('Data Entry'!H539), "", 'Data Entry'!H539)</f>
      </c>
      <c r="I539">
        <f>IF(ISBLANK('Data Entry'!I539), "", 'Data Entry'!I539)</f>
      </c>
      <c r="J539">
        <f>IF(ISBLANK('Data Entry'!J539), "", 'Data Entry'!J539)</f>
      </c>
      <c r="K539">
        <f>IF(ISBLANK('Data Entry'!K539), "", 'Data Entry'!K539)</f>
      </c>
      <c r="L539">
        <f>IF(ISBLANK('Data Entry'!L539), "", 'Data Entry'!L539)</f>
      </c>
      <c r="M539">
        <f>IF(ISBLANK('Data Entry'!M539), "", 'Data Entry'!M539)</f>
      </c>
      <c r="N539">
        <f>IF(ISBLANK('Data Entry'!N539), "", 'Data Entry'!N539)</f>
      </c>
      <c r="O539">
        <f>IF(ISBLANK('Data Entry'!O539), "", 'Data Entry'!O539)</f>
      </c>
      <c r="P539">
        <f>IF(ISBLANK('Data Entry'!P539), "", 'Data Entry'!P539)</f>
      </c>
      <c r="Q539">
        <f>IF(ISBLANK('Data Entry'!Q539), "", 'Data Entry'!Q539)</f>
      </c>
      <c r="R539">
        <f>IF(ISBLANK('Data Entry'!R539), "", 'Data Entry'!R539)</f>
      </c>
      <c r="S539">
        <f>IF(ISBLANK('Data Entry'!S539), "", 'Data Entry'!S539)</f>
      </c>
      <c r="T539">
        <f>IF(ISBLANK('Data Entry'!T539), "", 'Data Entry'!T539)</f>
      </c>
      <c r="U539">
        <f>IF(ISBLANK('Data Entry'!U539), "", 'Data Entry'!U539)</f>
      </c>
      <c r="V539">
        <f>IF(ISBLANK('Data Entry'!V539), "", 'Data Entry'!V539)</f>
      </c>
      <c r="W539">
        <f>IF(ISBLANK('Data Entry'!W539), "", 'Data Entry'!W539)</f>
      </c>
      <c r="X539">
        <f>IF(ISBLANK('Data Entry'!X539), "", 'Data Entry'!X539)</f>
      </c>
      <c r="Y539">
        <f>IF(ISBLANK('Data Entry'!Y539), "", 'Data Entry'!Y539)</f>
      </c>
      <c r="Z539">
        <f>IF(ISBLANK('Data Entry'!Z539), "", 'Data Entry'!Z539)</f>
      </c>
      <c r="AA539">
        <f>IF(ISBLANK('Data Entry'![539), "", 'Data Entry'![539)</f>
      </c>
      <c r="AB539">
        <f>IF(ISBLANK('Data Entry'!\539), "", 'Data Entry'!\539)</f>
      </c>
      <c r="AC539">
        <f>IF(ISBLANK('Data Entry'!]539), "", 'Data Entry'!]539)</f>
      </c>
      <c r="AD539">
        <f>IF(ISBLANK('Data Entry'!^539), "", 'Data Entry'!^539)</f>
      </c>
      <c r="AE539">
        <f>IF(ISBLANK('Data Entry'!_539), "", 'Data Entry'!_539)</f>
      </c>
      <c r="AF539">
        <f>IF(ISBLANK('Data Entry'!`539), "", 'Data Entry'!`539)</f>
      </c>
      <c r="AG539">
        <f>IF(ISBLANK('Data Entry'!a539), "", 'Data Entry'!a539)</f>
      </c>
      <c r="AH539">
        <f>IF(ISBLANK('Data Entry'!b539), "", 'Data Entry'!b539)</f>
      </c>
      <c r="AI539">
        <f>IF(ISBLANK('Data Entry'!c539), "", 'Data Entry'!c539)</f>
      </c>
      <c r="AJ539">
        <f>IF(ISBLANK('Data Entry'!d539), "", 'Data Entry'!d539)</f>
      </c>
      <c r="AK539">
        <f>IF(ISBLANK('Data Entry'!e539), "", 'Data Entry'!e539)</f>
      </c>
      <c r="AL539">
        <f>IF(ISBLANK('Data Entry'!f539), "", 'Data Entry'!f539)</f>
      </c>
      <c r="AM539">
        <f>IF(ISBLANK('Data Entry'!g539), "", 'Data Entry'!g539)</f>
      </c>
      <c r="AN539">
        <f>IF(ISBLANK('Data Entry'!h539), "", 'Data Entry'!h539)</f>
      </c>
    </row>
    <row r="540" spans="1:40" x14ac:dyDescent="0.25">
      <c r="A540">
        <f>IF(ISBLANK('Data Entry'!A540), "", 'Data Entry'!A540)</f>
      </c>
      <c r="B540">
        <f>IF(ISBLANK('Data Entry'!B540), "", 'Data Entry'!B540)</f>
      </c>
      <c r="C540">
        <f>IF(ISBLANK('Data Entry'!C540), "", 'Data Entry'!C540)</f>
      </c>
      <c r="D540">
        <f>IF(ISBLANK('Data Entry'!D540), "", 'Data Entry'!D540)</f>
      </c>
      <c r="E540">
        <f>IF(ISBLANK('Data Entry'!E540), "", 'Data Entry'!E540)</f>
      </c>
      <c r="F540">
        <f>IF(ISBLANK('Data Entry'!F540), "", 'Data Entry'!F540)</f>
      </c>
      <c r="G540">
        <f>IF(ISBLANK('Data Entry'!G540), "", 'Data Entry'!G540)</f>
      </c>
      <c r="H540">
        <f>IF(ISBLANK('Data Entry'!H540), "", 'Data Entry'!H540)</f>
      </c>
      <c r="I540">
        <f>IF(ISBLANK('Data Entry'!I540), "", 'Data Entry'!I540)</f>
      </c>
      <c r="J540">
        <f>IF(ISBLANK('Data Entry'!J540), "", 'Data Entry'!J540)</f>
      </c>
      <c r="K540">
        <f>IF(ISBLANK('Data Entry'!K540), "", 'Data Entry'!K540)</f>
      </c>
      <c r="L540">
        <f>IF(ISBLANK('Data Entry'!L540), "", 'Data Entry'!L540)</f>
      </c>
      <c r="M540">
        <f>IF(ISBLANK('Data Entry'!M540), "", 'Data Entry'!M540)</f>
      </c>
      <c r="N540">
        <f>IF(ISBLANK('Data Entry'!N540), "", 'Data Entry'!N540)</f>
      </c>
      <c r="O540">
        <f>IF(ISBLANK('Data Entry'!O540), "", 'Data Entry'!O540)</f>
      </c>
      <c r="P540">
        <f>IF(ISBLANK('Data Entry'!P540), "", 'Data Entry'!P540)</f>
      </c>
      <c r="Q540">
        <f>IF(ISBLANK('Data Entry'!Q540), "", 'Data Entry'!Q540)</f>
      </c>
      <c r="R540">
        <f>IF(ISBLANK('Data Entry'!R540), "", 'Data Entry'!R540)</f>
      </c>
      <c r="S540">
        <f>IF(ISBLANK('Data Entry'!S540), "", 'Data Entry'!S540)</f>
      </c>
      <c r="T540">
        <f>IF(ISBLANK('Data Entry'!T540), "", 'Data Entry'!T540)</f>
      </c>
      <c r="U540">
        <f>IF(ISBLANK('Data Entry'!U540), "", 'Data Entry'!U540)</f>
      </c>
      <c r="V540">
        <f>IF(ISBLANK('Data Entry'!V540), "", 'Data Entry'!V540)</f>
      </c>
      <c r="W540">
        <f>IF(ISBLANK('Data Entry'!W540), "", 'Data Entry'!W540)</f>
      </c>
      <c r="X540">
        <f>IF(ISBLANK('Data Entry'!X540), "", 'Data Entry'!X540)</f>
      </c>
      <c r="Y540">
        <f>IF(ISBLANK('Data Entry'!Y540), "", 'Data Entry'!Y540)</f>
      </c>
      <c r="Z540">
        <f>IF(ISBLANK('Data Entry'!Z540), "", 'Data Entry'!Z540)</f>
      </c>
      <c r="AA540">
        <f>IF(ISBLANK('Data Entry'![540), "", 'Data Entry'![540)</f>
      </c>
      <c r="AB540">
        <f>IF(ISBLANK('Data Entry'!\540), "", 'Data Entry'!\540)</f>
      </c>
      <c r="AC540">
        <f>IF(ISBLANK('Data Entry'!]540), "", 'Data Entry'!]540)</f>
      </c>
      <c r="AD540">
        <f>IF(ISBLANK('Data Entry'!^540), "", 'Data Entry'!^540)</f>
      </c>
      <c r="AE540">
        <f>IF(ISBLANK('Data Entry'!_540), "", 'Data Entry'!_540)</f>
      </c>
      <c r="AF540">
        <f>IF(ISBLANK('Data Entry'!`540), "", 'Data Entry'!`540)</f>
      </c>
      <c r="AG540">
        <f>IF(ISBLANK('Data Entry'!a540), "", 'Data Entry'!a540)</f>
      </c>
      <c r="AH540">
        <f>IF(ISBLANK('Data Entry'!b540), "", 'Data Entry'!b540)</f>
      </c>
      <c r="AI540">
        <f>IF(ISBLANK('Data Entry'!c540), "", 'Data Entry'!c540)</f>
      </c>
      <c r="AJ540">
        <f>IF(ISBLANK('Data Entry'!d540), "", 'Data Entry'!d540)</f>
      </c>
      <c r="AK540">
        <f>IF(ISBLANK('Data Entry'!e540), "", 'Data Entry'!e540)</f>
      </c>
      <c r="AL540">
        <f>IF(ISBLANK('Data Entry'!f540), "", 'Data Entry'!f540)</f>
      </c>
      <c r="AM540">
        <f>IF(ISBLANK('Data Entry'!g540), "", 'Data Entry'!g540)</f>
      </c>
      <c r="AN540">
        <f>IF(ISBLANK('Data Entry'!h540), "", 'Data Entry'!h540)</f>
      </c>
    </row>
    <row r="541" spans="1:40" x14ac:dyDescent="0.25">
      <c r="A541">
        <f>IF(ISBLANK('Data Entry'!A541), "", 'Data Entry'!A541)</f>
      </c>
      <c r="B541">
        <f>IF(ISBLANK('Data Entry'!B541), "", 'Data Entry'!B541)</f>
      </c>
      <c r="C541">
        <f>IF(ISBLANK('Data Entry'!C541), "", 'Data Entry'!C541)</f>
      </c>
      <c r="D541">
        <f>IF(ISBLANK('Data Entry'!D541), "", 'Data Entry'!D541)</f>
      </c>
      <c r="E541">
        <f>IF(ISBLANK('Data Entry'!E541), "", 'Data Entry'!E541)</f>
      </c>
      <c r="F541">
        <f>IF(ISBLANK('Data Entry'!F541), "", 'Data Entry'!F541)</f>
      </c>
      <c r="G541">
        <f>IF(ISBLANK('Data Entry'!G541), "", 'Data Entry'!G541)</f>
      </c>
      <c r="H541">
        <f>IF(ISBLANK('Data Entry'!H541), "", 'Data Entry'!H541)</f>
      </c>
      <c r="I541">
        <f>IF(ISBLANK('Data Entry'!I541), "", 'Data Entry'!I541)</f>
      </c>
      <c r="J541">
        <f>IF(ISBLANK('Data Entry'!J541), "", 'Data Entry'!J541)</f>
      </c>
      <c r="K541">
        <f>IF(ISBLANK('Data Entry'!K541), "", 'Data Entry'!K541)</f>
      </c>
      <c r="L541">
        <f>IF(ISBLANK('Data Entry'!L541), "", 'Data Entry'!L541)</f>
      </c>
      <c r="M541">
        <f>IF(ISBLANK('Data Entry'!M541), "", 'Data Entry'!M541)</f>
      </c>
      <c r="N541">
        <f>IF(ISBLANK('Data Entry'!N541), "", 'Data Entry'!N541)</f>
      </c>
      <c r="O541">
        <f>IF(ISBLANK('Data Entry'!O541), "", 'Data Entry'!O541)</f>
      </c>
      <c r="P541">
        <f>IF(ISBLANK('Data Entry'!P541), "", 'Data Entry'!P541)</f>
      </c>
      <c r="Q541">
        <f>IF(ISBLANK('Data Entry'!Q541), "", 'Data Entry'!Q541)</f>
      </c>
      <c r="R541">
        <f>IF(ISBLANK('Data Entry'!R541), "", 'Data Entry'!R541)</f>
      </c>
      <c r="S541">
        <f>IF(ISBLANK('Data Entry'!S541), "", 'Data Entry'!S541)</f>
      </c>
      <c r="T541">
        <f>IF(ISBLANK('Data Entry'!T541), "", 'Data Entry'!T541)</f>
      </c>
      <c r="U541">
        <f>IF(ISBLANK('Data Entry'!U541), "", 'Data Entry'!U541)</f>
      </c>
      <c r="V541">
        <f>IF(ISBLANK('Data Entry'!V541), "", 'Data Entry'!V541)</f>
      </c>
      <c r="W541">
        <f>IF(ISBLANK('Data Entry'!W541), "", 'Data Entry'!W541)</f>
      </c>
      <c r="X541">
        <f>IF(ISBLANK('Data Entry'!X541), "", 'Data Entry'!X541)</f>
      </c>
      <c r="Y541">
        <f>IF(ISBLANK('Data Entry'!Y541), "", 'Data Entry'!Y541)</f>
      </c>
      <c r="Z541">
        <f>IF(ISBLANK('Data Entry'!Z541), "", 'Data Entry'!Z541)</f>
      </c>
      <c r="AA541">
        <f>IF(ISBLANK('Data Entry'![541), "", 'Data Entry'![541)</f>
      </c>
      <c r="AB541">
        <f>IF(ISBLANK('Data Entry'!\541), "", 'Data Entry'!\541)</f>
      </c>
      <c r="AC541">
        <f>IF(ISBLANK('Data Entry'!]541), "", 'Data Entry'!]541)</f>
      </c>
      <c r="AD541">
        <f>IF(ISBLANK('Data Entry'!^541), "", 'Data Entry'!^541)</f>
      </c>
      <c r="AE541">
        <f>IF(ISBLANK('Data Entry'!_541), "", 'Data Entry'!_541)</f>
      </c>
      <c r="AF541">
        <f>IF(ISBLANK('Data Entry'!`541), "", 'Data Entry'!`541)</f>
      </c>
      <c r="AG541">
        <f>IF(ISBLANK('Data Entry'!a541), "", 'Data Entry'!a541)</f>
      </c>
      <c r="AH541">
        <f>IF(ISBLANK('Data Entry'!b541), "", 'Data Entry'!b541)</f>
      </c>
      <c r="AI541">
        <f>IF(ISBLANK('Data Entry'!c541), "", 'Data Entry'!c541)</f>
      </c>
      <c r="AJ541">
        <f>IF(ISBLANK('Data Entry'!d541), "", 'Data Entry'!d541)</f>
      </c>
      <c r="AK541">
        <f>IF(ISBLANK('Data Entry'!e541), "", 'Data Entry'!e541)</f>
      </c>
      <c r="AL541">
        <f>IF(ISBLANK('Data Entry'!f541), "", 'Data Entry'!f541)</f>
      </c>
      <c r="AM541">
        <f>IF(ISBLANK('Data Entry'!g541), "", 'Data Entry'!g541)</f>
      </c>
      <c r="AN541">
        <f>IF(ISBLANK('Data Entry'!h541), "", 'Data Entry'!h541)</f>
      </c>
    </row>
    <row r="542" spans="1:40" x14ac:dyDescent="0.25">
      <c r="A542">
        <f>IF(ISBLANK('Data Entry'!A542), "", 'Data Entry'!A542)</f>
      </c>
      <c r="B542">
        <f>IF(ISBLANK('Data Entry'!B542), "", 'Data Entry'!B542)</f>
      </c>
      <c r="C542">
        <f>IF(ISBLANK('Data Entry'!C542), "", 'Data Entry'!C542)</f>
      </c>
      <c r="D542">
        <f>IF(ISBLANK('Data Entry'!D542), "", 'Data Entry'!D542)</f>
      </c>
      <c r="E542">
        <f>IF(ISBLANK('Data Entry'!E542), "", 'Data Entry'!E542)</f>
      </c>
      <c r="F542">
        <f>IF(ISBLANK('Data Entry'!F542), "", 'Data Entry'!F542)</f>
      </c>
      <c r="G542">
        <f>IF(ISBLANK('Data Entry'!G542), "", 'Data Entry'!G542)</f>
      </c>
      <c r="H542">
        <f>IF(ISBLANK('Data Entry'!H542), "", 'Data Entry'!H542)</f>
      </c>
      <c r="I542">
        <f>IF(ISBLANK('Data Entry'!I542), "", 'Data Entry'!I542)</f>
      </c>
      <c r="J542">
        <f>IF(ISBLANK('Data Entry'!J542), "", 'Data Entry'!J542)</f>
      </c>
      <c r="K542">
        <f>IF(ISBLANK('Data Entry'!K542), "", 'Data Entry'!K542)</f>
      </c>
      <c r="L542">
        <f>IF(ISBLANK('Data Entry'!L542), "", 'Data Entry'!L542)</f>
      </c>
      <c r="M542">
        <f>IF(ISBLANK('Data Entry'!M542), "", 'Data Entry'!M542)</f>
      </c>
      <c r="N542">
        <f>IF(ISBLANK('Data Entry'!N542), "", 'Data Entry'!N542)</f>
      </c>
      <c r="O542">
        <f>IF(ISBLANK('Data Entry'!O542), "", 'Data Entry'!O542)</f>
      </c>
      <c r="P542">
        <f>IF(ISBLANK('Data Entry'!P542), "", 'Data Entry'!P542)</f>
      </c>
      <c r="Q542">
        <f>IF(ISBLANK('Data Entry'!Q542), "", 'Data Entry'!Q542)</f>
      </c>
      <c r="R542">
        <f>IF(ISBLANK('Data Entry'!R542), "", 'Data Entry'!R542)</f>
      </c>
      <c r="S542">
        <f>IF(ISBLANK('Data Entry'!S542), "", 'Data Entry'!S542)</f>
      </c>
      <c r="T542">
        <f>IF(ISBLANK('Data Entry'!T542), "", 'Data Entry'!T542)</f>
      </c>
      <c r="U542">
        <f>IF(ISBLANK('Data Entry'!U542), "", 'Data Entry'!U542)</f>
      </c>
      <c r="V542">
        <f>IF(ISBLANK('Data Entry'!V542), "", 'Data Entry'!V542)</f>
      </c>
      <c r="W542">
        <f>IF(ISBLANK('Data Entry'!W542), "", 'Data Entry'!W542)</f>
      </c>
      <c r="X542">
        <f>IF(ISBLANK('Data Entry'!X542), "", 'Data Entry'!X542)</f>
      </c>
      <c r="Y542">
        <f>IF(ISBLANK('Data Entry'!Y542), "", 'Data Entry'!Y542)</f>
      </c>
      <c r="Z542">
        <f>IF(ISBLANK('Data Entry'!Z542), "", 'Data Entry'!Z542)</f>
      </c>
      <c r="AA542">
        <f>IF(ISBLANK('Data Entry'![542), "", 'Data Entry'![542)</f>
      </c>
      <c r="AB542">
        <f>IF(ISBLANK('Data Entry'!\542), "", 'Data Entry'!\542)</f>
      </c>
      <c r="AC542">
        <f>IF(ISBLANK('Data Entry'!]542), "", 'Data Entry'!]542)</f>
      </c>
      <c r="AD542">
        <f>IF(ISBLANK('Data Entry'!^542), "", 'Data Entry'!^542)</f>
      </c>
      <c r="AE542">
        <f>IF(ISBLANK('Data Entry'!_542), "", 'Data Entry'!_542)</f>
      </c>
      <c r="AF542">
        <f>IF(ISBLANK('Data Entry'!`542), "", 'Data Entry'!`542)</f>
      </c>
      <c r="AG542">
        <f>IF(ISBLANK('Data Entry'!a542), "", 'Data Entry'!a542)</f>
      </c>
      <c r="AH542">
        <f>IF(ISBLANK('Data Entry'!b542), "", 'Data Entry'!b542)</f>
      </c>
      <c r="AI542">
        <f>IF(ISBLANK('Data Entry'!c542), "", 'Data Entry'!c542)</f>
      </c>
      <c r="AJ542">
        <f>IF(ISBLANK('Data Entry'!d542), "", 'Data Entry'!d542)</f>
      </c>
      <c r="AK542">
        <f>IF(ISBLANK('Data Entry'!e542), "", 'Data Entry'!e542)</f>
      </c>
      <c r="AL542">
        <f>IF(ISBLANK('Data Entry'!f542), "", 'Data Entry'!f542)</f>
      </c>
      <c r="AM542">
        <f>IF(ISBLANK('Data Entry'!g542), "", 'Data Entry'!g542)</f>
      </c>
      <c r="AN542">
        <f>IF(ISBLANK('Data Entry'!h542), "", 'Data Entry'!h542)</f>
      </c>
    </row>
    <row r="543" spans="1:40" x14ac:dyDescent="0.25">
      <c r="A543">
        <f>IF(ISBLANK('Data Entry'!A543), "", 'Data Entry'!A543)</f>
      </c>
      <c r="B543">
        <f>IF(ISBLANK('Data Entry'!B543), "", 'Data Entry'!B543)</f>
      </c>
      <c r="C543">
        <f>IF(ISBLANK('Data Entry'!C543), "", 'Data Entry'!C543)</f>
      </c>
      <c r="D543">
        <f>IF(ISBLANK('Data Entry'!D543), "", 'Data Entry'!D543)</f>
      </c>
      <c r="E543">
        <f>IF(ISBLANK('Data Entry'!E543), "", 'Data Entry'!E543)</f>
      </c>
      <c r="F543">
        <f>IF(ISBLANK('Data Entry'!F543), "", 'Data Entry'!F543)</f>
      </c>
      <c r="G543">
        <f>IF(ISBLANK('Data Entry'!G543), "", 'Data Entry'!G543)</f>
      </c>
      <c r="H543">
        <f>IF(ISBLANK('Data Entry'!H543), "", 'Data Entry'!H543)</f>
      </c>
      <c r="I543">
        <f>IF(ISBLANK('Data Entry'!I543), "", 'Data Entry'!I543)</f>
      </c>
      <c r="J543">
        <f>IF(ISBLANK('Data Entry'!J543), "", 'Data Entry'!J543)</f>
      </c>
      <c r="K543">
        <f>IF(ISBLANK('Data Entry'!K543), "", 'Data Entry'!K543)</f>
      </c>
      <c r="L543">
        <f>IF(ISBLANK('Data Entry'!L543), "", 'Data Entry'!L543)</f>
      </c>
      <c r="M543">
        <f>IF(ISBLANK('Data Entry'!M543), "", 'Data Entry'!M543)</f>
      </c>
      <c r="N543">
        <f>IF(ISBLANK('Data Entry'!N543), "", 'Data Entry'!N543)</f>
      </c>
      <c r="O543">
        <f>IF(ISBLANK('Data Entry'!O543), "", 'Data Entry'!O543)</f>
      </c>
      <c r="P543">
        <f>IF(ISBLANK('Data Entry'!P543), "", 'Data Entry'!P543)</f>
      </c>
      <c r="Q543">
        <f>IF(ISBLANK('Data Entry'!Q543), "", 'Data Entry'!Q543)</f>
      </c>
      <c r="R543">
        <f>IF(ISBLANK('Data Entry'!R543), "", 'Data Entry'!R543)</f>
      </c>
      <c r="S543">
        <f>IF(ISBLANK('Data Entry'!S543), "", 'Data Entry'!S543)</f>
      </c>
      <c r="T543">
        <f>IF(ISBLANK('Data Entry'!T543), "", 'Data Entry'!T543)</f>
      </c>
      <c r="U543">
        <f>IF(ISBLANK('Data Entry'!U543), "", 'Data Entry'!U543)</f>
      </c>
      <c r="V543">
        <f>IF(ISBLANK('Data Entry'!V543), "", 'Data Entry'!V543)</f>
      </c>
      <c r="W543">
        <f>IF(ISBLANK('Data Entry'!W543), "", 'Data Entry'!W543)</f>
      </c>
      <c r="X543">
        <f>IF(ISBLANK('Data Entry'!X543), "", 'Data Entry'!X543)</f>
      </c>
      <c r="Y543">
        <f>IF(ISBLANK('Data Entry'!Y543), "", 'Data Entry'!Y543)</f>
      </c>
      <c r="Z543">
        <f>IF(ISBLANK('Data Entry'!Z543), "", 'Data Entry'!Z543)</f>
      </c>
      <c r="AA543">
        <f>IF(ISBLANK('Data Entry'![543), "", 'Data Entry'![543)</f>
      </c>
      <c r="AB543">
        <f>IF(ISBLANK('Data Entry'!\543), "", 'Data Entry'!\543)</f>
      </c>
      <c r="AC543">
        <f>IF(ISBLANK('Data Entry'!]543), "", 'Data Entry'!]543)</f>
      </c>
      <c r="AD543">
        <f>IF(ISBLANK('Data Entry'!^543), "", 'Data Entry'!^543)</f>
      </c>
      <c r="AE543">
        <f>IF(ISBLANK('Data Entry'!_543), "", 'Data Entry'!_543)</f>
      </c>
      <c r="AF543">
        <f>IF(ISBLANK('Data Entry'!`543), "", 'Data Entry'!`543)</f>
      </c>
      <c r="AG543">
        <f>IF(ISBLANK('Data Entry'!a543), "", 'Data Entry'!a543)</f>
      </c>
      <c r="AH543">
        <f>IF(ISBLANK('Data Entry'!b543), "", 'Data Entry'!b543)</f>
      </c>
      <c r="AI543">
        <f>IF(ISBLANK('Data Entry'!c543), "", 'Data Entry'!c543)</f>
      </c>
      <c r="AJ543">
        <f>IF(ISBLANK('Data Entry'!d543), "", 'Data Entry'!d543)</f>
      </c>
      <c r="AK543">
        <f>IF(ISBLANK('Data Entry'!e543), "", 'Data Entry'!e543)</f>
      </c>
      <c r="AL543">
        <f>IF(ISBLANK('Data Entry'!f543), "", 'Data Entry'!f543)</f>
      </c>
      <c r="AM543">
        <f>IF(ISBLANK('Data Entry'!g543), "", 'Data Entry'!g543)</f>
      </c>
      <c r="AN543">
        <f>IF(ISBLANK('Data Entry'!h543), "", 'Data Entry'!h543)</f>
      </c>
    </row>
    <row r="544" spans="1:40" x14ac:dyDescent="0.25">
      <c r="A544">
        <f>IF(ISBLANK('Data Entry'!A544), "", 'Data Entry'!A544)</f>
      </c>
      <c r="B544">
        <f>IF(ISBLANK('Data Entry'!B544), "", 'Data Entry'!B544)</f>
      </c>
      <c r="C544">
        <f>IF(ISBLANK('Data Entry'!C544), "", 'Data Entry'!C544)</f>
      </c>
      <c r="D544">
        <f>IF(ISBLANK('Data Entry'!D544), "", 'Data Entry'!D544)</f>
      </c>
      <c r="E544">
        <f>IF(ISBLANK('Data Entry'!E544), "", 'Data Entry'!E544)</f>
      </c>
      <c r="F544">
        <f>IF(ISBLANK('Data Entry'!F544), "", 'Data Entry'!F544)</f>
      </c>
      <c r="G544">
        <f>IF(ISBLANK('Data Entry'!G544), "", 'Data Entry'!G544)</f>
      </c>
      <c r="H544">
        <f>IF(ISBLANK('Data Entry'!H544), "", 'Data Entry'!H544)</f>
      </c>
      <c r="I544">
        <f>IF(ISBLANK('Data Entry'!I544), "", 'Data Entry'!I544)</f>
      </c>
      <c r="J544">
        <f>IF(ISBLANK('Data Entry'!J544), "", 'Data Entry'!J544)</f>
      </c>
      <c r="K544">
        <f>IF(ISBLANK('Data Entry'!K544), "", 'Data Entry'!K544)</f>
      </c>
      <c r="L544">
        <f>IF(ISBLANK('Data Entry'!L544), "", 'Data Entry'!L544)</f>
      </c>
      <c r="M544">
        <f>IF(ISBLANK('Data Entry'!M544), "", 'Data Entry'!M544)</f>
      </c>
      <c r="N544">
        <f>IF(ISBLANK('Data Entry'!N544), "", 'Data Entry'!N544)</f>
      </c>
      <c r="O544">
        <f>IF(ISBLANK('Data Entry'!O544), "", 'Data Entry'!O544)</f>
      </c>
      <c r="P544">
        <f>IF(ISBLANK('Data Entry'!P544), "", 'Data Entry'!P544)</f>
      </c>
      <c r="Q544">
        <f>IF(ISBLANK('Data Entry'!Q544), "", 'Data Entry'!Q544)</f>
      </c>
      <c r="R544">
        <f>IF(ISBLANK('Data Entry'!R544), "", 'Data Entry'!R544)</f>
      </c>
      <c r="S544">
        <f>IF(ISBLANK('Data Entry'!S544), "", 'Data Entry'!S544)</f>
      </c>
      <c r="T544">
        <f>IF(ISBLANK('Data Entry'!T544), "", 'Data Entry'!T544)</f>
      </c>
      <c r="U544">
        <f>IF(ISBLANK('Data Entry'!U544), "", 'Data Entry'!U544)</f>
      </c>
      <c r="V544">
        <f>IF(ISBLANK('Data Entry'!V544), "", 'Data Entry'!V544)</f>
      </c>
      <c r="W544">
        <f>IF(ISBLANK('Data Entry'!W544), "", 'Data Entry'!W544)</f>
      </c>
      <c r="X544">
        <f>IF(ISBLANK('Data Entry'!X544), "", 'Data Entry'!X544)</f>
      </c>
      <c r="Y544">
        <f>IF(ISBLANK('Data Entry'!Y544), "", 'Data Entry'!Y544)</f>
      </c>
      <c r="Z544">
        <f>IF(ISBLANK('Data Entry'!Z544), "", 'Data Entry'!Z544)</f>
      </c>
      <c r="AA544">
        <f>IF(ISBLANK('Data Entry'![544), "", 'Data Entry'![544)</f>
      </c>
      <c r="AB544">
        <f>IF(ISBLANK('Data Entry'!\544), "", 'Data Entry'!\544)</f>
      </c>
      <c r="AC544">
        <f>IF(ISBLANK('Data Entry'!]544), "", 'Data Entry'!]544)</f>
      </c>
      <c r="AD544">
        <f>IF(ISBLANK('Data Entry'!^544), "", 'Data Entry'!^544)</f>
      </c>
      <c r="AE544">
        <f>IF(ISBLANK('Data Entry'!_544), "", 'Data Entry'!_544)</f>
      </c>
      <c r="AF544">
        <f>IF(ISBLANK('Data Entry'!`544), "", 'Data Entry'!`544)</f>
      </c>
      <c r="AG544">
        <f>IF(ISBLANK('Data Entry'!a544), "", 'Data Entry'!a544)</f>
      </c>
      <c r="AH544">
        <f>IF(ISBLANK('Data Entry'!b544), "", 'Data Entry'!b544)</f>
      </c>
      <c r="AI544">
        <f>IF(ISBLANK('Data Entry'!c544), "", 'Data Entry'!c544)</f>
      </c>
      <c r="AJ544">
        <f>IF(ISBLANK('Data Entry'!d544), "", 'Data Entry'!d544)</f>
      </c>
      <c r="AK544">
        <f>IF(ISBLANK('Data Entry'!e544), "", 'Data Entry'!e544)</f>
      </c>
      <c r="AL544">
        <f>IF(ISBLANK('Data Entry'!f544), "", 'Data Entry'!f544)</f>
      </c>
      <c r="AM544">
        <f>IF(ISBLANK('Data Entry'!g544), "", 'Data Entry'!g544)</f>
      </c>
      <c r="AN544">
        <f>IF(ISBLANK('Data Entry'!h544), "", 'Data Entry'!h544)</f>
      </c>
    </row>
    <row r="545" spans="1:40" x14ac:dyDescent="0.25">
      <c r="A545">
        <f>IF(ISBLANK('Data Entry'!A545), "", 'Data Entry'!A545)</f>
      </c>
      <c r="B545">
        <f>IF(ISBLANK('Data Entry'!B545), "", 'Data Entry'!B545)</f>
      </c>
      <c r="C545">
        <f>IF(ISBLANK('Data Entry'!C545), "", 'Data Entry'!C545)</f>
      </c>
      <c r="D545">
        <f>IF(ISBLANK('Data Entry'!D545), "", 'Data Entry'!D545)</f>
      </c>
      <c r="E545">
        <f>IF(ISBLANK('Data Entry'!E545), "", 'Data Entry'!E545)</f>
      </c>
      <c r="F545">
        <f>IF(ISBLANK('Data Entry'!F545), "", 'Data Entry'!F545)</f>
      </c>
      <c r="G545">
        <f>IF(ISBLANK('Data Entry'!G545), "", 'Data Entry'!G545)</f>
      </c>
      <c r="H545">
        <f>IF(ISBLANK('Data Entry'!H545), "", 'Data Entry'!H545)</f>
      </c>
      <c r="I545">
        <f>IF(ISBLANK('Data Entry'!I545), "", 'Data Entry'!I545)</f>
      </c>
      <c r="J545">
        <f>IF(ISBLANK('Data Entry'!J545), "", 'Data Entry'!J545)</f>
      </c>
      <c r="K545">
        <f>IF(ISBLANK('Data Entry'!K545), "", 'Data Entry'!K545)</f>
      </c>
      <c r="L545">
        <f>IF(ISBLANK('Data Entry'!L545), "", 'Data Entry'!L545)</f>
      </c>
      <c r="M545">
        <f>IF(ISBLANK('Data Entry'!M545), "", 'Data Entry'!M545)</f>
      </c>
      <c r="N545">
        <f>IF(ISBLANK('Data Entry'!N545), "", 'Data Entry'!N545)</f>
      </c>
      <c r="O545">
        <f>IF(ISBLANK('Data Entry'!O545), "", 'Data Entry'!O545)</f>
      </c>
      <c r="P545">
        <f>IF(ISBLANK('Data Entry'!P545), "", 'Data Entry'!P545)</f>
      </c>
      <c r="Q545">
        <f>IF(ISBLANK('Data Entry'!Q545), "", 'Data Entry'!Q545)</f>
      </c>
      <c r="R545">
        <f>IF(ISBLANK('Data Entry'!R545), "", 'Data Entry'!R545)</f>
      </c>
      <c r="S545">
        <f>IF(ISBLANK('Data Entry'!S545), "", 'Data Entry'!S545)</f>
      </c>
      <c r="T545">
        <f>IF(ISBLANK('Data Entry'!T545), "", 'Data Entry'!T545)</f>
      </c>
      <c r="U545">
        <f>IF(ISBLANK('Data Entry'!U545), "", 'Data Entry'!U545)</f>
      </c>
      <c r="V545">
        <f>IF(ISBLANK('Data Entry'!V545), "", 'Data Entry'!V545)</f>
      </c>
      <c r="W545">
        <f>IF(ISBLANK('Data Entry'!W545), "", 'Data Entry'!W545)</f>
      </c>
      <c r="X545">
        <f>IF(ISBLANK('Data Entry'!X545), "", 'Data Entry'!X545)</f>
      </c>
      <c r="Y545">
        <f>IF(ISBLANK('Data Entry'!Y545), "", 'Data Entry'!Y545)</f>
      </c>
      <c r="Z545">
        <f>IF(ISBLANK('Data Entry'!Z545), "", 'Data Entry'!Z545)</f>
      </c>
      <c r="AA545">
        <f>IF(ISBLANK('Data Entry'![545), "", 'Data Entry'![545)</f>
      </c>
      <c r="AB545">
        <f>IF(ISBLANK('Data Entry'!\545), "", 'Data Entry'!\545)</f>
      </c>
      <c r="AC545">
        <f>IF(ISBLANK('Data Entry'!]545), "", 'Data Entry'!]545)</f>
      </c>
      <c r="AD545">
        <f>IF(ISBLANK('Data Entry'!^545), "", 'Data Entry'!^545)</f>
      </c>
      <c r="AE545">
        <f>IF(ISBLANK('Data Entry'!_545), "", 'Data Entry'!_545)</f>
      </c>
      <c r="AF545">
        <f>IF(ISBLANK('Data Entry'!`545), "", 'Data Entry'!`545)</f>
      </c>
      <c r="AG545">
        <f>IF(ISBLANK('Data Entry'!a545), "", 'Data Entry'!a545)</f>
      </c>
      <c r="AH545">
        <f>IF(ISBLANK('Data Entry'!b545), "", 'Data Entry'!b545)</f>
      </c>
      <c r="AI545">
        <f>IF(ISBLANK('Data Entry'!c545), "", 'Data Entry'!c545)</f>
      </c>
      <c r="AJ545">
        <f>IF(ISBLANK('Data Entry'!d545), "", 'Data Entry'!d545)</f>
      </c>
      <c r="AK545">
        <f>IF(ISBLANK('Data Entry'!e545), "", 'Data Entry'!e545)</f>
      </c>
      <c r="AL545">
        <f>IF(ISBLANK('Data Entry'!f545), "", 'Data Entry'!f545)</f>
      </c>
      <c r="AM545">
        <f>IF(ISBLANK('Data Entry'!g545), "", 'Data Entry'!g545)</f>
      </c>
      <c r="AN545">
        <f>IF(ISBLANK('Data Entry'!h545), "", 'Data Entry'!h545)</f>
      </c>
    </row>
    <row r="546" spans="1:40" x14ac:dyDescent="0.25">
      <c r="A546">
        <f>IF(ISBLANK('Data Entry'!A546), "", 'Data Entry'!A546)</f>
      </c>
      <c r="B546">
        <f>IF(ISBLANK('Data Entry'!B546), "", 'Data Entry'!B546)</f>
      </c>
      <c r="C546">
        <f>IF(ISBLANK('Data Entry'!C546), "", 'Data Entry'!C546)</f>
      </c>
      <c r="D546">
        <f>IF(ISBLANK('Data Entry'!D546), "", 'Data Entry'!D546)</f>
      </c>
      <c r="E546">
        <f>IF(ISBLANK('Data Entry'!E546), "", 'Data Entry'!E546)</f>
      </c>
      <c r="F546">
        <f>IF(ISBLANK('Data Entry'!F546), "", 'Data Entry'!F546)</f>
      </c>
      <c r="G546">
        <f>IF(ISBLANK('Data Entry'!G546), "", 'Data Entry'!G546)</f>
      </c>
      <c r="H546">
        <f>IF(ISBLANK('Data Entry'!H546), "", 'Data Entry'!H546)</f>
      </c>
      <c r="I546">
        <f>IF(ISBLANK('Data Entry'!I546), "", 'Data Entry'!I546)</f>
      </c>
      <c r="J546">
        <f>IF(ISBLANK('Data Entry'!J546), "", 'Data Entry'!J546)</f>
      </c>
      <c r="K546">
        <f>IF(ISBLANK('Data Entry'!K546), "", 'Data Entry'!K546)</f>
      </c>
      <c r="L546">
        <f>IF(ISBLANK('Data Entry'!L546), "", 'Data Entry'!L546)</f>
      </c>
      <c r="M546">
        <f>IF(ISBLANK('Data Entry'!M546), "", 'Data Entry'!M546)</f>
      </c>
      <c r="N546">
        <f>IF(ISBLANK('Data Entry'!N546), "", 'Data Entry'!N546)</f>
      </c>
      <c r="O546">
        <f>IF(ISBLANK('Data Entry'!O546), "", 'Data Entry'!O546)</f>
      </c>
      <c r="P546">
        <f>IF(ISBLANK('Data Entry'!P546), "", 'Data Entry'!P546)</f>
      </c>
      <c r="Q546">
        <f>IF(ISBLANK('Data Entry'!Q546), "", 'Data Entry'!Q546)</f>
      </c>
      <c r="R546">
        <f>IF(ISBLANK('Data Entry'!R546), "", 'Data Entry'!R546)</f>
      </c>
      <c r="S546">
        <f>IF(ISBLANK('Data Entry'!S546), "", 'Data Entry'!S546)</f>
      </c>
      <c r="T546">
        <f>IF(ISBLANK('Data Entry'!T546), "", 'Data Entry'!T546)</f>
      </c>
      <c r="U546">
        <f>IF(ISBLANK('Data Entry'!U546), "", 'Data Entry'!U546)</f>
      </c>
      <c r="V546">
        <f>IF(ISBLANK('Data Entry'!V546), "", 'Data Entry'!V546)</f>
      </c>
      <c r="W546">
        <f>IF(ISBLANK('Data Entry'!W546), "", 'Data Entry'!W546)</f>
      </c>
      <c r="X546">
        <f>IF(ISBLANK('Data Entry'!X546), "", 'Data Entry'!X546)</f>
      </c>
      <c r="Y546">
        <f>IF(ISBLANK('Data Entry'!Y546), "", 'Data Entry'!Y546)</f>
      </c>
      <c r="Z546">
        <f>IF(ISBLANK('Data Entry'!Z546), "", 'Data Entry'!Z546)</f>
      </c>
      <c r="AA546">
        <f>IF(ISBLANK('Data Entry'![546), "", 'Data Entry'![546)</f>
      </c>
      <c r="AB546">
        <f>IF(ISBLANK('Data Entry'!\546), "", 'Data Entry'!\546)</f>
      </c>
      <c r="AC546">
        <f>IF(ISBLANK('Data Entry'!]546), "", 'Data Entry'!]546)</f>
      </c>
      <c r="AD546">
        <f>IF(ISBLANK('Data Entry'!^546), "", 'Data Entry'!^546)</f>
      </c>
      <c r="AE546">
        <f>IF(ISBLANK('Data Entry'!_546), "", 'Data Entry'!_546)</f>
      </c>
      <c r="AF546">
        <f>IF(ISBLANK('Data Entry'!`546), "", 'Data Entry'!`546)</f>
      </c>
      <c r="AG546">
        <f>IF(ISBLANK('Data Entry'!a546), "", 'Data Entry'!a546)</f>
      </c>
      <c r="AH546">
        <f>IF(ISBLANK('Data Entry'!b546), "", 'Data Entry'!b546)</f>
      </c>
      <c r="AI546">
        <f>IF(ISBLANK('Data Entry'!c546), "", 'Data Entry'!c546)</f>
      </c>
      <c r="AJ546">
        <f>IF(ISBLANK('Data Entry'!d546), "", 'Data Entry'!d546)</f>
      </c>
      <c r="AK546">
        <f>IF(ISBLANK('Data Entry'!e546), "", 'Data Entry'!e546)</f>
      </c>
      <c r="AL546">
        <f>IF(ISBLANK('Data Entry'!f546), "", 'Data Entry'!f546)</f>
      </c>
      <c r="AM546">
        <f>IF(ISBLANK('Data Entry'!g546), "", 'Data Entry'!g546)</f>
      </c>
      <c r="AN546">
        <f>IF(ISBLANK('Data Entry'!h546), "", 'Data Entry'!h546)</f>
      </c>
    </row>
    <row r="547" spans="1:40" x14ac:dyDescent="0.25">
      <c r="A547">
        <f>IF(ISBLANK('Data Entry'!A547), "", 'Data Entry'!A547)</f>
      </c>
      <c r="B547">
        <f>IF(ISBLANK('Data Entry'!B547), "", 'Data Entry'!B547)</f>
      </c>
      <c r="C547">
        <f>IF(ISBLANK('Data Entry'!C547), "", 'Data Entry'!C547)</f>
      </c>
      <c r="D547">
        <f>IF(ISBLANK('Data Entry'!D547), "", 'Data Entry'!D547)</f>
      </c>
      <c r="E547">
        <f>IF(ISBLANK('Data Entry'!E547), "", 'Data Entry'!E547)</f>
      </c>
      <c r="F547">
        <f>IF(ISBLANK('Data Entry'!F547), "", 'Data Entry'!F547)</f>
      </c>
      <c r="G547">
        <f>IF(ISBLANK('Data Entry'!G547), "", 'Data Entry'!G547)</f>
      </c>
      <c r="H547">
        <f>IF(ISBLANK('Data Entry'!H547), "", 'Data Entry'!H547)</f>
      </c>
      <c r="I547">
        <f>IF(ISBLANK('Data Entry'!I547), "", 'Data Entry'!I547)</f>
      </c>
      <c r="J547">
        <f>IF(ISBLANK('Data Entry'!J547), "", 'Data Entry'!J547)</f>
      </c>
      <c r="K547">
        <f>IF(ISBLANK('Data Entry'!K547), "", 'Data Entry'!K547)</f>
      </c>
      <c r="L547">
        <f>IF(ISBLANK('Data Entry'!L547), "", 'Data Entry'!L547)</f>
      </c>
      <c r="M547">
        <f>IF(ISBLANK('Data Entry'!M547), "", 'Data Entry'!M547)</f>
      </c>
      <c r="N547">
        <f>IF(ISBLANK('Data Entry'!N547), "", 'Data Entry'!N547)</f>
      </c>
      <c r="O547">
        <f>IF(ISBLANK('Data Entry'!O547), "", 'Data Entry'!O547)</f>
      </c>
      <c r="P547">
        <f>IF(ISBLANK('Data Entry'!P547), "", 'Data Entry'!P547)</f>
      </c>
      <c r="Q547">
        <f>IF(ISBLANK('Data Entry'!Q547), "", 'Data Entry'!Q547)</f>
      </c>
      <c r="R547">
        <f>IF(ISBLANK('Data Entry'!R547), "", 'Data Entry'!R547)</f>
      </c>
      <c r="S547">
        <f>IF(ISBLANK('Data Entry'!S547), "", 'Data Entry'!S547)</f>
      </c>
      <c r="T547">
        <f>IF(ISBLANK('Data Entry'!T547), "", 'Data Entry'!T547)</f>
      </c>
      <c r="U547">
        <f>IF(ISBLANK('Data Entry'!U547), "", 'Data Entry'!U547)</f>
      </c>
      <c r="V547">
        <f>IF(ISBLANK('Data Entry'!V547), "", 'Data Entry'!V547)</f>
      </c>
      <c r="W547">
        <f>IF(ISBLANK('Data Entry'!W547), "", 'Data Entry'!W547)</f>
      </c>
      <c r="X547">
        <f>IF(ISBLANK('Data Entry'!X547), "", 'Data Entry'!X547)</f>
      </c>
      <c r="Y547">
        <f>IF(ISBLANK('Data Entry'!Y547), "", 'Data Entry'!Y547)</f>
      </c>
      <c r="Z547">
        <f>IF(ISBLANK('Data Entry'!Z547), "", 'Data Entry'!Z547)</f>
      </c>
      <c r="AA547">
        <f>IF(ISBLANK('Data Entry'![547), "", 'Data Entry'![547)</f>
      </c>
      <c r="AB547">
        <f>IF(ISBLANK('Data Entry'!\547), "", 'Data Entry'!\547)</f>
      </c>
      <c r="AC547">
        <f>IF(ISBLANK('Data Entry'!]547), "", 'Data Entry'!]547)</f>
      </c>
      <c r="AD547">
        <f>IF(ISBLANK('Data Entry'!^547), "", 'Data Entry'!^547)</f>
      </c>
      <c r="AE547">
        <f>IF(ISBLANK('Data Entry'!_547), "", 'Data Entry'!_547)</f>
      </c>
      <c r="AF547">
        <f>IF(ISBLANK('Data Entry'!`547), "", 'Data Entry'!`547)</f>
      </c>
      <c r="AG547">
        <f>IF(ISBLANK('Data Entry'!a547), "", 'Data Entry'!a547)</f>
      </c>
      <c r="AH547">
        <f>IF(ISBLANK('Data Entry'!b547), "", 'Data Entry'!b547)</f>
      </c>
      <c r="AI547">
        <f>IF(ISBLANK('Data Entry'!c547), "", 'Data Entry'!c547)</f>
      </c>
      <c r="AJ547">
        <f>IF(ISBLANK('Data Entry'!d547), "", 'Data Entry'!d547)</f>
      </c>
      <c r="AK547">
        <f>IF(ISBLANK('Data Entry'!e547), "", 'Data Entry'!e547)</f>
      </c>
      <c r="AL547">
        <f>IF(ISBLANK('Data Entry'!f547), "", 'Data Entry'!f547)</f>
      </c>
      <c r="AM547">
        <f>IF(ISBLANK('Data Entry'!g547), "", 'Data Entry'!g547)</f>
      </c>
      <c r="AN547">
        <f>IF(ISBLANK('Data Entry'!h547), "", 'Data Entry'!h547)</f>
      </c>
    </row>
    <row r="548" spans="1:40" x14ac:dyDescent="0.25">
      <c r="A548">
        <f>IF(ISBLANK('Data Entry'!A548), "", 'Data Entry'!A548)</f>
      </c>
      <c r="B548">
        <f>IF(ISBLANK('Data Entry'!B548), "", 'Data Entry'!B548)</f>
      </c>
      <c r="C548">
        <f>IF(ISBLANK('Data Entry'!C548), "", 'Data Entry'!C548)</f>
      </c>
      <c r="D548">
        <f>IF(ISBLANK('Data Entry'!D548), "", 'Data Entry'!D548)</f>
      </c>
      <c r="E548">
        <f>IF(ISBLANK('Data Entry'!E548), "", 'Data Entry'!E548)</f>
      </c>
      <c r="F548">
        <f>IF(ISBLANK('Data Entry'!F548), "", 'Data Entry'!F548)</f>
      </c>
      <c r="G548">
        <f>IF(ISBLANK('Data Entry'!G548), "", 'Data Entry'!G548)</f>
      </c>
      <c r="H548">
        <f>IF(ISBLANK('Data Entry'!H548), "", 'Data Entry'!H548)</f>
      </c>
      <c r="I548">
        <f>IF(ISBLANK('Data Entry'!I548), "", 'Data Entry'!I548)</f>
      </c>
      <c r="J548">
        <f>IF(ISBLANK('Data Entry'!J548), "", 'Data Entry'!J548)</f>
      </c>
      <c r="K548">
        <f>IF(ISBLANK('Data Entry'!K548), "", 'Data Entry'!K548)</f>
      </c>
      <c r="L548">
        <f>IF(ISBLANK('Data Entry'!L548), "", 'Data Entry'!L548)</f>
      </c>
      <c r="M548">
        <f>IF(ISBLANK('Data Entry'!M548), "", 'Data Entry'!M548)</f>
      </c>
      <c r="N548">
        <f>IF(ISBLANK('Data Entry'!N548), "", 'Data Entry'!N548)</f>
      </c>
      <c r="O548">
        <f>IF(ISBLANK('Data Entry'!O548), "", 'Data Entry'!O548)</f>
      </c>
      <c r="P548">
        <f>IF(ISBLANK('Data Entry'!P548), "", 'Data Entry'!P548)</f>
      </c>
      <c r="Q548">
        <f>IF(ISBLANK('Data Entry'!Q548), "", 'Data Entry'!Q548)</f>
      </c>
      <c r="R548">
        <f>IF(ISBLANK('Data Entry'!R548), "", 'Data Entry'!R548)</f>
      </c>
      <c r="S548">
        <f>IF(ISBLANK('Data Entry'!S548), "", 'Data Entry'!S548)</f>
      </c>
      <c r="T548">
        <f>IF(ISBLANK('Data Entry'!T548), "", 'Data Entry'!T548)</f>
      </c>
      <c r="U548">
        <f>IF(ISBLANK('Data Entry'!U548), "", 'Data Entry'!U548)</f>
      </c>
      <c r="V548">
        <f>IF(ISBLANK('Data Entry'!V548), "", 'Data Entry'!V548)</f>
      </c>
      <c r="W548">
        <f>IF(ISBLANK('Data Entry'!W548), "", 'Data Entry'!W548)</f>
      </c>
      <c r="X548">
        <f>IF(ISBLANK('Data Entry'!X548), "", 'Data Entry'!X548)</f>
      </c>
      <c r="Y548">
        <f>IF(ISBLANK('Data Entry'!Y548), "", 'Data Entry'!Y548)</f>
      </c>
      <c r="Z548">
        <f>IF(ISBLANK('Data Entry'!Z548), "", 'Data Entry'!Z548)</f>
      </c>
      <c r="AA548">
        <f>IF(ISBLANK('Data Entry'![548), "", 'Data Entry'![548)</f>
      </c>
      <c r="AB548">
        <f>IF(ISBLANK('Data Entry'!\548), "", 'Data Entry'!\548)</f>
      </c>
      <c r="AC548">
        <f>IF(ISBLANK('Data Entry'!]548), "", 'Data Entry'!]548)</f>
      </c>
      <c r="AD548">
        <f>IF(ISBLANK('Data Entry'!^548), "", 'Data Entry'!^548)</f>
      </c>
      <c r="AE548">
        <f>IF(ISBLANK('Data Entry'!_548), "", 'Data Entry'!_548)</f>
      </c>
      <c r="AF548">
        <f>IF(ISBLANK('Data Entry'!`548), "", 'Data Entry'!`548)</f>
      </c>
      <c r="AG548">
        <f>IF(ISBLANK('Data Entry'!a548), "", 'Data Entry'!a548)</f>
      </c>
      <c r="AH548">
        <f>IF(ISBLANK('Data Entry'!b548), "", 'Data Entry'!b548)</f>
      </c>
      <c r="AI548">
        <f>IF(ISBLANK('Data Entry'!c548), "", 'Data Entry'!c548)</f>
      </c>
      <c r="AJ548">
        <f>IF(ISBLANK('Data Entry'!d548), "", 'Data Entry'!d548)</f>
      </c>
      <c r="AK548">
        <f>IF(ISBLANK('Data Entry'!e548), "", 'Data Entry'!e548)</f>
      </c>
      <c r="AL548">
        <f>IF(ISBLANK('Data Entry'!f548), "", 'Data Entry'!f548)</f>
      </c>
      <c r="AM548">
        <f>IF(ISBLANK('Data Entry'!g548), "", 'Data Entry'!g548)</f>
      </c>
      <c r="AN548">
        <f>IF(ISBLANK('Data Entry'!h548), "", 'Data Entry'!h548)</f>
      </c>
    </row>
    <row r="549" spans="1:40" x14ac:dyDescent="0.25">
      <c r="A549">
        <f>IF(ISBLANK('Data Entry'!A549), "", 'Data Entry'!A549)</f>
      </c>
      <c r="B549">
        <f>IF(ISBLANK('Data Entry'!B549), "", 'Data Entry'!B549)</f>
      </c>
      <c r="C549">
        <f>IF(ISBLANK('Data Entry'!C549), "", 'Data Entry'!C549)</f>
      </c>
      <c r="D549">
        <f>IF(ISBLANK('Data Entry'!D549), "", 'Data Entry'!D549)</f>
      </c>
      <c r="E549">
        <f>IF(ISBLANK('Data Entry'!E549), "", 'Data Entry'!E549)</f>
      </c>
      <c r="F549">
        <f>IF(ISBLANK('Data Entry'!F549), "", 'Data Entry'!F549)</f>
      </c>
      <c r="G549">
        <f>IF(ISBLANK('Data Entry'!G549), "", 'Data Entry'!G549)</f>
      </c>
      <c r="H549">
        <f>IF(ISBLANK('Data Entry'!H549), "", 'Data Entry'!H549)</f>
      </c>
      <c r="I549">
        <f>IF(ISBLANK('Data Entry'!I549), "", 'Data Entry'!I549)</f>
      </c>
      <c r="J549">
        <f>IF(ISBLANK('Data Entry'!J549), "", 'Data Entry'!J549)</f>
      </c>
      <c r="K549">
        <f>IF(ISBLANK('Data Entry'!K549), "", 'Data Entry'!K549)</f>
      </c>
      <c r="L549">
        <f>IF(ISBLANK('Data Entry'!L549), "", 'Data Entry'!L549)</f>
      </c>
      <c r="M549">
        <f>IF(ISBLANK('Data Entry'!M549), "", 'Data Entry'!M549)</f>
      </c>
      <c r="N549">
        <f>IF(ISBLANK('Data Entry'!N549), "", 'Data Entry'!N549)</f>
      </c>
      <c r="O549">
        <f>IF(ISBLANK('Data Entry'!O549), "", 'Data Entry'!O549)</f>
      </c>
      <c r="P549">
        <f>IF(ISBLANK('Data Entry'!P549), "", 'Data Entry'!P549)</f>
      </c>
      <c r="Q549">
        <f>IF(ISBLANK('Data Entry'!Q549), "", 'Data Entry'!Q549)</f>
      </c>
      <c r="R549">
        <f>IF(ISBLANK('Data Entry'!R549), "", 'Data Entry'!R549)</f>
      </c>
      <c r="S549">
        <f>IF(ISBLANK('Data Entry'!S549), "", 'Data Entry'!S549)</f>
      </c>
      <c r="T549">
        <f>IF(ISBLANK('Data Entry'!T549), "", 'Data Entry'!T549)</f>
      </c>
      <c r="U549">
        <f>IF(ISBLANK('Data Entry'!U549), "", 'Data Entry'!U549)</f>
      </c>
      <c r="V549">
        <f>IF(ISBLANK('Data Entry'!V549), "", 'Data Entry'!V549)</f>
      </c>
      <c r="W549">
        <f>IF(ISBLANK('Data Entry'!W549), "", 'Data Entry'!W549)</f>
      </c>
      <c r="X549">
        <f>IF(ISBLANK('Data Entry'!X549), "", 'Data Entry'!X549)</f>
      </c>
      <c r="Y549">
        <f>IF(ISBLANK('Data Entry'!Y549), "", 'Data Entry'!Y549)</f>
      </c>
      <c r="Z549">
        <f>IF(ISBLANK('Data Entry'!Z549), "", 'Data Entry'!Z549)</f>
      </c>
      <c r="AA549">
        <f>IF(ISBLANK('Data Entry'![549), "", 'Data Entry'![549)</f>
      </c>
      <c r="AB549">
        <f>IF(ISBLANK('Data Entry'!\549), "", 'Data Entry'!\549)</f>
      </c>
      <c r="AC549">
        <f>IF(ISBLANK('Data Entry'!]549), "", 'Data Entry'!]549)</f>
      </c>
      <c r="AD549">
        <f>IF(ISBLANK('Data Entry'!^549), "", 'Data Entry'!^549)</f>
      </c>
      <c r="AE549">
        <f>IF(ISBLANK('Data Entry'!_549), "", 'Data Entry'!_549)</f>
      </c>
      <c r="AF549">
        <f>IF(ISBLANK('Data Entry'!`549), "", 'Data Entry'!`549)</f>
      </c>
      <c r="AG549">
        <f>IF(ISBLANK('Data Entry'!a549), "", 'Data Entry'!a549)</f>
      </c>
      <c r="AH549">
        <f>IF(ISBLANK('Data Entry'!b549), "", 'Data Entry'!b549)</f>
      </c>
      <c r="AI549">
        <f>IF(ISBLANK('Data Entry'!c549), "", 'Data Entry'!c549)</f>
      </c>
      <c r="AJ549">
        <f>IF(ISBLANK('Data Entry'!d549), "", 'Data Entry'!d549)</f>
      </c>
      <c r="AK549">
        <f>IF(ISBLANK('Data Entry'!e549), "", 'Data Entry'!e549)</f>
      </c>
      <c r="AL549">
        <f>IF(ISBLANK('Data Entry'!f549), "", 'Data Entry'!f549)</f>
      </c>
      <c r="AM549">
        <f>IF(ISBLANK('Data Entry'!g549), "", 'Data Entry'!g549)</f>
      </c>
      <c r="AN549">
        <f>IF(ISBLANK('Data Entry'!h549), "", 'Data Entry'!h549)</f>
      </c>
    </row>
    <row r="550" spans="1:40" x14ac:dyDescent="0.25">
      <c r="A550">
        <f>IF(ISBLANK('Data Entry'!A550), "", 'Data Entry'!A550)</f>
      </c>
      <c r="B550">
        <f>IF(ISBLANK('Data Entry'!B550), "", 'Data Entry'!B550)</f>
      </c>
      <c r="C550">
        <f>IF(ISBLANK('Data Entry'!C550), "", 'Data Entry'!C550)</f>
      </c>
      <c r="D550">
        <f>IF(ISBLANK('Data Entry'!D550), "", 'Data Entry'!D550)</f>
      </c>
      <c r="E550">
        <f>IF(ISBLANK('Data Entry'!E550), "", 'Data Entry'!E550)</f>
      </c>
      <c r="F550">
        <f>IF(ISBLANK('Data Entry'!F550), "", 'Data Entry'!F550)</f>
      </c>
      <c r="G550">
        <f>IF(ISBLANK('Data Entry'!G550), "", 'Data Entry'!G550)</f>
      </c>
      <c r="H550">
        <f>IF(ISBLANK('Data Entry'!H550), "", 'Data Entry'!H550)</f>
      </c>
      <c r="I550">
        <f>IF(ISBLANK('Data Entry'!I550), "", 'Data Entry'!I550)</f>
      </c>
      <c r="J550">
        <f>IF(ISBLANK('Data Entry'!J550), "", 'Data Entry'!J550)</f>
      </c>
      <c r="K550">
        <f>IF(ISBLANK('Data Entry'!K550), "", 'Data Entry'!K550)</f>
      </c>
      <c r="L550">
        <f>IF(ISBLANK('Data Entry'!L550), "", 'Data Entry'!L550)</f>
      </c>
      <c r="M550">
        <f>IF(ISBLANK('Data Entry'!M550), "", 'Data Entry'!M550)</f>
      </c>
      <c r="N550">
        <f>IF(ISBLANK('Data Entry'!N550), "", 'Data Entry'!N550)</f>
      </c>
      <c r="O550">
        <f>IF(ISBLANK('Data Entry'!O550), "", 'Data Entry'!O550)</f>
      </c>
      <c r="P550">
        <f>IF(ISBLANK('Data Entry'!P550), "", 'Data Entry'!P550)</f>
      </c>
      <c r="Q550">
        <f>IF(ISBLANK('Data Entry'!Q550), "", 'Data Entry'!Q550)</f>
      </c>
      <c r="R550">
        <f>IF(ISBLANK('Data Entry'!R550), "", 'Data Entry'!R550)</f>
      </c>
      <c r="S550">
        <f>IF(ISBLANK('Data Entry'!S550), "", 'Data Entry'!S550)</f>
      </c>
      <c r="T550">
        <f>IF(ISBLANK('Data Entry'!T550), "", 'Data Entry'!T550)</f>
      </c>
      <c r="U550">
        <f>IF(ISBLANK('Data Entry'!U550), "", 'Data Entry'!U550)</f>
      </c>
      <c r="V550">
        <f>IF(ISBLANK('Data Entry'!V550), "", 'Data Entry'!V550)</f>
      </c>
      <c r="W550">
        <f>IF(ISBLANK('Data Entry'!W550), "", 'Data Entry'!W550)</f>
      </c>
      <c r="X550">
        <f>IF(ISBLANK('Data Entry'!X550), "", 'Data Entry'!X550)</f>
      </c>
      <c r="Y550">
        <f>IF(ISBLANK('Data Entry'!Y550), "", 'Data Entry'!Y550)</f>
      </c>
      <c r="Z550">
        <f>IF(ISBLANK('Data Entry'!Z550), "", 'Data Entry'!Z550)</f>
      </c>
      <c r="AA550">
        <f>IF(ISBLANK('Data Entry'![550), "", 'Data Entry'![550)</f>
      </c>
      <c r="AB550">
        <f>IF(ISBLANK('Data Entry'!\550), "", 'Data Entry'!\550)</f>
      </c>
      <c r="AC550">
        <f>IF(ISBLANK('Data Entry'!]550), "", 'Data Entry'!]550)</f>
      </c>
      <c r="AD550">
        <f>IF(ISBLANK('Data Entry'!^550), "", 'Data Entry'!^550)</f>
      </c>
      <c r="AE550">
        <f>IF(ISBLANK('Data Entry'!_550), "", 'Data Entry'!_550)</f>
      </c>
      <c r="AF550">
        <f>IF(ISBLANK('Data Entry'!`550), "", 'Data Entry'!`550)</f>
      </c>
      <c r="AG550">
        <f>IF(ISBLANK('Data Entry'!a550), "", 'Data Entry'!a550)</f>
      </c>
      <c r="AH550">
        <f>IF(ISBLANK('Data Entry'!b550), "", 'Data Entry'!b550)</f>
      </c>
      <c r="AI550">
        <f>IF(ISBLANK('Data Entry'!c550), "", 'Data Entry'!c550)</f>
      </c>
      <c r="AJ550">
        <f>IF(ISBLANK('Data Entry'!d550), "", 'Data Entry'!d550)</f>
      </c>
      <c r="AK550">
        <f>IF(ISBLANK('Data Entry'!e550), "", 'Data Entry'!e550)</f>
      </c>
      <c r="AL550">
        <f>IF(ISBLANK('Data Entry'!f550), "", 'Data Entry'!f550)</f>
      </c>
      <c r="AM550">
        <f>IF(ISBLANK('Data Entry'!g550), "", 'Data Entry'!g550)</f>
      </c>
      <c r="AN550">
        <f>IF(ISBLANK('Data Entry'!h550), "", 'Data Entry'!h550)</f>
      </c>
    </row>
    <row r="551" spans="1:40" x14ac:dyDescent="0.25">
      <c r="A551">
        <f>IF(ISBLANK('Data Entry'!A551), "", 'Data Entry'!A551)</f>
      </c>
      <c r="B551">
        <f>IF(ISBLANK('Data Entry'!B551), "", 'Data Entry'!B551)</f>
      </c>
      <c r="C551">
        <f>IF(ISBLANK('Data Entry'!C551), "", 'Data Entry'!C551)</f>
      </c>
      <c r="D551">
        <f>IF(ISBLANK('Data Entry'!D551), "", 'Data Entry'!D551)</f>
      </c>
      <c r="E551">
        <f>IF(ISBLANK('Data Entry'!E551), "", 'Data Entry'!E551)</f>
      </c>
      <c r="F551">
        <f>IF(ISBLANK('Data Entry'!F551), "", 'Data Entry'!F551)</f>
      </c>
      <c r="G551">
        <f>IF(ISBLANK('Data Entry'!G551), "", 'Data Entry'!G551)</f>
      </c>
      <c r="H551">
        <f>IF(ISBLANK('Data Entry'!H551), "", 'Data Entry'!H551)</f>
      </c>
      <c r="I551">
        <f>IF(ISBLANK('Data Entry'!I551), "", 'Data Entry'!I551)</f>
      </c>
      <c r="J551">
        <f>IF(ISBLANK('Data Entry'!J551), "", 'Data Entry'!J551)</f>
      </c>
      <c r="K551">
        <f>IF(ISBLANK('Data Entry'!K551), "", 'Data Entry'!K551)</f>
      </c>
      <c r="L551">
        <f>IF(ISBLANK('Data Entry'!L551), "", 'Data Entry'!L551)</f>
      </c>
      <c r="M551">
        <f>IF(ISBLANK('Data Entry'!M551), "", 'Data Entry'!M551)</f>
      </c>
      <c r="N551">
        <f>IF(ISBLANK('Data Entry'!N551), "", 'Data Entry'!N551)</f>
      </c>
      <c r="O551">
        <f>IF(ISBLANK('Data Entry'!O551), "", 'Data Entry'!O551)</f>
      </c>
      <c r="P551">
        <f>IF(ISBLANK('Data Entry'!P551), "", 'Data Entry'!P551)</f>
      </c>
      <c r="Q551">
        <f>IF(ISBLANK('Data Entry'!Q551), "", 'Data Entry'!Q551)</f>
      </c>
      <c r="R551">
        <f>IF(ISBLANK('Data Entry'!R551), "", 'Data Entry'!R551)</f>
      </c>
      <c r="S551">
        <f>IF(ISBLANK('Data Entry'!S551), "", 'Data Entry'!S551)</f>
      </c>
      <c r="T551">
        <f>IF(ISBLANK('Data Entry'!T551), "", 'Data Entry'!T551)</f>
      </c>
      <c r="U551">
        <f>IF(ISBLANK('Data Entry'!U551), "", 'Data Entry'!U551)</f>
      </c>
      <c r="V551">
        <f>IF(ISBLANK('Data Entry'!V551), "", 'Data Entry'!V551)</f>
      </c>
      <c r="W551">
        <f>IF(ISBLANK('Data Entry'!W551), "", 'Data Entry'!W551)</f>
      </c>
      <c r="X551">
        <f>IF(ISBLANK('Data Entry'!X551), "", 'Data Entry'!X551)</f>
      </c>
      <c r="Y551">
        <f>IF(ISBLANK('Data Entry'!Y551), "", 'Data Entry'!Y551)</f>
      </c>
      <c r="Z551">
        <f>IF(ISBLANK('Data Entry'!Z551), "", 'Data Entry'!Z551)</f>
      </c>
      <c r="AA551">
        <f>IF(ISBLANK('Data Entry'![551), "", 'Data Entry'![551)</f>
      </c>
      <c r="AB551">
        <f>IF(ISBLANK('Data Entry'!\551), "", 'Data Entry'!\551)</f>
      </c>
      <c r="AC551">
        <f>IF(ISBLANK('Data Entry'!]551), "", 'Data Entry'!]551)</f>
      </c>
      <c r="AD551">
        <f>IF(ISBLANK('Data Entry'!^551), "", 'Data Entry'!^551)</f>
      </c>
      <c r="AE551">
        <f>IF(ISBLANK('Data Entry'!_551), "", 'Data Entry'!_551)</f>
      </c>
      <c r="AF551">
        <f>IF(ISBLANK('Data Entry'!`551), "", 'Data Entry'!`551)</f>
      </c>
      <c r="AG551">
        <f>IF(ISBLANK('Data Entry'!a551), "", 'Data Entry'!a551)</f>
      </c>
      <c r="AH551">
        <f>IF(ISBLANK('Data Entry'!b551), "", 'Data Entry'!b551)</f>
      </c>
      <c r="AI551">
        <f>IF(ISBLANK('Data Entry'!c551), "", 'Data Entry'!c551)</f>
      </c>
      <c r="AJ551">
        <f>IF(ISBLANK('Data Entry'!d551), "", 'Data Entry'!d551)</f>
      </c>
      <c r="AK551">
        <f>IF(ISBLANK('Data Entry'!e551), "", 'Data Entry'!e551)</f>
      </c>
      <c r="AL551">
        <f>IF(ISBLANK('Data Entry'!f551), "", 'Data Entry'!f551)</f>
      </c>
      <c r="AM551">
        <f>IF(ISBLANK('Data Entry'!g551), "", 'Data Entry'!g551)</f>
      </c>
      <c r="AN551">
        <f>IF(ISBLANK('Data Entry'!h551), "", 'Data Entry'!h551)</f>
      </c>
    </row>
    <row r="552" spans="1:40" x14ac:dyDescent="0.25">
      <c r="A552">
        <f>IF(ISBLANK('Data Entry'!A552), "", 'Data Entry'!A552)</f>
      </c>
      <c r="B552">
        <f>IF(ISBLANK('Data Entry'!B552), "", 'Data Entry'!B552)</f>
      </c>
      <c r="C552">
        <f>IF(ISBLANK('Data Entry'!C552), "", 'Data Entry'!C552)</f>
      </c>
      <c r="D552">
        <f>IF(ISBLANK('Data Entry'!D552), "", 'Data Entry'!D552)</f>
      </c>
      <c r="E552">
        <f>IF(ISBLANK('Data Entry'!E552), "", 'Data Entry'!E552)</f>
      </c>
      <c r="F552">
        <f>IF(ISBLANK('Data Entry'!F552), "", 'Data Entry'!F552)</f>
      </c>
      <c r="G552">
        <f>IF(ISBLANK('Data Entry'!G552), "", 'Data Entry'!G552)</f>
      </c>
      <c r="H552">
        <f>IF(ISBLANK('Data Entry'!H552), "", 'Data Entry'!H552)</f>
      </c>
      <c r="I552">
        <f>IF(ISBLANK('Data Entry'!I552), "", 'Data Entry'!I552)</f>
      </c>
      <c r="J552">
        <f>IF(ISBLANK('Data Entry'!J552), "", 'Data Entry'!J552)</f>
      </c>
      <c r="K552">
        <f>IF(ISBLANK('Data Entry'!K552), "", 'Data Entry'!K552)</f>
      </c>
      <c r="L552">
        <f>IF(ISBLANK('Data Entry'!L552), "", 'Data Entry'!L552)</f>
      </c>
      <c r="M552">
        <f>IF(ISBLANK('Data Entry'!M552), "", 'Data Entry'!M552)</f>
      </c>
      <c r="N552">
        <f>IF(ISBLANK('Data Entry'!N552), "", 'Data Entry'!N552)</f>
      </c>
      <c r="O552">
        <f>IF(ISBLANK('Data Entry'!O552), "", 'Data Entry'!O552)</f>
      </c>
      <c r="P552">
        <f>IF(ISBLANK('Data Entry'!P552), "", 'Data Entry'!P552)</f>
      </c>
      <c r="Q552">
        <f>IF(ISBLANK('Data Entry'!Q552), "", 'Data Entry'!Q552)</f>
      </c>
      <c r="R552">
        <f>IF(ISBLANK('Data Entry'!R552), "", 'Data Entry'!R552)</f>
      </c>
      <c r="S552">
        <f>IF(ISBLANK('Data Entry'!S552), "", 'Data Entry'!S552)</f>
      </c>
      <c r="T552">
        <f>IF(ISBLANK('Data Entry'!T552), "", 'Data Entry'!T552)</f>
      </c>
      <c r="U552">
        <f>IF(ISBLANK('Data Entry'!U552), "", 'Data Entry'!U552)</f>
      </c>
      <c r="V552">
        <f>IF(ISBLANK('Data Entry'!V552), "", 'Data Entry'!V552)</f>
      </c>
      <c r="W552">
        <f>IF(ISBLANK('Data Entry'!W552), "", 'Data Entry'!W552)</f>
      </c>
      <c r="X552">
        <f>IF(ISBLANK('Data Entry'!X552), "", 'Data Entry'!X552)</f>
      </c>
      <c r="Y552">
        <f>IF(ISBLANK('Data Entry'!Y552), "", 'Data Entry'!Y552)</f>
      </c>
      <c r="Z552">
        <f>IF(ISBLANK('Data Entry'!Z552), "", 'Data Entry'!Z552)</f>
      </c>
      <c r="AA552">
        <f>IF(ISBLANK('Data Entry'![552), "", 'Data Entry'![552)</f>
      </c>
      <c r="AB552">
        <f>IF(ISBLANK('Data Entry'!\552), "", 'Data Entry'!\552)</f>
      </c>
      <c r="AC552">
        <f>IF(ISBLANK('Data Entry'!]552), "", 'Data Entry'!]552)</f>
      </c>
      <c r="AD552">
        <f>IF(ISBLANK('Data Entry'!^552), "", 'Data Entry'!^552)</f>
      </c>
      <c r="AE552">
        <f>IF(ISBLANK('Data Entry'!_552), "", 'Data Entry'!_552)</f>
      </c>
      <c r="AF552">
        <f>IF(ISBLANK('Data Entry'!`552), "", 'Data Entry'!`552)</f>
      </c>
      <c r="AG552">
        <f>IF(ISBLANK('Data Entry'!a552), "", 'Data Entry'!a552)</f>
      </c>
      <c r="AH552">
        <f>IF(ISBLANK('Data Entry'!b552), "", 'Data Entry'!b552)</f>
      </c>
      <c r="AI552">
        <f>IF(ISBLANK('Data Entry'!c552), "", 'Data Entry'!c552)</f>
      </c>
      <c r="AJ552">
        <f>IF(ISBLANK('Data Entry'!d552), "", 'Data Entry'!d552)</f>
      </c>
      <c r="AK552">
        <f>IF(ISBLANK('Data Entry'!e552), "", 'Data Entry'!e552)</f>
      </c>
      <c r="AL552">
        <f>IF(ISBLANK('Data Entry'!f552), "", 'Data Entry'!f552)</f>
      </c>
      <c r="AM552">
        <f>IF(ISBLANK('Data Entry'!g552), "", 'Data Entry'!g552)</f>
      </c>
      <c r="AN552">
        <f>IF(ISBLANK('Data Entry'!h552), "", 'Data Entry'!h552)</f>
      </c>
    </row>
    <row r="553" spans="1:40" x14ac:dyDescent="0.25">
      <c r="A553">
        <f>IF(ISBLANK('Data Entry'!A553), "", 'Data Entry'!A553)</f>
      </c>
      <c r="B553">
        <f>IF(ISBLANK('Data Entry'!B553), "", 'Data Entry'!B553)</f>
      </c>
      <c r="C553">
        <f>IF(ISBLANK('Data Entry'!C553), "", 'Data Entry'!C553)</f>
      </c>
      <c r="D553">
        <f>IF(ISBLANK('Data Entry'!D553), "", 'Data Entry'!D553)</f>
      </c>
      <c r="E553">
        <f>IF(ISBLANK('Data Entry'!E553), "", 'Data Entry'!E553)</f>
      </c>
      <c r="F553">
        <f>IF(ISBLANK('Data Entry'!F553), "", 'Data Entry'!F553)</f>
      </c>
      <c r="G553">
        <f>IF(ISBLANK('Data Entry'!G553), "", 'Data Entry'!G553)</f>
      </c>
      <c r="H553">
        <f>IF(ISBLANK('Data Entry'!H553), "", 'Data Entry'!H553)</f>
      </c>
      <c r="I553">
        <f>IF(ISBLANK('Data Entry'!I553), "", 'Data Entry'!I553)</f>
      </c>
      <c r="J553">
        <f>IF(ISBLANK('Data Entry'!J553), "", 'Data Entry'!J553)</f>
      </c>
      <c r="K553">
        <f>IF(ISBLANK('Data Entry'!K553), "", 'Data Entry'!K553)</f>
      </c>
      <c r="L553">
        <f>IF(ISBLANK('Data Entry'!L553), "", 'Data Entry'!L553)</f>
      </c>
      <c r="M553">
        <f>IF(ISBLANK('Data Entry'!M553), "", 'Data Entry'!M553)</f>
      </c>
      <c r="N553">
        <f>IF(ISBLANK('Data Entry'!N553), "", 'Data Entry'!N553)</f>
      </c>
      <c r="O553">
        <f>IF(ISBLANK('Data Entry'!O553), "", 'Data Entry'!O553)</f>
      </c>
      <c r="P553">
        <f>IF(ISBLANK('Data Entry'!P553), "", 'Data Entry'!P553)</f>
      </c>
      <c r="Q553">
        <f>IF(ISBLANK('Data Entry'!Q553), "", 'Data Entry'!Q553)</f>
      </c>
      <c r="R553">
        <f>IF(ISBLANK('Data Entry'!R553), "", 'Data Entry'!R553)</f>
      </c>
      <c r="S553">
        <f>IF(ISBLANK('Data Entry'!S553), "", 'Data Entry'!S553)</f>
      </c>
      <c r="T553">
        <f>IF(ISBLANK('Data Entry'!T553), "", 'Data Entry'!T553)</f>
      </c>
      <c r="U553">
        <f>IF(ISBLANK('Data Entry'!U553), "", 'Data Entry'!U553)</f>
      </c>
      <c r="V553">
        <f>IF(ISBLANK('Data Entry'!V553), "", 'Data Entry'!V553)</f>
      </c>
      <c r="W553">
        <f>IF(ISBLANK('Data Entry'!W553), "", 'Data Entry'!W553)</f>
      </c>
      <c r="X553">
        <f>IF(ISBLANK('Data Entry'!X553), "", 'Data Entry'!X553)</f>
      </c>
      <c r="Y553">
        <f>IF(ISBLANK('Data Entry'!Y553), "", 'Data Entry'!Y553)</f>
      </c>
      <c r="Z553">
        <f>IF(ISBLANK('Data Entry'!Z553), "", 'Data Entry'!Z553)</f>
      </c>
      <c r="AA553">
        <f>IF(ISBLANK('Data Entry'![553), "", 'Data Entry'![553)</f>
      </c>
      <c r="AB553">
        <f>IF(ISBLANK('Data Entry'!\553), "", 'Data Entry'!\553)</f>
      </c>
      <c r="AC553">
        <f>IF(ISBLANK('Data Entry'!]553), "", 'Data Entry'!]553)</f>
      </c>
      <c r="AD553">
        <f>IF(ISBLANK('Data Entry'!^553), "", 'Data Entry'!^553)</f>
      </c>
      <c r="AE553">
        <f>IF(ISBLANK('Data Entry'!_553), "", 'Data Entry'!_553)</f>
      </c>
      <c r="AF553">
        <f>IF(ISBLANK('Data Entry'!`553), "", 'Data Entry'!`553)</f>
      </c>
      <c r="AG553">
        <f>IF(ISBLANK('Data Entry'!a553), "", 'Data Entry'!a553)</f>
      </c>
      <c r="AH553">
        <f>IF(ISBLANK('Data Entry'!b553), "", 'Data Entry'!b553)</f>
      </c>
      <c r="AI553">
        <f>IF(ISBLANK('Data Entry'!c553), "", 'Data Entry'!c553)</f>
      </c>
      <c r="AJ553">
        <f>IF(ISBLANK('Data Entry'!d553), "", 'Data Entry'!d553)</f>
      </c>
      <c r="AK553">
        <f>IF(ISBLANK('Data Entry'!e553), "", 'Data Entry'!e553)</f>
      </c>
      <c r="AL553">
        <f>IF(ISBLANK('Data Entry'!f553), "", 'Data Entry'!f553)</f>
      </c>
      <c r="AM553">
        <f>IF(ISBLANK('Data Entry'!g553), "", 'Data Entry'!g553)</f>
      </c>
      <c r="AN553">
        <f>IF(ISBLANK('Data Entry'!h553), "", 'Data Entry'!h553)</f>
      </c>
    </row>
    <row r="554" spans="1:40" x14ac:dyDescent="0.25">
      <c r="A554">
        <f>IF(ISBLANK('Data Entry'!A554), "", 'Data Entry'!A554)</f>
      </c>
      <c r="B554">
        <f>IF(ISBLANK('Data Entry'!B554), "", 'Data Entry'!B554)</f>
      </c>
      <c r="C554">
        <f>IF(ISBLANK('Data Entry'!C554), "", 'Data Entry'!C554)</f>
      </c>
      <c r="D554">
        <f>IF(ISBLANK('Data Entry'!D554), "", 'Data Entry'!D554)</f>
      </c>
      <c r="E554">
        <f>IF(ISBLANK('Data Entry'!E554), "", 'Data Entry'!E554)</f>
      </c>
      <c r="F554">
        <f>IF(ISBLANK('Data Entry'!F554), "", 'Data Entry'!F554)</f>
      </c>
      <c r="G554">
        <f>IF(ISBLANK('Data Entry'!G554), "", 'Data Entry'!G554)</f>
      </c>
      <c r="H554">
        <f>IF(ISBLANK('Data Entry'!H554), "", 'Data Entry'!H554)</f>
      </c>
      <c r="I554">
        <f>IF(ISBLANK('Data Entry'!I554), "", 'Data Entry'!I554)</f>
      </c>
      <c r="J554">
        <f>IF(ISBLANK('Data Entry'!J554), "", 'Data Entry'!J554)</f>
      </c>
      <c r="K554">
        <f>IF(ISBLANK('Data Entry'!K554), "", 'Data Entry'!K554)</f>
      </c>
      <c r="L554">
        <f>IF(ISBLANK('Data Entry'!L554), "", 'Data Entry'!L554)</f>
      </c>
      <c r="M554">
        <f>IF(ISBLANK('Data Entry'!M554), "", 'Data Entry'!M554)</f>
      </c>
      <c r="N554">
        <f>IF(ISBLANK('Data Entry'!N554), "", 'Data Entry'!N554)</f>
      </c>
      <c r="O554">
        <f>IF(ISBLANK('Data Entry'!O554), "", 'Data Entry'!O554)</f>
      </c>
      <c r="P554">
        <f>IF(ISBLANK('Data Entry'!P554), "", 'Data Entry'!P554)</f>
      </c>
      <c r="Q554">
        <f>IF(ISBLANK('Data Entry'!Q554), "", 'Data Entry'!Q554)</f>
      </c>
      <c r="R554">
        <f>IF(ISBLANK('Data Entry'!R554), "", 'Data Entry'!R554)</f>
      </c>
      <c r="S554">
        <f>IF(ISBLANK('Data Entry'!S554), "", 'Data Entry'!S554)</f>
      </c>
      <c r="T554">
        <f>IF(ISBLANK('Data Entry'!T554), "", 'Data Entry'!T554)</f>
      </c>
      <c r="U554">
        <f>IF(ISBLANK('Data Entry'!U554), "", 'Data Entry'!U554)</f>
      </c>
      <c r="V554">
        <f>IF(ISBLANK('Data Entry'!V554), "", 'Data Entry'!V554)</f>
      </c>
      <c r="W554">
        <f>IF(ISBLANK('Data Entry'!W554), "", 'Data Entry'!W554)</f>
      </c>
      <c r="X554">
        <f>IF(ISBLANK('Data Entry'!X554), "", 'Data Entry'!X554)</f>
      </c>
      <c r="Y554">
        <f>IF(ISBLANK('Data Entry'!Y554), "", 'Data Entry'!Y554)</f>
      </c>
      <c r="Z554">
        <f>IF(ISBLANK('Data Entry'!Z554), "", 'Data Entry'!Z554)</f>
      </c>
      <c r="AA554">
        <f>IF(ISBLANK('Data Entry'![554), "", 'Data Entry'![554)</f>
      </c>
      <c r="AB554">
        <f>IF(ISBLANK('Data Entry'!\554), "", 'Data Entry'!\554)</f>
      </c>
      <c r="AC554">
        <f>IF(ISBLANK('Data Entry'!]554), "", 'Data Entry'!]554)</f>
      </c>
      <c r="AD554">
        <f>IF(ISBLANK('Data Entry'!^554), "", 'Data Entry'!^554)</f>
      </c>
      <c r="AE554">
        <f>IF(ISBLANK('Data Entry'!_554), "", 'Data Entry'!_554)</f>
      </c>
      <c r="AF554">
        <f>IF(ISBLANK('Data Entry'!`554), "", 'Data Entry'!`554)</f>
      </c>
      <c r="AG554">
        <f>IF(ISBLANK('Data Entry'!a554), "", 'Data Entry'!a554)</f>
      </c>
      <c r="AH554">
        <f>IF(ISBLANK('Data Entry'!b554), "", 'Data Entry'!b554)</f>
      </c>
      <c r="AI554">
        <f>IF(ISBLANK('Data Entry'!c554), "", 'Data Entry'!c554)</f>
      </c>
      <c r="AJ554">
        <f>IF(ISBLANK('Data Entry'!d554), "", 'Data Entry'!d554)</f>
      </c>
      <c r="AK554">
        <f>IF(ISBLANK('Data Entry'!e554), "", 'Data Entry'!e554)</f>
      </c>
      <c r="AL554">
        <f>IF(ISBLANK('Data Entry'!f554), "", 'Data Entry'!f554)</f>
      </c>
      <c r="AM554">
        <f>IF(ISBLANK('Data Entry'!g554), "", 'Data Entry'!g554)</f>
      </c>
      <c r="AN554">
        <f>IF(ISBLANK('Data Entry'!h554), "", 'Data Entry'!h554)</f>
      </c>
    </row>
    <row r="555" spans="1:40" x14ac:dyDescent="0.25">
      <c r="A555">
        <f>IF(ISBLANK('Data Entry'!A555), "", 'Data Entry'!A555)</f>
      </c>
      <c r="B555">
        <f>IF(ISBLANK('Data Entry'!B555), "", 'Data Entry'!B555)</f>
      </c>
      <c r="C555">
        <f>IF(ISBLANK('Data Entry'!C555), "", 'Data Entry'!C555)</f>
      </c>
      <c r="D555">
        <f>IF(ISBLANK('Data Entry'!D555), "", 'Data Entry'!D555)</f>
      </c>
      <c r="E555">
        <f>IF(ISBLANK('Data Entry'!E555), "", 'Data Entry'!E555)</f>
      </c>
      <c r="F555">
        <f>IF(ISBLANK('Data Entry'!F555), "", 'Data Entry'!F555)</f>
      </c>
      <c r="G555">
        <f>IF(ISBLANK('Data Entry'!G555), "", 'Data Entry'!G555)</f>
      </c>
      <c r="H555">
        <f>IF(ISBLANK('Data Entry'!H555), "", 'Data Entry'!H555)</f>
      </c>
      <c r="I555">
        <f>IF(ISBLANK('Data Entry'!I555), "", 'Data Entry'!I555)</f>
      </c>
      <c r="J555">
        <f>IF(ISBLANK('Data Entry'!J555), "", 'Data Entry'!J555)</f>
      </c>
      <c r="K555">
        <f>IF(ISBLANK('Data Entry'!K555), "", 'Data Entry'!K555)</f>
      </c>
      <c r="L555">
        <f>IF(ISBLANK('Data Entry'!L555), "", 'Data Entry'!L555)</f>
      </c>
      <c r="M555">
        <f>IF(ISBLANK('Data Entry'!M555), "", 'Data Entry'!M555)</f>
      </c>
      <c r="N555">
        <f>IF(ISBLANK('Data Entry'!N555), "", 'Data Entry'!N555)</f>
      </c>
      <c r="O555">
        <f>IF(ISBLANK('Data Entry'!O555), "", 'Data Entry'!O555)</f>
      </c>
      <c r="P555">
        <f>IF(ISBLANK('Data Entry'!P555), "", 'Data Entry'!P555)</f>
      </c>
      <c r="Q555">
        <f>IF(ISBLANK('Data Entry'!Q555), "", 'Data Entry'!Q555)</f>
      </c>
      <c r="R555">
        <f>IF(ISBLANK('Data Entry'!R555), "", 'Data Entry'!R555)</f>
      </c>
      <c r="S555">
        <f>IF(ISBLANK('Data Entry'!S555), "", 'Data Entry'!S555)</f>
      </c>
      <c r="T555">
        <f>IF(ISBLANK('Data Entry'!T555), "", 'Data Entry'!T555)</f>
      </c>
      <c r="U555">
        <f>IF(ISBLANK('Data Entry'!U555), "", 'Data Entry'!U555)</f>
      </c>
      <c r="V555">
        <f>IF(ISBLANK('Data Entry'!V555), "", 'Data Entry'!V555)</f>
      </c>
      <c r="W555">
        <f>IF(ISBLANK('Data Entry'!W555), "", 'Data Entry'!W555)</f>
      </c>
      <c r="X555">
        <f>IF(ISBLANK('Data Entry'!X555), "", 'Data Entry'!X555)</f>
      </c>
      <c r="Y555">
        <f>IF(ISBLANK('Data Entry'!Y555), "", 'Data Entry'!Y555)</f>
      </c>
      <c r="Z555">
        <f>IF(ISBLANK('Data Entry'!Z555), "", 'Data Entry'!Z555)</f>
      </c>
      <c r="AA555">
        <f>IF(ISBLANK('Data Entry'![555), "", 'Data Entry'![555)</f>
      </c>
      <c r="AB555">
        <f>IF(ISBLANK('Data Entry'!\555), "", 'Data Entry'!\555)</f>
      </c>
      <c r="AC555">
        <f>IF(ISBLANK('Data Entry'!]555), "", 'Data Entry'!]555)</f>
      </c>
      <c r="AD555">
        <f>IF(ISBLANK('Data Entry'!^555), "", 'Data Entry'!^555)</f>
      </c>
      <c r="AE555">
        <f>IF(ISBLANK('Data Entry'!_555), "", 'Data Entry'!_555)</f>
      </c>
      <c r="AF555">
        <f>IF(ISBLANK('Data Entry'!`555), "", 'Data Entry'!`555)</f>
      </c>
      <c r="AG555">
        <f>IF(ISBLANK('Data Entry'!a555), "", 'Data Entry'!a555)</f>
      </c>
      <c r="AH555">
        <f>IF(ISBLANK('Data Entry'!b555), "", 'Data Entry'!b555)</f>
      </c>
      <c r="AI555">
        <f>IF(ISBLANK('Data Entry'!c555), "", 'Data Entry'!c555)</f>
      </c>
      <c r="AJ555">
        <f>IF(ISBLANK('Data Entry'!d555), "", 'Data Entry'!d555)</f>
      </c>
      <c r="AK555">
        <f>IF(ISBLANK('Data Entry'!e555), "", 'Data Entry'!e555)</f>
      </c>
      <c r="AL555">
        <f>IF(ISBLANK('Data Entry'!f555), "", 'Data Entry'!f555)</f>
      </c>
      <c r="AM555">
        <f>IF(ISBLANK('Data Entry'!g555), "", 'Data Entry'!g555)</f>
      </c>
      <c r="AN555">
        <f>IF(ISBLANK('Data Entry'!h555), "", 'Data Entry'!h555)</f>
      </c>
    </row>
    <row r="556" spans="1:40" x14ac:dyDescent="0.25">
      <c r="A556">
        <f>IF(ISBLANK('Data Entry'!A556), "", 'Data Entry'!A556)</f>
      </c>
      <c r="B556">
        <f>IF(ISBLANK('Data Entry'!B556), "", 'Data Entry'!B556)</f>
      </c>
      <c r="C556">
        <f>IF(ISBLANK('Data Entry'!C556), "", 'Data Entry'!C556)</f>
      </c>
      <c r="D556">
        <f>IF(ISBLANK('Data Entry'!D556), "", 'Data Entry'!D556)</f>
      </c>
      <c r="E556">
        <f>IF(ISBLANK('Data Entry'!E556), "", 'Data Entry'!E556)</f>
      </c>
      <c r="F556">
        <f>IF(ISBLANK('Data Entry'!F556), "", 'Data Entry'!F556)</f>
      </c>
      <c r="G556">
        <f>IF(ISBLANK('Data Entry'!G556), "", 'Data Entry'!G556)</f>
      </c>
      <c r="H556">
        <f>IF(ISBLANK('Data Entry'!H556), "", 'Data Entry'!H556)</f>
      </c>
      <c r="I556">
        <f>IF(ISBLANK('Data Entry'!I556), "", 'Data Entry'!I556)</f>
      </c>
      <c r="J556">
        <f>IF(ISBLANK('Data Entry'!J556), "", 'Data Entry'!J556)</f>
      </c>
      <c r="K556">
        <f>IF(ISBLANK('Data Entry'!K556), "", 'Data Entry'!K556)</f>
      </c>
      <c r="L556">
        <f>IF(ISBLANK('Data Entry'!L556), "", 'Data Entry'!L556)</f>
      </c>
      <c r="M556">
        <f>IF(ISBLANK('Data Entry'!M556), "", 'Data Entry'!M556)</f>
      </c>
      <c r="N556">
        <f>IF(ISBLANK('Data Entry'!N556), "", 'Data Entry'!N556)</f>
      </c>
      <c r="O556">
        <f>IF(ISBLANK('Data Entry'!O556), "", 'Data Entry'!O556)</f>
      </c>
      <c r="P556">
        <f>IF(ISBLANK('Data Entry'!P556), "", 'Data Entry'!P556)</f>
      </c>
      <c r="Q556">
        <f>IF(ISBLANK('Data Entry'!Q556), "", 'Data Entry'!Q556)</f>
      </c>
      <c r="R556">
        <f>IF(ISBLANK('Data Entry'!R556), "", 'Data Entry'!R556)</f>
      </c>
      <c r="S556">
        <f>IF(ISBLANK('Data Entry'!S556), "", 'Data Entry'!S556)</f>
      </c>
      <c r="T556">
        <f>IF(ISBLANK('Data Entry'!T556), "", 'Data Entry'!T556)</f>
      </c>
      <c r="U556">
        <f>IF(ISBLANK('Data Entry'!U556), "", 'Data Entry'!U556)</f>
      </c>
      <c r="V556">
        <f>IF(ISBLANK('Data Entry'!V556), "", 'Data Entry'!V556)</f>
      </c>
      <c r="W556">
        <f>IF(ISBLANK('Data Entry'!W556), "", 'Data Entry'!W556)</f>
      </c>
      <c r="X556">
        <f>IF(ISBLANK('Data Entry'!X556), "", 'Data Entry'!X556)</f>
      </c>
      <c r="Y556">
        <f>IF(ISBLANK('Data Entry'!Y556), "", 'Data Entry'!Y556)</f>
      </c>
      <c r="Z556">
        <f>IF(ISBLANK('Data Entry'!Z556), "", 'Data Entry'!Z556)</f>
      </c>
      <c r="AA556">
        <f>IF(ISBLANK('Data Entry'![556), "", 'Data Entry'![556)</f>
      </c>
      <c r="AB556">
        <f>IF(ISBLANK('Data Entry'!\556), "", 'Data Entry'!\556)</f>
      </c>
      <c r="AC556">
        <f>IF(ISBLANK('Data Entry'!]556), "", 'Data Entry'!]556)</f>
      </c>
      <c r="AD556">
        <f>IF(ISBLANK('Data Entry'!^556), "", 'Data Entry'!^556)</f>
      </c>
      <c r="AE556">
        <f>IF(ISBLANK('Data Entry'!_556), "", 'Data Entry'!_556)</f>
      </c>
      <c r="AF556">
        <f>IF(ISBLANK('Data Entry'!`556), "", 'Data Entry'!`556)</f>
      </c>
      <c r="AG556">
        <f>IF(ISBLANK('Data Entry'!a556), "", 'Data Entry'!a556)</f>
      </c>
      <c r="AH556">
        <f>IF(ISBLANK('Data Entry'!b556), "", 'Data Entry'!b556)</f>
      </c>
      <c r="AI556">
        <f>IF(ISBLANK('Data Entry'!c556), "", 'Data Entry'!c556)</f>
      </c>
      <c r="AJ556">
        <f>IF(ISBLANK('Data Entry'!d556), "", 'Data Entry'!d556)</f>
      </c>
      <c r="AK556">
        <f>IF(ISBLANK('Data Entry'!e556), "", 'Data Entry'!e556)</f>
      </c>
      <c r="AL556">
        <f>IF(ISBLANK('Data Entry'!f556), "", 'Data Entry'!f556)</f>
      </c>
      <c r="AM556">
        <f>IF(ISBLANK('Data Entry'!g556), "", 'Data Entry'!g556)</f>
      </c>
      <c r="AN556">
        <f>IF(ISBLANK('Data Entry'!h556), "", 'Data Entry'!h556)</f>
      </c>
    </row>
    <row r="557" spans="1:40" x14ac:dyDescent="0.25">
      <c r="A557">
        <f>IF(ISBLANK('Data Entry'!A557), "", 'Data Entry'!A557)</f>
      </c>
      <c r="B557">
        <f>IF(ISBLANK('Data Entry'!B557), "", 'Data Entry'!B557)</f>
      </c>
      <c r="C557">
        <f>IF(ISBLANK('Data Entry'!C557), "", 'Data Entry'!C557)</f>
      </c>
      <c r="D557">
        <f>IF(ISBLANK('Data Entry'!D557), "", 'Data Entry'!D557)</f>
      </c>
      <c r="E557">
        <f>IF(ISBLANK('Data Entry'!E557), "", 'Data Entry'!E557)</f>
      </c>
      <c r="F557">
        <f>IF(ISBLANK('Data Entry'!F557), "", 'Data Entry'!F557)</f>
      </c>
      <c r="G557">
        <f>IF(ISBLANK('Data Entry'!G557), "", 'Data Entry'!G557)</f>
      </c>
      <c r="H557">
        <f>IF(ISBLANK('Data Entry'!H557), "", 'Data Entry'!H557)</f>
      </c>
      <c r="I557">
        <f>IF(ISBLANK('Data Entry'!I557), "", 'Data Entry'!I557)</f>
      </c>
      <c r="J557">
        <f>IF(ISBLANK('Data Entry'!J557), "", 'Data Entry'!J557)</f>
      </c>
      <c r="K557">
        <f>IF(ISBLANK('Data Entry'!K557), "", 'Data Entry'!K557)</f>
      </c>
      <c r="L557">
        <f>IF(ISBLANK('Data Entry'!L557), "", 'Data Entry'!L557)</f>
      </c>
      <c r="M557">
        <f>IF(ISBLANK('Data Entry'!M557), "", 'Data Entry'!M557)</f>
      </c>
      <c r="N557">
        <f>IF(ISBLANK('Data Entry'!N557), "", 'Data Entry'!N557)</f>
      </c>
      <c r="O557">
        <f>IF(ISBLANK('Data Entry'!O557), "", 'Data Entry'!O557)</f>
      </c>
      <c r="P557">
        <f>IF(ISBLANK('Data Entry'!P557), "", 'Data Entry'!P557)</f>
      </c>
      <c r="Q557">
        <f>IF(ISBLANK('Data Entry'!Q557), "", 'Data Entry'!Q557)</f>
      </c>
      <c r="R557">
        <f>IF(ISBLANK('Data Entry'!R557), "", 'Data Entry'!R557)</f>
      </c>
      <c r="S557">
        <f>IF(ISBLANK('Data Entry'!S557), "", 'Data Entry'!S557)</f>
      </c>
      <c r="T557">
        <f>IF(ISBLANK('Data Entry'!T557), "", 'Data Entry'!T557)</f>
      </c>
      <c r="U557">
        <f>IF(ISBLANK('Data Entry'!U557), "", 'Data Entry'!U557)</f>
      </c>
      <c r="V557">
        <f>IF(ISBLANK('Data Entry'!V557), "", 'Data Entry'!V557)</f>
      </c>
      <c r="W557">
        <f>IF(ISBLANK('Data Entry'!W557), "", 'Data Entry'!W557)</f>
      </c>
      <c r="X557">
        <f>IF(ISBLANK('Data Entry'!X557), "", 'Data Entry'!X557)</f>
      </c>
      <c r="Y557">
        <f>IF(ISBLANK('Data Entry'!Y557), "", 'Data Entry'!Y557)</f>
      </c>
      <c r="Z557">
        <f>IF(ISBLANK('Data Entry'!Z557), "", 'Data Entry'!Z557)</f>
      </c>
      <c r="AA557">
        <f>IF(ISBLANK('Data Entry'![557), "", 'Data Entry'![557)</f>
      </c>
      <c r="AB557">
        <f>IF(ISBLANK('Data Entry'!\557), "", 'Data Entry'!\557)</f>
      </c>
      <c r="AC557">
        <f>IF(ISBLANK('Data Entry'!]557), "", 'Data Entry'!]557)</f>
      </c>
      <c r="AD557">
        <f>IF(ISBLANK('Data Entry'!^557), "", 'Data Entry'!^557)</f>
      </c>
      <c r="AE557">
        <f>IF(ISBLANK('Data Entry'!_557), "", 'Data Entry'!_557)</f>
      </c>
      <c r="AF557">
        <f>IF(ISBLANK('Data Entry'!`557), "", 'Data Entry'!`557)</f>
      </c>
      <c r="AG557">
        <f>IF(ISBLANK('Data Entry'!a557), "", 'Data Entry'!a557)</f>
      </c>
      <c r="AH557">
        <f>IF(ISBLANK('Data Entry'!b557), "", 'Data Entry'!b557)</f>
      </c>
      <c r="AI557">
        <f>IF(ISBLANK('Data Entry'!c557), "", 'Data Entry'!c557)</f>
      </c>
      <c r="AJ557">
        <f>IF(ISBLANK('Data Entry'!d557), "", 'Data Entry'!d557)</f>
      </c>
      <c r="AK557">
        <f>IF(ISBLANK('Data Entry'!e557), "", 'Data Entry'!e557)</f>
      </c>
      <c r="AL557">
        <f>IF(ISBLANK('Data Entry'!f557), "", 'Data Entry'!f557)</f>
      </c>
      <c r="AM557">
        <f>IF(ISBLANK('Data Entry'!g557), "", 'Data Entry'!g557)</f>
      </c>
      <c r="AN557">
        <f>IF(ISBLANK('Data Entry'!h557), "", 'Data Entry'!h557)</f>
      </c>
    </row>
    <row r="558" spans="1:40" x14ac:dyDescent="0.25">
      <c r="A558">
        <f>IF(ISBLANK('Data Entry'!A558), "", 'Data Entry'!A558)</f>
      </c>
      <c r="B558">
        <f>IF(ISBLANK('Data Entry'!B558), "", 'Data Entry'!B558)</f>
      </c>
      <c r="C558">
        <f>IF(ISBLANK('Data Entry'!C558), "", 'Data Entry'!C558)</f>
      </c>
      <c r="D558">
        <f>IF(ISBLANK('Data Entry'!D558), "", 'Data Entry'!D558)</f>
      </c>
      <c r="E558">
        <f>IF(ISBLANK('Data Entry'!E558), "", 'Data Entry'!E558)</f>
      </c>
      <c r="F558">
        <f>IF(ISBLANK('Data Entry'!F558), "", 'Data Entry'!F558)</f>
      </c>
      <c r="G558">
        <f>IF(ISBLANK('Data Entry'!G558), "", 'Data Entry'!G558)</f>
      </c>
      <c r="H558">
        <f>IF(ISBLANK('Data Entry'!H558), "", 'Data Entry'!H558)</f>
      </c>
      <c r="I558">
        <f>IF(ISBLANK('Data Entry'!I558), "", 'Data Entry'!I558)</f>
      </c>
      <c r="J558">
        <f>IF(ISBLANK('Data Entry'!J558), "", 'Data Entry'!J558)</f>
      </c>
      <c r="K558">
        <f>IF(ISBLANK('Data Entry'!K558), "", 'Data Entry'!K558)</f>
      </c>
      <c r="L558">
        <f>IF(ISBLANK('Data Entry'!L558), "", 'Data Entry'!L558)</f>
      </c>
      <c r="M558">
        <f>IF(ISBLANK('Data Entry'!M558), "", 'Data Entry'!M558)</f>
      </c>
      <c r="N558">
        <f>IF(ISBLANK('Data Entry'!N558), "", 'Data Entry'!N558)</f>
      </c>
      <c r="O558">
        <f>IF(ISBLANK('Data Entry'!O558), "", 'Data Entry'!O558)</f>
      </c>
      <c r="P558">
        <f>IF(ISBLANK('Data Entry'!P558), "", 'Data Entry'!P558)</f>
      </c>
      <c r="Q558">
        <f>IF(ISBLANK('Data Entry'!Q558), "", 'Data Entry'!Q558)</f>
      </c>
      <c r="R558">
        <f>IF(ISBLANK('Data Entry'!R558), "", 'Data Entry'!R558)</f>
      </c>
      <c r="S558">
        <f>IF(ISBLANK('Data Entry'!S558), "", 'Data Entry'!S558)</f>
      </c>
      <c r="T558">
        <f>IF(ISBLANK('Data Entry'!T558), "", 'Data Entry'!T558)</f>
      </c>
      <c r="U558">
        <f>IF(ISBLANK('Data Entry'!U558), "", 'Data Entry'!U558)</f>
      </c>
      <c r="V558">
        <f>IF(ISBLANK('Data Entry'!V558), "", 'Data Entry'!V558)</f>
      </c>
      <c r="W558">
        <f>IF(ISBLANK('Data Entry'!W558), "", 'Data Entry'!W558)</f>
      </c>
      <c r="X558">
        <f>IF(ISBLANK('Data Entry'!X558), "", 'Data Entry'!X558)</f>
      </c>
      <c r="Y558">
        <f>IF(ISBLANK('Data Entry'!Y558), "", 'Data Entry'!Y558)</f>
      </c>
      <c r="Z558">
        <f>IF(ISBLANK('Data Entry'!Z558), "", 'Data Entry'!Z558)</f>
      </c>
      <c r="AA558">
        <f>IF(ISBLANK('Data Entry'![558), "", 'Data Entry'![558)</f>
      </c>
      <c r="AB558">
        <f>IF(ISBLANK('Data Entry'!\558), "", 'Data Entry'!\558)</f>
      </c>
      <c r="AC558">
        <f>IF(ISBLANK('Data Entry'!]558), "", 'Data Entry'!]558)</f>
      </c>
      <c r="AD558">
        <f>IF(ISBLANK('Data Entry'!^558), "", 'Data Entry'!^558)</f>
      </c>
      <c r="AE558">
        <f>IF(ISBLANK('Data Entry'!_558), "", 'Data Entry'!_558)</f>
      </c>
      <c r="AF558">
        <f>IF(ISBLANK('Data Entry'!`558), "", 'Data Entry'!`558)</f>
      </c>
      <c r="AG558">
        <f>IF(ISBLANK('Data Entry'!a558), "", 'Data Entry'!a558)</f>
      </c>
      <c r="AH558">
        <f>IF(ISBLANK('Data Entry'!b558), "", 'Data Entry'!b558)</f>
      </c>
      <c r="AI558">
        <f>IF(ISBLANK('Data Entry'!c558), "", 'Data Entry'!c558)</f>
      </c>
      <c r="AJ558">
        <f>IF(ISBLANK('Data Entry'!d558), "", 'Data Entry'!d558)</f>
      </c>
      <c r="AK558">
        <f>IF(ISBLANK('Data Entry'!e558), "", 'Data Entry'!e558)</f>
      </c>
      <c r="AL558">
        <f>IF(ISBLANK('Data Entry'!f558), "", 'Data Entry'!f558)</f>
      </c>
      <c r="AM558">
        <f>IF(ISBLANK('Data Entry'!g558), "", 'Data Entry'!g558)</f>
      </c>
      <c r="AN558">
        <f>IF(ISBLANK('Data Entry'!h558), "", 'Data Entry'!h558)</f>
      </c>
    </row>
    <row r="559" spans="1:40" x14ac:dyDescent="0.25">
      <c r="A559">
        <f>IF(ISBLANK('Data Entry'!A559), "", 'Data Entry'!A559)</f>
      </c>
      <c r="B559">
        <f>IF(ISBLANK('Data Entry'!B559), "", 'Data Entry'!B559)</f>
      </c>
      <c r="C559">
        <f>IF(ISBLANK('Data Entry'!C559), "", 'Data Entry'!C559)</f>
      </c>
      <c r="D559">
        <f>IF(ISBLANK('Data Entry'!D559), "", 'Data Entry'!D559)</f>
      </c>
      <c r="E559">
        <f>IF(ISBLANK('Data Entry'!E559), "", 'Data Entry'!E559)</f>
      </c>
      <c r="F559">
        <f>IF(ISBLANK('Data Entry'!F559), "", 'Data Entry'!F559)</f>
      </c>
      <c r="G559">
        <f>IF(ISBLANK('Data Entry'!G559), "", 'Data Entry'!G559)</f>
      </c>
      <c r="H559">
        <f>IF(ISBLANK('Data Entry'!H559), "", 'Data Entry'!H559)</f>
      </c>
      <c r="I559">
        <f>IF(ISBLANK('Data Entry'!I559), "", 'Data Entry'!I559)</f>
      </c>
      <c r="J559">
        <f>IF(ISBLANK('Data Entry'!J559), "", 'Data Entry'!J559)</f>
      </c>
      <c r="K559">
        <f>IF(ISBLANK('Data Entry'!K559), "", 'Data Entry'!K559)</f>
      </c>
      <c r="L559">
        <f>IF(ISBLANK('Data Entry'!L559), "", 'Data Entry'!L559)</f>
      </c>
      <c r="M559">
        <f>IF(ISBLANK('Data Entry'!M559), "", 'Data Entry'!M559)</f>
      </c>
      <c r="N559">
        <f>IF(ISBLANK('Data Entry'!N559), "", 'Data Entry'!N559)</f>
      </c>
      <c r="O559">
        <f>IF(ISBLANK('Data Entry'!O559), "", 'Data Entry'!O559)</f>
      </c>
      <c r="P559">
        <f>IF(ISBLANK('Data Entry'!P559), "", 'Data Entry'!P559)</f>
      </c>
      <c r="Q559">
        <f>IF(ISBLANK('Data Entry'!Q559), "", 'Data Entry'!Q559)</f>
      </c>
      <c r="R559">
        <f>IF(ISBLANK('Data Entry'!R559), "", 'Data Entry'!R559)</f>
      </c>
      <c r="S559">
        <f>IF(ISBLANK('Data Entry'!S559), "", 'Data Entry'!S559)</f>
      </c>
      <c r="T559">
        <f>IF(ISBLANK('Data Entry'!T559), "", 'Data Entry'!T559)</f>
      </c>
      <c r="U559">
        <f>IF(ISBLANK('Data Entry'!U559), "", 'Data Entry'!U559)</f>
      </c>
      <c r="V559">
        <f>IF(ISBLANK('Data Entry'!V559), "", 'Data Entry'!V559)</f>
      </c>
      <c r="W559">
        <f>IF(ISBLANK('Data Entry'!W559), "", 'Data Entry'!W559)</f>
      </c>
      <c r="X559">
        <f>IF(ISBLANK('Data Entry'!X559), "", 'Data Entry'!X559)</f>
      </c>
      <c r="Y559">
        <f>IF(ISBLANK('Data Entry'!Y559), "", 'Data Entry'!Y559)</f>
      </c>
      <c r="Z559">
        <f>IF(ISBLANK('Data Entry'!Z559), "", 'Data Entry'!Z559)</f>
      </c>
      <c r="AA559">
        <f>IF(ISBLANK('Data Entry'![559), "", 'Data Entry'![559)</f>
      </c>
      <c r="AB559">
        <f>IF(ISBLANK('Data Entry'!\559), "", 'Data Entry'!\559)</f>
      </c>
      <c r="AC559">
        <f>IF(ISBLANK('Data Entry'!]559), "", 'Data Entry'!]559)</f>
      </c>
      <c r="AD559">
        <f>IF(ISBLANK('Data Entry'!^559), "", 'Data Entry'!^559)</f>
      </c>
      <c r="AE559">
        <f>IF(ISBLANK('Data Entry'!_559), "", 'Data Entry'!_559)</f>
      </c>
      <c r="AF559">
        <f>IF(ISBLANK('Data Entry'!`559), "", 'Data Entry'!`559)</f>
      </c>
      <c r="AG559">
        <f>IF(ISBLANK('Data Entry'!a559), "", 'Data Entry'!a559)</f>
      </c>
      <c r="AH559">
        <f>IF(ISBLANK('Data Entry'!b559), "", 'Data Entry'!b559)</f>
      </c>
      <c r="AI559">
        <f>IF(ISBLANK('Data Entry'!c559), "", 'Data Entry'!c559)</f>
      </c>
      <c r="AJ559">
        <f>IF(ISBLANK('Data Entry'!d559), "", 'Data Entry'!d559)</f>
      </c>
      <c r="AK559">
        <f>IF(ISBLANK('Data Entry'!e559), "", 'Data Entry'!e559)</f>
      </c>
      <c r="AL559">
        <f>IF(ISBLANK('Data Entry'!f559), "", 'Data Entry'!f559)</f>
      </c>
      <c r="AM559">
        <f>IF(ISBLANK('Data Entry'!g559), "", 'Data Entry'!g559)</f>
      </c>
      <c r="AN559">
        <f>IF(ISBLANK('Data Entry'!h559), "", 'Data Entry'!h559)</f>
      </c>
    </row>
    <row r="560" spans="1:40" x14ac:dyDescent="0.25">
      <c r="A560">
        <f>IF(ISBLANK('Data Entry'!A560), "", 'Data Entry'!A560)</f>
      </c>
      <c r="B560">
        <f>IF(ISBLANK('Data Entry'!B560), "", 'Data Entry'!B560)</f>
      </c>
      <c r="C560">
        <f>IF(ISBLANK('Data Entry'!C560), "", 'Data Entry'!C560)</f>
      </c>
      <c r="D560">
        <f>IF(ISBLANK('Data Entry'!D560), "", 'Data Entry'!D560)</f>
      </c>
      <c r="E560">
        <f>IF(ISBLANK('Data Entry'!E560), "", 'Data Entry'!E560)</f>
      </c>
      <c r="F560">
        <f>IF(ISBLANK('Data Entry'!F560), "", 'Data Entry'!F560)</f>
      </c>
      <c r="G560">
        <f>IF(ISBLANK('Data Entry'!G560), "", 'Data Entry'!G560)</f>
      </c>
      <c r="H560">
        <f>IF(ISBLANK('Data Entry'!H560), "", 'Data Entry'!H560)</f>
      </c>
      <c r="I560">
        <f>IF(ISBLANK('Data Entry'!I560), "", 'Data Entry'!I560)</f>
      </c>
      <c r="J560">
        <f>IF(ISBLANK('Data Entry'!J560), "", 'Data Entry'!J560)</f>
      </c>
      <c r="K560">
        <f>IF(ISBLANK('Data Entry'!K560), "", 'Data Entry'!K560)</f>
      </c>
      <c r="L560">
        <f>IF(ISBLANK('Data Entry'!L560), "", 'Data Entry'!L560)</f>
      </c>
      <c r="M560">
        <f>IF(ISBLANK('Data Entry'!M560), "", 'Data Entry'!M560)</f>
      </c>
      <c r="N560">
        <f>IF(ISBLANK('Data Entry'!N560), "", 'Data Entry'!N560)</f>
      </c>
      <c r="O560">
        <f>IF(ISBLANK('Data Entry'!O560), "", 'Data Entry'!O560)</f>
      </c>
      <c r="P560">
        <f>IF(ISBLANK('Data Entry'!P560), "", 'Data Entry'!P560)</f>
      </c>
      <c r="Q560">
        <f>IF(ISBLANK('Data Entry'!Q560), "", 'Data Entry'!Q560)</f>
      </c>
      <c r="R560">
        <f>IF(ISBLANK('Data Entry'!R560), "", 'Data Entry'!R560)</f>
      </c>
      <c r="S560">
        <f>IF(ISBLANK('Data Entry'!S560), "", 'Data Entry'!S560)</f>
      </c>
      <c r="T560">
        <f>IF(ISBLANK('Data Entry'!T560), "", 'Data Entry'!T560)</f>
      </c>
      <c r="U560">
        <f>IF(ISBLANK('Data Entry'!U560), "", 'Data Entry'!U560)</f>
      </c>
      <c r="V560">
        <f>IF(ISBLANK('Data Entry'!V560), "", 'Data Entry'!V560)</f>
      </c>
      <c r="W560">
        <f>IF(ISBLANK('Data Entry'!W560), "", 'Data Entry'!W560)</f>
      </c>
      <c r="X560">
        <f>IF(ISBLANK('Data Entry'!X560), "", 'Data Entry'!X560)</f>
      </c>
      <c r="Y560">
        <f>IF(ISBLANK('Data Entry'!Y560), "", 'Data Entry'!Y560)</f>
      </c>
      <c r="Z560">
        <f>IF(ISBLANK('Data Entry'!Z560), "", 'Data Entry'!Z560)</f>
      </c>
      <c r="AA560">
        <f>IF(ISBLANK('Data Entry'![560), "", 'Data Entry'![560)</f>
      </c>
      <c r="AB560">
        <f>IF(ISBLANK('Data Entry'!\560), "", 'Data Entry'!\560)</f>
      </c>
      <c r="AC560">
        <f>IF(ISBLANK('Data Entry'!]560), "", 'Data Entry'!]560)</f>
      </c>
      <c r="AD560">
        <f>IF(ISBLANK('Data Entry'!^560), "", 'Data Entry'!^560)</f>
      </c>
      <c r="AE560">
        <f>IF(ISBLANK('Data Entry'!_560), "", 'Data Entry'!_560)</f>
      </c>
      <c r="AF560">
        <f>IF(ISBLANK('Data Entry'!`560), "", 'Data Entry'!`560)</f>
      </c>
      <c r="AG560">
        <f>IF(ISBLANK('Data Entry'!a560), "", 'Data Entry'!a560)</f>
      </c>
      <c r="AH560">
        <f>IF(ISBLANK('Data Entry'!b560), "", 'Data Entry'!b560)</f>
      </c>
      <c r="AI560">
        <f>IF(ISBLANK('Data Entry'!c560), "", 'Data Entry'!c560)</f>
      </c>
      <c r="AJ560">
        <f>IF(ISBLANK('Data Entry'!d560), "", 'Data Entry'!d560)</f>
      </c>
      <c r="AK560">
        <f>IF(ISBLANK('Data Entry'!e560), "", 'Data Entry'!e560)</f>
      </c>
      <c r="AL560">
        <f>IF(ISBLANK('Data Entry'!f560), "", 'Data Entry'!f560)</f>
      </c>
      <c r="AM560">
        <f>IF(ISBLANK('Data Entry'!g560), "", 'Data Entry'!g560)</f>
      </c>
      <c r="AN560">
        <f>IF(ISBLANK('Data Entry'!h560), "", 'Data Entry'!h560)</f>
      </c>
    </row>
    <row r="561" spans="1:40" x14ac:dyDescent="0.25">
      <c r="A561">
        <f>IF(ISBLANK('Data Entry'!A561), "", 'Data Entry'!A561)</f>
      </c>
      <c r="B561">
        <f>IF(ISBLANK('Data Entry'!B561), "", 'Data Entry'!B561)</f>
      </c>
      <c r="C561">
        <f>IF(ISBLANK('Data Entry'!C561), "", 'Data Entry'!C561)</f>
      </c>
      <c r="D561">
        <f>IF(ISBLANK('Data Entry'!D561), "", 'Data Entry'!D561)</f>
      </c>
      <c r="E561">
        <f>IF(ISBLANK('Data Entry'!E561), "", 'Data Entry'!E561)</f>
      </c>
      <c r="F561">
        <f>IF(ISBLANK('Data Entry'!F561), "", 'Data Entry'!F561)</f>
      </c>
      <c r="G561">
        <f>IF(ISBLANK('Data Entry'!G561), "", 'Data Entry'!G561)</f>
      </c>
      <c r="H561">
        <f>IF(ISBLANK('Data Entry'!H561), "", 'Data Entry'!H561)</f>
      </c>
      <c r="I561">
        <f>IF(ISBLANK('Data Entry'!I561), "", 'Data Entry'!I561)</f>
      </c>
      <c r="J561">
        <f>IF(ISBLANK('Data Entry'!J561), "", 'Data Entry'!J561)</f>
      </c>
      <c r="K561">
        <f>IF(ISBLANK('Data Entry'!K561), "", 'Data Entry'!K561)</f>
      </c>
      <c r="L561">
        <f>IF(ISBLANK('Data Entry'!L561), "", 'Data Entry'!L561)</f>
      </c>
      <c r="M561">
        <f>IF(ISBLANK('Data Entry'!M561), "", 'Data Entry'!M561)</f>
      </c>
      <c r="N561">
        <f>IF(ISBLANK('Data Entry'!N561), "", 'Data Entry'!N561)</f>
      </c>
      <c r="O561">
        <f>IF(ISBLANK('Data Entry'!O561), "", 'Data Entry'!O561)</f>
      </c>
      <c r="P561">
        <f>IF(ISBLANK('Data Entry'!P561), "", 'Data Entry'!P561)</f>
      </c>
      <c r="Q561">
        <f>IF(ISBLANK('Data Entry'!Q561), "", 'Data Entry'!Q561)</f>
      </c>
      <c r="R561">
        <f>IF(ISBLANK('Data Entry'!R561), "", 'Data Entry'!R561)</f>
      </c>
      <c r="S561">
        <f>IF(ISBLANK('Data Entry'!S561), "", 'Data Entry'!S561)</f>
      </c>
      <c r="T561">
        <f>IF(ISBLANK('Data Entry'!T561), "", 'Data Entry'!T561)</f>
      </c>
      <c r="U561">
        <f>IF(ISBLANK('Data Entry'!U561), "", 'Data Entry'!U561)</f>
      </c>
      <c r="V561">
        <f>IF(ISBLANK('Data Entry'!V561), "", 'Data Entry'!V561)</f>
      </c>
      <c r="W561">
        <f>IF(ISBLANK('Data Entry'!W561), "", 'Data Entry'!W561)</f>
      </c>
      <c r="X561">
        <f>IF(ISBLANK('Data Entry'!X561), "", 'Data Entry'!X561)</f>
      </c>
      <c r="Y561">
        <f>IF(ISBLANK('Data Entry'!Y561), "", 'Data Entry'!Y561)</f>
      </c>
      <c r="Z561">
        <f>IF(ISBLANK('Data Entry'!Z561), "", 'Data Entry'!Z561)</f>
      </c>
      <c r="AA561">
        <f>IF(ISBLANK('Data Entry'![561), "", 'Data Entry'![561)</f>
      </c>
      <c r="AB561">
        <f>IF(ISBLANK('Data Entry'!\561), "", 'Data Entry'!\561)</f>
      </c>
      <c r="AC561">
        <f>IF(ISBLANK('Data Entry'!]561), "", 'Data Entry'!]561)</f>
      </c>
      <c r="AD561">
        <f>IF(ISBLANK('Data Entry'!^561), "", 'Data Entry'!^561)</f>
      </c>
      <c r="AE561">
        <f>IF(ISBLANK('Data Entry'!_561), "", 'Data Entry'!_561)</f>
      </c>
      <c r="AF561">
        <f>IF(ISBLANK('Data Entry'!`561), "", 'Data Entry'!`561)</f>
      </c>
      <c r="AG561">
        <f>IF(ISBLANK('Data Entry'!a561), "", 'Data Entry'!a561)</f>
      </c>
      <c r="AH561">
        <f>IF(ISBLANK('Data Entry'!b561), "", 'Data Entry'!b561)</f>
      </c>
      <c r="AI561">
        <f>IF(ISBLANK('Data Entry'!c561), "", 'Data Entry'!c561)</f>
      </c>
      <c r="AJ561">
        <f>IF(ISBLANK('Data Entry'!d561), "", 'Data Entry'!d561)</f>
      </c>
      <c r="AK561">
        <f>IF(ISBLANK('Data Entry'!e561), "", 'Data Entry'!e561)</f>
      </c>
      <c r="AL561">
        <f>IF(ISBLANK('Data Entry'!f561), "", 'Data Entry'!f561)</f>
      </c>
      <c r="AM561">
        <f>IF(ISBLANK('Data Entry'!g561), "", 'Data Entry'!g561)</f>
      </c>
      <c r="AN561">
        <f>IF(ISBLANK('Data Entry'!h561), "", 'Data Entry'!h561)</f>
      </c>
    </row>
    <row r="562" spans="1:40" x14ac:dyDescent="0.25">
      <c r="A562">
        <f>IF(ISBLANK('Data Entry'!A562), "", 'Data Entry'!A562)</f>
      </c>
      <c r="B562">
        <f>IF(ISBLANK('Data Entry'!B562), "", 'Data Entry'!B562)</f>
      </c>
      <c r="C562">
        <f>IF(ISBLANK('Data Entry'!C562), "", 'Data Entry'!C562)</f>
      </c>
      <c r="D562">
        <f>IF(ISBLANK('Data Entry'!D562), "", 'Data Entry'!D562)</f>
      </c>
      <c r="E562">
        <f>IF(ISBLANK('Data Entry'!E562), "", 'Data Entry'!E562)</f>
      </c>
      <c r="F562">
        <f>IF(ISBLANK('Data Entry'!F562), "", 'Data Entry'!F562)</f>
      </c>
      <c r="G562">
        <f>IF(ISBLANK('Data Entry'!G562), "", 'Data Entry'!G562)</f>
      </c>
      <c r="H562">
        <f>IF(ISBLANK('Data Entry'!H562), "", 'Data Entry'!H562)</f>
      </c>
      <c r="I562">
        <f>IF(ISBLANK('Data Entry'!I562), "", 'Data Entry'!I562)</f>
      </c>
      <c r="J562">
        <f>IF(ISBLANK('Data Entry'!J562), "", 'Data Entry'!J562)</f>
      </c>
      <c r="K562">
        <f>IF(ISBLANK('Data Entry'!K562), "", 'Data Entry'!K562)</f>
      </c>
      <c r="L562">
        <f>IF(ISBLANK('Data Entry'!L562), "", 'Data Entry'!L562)</f>
      </c>
      <c r="M562">
        <f>IF(ISBLANK('Data Entry'!M562), "", 'Data Entry'!M562)</f>
      </c>
      <c r="N562">
        <f>IF(ISBLANK('Data Entry'!N562), "", 'Data Entry'!N562)</f>
      </c>
      <c r="O562">
        <f>IF(ISBLANK('Data Entry'!O562), "", 'Data Entry'!O562)</f>
      </c>
      <c r="P562">
        <f>IF(ISBLANK('Data Entry'!P562), "", 'Data Entry'!P562)</f>
      </c>
      <c r="Q562">
        <f>IF(ISBLANK('Data Entry'!Q562), "", 'Data Entry'!Q562)</f>
      </c>
      <c r="R562">
        <f>IF(ISBLANK('Data Entry'!R562), "", 'Data Entry'!R562)</f>
      </c>
      <c r="S562">
        <f>IF(ISBLANK('Data Entry'!S562), "", 'Data Entry'!S562)</f>
      </c>
      <c r="T562">
        <f>IF(ISBLANK('Data Entry'!T562), "", 'Data Entry'!T562)</f>
      </c>
      <c r="U562">
        <f>IF(ISBLANK('Data Entry'!U562), "", 'Data Entry'!U562)</f>
      </c>
      <c r="V562">
        <f>IF(ISBLANK('Data Entry'!V562), "", 'Data Entry'!V562)</f>
      </c>
      <c r="W562">
        <f>IF(ISBLANK('Data Entry'!W562), "", 'Data Entry'!W562)</f>
      </c>
      <c r="X562">
        <f>IF(ISBLANK('Data Entry'!X562), "", 'Data Entry'!X562)</f>
      </c>
      <c r="Y562">
        <f>IF(ISBLANK('Data Entry'!Y562), "", 'Data Entry'!Y562)</f>
      </c>
      <c r="Z562">
        <f>IF(ISBLANK('Data Entry'!Z562), "", 'Data Entry'!Z562)</f>
      </c>
      <c r="AA562">
        <f>IF(ISBLANK('Data Entry'![562), "", 'Data Entry'![562)</f>
      </c>
      <c r="AB562">
        <f>IF(ISBLANK('Data Entry'!\562), "", 'Data Entry'!\562)</f>
      </c>
      <c r="AC562">
        <f>IF(ISBLANK('Data Entry'!]562), "", 'Data Entry'!]562)</f>
      </c>
      <c r="AD562">
        <f>IF(ISBLANK('Data Entry'!^562), "", 'Data Entry'!^562)</f>
      </c>
      <c r="AE562">
        <f>IF(ISBLANK('Data Entry'!_562), "", 'Data Entry'!_562)</f>
      </c>
      <c r="AF562">
        <f>IF(ISBLANK('Data Entry'!`562), "", 'Data Entry'!`562)</f>
      </c>
      <c r="AG562">
        <f>IF(ISBLANK('Data Entry'!a562), "", 'Data Entry'!a562)</f>
      </c>
      <c r="AH562">
        <f>IF(ISBLANK('Data Entry'!b562), "", 'Data Entry'!b562)</f>
      </c>
      <c r="AI562">
        <f>IF(ISBLANK('Data Entry'!c562), "", 'Data Entry'!c562)</f>
      </c>
      <c r="AJ562">
        <f>IF(ISBLANK('Data Entry'!d562), "", 'Data Entry'!d562)</f>
      </c>
      <c r="AK562">
        <f>IF(ISBLANK('Data Entry'!e562), "", 'Data Entry'!e562)</f>
      </c>
      <c r="AL562">
        <f>IF(ISBLANK('Data Entry'!f562), "", 'Data Entry'!f562)</f>
      </c>
      <c r="AM562">
        <f>IF(ISBLANK('Data Entry'!g562), "", 'Data Entry'!g562)</f>
      </c>
      <c r="AN562">
        <f>IF(ISBLANK('Data Entry'!h562), "", 'Data Entry'!h562)</f>
      </c>
    </row>
    <row r="563" spans="1:40" x14ac:dyDescent="0.25">
      <c r="A563">
        <f>IF(ISBLANK('Data Entry'!A563), "", 'Data Entry'!A563)</f>
      </c>
      <c r="B563">
        <f>IF(ISBLANK('Data Entry'!B563), "", 'Data Entry'!B563)</f>
      </c>
      <c r="C563">
        <f>IF(ISBLANK('Data Entry'!C563), "", 'Data Entry'!C563)</f>
      </c>
      <c r="D563">
        <f>IF(ISBLANK('Data Entry'!D563), "", 'Data Entry'!D563)</f>
      </c>
      <c r="E563">
        <f>IF(ISBLANK('Data Entry'!E563), "", 'Data Entry'!E563)</f>
      </c>
      <c r="F563">
        <f>IF(ISBLANK('Data Entry'!F563), "", 'Data Entry'!F563)</f>
      </c>
      <c r="G563">
        <f>IF(ISBLANK('Data Entry'!G563), "", 'Data Entry'!G563)</f>
      </c>
      <c r="H563">
        <f>IF(ISBLANK('Data Entry'!H563), "", 'Data Entry'!H563)</f>
      </c>
      <c r="I563">
        <f>IF(ISBLANK('Data Entry'!I563), "", 'Data Entry'!I563)</f>
      </c>
      <c r="J563">
        <f>IF(ISBLANK('Data Entry'!J563), "", 'Data Entry'!J563)</f>
      </c>
      <c r="K563">
        <f>IF(ISBLANK('Data Entry'!K563), "", 'Data Entry'!K563)</f>
      </c>
      <c r="L563">
        <f>IF(ISBLANK('Data Entry'!L563), "", 'Data Entry'!L563)</f>
      </c>
      <c r="M563">
        <f>IF(ISBLANK('Data Entry'!M563), "", 'Data Entry'!M563)</f>
      </c>
      <c r="N563">
        <f>IF(ISBLANK('Data Entry'!N563), "", 'Data Entry'!N563)</f>
      </c>
      <c r="O563">
        <f>IF(ISBLANK('Data Entry'!O563), "", 'Data Entry'!O563)</f>
      </c>
      <c r="P563">
        <f>IF(ISBLANK('Data Entry'!P563), "", 'Data Entry'!P563)</f>
      </c>
      <c r="Q563">
        <f>IF(ISBLANK('Data Entry'!Q563), "", 'Data Entry'!Q563)</f>
      </c>
      <c r="R563">
        <f>IF(ISBLANK('Data Entry'!R563), "", 'Data Entry'!R563)</f>
      </c>
      <c r="S563">
        <f>IF(ISBLANK('Data Entry'!S563), "", 'Data Entry'!S563)</f>
      </c>
      <c r="T563">
        <f>IF(ISBLANK('Data Entry'!T563), "", 'Data Entry'!T563)</f>
      </c>
      <c r="U563">
        <f>IF(ISBLANK('Data Entry'!U563), "", 'Data Entry'!U563)</f>
      </c>
      <c r="V563">
        <f>IF(ISBLANK('Data Entry'!V563), "", 'Data Entry'!V563)</f>
      </c>
      <c r="W563">
        <f>IF(ISBLANK('Data Entry'!W563), "", 'Data Entry'!W563)</f>
      </c>
      <c r="X563">
        <f>IF(ISBLANK('Data Entry'!X563), "", 'Data Entry'!X563)</f>
      </c>
      <c r="Y563">
        <f>IF(ISBLANK('Data Entry'!Y563), "", 'Data Entry'!Y563)</f>
      </c>
      <c r="Z563">
        <f>IF(ISBLANK('Data Entry'!Z563), "", 'Data Entry'!Z563)</f>
      </c>
      <c r="AA563">
        <f>IF(ISBLANK('Data Entry'![563), "", 'Data Entry'![563)</f>
      </c>
      <c r="AB563">
        <f>IF(ISBLANK('Data Entry'!\563), "", 'Data Entry'!\563)</f>
      </c>
      <c r="AC563">
        <f>IF(ISBLANK('Data Entry'!]563), "", 'Data Entry'!]563)</f>
      </c>
      <c r="AD563">
        <f>IF(ISBLANK('Data Entry'!^563), "", 'Data Entry'!^563)</f>
      </c>
      <c r="AE563">
        <f>IF(ISBLANK('Data Entry'!_563), "", 'Data Entry'!_563)</f>
      </c>
      <c r="AF563">
        <f>IF(ISBLANK('Data Entry'!`563), "", 'Data Entry'!`563)</f>
      </c>
      <c r="AG563">
        <f>IF(ISBLANK('Data Entry'!a563), "", 'Data Entry'!a563)</f>
      </c>
      <c r="AH563">
        <f>IF(ISBLANK('Data Entry'!b563), "", 'Data Entry'!b563)</f>
      </c>
      <c r="AI563">
        <f>IF(ISBLANK('Data Entry'!c563), "", 'Data Entry'!c563)</f>
      </c>
      <c r="AJ563">
        <f>IF(ISBLANK('Data Entry'!d563), "", 'Data Entry'!d563)</f>
      </c>
      <c r="AK563">
        <f>IF(ISBLANK('Data Entry'!e563), "", 'Data Entry'!e563)</f>
      </c>
      <c r="AL563">
        <f>IF(ISBLANK('Data Entry'!f563), "", 'Data Entry'!f563)</f>
      </c>
      <c r="AM563">
        <f>IF(ISBLANK('Data Entry'!g563), "", 'Data Entry'!g563)</f>
      </c>
      <c r="AN563">
        <f>IF(ISBLANK('Data Entry'!h563), "", 'Data Entry'!h563)</f>
      </c>
    </row>
    <row r="564" spans="1:40" x14ac:dyDescent="0.25">
      <c r="A564">
        <f>IF(ISBLANK('Data Entry'!A564), "", 'Data Entry'!A564)</f>
      </c>
      <c r="B564">
        <f>IF(ISBLANK('Data Entry'!B564), "", 'Data Entry'!B564)</f>
      </c>
      <c r="C564">
        <f>IF(ISBLANK('Data Entry'!C564), "", 'Data Entry'!C564)</f>
      </c>
      <c r="D564">
        <f>IF(ISBLANK('Data Entry'!D564), "", 'Data Entry'!D564)</f>
      </c>
      <c r="E564">
        <f>IF(ISBLANK('Data Entry'!E564), "", 'Data Entry'!E564)</f>
      </c>
      <c r="F564">
        <f>IF(ISBLANK('Data Entry'!F564), "", 'Data Entry'!F564)</f>
      </c>
      <c r="G564">
        <f>IF(ISBLANK('Data Entry'!G564), "", 'Data Entry'!G564)</f>
      </c>
      <c r="H564">
        <f>IF(ISBLANK('Data Entry'!H564), "", 'Data Entry'!H564)</f>
      </c>
      <c r="I564">
        <f>IF(ISBLANK('Data Entry'!I564), "", 'Data Entry'!I564)</f>
      </c>
      <c r="J564">
        <f>IF(ISBLANK('Data Entry'!J564), "", 'Data Entry'!J564)</f>
      </c>
      <c r="K564">
        <f>IF(ISBLANK('Data Entry'!K564), "", 'Data Entry'!K564)</f>
      </c>
      <c r="L564">
        <f>IF(ISBLANK('Data Entry'!L564), "", 'Data Entry'!L564)</f>
      </c>
      <c r="M564">
        <f>IF(ISBLANK('Data Entry'!M564), "", 'Data Entry'!M564)</f>
      </c>
      <c r="N564">
        <f>IF(ISBLANK('Data Entry'!N564), "", 'Data Entry'!N564)</f>
      </c>
      <c r="O564">
        <f>IF(ISBLANK('Data Entry'!O564), "", 'Data Entry'!O564)</f>
      </c>
      <c r="P564">
        <f>IF(ISBLANK('Data Entry'!P564), "", 'Data Entry'!P564)</f>
      </c>
      <c r="Q564">
        <f>IF(ISBLANK('Data Entry'!Q564), "", 'Data Entry'!Q564)</f>
      </c>
      <c r="R564">
        <f>IF(ISBLANK('Data Entry'!R564), "", 'Data Entry'!R564)</f>
      </c>
      <c r="S564">
        <f>IF(ISBLANK('Data Entry'!S564), "", 'Data Entry'!S564)</f>
      </c>
      <c r="T564">
        <f>IF(ISBLANK('Data Entry'!T564), "", 'Data Entry'!T564)</f>
      </c>
      <c r="U564">
        <f>IF(ISBLANK('Data Entry'!U564), "", 'Data Entry'!U564)</f>
      </c>
      <c r="V564">
        <f>IF(ISBLANK('Data Entry'!V564), "", 'Data Entry'!V564)</f>
      </c>
      <c r="W564">
        <f>IF(ISBLANK('Data Entry'!W564), "", 'Data Entry'!W564)</f>
      </c>
      <c r="X564">
        <f>IF(ISBLANK('Data Entry'!X564), "", 'Data Entry'!X564)</f>
      </c>
      <c r="Y564">
        <f>IF(ISBLANK('Data Entry'!Y564), "", 'Data Entry'!Y564)</f>
      </c>
      <c r="Z564">
        <f>IF(ISBLANK('Data Entry'!Z564), "", 'Data Entry'!Z564)</f>
      </c>
      <c r="AA564">
        <f>IF(ISBLANK('Data Entry'![564), "", 'Data Entry'![564)</f>
      </c>
      <c r="AB564">
        <f>IF(ISBLANK('Data Entry'!\564), "", 'Data Entry'!\564)</f>
      </c>
      <c r="AC564">
        <f>IF(ISBLANK('Data Entry'!]564), "", 'Data Entry'!]564)</f>
      </c>
      <c r="AD564">
        <f>IF(ISBLANK('Data Entry'!^564), "", 'Data Entry'!^564)</f>
      </c>
      <c r="AE564">
        <f>IF(ISBLANK('Data Entry'!_564), "", 'Data Entry'!_564)</f>
      </c>
      <c r="AF564">
        <f>IF(ISBLANK('Data Entry'!`564), "", 'Data Entry'!`564)</f>
      </c>
      <c r="AG564">
        <f>IF(ISBLANK('Data Entry'!a564), "", 'Data Entry'!a564)</f>
      </c>
      <c r="AH564">
        <f>IF(ISBLANK('Data Entry'!b564), "", 'Data Entry'!b564)</f>
      </c>
      <c r="AI564">
        <f>IF(ISBLANK('Data Entry'!c564), "", 'Data Entry'!c564)</f>
      </c>
      <c r="AJ564">
        <f>IF(ISBLANK('Data Entry'!d564), "", 'Data Entry'!d564)</f>
      </c>
      <c r="AK564">
        <f>IF(ISBLANK('Data Entry'!e564), "", 'Data Entry'!e564)</f>
      </c>
      <c r="AL564">
        <f>IF(ISBLANK('Data Entry'!f564), "", 'Data Entry'!f564)</f>
      </c>
      <c r="AM564">
        <f>IF(ISBLANK('Data Entry'!g564), "", 'Data Entry'!g564)</f>
      </c>
      <c r="AN564">
        <f>IF(ISBLANK('Data Entry'!h564), "", 'Data Entry'!h564)</f>
      </c>
    </row>
    <row r="565" spans="1:40" x14ac:dyDescent="0.25">
      <c r="A565">
        <f>IF(ISBLANK('Data Entry'!A565), "", 'Data Entry'!A565)</f>
      </c>
      <c r="B565">
        <f>IF(ISBLANK('Data Entry'!B565), "", 'Data Entry'!B565)</f>
      </c>
      <c r="C565">
        <f>IF(ISBLANK('Data Entry'!C565), "", 'Data Entry'!C565)</f>
      </c>
      <c r="D565">
        <f>IF(ISBLANK('Data Entry'!D565), "", 'Data Entry'!D565)</f>
      </c>
      <c r="E565">
        <f>IF(ISBLANK('Data Entry'!E565), "", 'Data Entry'!E565)</f>
      </c>
      <c r="F565">
        <f>IF(ISBLANK('Data Entry'!F565), "", 'Data Entry'!F565)</f>
      </c>
      <c r="G565">
        <f>IF(ISBLANK('Data Entry'!G565), "", 'Data Entry'!G565)</f>
      </c>
      <c r="H565">
        <f>IF(ISBLANK('Data Entry'!H565), "", 'Data Entry'!H565)</f>
      </c>
      <c r="I565">
        <f>IF(ISBLANK('Data Entry'!I565), "", 'Data Entry'!I565)</f>
      </c>
      <c r="J565">
        <f>IF(ISBLANK('Data Entry'!J565), "", 'Data Entry'!J565)</f>
      </c>
      <c r="K565">
        <f>IF(ISBLANK('Data Entry'!K565), "", 'Data Entry'!K565)</f>
      </c>
      <c r="L565">
        <f>IF(ISBLANK('Data Entry'!L565), "", 'Data Entry'!L565)</f>
      </c>
      <c r="M565">
        <f>IF(ISBLANK('Data Entry'!M565), "", 'Data Entry'!M565)</f>
      </c>
      <c r="N565">
        <f>IF(ISBLANK('Data Entry'!N565), "", 'Data Entry'!N565)</f>
      </c>
      <c r="O565">
        <f>IF(ISBLANK('Data Entry'!O565), "", 'Data Entry'!O565)</f>
      </c>
      <c r="P565">
        <f>IF(ISBLANK('Data Entry'!P565), "", 'Data Entry'!P565)</f>
      </c>
      <c r="Q565">
        <f>IF(ISBLANK('Data Entry'!Q565), "", 'Data Entry'!Q565)</f>
      </c>
      <c r="R565">
        <f>IF(ISBLANK('Data Entry'!R565), "", 'Data Entry'!R565)</f>
      </c>
      <c r="S565">
        <f>IF(ISBLANK('Data Entry'!S565), "", 'Data Entry'!S565)</f>
      </c>
      <c r="T565">
        <f>IF(ISBLANK('Data Entry'!T565), "", 'Data Entry'!T565)</f>
      </c>
      <c r="U565">
        <f>IF(ISBLANK('Data Entry'!U565), "", 'Data Entry'!U565)</f>
      </c>
      <c r="V565">
        <f>IF(ISBLANK('Data Entry'!V565), "", 'Data Entry'!V565)</f>
      </c>
      <c r="W565">
        <f>IF(ISBLANK('Data Entry'!W565), "", 'Data Entry'!W565)</f>
      </c>
      <c r="X565">
        <f>IF(ISBLANK('Data Entry'!X565), "", 'Data Entry'!X565)</f>
      </c>
      <c r="Y565">
        <f>IF(ISBLANK('Data Entry'!Y565), "", 'Data Entry'!Y565)</f>
      </c>
      <c r="Z565">
        <f>IF(ISBLANK('Data Entry'!Z565), "", 'Data Entry'!Z565)</f>
      </c>
      <c r="AA565">
        <f>IF(ISBLANK('Data Entry'![565), "", 'Data Entry'![565)</f>
      </c>
      <c r="AB565">
        <f>IF(ISBLANK('Data Entry'!\565), "", 'Data Entry'!\565)</f>
      </c>
      <c r="AC565">
        <f>IF(ISBLANK('Data Entry'!]565), "", 'Data Entry'!]565)</f>
      </c>
      <c r="AD565">
        <f>IF(ISBLANK('Data Entry'!^565), "", 'Data Entry'!^565)</f>
      </c>
      <c r="AE565">
        <f>IF(ISBLANK('Data Entry'!_565), "", 'Data Entry'!_565)</f>
      </c>
      <c r="AF565">
        <f>IF(ISBLANK('Data Entry'!`565), "", 'Data Entry'!`565)</f>
      </c>
      <c r="AG565">
        <f>IF(ISBLANK('Data Entry'!a565), "", 'Data Entry'!a565)</f>
      </c>
      <c r="AH565">
        <f>IF(ISBLANK('Data Entry'!b565), "", 'Data Entry'!b565)</f>
      </c>
      <c r="AI565">
        <f>IF(ISBLANK('Data Entry'!c565), "", 'Data Entry'!c565)</f>
      </c>
      <c r="AJ565">
        <f>IF(ISBLANK('Data Entry'!d565), "", 'Data Entry'!d565)</f>
      </c>
      <c r="AK565">
        <f>IF(ISBLANK('Data Entry'!e565), "", 'Data Entry'!e565)</f>
      </c>
      <c r="AL565">
        <f>IF(ISBLANK('Data Entry'!f565), "", 'Data Entry'!f565)</f>
      </c>
      <c r="AM565">
        <f>IF(ISBLANK('Data Entry'!g565), "", 'Data Entry'!g565)</f>
      </c>
      <c r="AN565">
        <f>IF(ISBLANK('Data Entry'!h565), "", 'Data Entry'!h565)</f>
      </c>
    </row>
    <row r="566" spans="1:40" x14ac:dyDescent="0.25">
      <c r="A566">
        <f>IF(ISBLANK('Data Entry'!A566), "", 'Data Entry'!A566)</f>
      </c>
      <c r="B566">
        <f>IF(ISBLANK('Data Entry'!B566), "", 'Data Entry'!B566)</f>
      </c>
      <c r="C566">
        <f>IF(ISBLANK('Data Entry'!C566), "", 'Data Entry'!C566)</f>
      </c>
      <c r="D566">
        <f>IF(ISBLANK('Data Entry'!D566), "", 'Data Entry'!D566)</f>
      </c>
      <c r="E566">
        <f>IF(ISBLANK('Data Entry'!E566), "", 'Data Entry'!E566)</f>
      </c>
      <c r="F566">
        <f>IF(ISBLANK('Data Entry'!F566), "", 'Data Entry'!F566)</f>
      </c>
      <c r="G566">
        <f>IF(ISBLANK('Data Entry'!G566), "", 'Data Entry'!G566)</f>
      </c>
      <c r="H566">
        <f>IF(ISBLANK('Data Entry'!H566), "", 'Data Entry'!H566)</f>
      </c>
      <c r="I566">
        <f>IF(ISBLANK('Data Entry'!I566), "", 'Data Entry'!I566)</f>
      </c>
      <c r="J566">
        <f>IF(ISBLANK('Data Entry'!J566), "", 'Data Entry'!J566)</f>
      </c>
      <c r="K566">
        <f>IF(ISBLANK('Data Entry'!K566), "", 'Data Entry'!K566)</f>
      </c>
      <c r="L566">
        <f>IF(ISBLANK('Data Entry'!L566), "", 'Data Entry'!L566)</f>
      </c>
      <c r="M566">
        <f>IF(ISBLANK('Data Entry'!M566), "", 'Data Entry'!M566)</f>
      </c>
      <c r="N566">
        <f>IF(ISBLANK('Data Entry'!N566), "", 'Data Entry'!N566)</f>
      </c>
      <c r="O566">
        <f>IF(ISBLANK('Data Entry'!O566), "", 'Data Entry'!O566)</f>
      </c>
      <c r="P566">
        <f>IF(ISBLANK('Data Entry'!P566), "", 'Data Entry'!P566)</f>
      </c>
      <c r="Q566">
        <f>IF(ISBLANK('Data Entry'!Q566), "", 'Data Entry'!Q566)</f>
      </c>
      <c r="R566">
        <f>IF(ISBLANK('Data Entry'!R566), "", 'Data Entry'!R566)</f>
      </c>
      <c r="S566">
        <f>IF(ISBLANK('Data Entry'!S566), "", 'Data Entry'!S566)</f>
      </c>
      <c r="T566">
        <f>IF(ISBLANK('Data Entry'!T566), "", 'Data Entry'!T566)</f>
      </c>
      <c r="U566">
        <f>IF(ISBLANK('Data Entry'!U566), "", 'Data Entry'!U566)</f>
      </c>
      <c r="V566">
        <f>IF(ISBLANK('Data Entry'!V566), "", 'Data Entry'!V566)</f>
      </c>
      <c r="W566">
        <f>IF(ISBLANK('Data Entry'!W566), "", 'Data Entry'!W566)</f>
      </c>
      <c r="X566">
        <f>IF(ISBLANK('Data Entry'!X566), "", 'Data Entry'!X566)</f>
      </c>
      <c r="Y566">
        <f>IF(ISBLANK('Data Entry'!Y566), "", 'Data Entry'!Y566)</f>
      </c>
      <c r="Z566">
        <f>IF(ISBLANK('Data Entry'!Z566), "", 'Data Entry'!Z566)</f>
      </c>
      <c r="AA566">
        <f>IF(ISBLANK('Data Entry'![566), "", 'Data Entry'![566)</f>
      </c>
      <c r="AB566">
        <f>IF(ISBLANK('Data Entry'!\566), "", 'Data Entry'!\566)</f>
      </c>
      <c r="AC566">
        <f>IF(ISBLANK('Data Entry'!]566), "", 'Data Entry'!]566)</f>
      </c>
      <c r="AD566">
        <f>IF(ISBLANK('Data Entry'!^566), "", 'Data Entry'!^566)</f>
      </c>
      <c r="AE566">
        <f>IF(ISBLANK('Data Entry'!_566), "", 'Data Entry'!_566)</f>
      </c>
      <c r="AF566">
        <f>IF(ISBLANK('Data Entry'!`566), "", 'Data Entry'!`566)</f>
      </c>
      <c r="AG566">
        <f>IF(ISBLANK('Data Entry'!a566), "", 'Data Entry'!a566)</f>
      </c>
      <c r="AH566">
        <f>IF(ISBLANK('Data Entry'!b566), "", 'Data Entry'!b566)</f>
      </c>
      <c r="AI566">
        <f>IF(ISBLANK('Data Entry'!c566), "", 'Data Entry'!c566)</f>
      </c>
      <c r="AJ566">
        <f>IF(ISBLANK('Data Entry'!d566), "", 'Data Entry'!d566)</f>
      </c>
      <c r="AK566">
        <f>IF(ISBLANK('Data Entry'!e566), "", 'Data Entry'!e566)</f>
      </c>
      <c r="AL566">
        <f>IF(ISBLANK('Data Entry'!f566), "", 'Data Entry'!f566)</f>
      </c>
      <c r="AM566">
        <f>IF(ISBLANK('Data Entry'!g566), "", 'Data Entry'!g566)</f>
      </c>
      <c r="AN566">
        <f>IF(ISBLANK('Data Entry'!h566), "", 'Data Entry'!h566)</f>
      </c>
    </row>
    <row r="567" spans="1:40" x14ac:dyDescent="0.25">
      <c r="A567">
        <f>IF(ISBLANK('Data Entry'!A567), "", 'Data Entry'!A567)</f>
      </c>
      <c r="B567">
        <f>IF(ISBLANK('Data Entry'!B567), "", 'Data Entry'!B567)</f>
      </c>
      <c r="C567">
        <f>IF(ISBLANK('Data Entry'!C567), "", 'Data Entry'!C567)</f>
      </c>
      <c r="D567">
        <f>IF(ISBLANK('Data Entry'!D567), "", 'Data Entry'!D567)</f>
      </c>
      <c r="E567">
        <f>IF(ISBLANK('Data Entry'!E567), "", 'Data Entry'!E567)</f>
      </c>
      <c r="F567">
        <f>IF(ISBLANK('Data Entry'!F567), "", 'Data Entry'!F567)</f>
      </c>
      <c r="G567">
        <f>IF(ISBLANK('Data Entry'!G567), "", 'Data Entry'!G567)</f>
      </c>
      <c r="H567">
        <f>IF(ISBLANK('Data Entry'!H567), "", 'Data Entry'!H567)</f>
      </c>
      <c r="I567">
        <f>IF(ISBLANK('Data Entry'!I567), "", 'Data Entry'!I567)</f>
      </c>
      <c r="J567">
        <f>IF(ISBLANK('Data Entry'!J567), "", 'Data Entry'!J567)</f>
      </c>
      <c r="K567">
        <f>IF(ISBLANK('Data Entry'!K567), "", 'Data Entry'!K567)</f>
      </c>
      <c r="L567">
        <f>IF(ISBLANK('Data Entry'!L567), "", 'Data Entry'!L567)</f>
      </c>
      <c r="M567">
        <f>IF(ISBLANK('Data Entry'!M567), "", 'Data Entry'!M567)</f>
      </c>
      <c r="N567">
        <f>IF(ISBLANK('Data Entry'!N567), "", 'Data Entry'!N567)</f>
      </c>
      <c r="O567">
        <f>IF(ISBLANK('Data Entry'!O567), "", 'Data Entry'!O567)</f>
      </c>
      <c r="P567">
        <f>IF(ISBLANK('Data Entry'!P567), "", 'Data Entry'!P567)</f>
      </c>
      <c r="Q567">
        <f>IF(ISBLANK('Data Entry'!Q567), "", 'Data Entry'!Q567)</f>
      </c>
      <c r="R567">
        <f>IF(ISBLANK('Data Entry'!R567), "", 'Data Entry'!R567)</f>
      </c>
      <c r="S567">
        <f>IF(ISBLANK('Data Entry'!S567), "", 'Data Entry'!S567)</f>
      </c>
      <c r="T567">
        <f>IF(ISBLANK('Data Entry'!T567), "", 'Data Entry'!T567)</f>
      </c>
      <c r="U567">
        <f>IF(ISBLANK('Data Entry'!U567), "", 'Data Entry'!U567)</f>
      </c>
      <c r="V567">
        <f>IF(ISBLANK('Data Entry'!V567), "", 'Data Entry'!V567)</f>
      </c>
      <c r="W567">
        <f>IF(ISBLANK('Data Entry'!W567), "", 'Data Entry'!W567)</f>
      </c>
      <c r="X567">
        <f>IF(ISBLANK('Data Entry'!X567), "", 'Data Entry'!X567)</f>
      </c>
      <c r="Y567">
        <f>IF(ISBLANK('Data Entry'!Y567), "", 'Data Entry'!Y567)</f>
      </c>
      <c r="Z567">
        <f>IF(ISBLANK('Data Entry'!Z567), "", 'Data Entry'!Z567)</f>
      </c>
      <c r="AA567">
        <f>IF(ISBLANK('Data Entry'![567), "", 'Data Entry'![567)</f>
      </c>
      <c r="AB567">
        <f>IF(ISBLANK('Data Entry'!\567), "", 'Data Entry'!\567)</f>
      </c>
      <c r="AC567">
        <f>IF(ISBLANK('Data Entry'!]567), "", 'Data Entry'!]567)</f>
      </c>
      <c r="AD567">
        <f>IF(ISBLANK('Data Entry'!^567), "", 'Data Entry'!^567)</f>
      </c>
      <c r="AE567">
        <f>IF(ISBLANK('Data Entry'!_567), "", 'Data Entry'!_567)</f>
      </c>
      <c r="AF567">
        <f>IF(ISBLANK('Data Entry'!`567), "", 'Data Entry'!`567)</f>
      </c>
      <c r="AG567">
        <f>IF(ISBLANK('Data Entry'!a567), "", 'Data Entry'!a567)</f>
      </c>
      <c r="AH567">
        <f>IF(ISBLANK('Data Entry'!b567), "", 'Data Entry'!b567)</f>
      </c>
      <c r="AI567">
        <f>IF(ISBLANK('Data Entry'!c567), "", 'Data Entry'!c567)</f>
      </c>
      <c r="AJ567">
        <f>IF(ISBLANK('Data Entry'!d567), "", 'Data Entry'!d567)</f>
      </c>
      <c r="AK567">
        <f>IF(ISBLANK('Data Entry'!e567), "", 'Data Entry'!e567)</f>
      </c>
      <c r="AL567">
        <f>IF(ISBLANK('Data Entry'!f567), "", 'Data Entry'!f567)</f>
      </c>
      <c r="AM567">
        <f>IF(ISBLANK('Data Entry'!g567), "", 'Data Entry'!g567)</f>
      </c>
      <c r="AN567">
        <f>IF(ISBLANK('Data Entry'!h567), "", 'Data Entry'!h567)</f>
      </c>
    </row>
    <row r="568" spans="1:40" x14ac:dyDescent="0.25">
      <c r="A568">
        <f>IF(ISBLANK('Data Entry'!A568), "", 'Data Entry'!A568)</f>
      </c>
      <c r="B568">
        <f>IF(ISBLANK('Data Entry'!B568), "", 'Data Entry'!B568)</f>
      </c>
      <c r="C568">
        <f>IF(ISBLANK('Data Entry'!C568), "", 'Data Entry'!C568)</f>
      </c>
      <c r="D568">
        <f>IF(ISBLANK('Data Entry'!D568), "", 'Data Entry'!D568)</f>
      </c>
      <c r="E568">
        <f>IF(ISBLANK('Data Entry'!E568), "", 'Data Entry'!E568)</f>
      </c>
      <c r="F568">
        <f>IF(ISBLANK('Data Entry'!F568), "", 'Data Entry'!F568)</f>
      </c>
      <c r="G568">
        <f>IF(ISBLANK('Data Entry'!G568), "", 'Data Entry'!G568)</f>
      </c>
      <c r="H568">
        <f>IF(ISBLANK('Data Entry'!H568), "", 'Data Entry'!H568)</f>
      </c>
      <c r="I568">
        <f>IF(ISBLANK('Data Entry'!I568), "", 'Data Entry'!I568)</f>
      </c>
      <c r="J568">
        <f>IF(ISBLANK('Data Entry'!J568), "", 'Data Entry'!J568)</f>
      </c>
      <c r="K568">
        <f>IF(ISBLANK('Data Entry'!K568), "", 'Data Entry'!K568)</f>
      </c>
      <c r="L568">
        <f>IF(ISBLANK('Data Entry'!L568), "", 'Data Entry'!L568)</f>
      </c>
      <c r="M568">
        <f>IF(ISBLANK('Data Entry'!M568), "", 'Data Entry'!M568)</f>
      </c>
      <c r="N568">
        <f>IF(ISBLANK('Data Entry'!N568), "", 'Data Entry'!N568)</f>
      </c>
      <c r="O568">
        <f>IF(ISBLANK('Data Entry'!O568), "", 'Data Entry'!O568)</f>
      </c>
      <c r="P568">
        <f>IF(ISBLANK('Data Entry'!P568), "", 'Data Entry'!P568)</f>
      </c>
      <c r="Q568">
        <f>IF(ISBLANK('Data Entry'!Q568), "", 'Data Entry'!Q568)</f>
      </c>
      <c r="R568">
        <f>IF(ISBLANK('Data Entry'!R568), "", 'Data Entry'!R568)</f>
      </c>
      <c r="S568">
        <f>IF(ISBLANK('Data Entry'!S568), "", 'Data Entry'!S568)</f>
      </c>
      <c r="T568">
        <f>IF(ISBLANK('Data Entry'!T568), "", 'Data Entry'!T568)</f>
      </c>
      <c r="U568">
        <f>IF(ISBLANK('Data Entry'!U568), "", 'Data Entry'!U568)</f>
      </c>
      <c r="V568">
        <f>IF(ISBLANK('Data Entry'!V568), "", 'Data Entry'!V568)</f>
      </c>
      <c r="W568">
        <f>IF(ISBLANK('Data Entry'!W568), "", 'Data Entry'!W568)</f>
      </c>
      <c r="X568">
        <f>IF(ISBLANK('Data Entry'!X568), "", 'Data Entry'!X568)</f>
      </c>
      <c r="Y568">
        <f>IF(ISBLANK('Data Entry'!Y568), "", 'Data Entry'!Y568)</f>
      </c>
      <c r="Z568">
        <f>IF(ISBLANK('Data Entry'!Z568), "", 'Data Entry'!Z568)</f>
      </c>
      <c r="AA568">
        <f>IF(ISBLANK('Data Entry'![568), "", 'Data Entry'![568)</f>
      </c>
      <c r="AB568">
        <f>IF(ISBLANK('Data Entry'!\568), "", 'Data Entry'!\568)</f>
      </c>
      <c r="AC568">
        <f>IF(ISBLANK('Data Entry'!]568), "", 'Data Entry'!]568)</f>
      </c>
      <c r="AD568">
        <f>IF(ISBLANK('Data Entry'!^568), "", 'Data Entry'!^568)</f>
      </c>
      <c r="AE568">
        <f>IF(ISBLANK('Data Entry'!_568), "", 'Data Entry'!_568)</f>
      </c>
      <c r="AF568">
        <f>IF(ISBLANK('Data Entry'!`568), "", 'Data Entry'!`568)</f>
      </c>
      <c r="AG568">
        <f>IF(ISBLANK('Data Entry'!a568), "", 'Data Entry'!a568)</f>
      </c>
      <c r="AH568">
        <f>IF(ISBLANK('Data Entry'!b568), "", 'Data Entry'!b568)</f>
      </c>
      <c r="AI568">
        <f>IF(ISBLANK('Data Entry'!c568), "", 'Data Entry'!c568)</f>
      </c>
      <c r="AJ568">
        <f>IF(ISBLANK('Data Entry'!d568), "", 'Data Entry'!d568)</f>
      </c>
      <c r="AK568">
        <f>IF(ISBLANK('Data Entry'!e568), "", 'Data Entry'!e568)</f>
      </c>
      <c r="AL568">
        <f>IF(ISBLANK('Data Entry'!f568), "", 'Data Entry'!f568)</f>
      </c>
      <c r="AM568">
        <f>IF(ISBLANK('Data Entry'!g568), "", 'Data Entry'!g568)</f>
      </c>
      <c r="AN568">
        <f>IF(ISBLANK('Data Entry'!h568), "", 'Data Entry'!h568)</f>
      </c>
    </row>
    <row r="569" spans="1:40" x14ac:dyDescent="0.25">
      <c r="A569">
        <f>IF(ISBLANK('Data Entry'!A569), "", 'Data Entry'!A569)</f>
      </c>
      <c r="B569">
        <f>IF(ISBLANK('Data Entry'!B569), "", 'Data Entry'!B569)</f>
      </c>
      <c r="C569">
        <f>IF(ISBLANK('Data Entry'!C569), "", 'Data Entry'!C569)</f>
      </c>
      <c r="D569">
        <f>IF(ISBLANK('Data Entry'!D569), "", 'Data Entry'!D569)</f>
      </c>
      <c r="E569">
        <f>IF(ISBLANK('Data Entry'!E569), "", 'Data Entry'!E569)</f>
      </c>
      <c r="F569">
        <f>IF(ISBLANK('Data Entry'!F569), "", 'Data Entry'!F569)</f>
      </c>
      <c r="G569">
        <f>IF(ISBLANK('Data Entry'!G569), "", 'Data Entry'!G569)</f>
      </c>
      <c r="H569">
        <f>IF(ISBLANK('Data Entry'!H569), "", 'Data Entry'!H569)</f>
      </c>
      <c r="I569">
        <f>IF(ISBLANK('Data Entry'!I569), "", 'Data Entry'!I569)</f>
      </c>
      <c r="J569">
        <f>IF(ISBLANK('Data Entry'!J569), "", 'Data Entry'!J569)</f>
      </c>
      <c r="K569">
        <f>IF(ISBLANK('Data Entry'!K569), "", 'Data Entry'!K569)</f>
      </c>
      <c r="L569">
        <f>IF(ISBLANK('Data Entry'!L569), "", 'Data Entry'!L569)</f>
      </c>
      <c r="M569">
        <f>IF(ISBLANK('Data Entry'!M569), "", 'Data Entry'!M569)</f>
      </c>
      <c r="N569">
        <f>IF(ISBLANK('Data Entry'!N569), "", 'Data Entry'!N569)</f>
      </c>
      <c r="O569">
        <f>IF(ISBLANK('Data Entry'!O569), "", 'Data Entry'!O569)</f>
      </c>
      <c r="P569">
        <f>IF(ISBLANK('Data Entry'!P569), "", 'Data Entry'!P569)</f>
      </c>
      <c r="Q569">
        <f>IF(ISBLANK('Data Entry'!Q569), "", 'Data Entry'!Q569)</f>
      </c>
      <c r="R569">
        <f>IF(ISBLANK('Data Entry'!R569), "", 'Data Entry'!R569)</f>
      </c>
      <c r="S569">
        <f>IF(ISBLANK('Data Entry'!S569), "", 'Data Entry'!S569)</f>
      </c>
      <c r="T569">
        <f>IF(ISBLANK('Data Entry'!T569), "", 'Data Entry'!T569)</f>
      </c>
      <c r="U569">
        <f>IF(ISBLANK('Data Entry'!U569), "", 'Data Entry'!U569)</f>
      </c>
      <c r="V569">
        <f>IF(ISBLANK('Data Entry'!V569), "", 'Data Entry'!V569)</f>
      </c>
      <c r="W569">
        <f>IF(ISBLANK('Data Entry'!W569), "", 'Data Entry'!W569)</f>
      </c>
      <c r="X569">
        <f>IF(ISBLANK('Data Entry'!X569), "", 'Data Entry'!X569)</f>
      </c>
      <c r="Y569">
        <f>IF(ISBLANK('Data Entry'!Y569), "", 'Data Entry'!Y569)</f>
      </c>
      <c r="Z569">
        <f>IF(ISBLANK('Data Entry'!Z569), "", 'Data Entry'!Z569)</f>
      </c>
      <c r="AA569">
        <f>IF(ISBLANK('Data Entry'![569), "", 'Data Entry'![569)</f>
      </c>
      <c r="AB569">
        <f>IF(ISBLANK('Data Entry'!\569), "", 'Data Entry'!\569)</f>
      </c>
      <c r="AC569">
        <f>IF(ISBLANK('Data Entry'!]569), "", 'Data Entry'!]569)</f>
      </c>
      <c r="AD569">
        <f>IF(ISBLANK('Data Entry'!^569), "", 'Data Entry'!^569)</f>
      </c>
      <c r="AE569">
        <f>IF(ISBLANK('Data Entry'!_569), "", 'Data Entry'!_569)</f>
      </c>
      <c r="AF569">
        <f>IF(ISBLANK('Data Entry'!`569), "", 'Data Entry'!`569)</f>
      </c>
      <c r="AG569">
        <f>IF(ISBLANK('Data Entry'!a569), "", 'Data Entry'!a569)</f>
      </c>
      <c r="AH569">
        <f>IF(ISBLANK('Data Entry'!b569), "", 'Data Entry'!b569)</f>
      </c>
      <c r="AI569">
        <f>IF(ISBLANK('Data Entry'!c569), "", 'Data Entry'!c569)</f>
      </c>
      <c r="AJ569">
        <f>IF(ISBLANK('Data Entry'!d569), "", 'Data Entry'!d569)</f>
      </c>
      <c r="AK569">
        <f>IF(ISBLANK('Data Entry'!e569), "", 'Data Entry'!e569)</f>
      </c>
      <c r="AL569">
        <f>IF(ISBLANK('Data Entry'!f569), "", 'Data Entry'!f569)</f>
      </c>
      <c r="AM569">
        <f>IF(ISBLANK('Data Entry'!g569), "", 'Data Entry'!g569)</f>
      </c>
      <c r="AN569">
        <f>IF(ISBLANK('Data Entry'!h569), "", 'Data Entry'!h569)</f>
      </c>
    </row>
    <row r="570" spans="1:40" x14ac:dyDescent="0.25">
      <c r="A570">
        <f>IF(ISBLANK('Data Entry'!A570), "", 'Data Entry'!A570)</f>
      </c>
      <c r="B570">
        <f>IF(ISBLANK('Data Entry'!B570), "", 'Data Entry'!B570)</f>
      </c>
      <c r="C570">
        <f>IF(ISBLANK('Data Entry'!C570), "", 'Data Entry'!C570)</f>
      </c>
      <c r="D570">
        <f>IF(ISBLANK('Data Entry'!D570), "", 'Data Entry'!D570)</f>
      </c>
      <c r="E570">
        <f>IF(ISBLANK('Data Entry'!E570), "", 'Data Entry'!E570)</f>
      </c>
      <c r="F570">
        <f>IF(ISBLANK('Data Entry'!F570), "", 'Data Entry'!F570)</f>
      </c>
      <c r="G570">
        <f>IF(ISBLANK('Data Entry'!G570), "", 'Data Entry'!G570)</f>
      </c>
      <c r="H570">
        <f>IF(ISBLANK('Data Entry'!H570), "", 'Data Entry'!H570)</f>
      </c>
      <c r="I570">
        <f>IF(ISBLANK('Data Entry'!I570), "", 'Data Entry'!I570)</f>
      </c>
      <c r="J570">
        <f>IF(ISBLANK('Data Entry'!J570), "", 'Data Entry'!J570)</f>
      </c>
      <c r="K570">
        <f>IF(ISBLANK('Data Entry'!K570), "", 'Data Entry'!K570)</f>
      </c>
      <c r="L570">
        <f>IF(ISBLANK('Data Entry'!L570), "", 'Data Entry'!L570)</f>
      </c>
      <c r="M570">
        <f>IF(ISBLANK('Data Entry'!M570), "", 'Data Entry'!M570)</f>
      </c>
      <c r="N570">
        <f>IF(ISBLANK('Data Entry'!N570), "", 'Data Entry'!N570)</f>
      </c>
      <c r="O570">
        <f>IF(ISBLANK('Data Entry'!O570), "", 'Data Entry'!O570)</f>
      </c>
      <c r="P570">
        <f>IF(ISBLANK('Data Entry'!P570), "", 'Data Entry'!P570)</f>
      </c>
      <c r="Q570">
        <f>IF(ISBLANK('Data Entry'!Q570), "", 'Data Entry'!Q570)</f>
      </c>
      <c r="R570">
        <f>IF(ISBLANK('Data Entry'!R570), "", 'Data Entry'!R570)</f>
      </c>
      <c r="S570">
        <f>IF(ISBLANK('Data Entry'!S570), "", 'Data Entry'!S570)</f>
      </c>
      <c r="T570">
        <f>IF(ISBLANK('Data Entry'!T570), "", 'Data Entry'!T570)</f>
      </c>
      <c r="U570">
        <f>IF(ISBLANK('Data Entry'!U570), "", 'Data Entry'!U570)</f>
      </c>
      <c r="V570">
        <f>IF(ISBLANK('Data Entry'!V570), "", 'Data Entry'!V570)</f>
      </c>
      <c r="W570">
        <f>IF(ISBLANK('Data Entry'!W570), "", 'Data Entry'!W570)</f>
      </c>
      <c r="X570">
        <f>IF(ISBLANK('Data Entry'!X570), "", 'Data Entry'!X570)</f>
      </c>
      <c r="Y570">
        <f>IF(ISBLANK('Data Entry'!Y570), "", 'Data Entry'!Y570)</f>
      </c>
      <c r="Z570">
        <f>IF(ISBLANK('Data Entry'!Z570), "", 'Data Entry'!Z570)</f>
      </c>
      <c r="AA570">
        <f>IF(ISBLANK('Data Entry'![570), "", 'Data Entry'![570)</f>
      </c>
      <c r="AB570">
        <f>IF(ISBLANK('Data Entry'!\570), "", 'Data Entry'!\570)</f>
      </c>
      <c r="AC570">
        <f>IF(ISBLANK('Data Entry'!]570), "", 'Data Entry'!]570)</f>
      </c>
      <c r="AD570">
        <f>IF(ISBLANK('Data Entry'!^570), "", 'Data Entry'!^570)</f>
      </c>
      <c r="AE570">
        <f>IF(ISBLANK('Data Entry'!_570), "", 'Data Entry'!_570)</f>
      </c>
      <c r="AF570">
        <f>IF(ISBLANK('Data Entry'!`570), "", 'Data Entry'!`570)</f>
      </c>
      <c r="AG570">
        <f>IF(ISBLANK('Data Entry'!a570), "", 'Data Entry'!a570)</f>
      </c>
      <c r="AH570">
        <f>IF(ISBLANK('Data Entry'!b570), "", 'Data Entry'!b570)</f>
      </c>
      <c r="AI570">
        <f>IF(ISBLANK('Data Entry'!c570), "", 'Data Entry'!c570)</f>
      </c>
      <c r="AJ570">
        <f>IF(ISBLANK('Data Entry'!d570), "", 'Data Entry'!d570)</f>
      </c>
      <c r="AK570">
        <f>IF(ISBLANK('Data Entry'!e570), "", 'Data Entry'!e570)</f>
      </c>
      <c r="AL570">
        <f>IF(ISBLANK('Data Entry'!f570), "", 'Data Entry'!f570)</f>
      </c>
      <c r="AM570">
        <f>IF(ISBLANK('Data Entry'!g570), "", 'Data Entry'!g570)</f>
      </c>
      <c r="AN570">
        <f>IF(ISBLANK('Data Entry'!h570), "", 'Data Entry'!h570)</f>
      </c>
    </row>
    <row r="571" spans="1:40" x14ac:dyDescent="0.25">
      <c r="A571">
        <f>IF(ISBLANK('Data Entry'!A571), "", 'Data Entry'!A571)</f>
      </c>
      <c r="B571">
        <f>IF(ISBLANK('Data Entry'!B571), "", 'Data Entry'!B571)</f>
      </c>
      <c r="C571">
        <f>IF(ISBLANK('Data Entry'!C571), "", 'Data Entry'!C571)</f>
      </c>
      <c r="D571">
        <f>IF(ISBLANK('Data Entry'!D571), "", 'Data Entry'!D571)</f>
      </c>
      <c r="E571">
        <f>IF(ISBLANK('Data Entry'!E571), "", 'Data Entry'!E571)</f>
      </c>
      <c r="F571">
        <f>IF(ISBLANK('Data Entry'!F571), "", 'Data Entry'!F571)</f>
      </c>
      <c r="G571">
        <f>IF(ISBLANK('Data Entry'!G571), "", 'Data Entry'!G571)</f>
      </c>
      <c r="H571">
        <f>IF(ISBLANK('Data Entry'!H571), "", 'Data Entry'!H571)</f>
      </c>
      <c r="I571">
        <f>IF(ISBLANK('Data Entry'!I571), "", 'Data Entry'!I571)</f>
      </c>
      <c r="J571">
        <f>IF(ISBLANK('Data Entry'!J571), "", 'Data Entry'!J571)</f>
      </c>
      <c r="K571">
        <f>IF(ISBLANK('Data Entry'!K571), "", 'Data Entry'!K571)</f>
      </c>
      <c r="L571">
        <f>IF(ISBLANK('Data Entry'!L571), "", 'Data Entry'!L571)</f>
      </c>
      <c r="M571">
        <f>IF(ISBLANK('Data Entry'!M571), "", 'Data Entry'!M571)</f>
      </c>
      <c r="N571">
        <f>IF(ISBLANK('Data Entry'!N571), "", 'Data Entry'!N571)</f>
      </c>
      <c r="O571">
        <f>IF(ISBLANK('Data Entry'!O571), "", 'Data Entry'!O571)</f>
      </c>
      <c r="P571">
        <f>IF(ISBLANK('Data Entry'!P571), "", 'Data Entry'!P571)</f>
      </c>
      <c r="Q571">
        <f>IF(ISBLANK('Data Entry'!Q571), "", 'Data Entry'!Q571)</f>
      </c>
      <c r="R571">
        <f>IF(ISBLANK('Data Entry'!R571), "", 'Data Entry'!R571)</f>
      </c>
      <c r="S571">
        <f>IF(ISBLANK('Data Entry'!S571), "", 'Data Entry'!S571)</f>
      </c>
      <c r="T571">
        <f>IF(ISBLANK('Data Entry'!T571), "", 'Data Entry'!T571)</f>
      </c>
      <c r="U571">
        <f>IF(ISBLANK('Data Entry'!U571), "", 'Data Entry'!U571)</f>
      </c>
      <c r="V571">
        <f>IF(ISBLANK('Data Entry'!V571), "", 'Data Entry'!V571)</f>
      </c>
      <c r="W571">
        <f>IF(ISBLANK('Data Entry'!W571), "", 'Data Entry'!W571)</f>
      </c>
      <c r="X571">
        <f>IF(ISBLANK('Data Entry'!X571), "", 'Data Entry'!X571)</f>
      </c>
      <c r="Y571">
        <f>IF(ISBLANK('Data Entry'!Y571), "", 'Data Entry'!Y571)</f>
      </c>
      <c r="Z571">
        <f>IF(ISBLANK('Data Entry'!Z571), "", 'Data Entry'!Z571)</f>
      </c>
      <c r="AA571">
        <f>IF(ISBLANK('Data Entry'![571), "", 'Data Entry'![571)</f>
      </c>
      <c r="AB571">
        <f>IF(ISBLANK('Data Entry'!\571), "", 'Data Entry'!\571)</f>
      </c>
      <c r="AC571">
        <f>IF(ISBLANK('Data Entry'!]571), "", 'Data Entry'!]571)</f>
      </c>
      <c r="AD571">
        <f>IF(ISBLANK('Data Entry'!^571), "", 'Data Entry'!^571)</f>
      </c>
      <c r="AE571">
        <f>IF(ISBLANK('Data Entry'!_571), "", 'Data Entry'!_571)</f>
      </c>
      <c r="AF571">
        <f>IF(ISBLANK('Data Entry'!`571), "", 'Data Entry'!`571)</f>
      </c>
      <c r="AG571">
        <f>IF(ISBLANK('Data Entry'!a571), "", 'Data Entry'!a571)</f>
      </c>
      <c r="AH571">
        <f>IF(ISBLANK('Data Entry'!b571), "", 'Data Entry'!b571)</f>
      </c>
      <c r="AI571">
        <f>IF(ISBLANK('Data Entry'!c571), "", 'Data Entry'!c571)</f>
      </c>
      <c r="AJ571">
        <f>IF(ISBLANK('Data Entry'!d571), "", 'Data Entry'!d571)</f>
      </c>
      <c r="AK571">
        <f>IF(ISBLANK('Data Entry'!e571), "", 'Data Entry'!e571)</f>
      </c>
      <c r="AL571">
        <f>IF(ISBLANK('Data Entry'!f571), "", 'Data Entry'!f571)</f>
      </c>
      <c r="AM571">
        <f>IF(ISBLANK('Data Entry'!g571), "", 'Data Entry'!g571)</f>
      </c>
      <c r="AN571">
        <f>IF(ISBLANK('Data Entry'!h571), "", 'Data Entry'!h571)</f>
      </c>
    </row>
    <row r="572" spans="1:40" x14ac:dyDescent="0.25">
      <c r="A572">
        <f>IF(ISBLANK('Data Entry'!A572), "", 'Data Entry'!A572)</f>
      </c>
      <c r="B572">
        <f>IF(ISBLANK('Data Entry'!B572), "", 'Data Entry'!B572)</f>
      </c>
      <c r="C572">
        <f>IF(ISBLANK('Data Entry'!C572), "", 'Data Entry'!C572)</f>
      </c>
      <c r="D572">
        <f>IF(ISBLANK('Data Entry'!D572), "", 'Data Entry'!D572)</f>
      </c>
      <c r="E572">
        <f>IF(ISBLANK('Data Entry'!E572), "", 'Data Entry'!E572)</f>
      </c>
      <c r="F572">
        <f>IF(ISBLANK('Data Entry'!F572), "", 'Data Entry'!F572)</f>
      </c>
      <c r="G572">
        <f>IF(ISBLANK('Data Entry'!G572), "", 'Data Entry'!G572)</f>
      </c>
      <c r="H572">
        <f>IF(ISBLANK('Data Entry'!H572), "", 'Data Entry'!H572)</f>
      </c>
      <c r="I572">
        <f>IF(ISBLANK('Data Entry'!I572), "", 'Data Entry'!I572)</f>
      </c>
      <c r="J572">
        <f>IF(ISBLANK('Data Entry'!J572), "", 'Data Entry'!J572)</f>
      </c>
      <c r="K572">
        <f>IF(ISBLANK('Data Entry'!K572), "", 'Data Entry'!K572)</f>
      </c>
      <c r="L572">
        <f>IF(ISBLANK('Data Entry'!L572), "", 'Data Entry'!L572)</f>
      </c>
      <c r="M572">
        <f>IF(ISBLANK('Data Entry'!M572), "", 'Data Entry'!M572)</f>
      </c>
      <c r="N572">
        <f>IF(ISBLANK('Data Entry'!N572), "", 'Data Entry'!N572)</f>
      </c>
      <c r="O572">
        <f>IF(ISBLANK('Data Entry'!O572), "", 'Data Entry'!O572)</f>
      </c>
      <c r="P572">
        <f>IF(ISBLANK('Data Entry'!P572), "", 'Data Entry'!P572)</f>
      </c>
      <c r="Q572">
        <f>IF(ISBLANK('Data Entry'!Q572), "", 'Data Entry'!Q572)</f>
      </c>
      <c r="R572">
        <f>IF(ISBLANK('Data Entry'!R572), "", 'Data Entry'!R572)</f>
      </c>
      <c r="S572">
        <f>IF(ISBLANK('Data Entry'!S572), "", 'Data Entry'!S572)</f>
      </c>
      <c r="T572">
        <f>IF(ISBLANK('Data Entry'!T572), "", 'Data Entry'!T572)</f>
      </c>
      <c r="U572">
        <f>IF(ISBLANK('Data Entry'!U572), "", 'Data Entry'!U572)</f>
      </c>
      <c r="V572">
        <f>IF(ISBLANK('Data Entry'!V572), "", 'Data Entry'!V572)</f>
      </c>
      <c r="W572">
        <f>IF(ISBLANK('Data Entry'!W572), "", 'Data Entry'!W572)</f>
      </c>
      <c r="X572">
        <f>IF(ISBLANK('Data Entry'!X572), "", 'Data Entry'!X572)</f>
      </c>
      <c r="Y572">
        <f>IF(ISBLANK('Data Entry'!Y572), "", 'Data Entry'!Y572)</f>
      </c>
      <c r="Z572">
        <f>IF(ISBLANK('Data Entry'!Z572), "", 'Data Entry'!Z572)</f>
      </c>
      <c r="AA572">
        <f>IF(ISBLANK('Data Entry'![572), "", 'Data Entry'![572)</f>
      </c>
      <c r="AB572">
        <f>IF(ISBLANK('Data Entry'!\572), "", 'Data Entry'!\572)</f>
      </c>
      <c r="AC572">
        <f>IF(ISBLANK('Data Entry'!]572), "", 'Data Entry'!]572)</f>
      </c>
      <c r="AD572">
        <f>IF(ISBLANK('Data Entry'!^572), "", 'Data Entry'!^572)</f>
      </c>
      <c r="AE572">
        <f>IF(ISBLANK('Data Entry'!_572), "", 'Data Entry'!_572)</f>
      </c>
      <c r="AF572">
        <f>IF(ISBLANK('Data Entry'!`572), "", 'Data Entry'!`572)</f>
      </c>
      <c r="AG572">
        <f>IF(ISBLANK('Data Entry'!a572), "", 'Data Entry'!a572)</f>
      </c>
      <c r="AH572">
        <f>IF(ISBLANK('Data Entry'!b572), "", 'Data Entry'!b572)</f>
      </c>
      <c r="AI572">
        <f>IF(ISBLANK('Data Entry'!c572), "", 'Data Entry'!c572)</f>
      </c>
      <c r="AJ572">
        <f>IF(ISBLANK('Data Entry'!d572), "", 'Data Entry'!d572)</f>
      </c>
      <c r="AK572">
        <f>IF(ISBLANK('Data Entry'!e572), "", 'Data Entry'!e572)</f>
      </c>
      <c r="AL572">
        <f>IF(ISBLANK('Data Entry'!f572), "", 'Data Entry'!f572)</f>
      </c>
      <c r="AM572">
        <f>IF(ISBLANK('Data Entry'!g572), "", 'Data Entry'!g572)</f>
      </c>
      <c r="AN572">
        <f>IF(ISBLANK('Data Entry'!h572), "", 'Data Entry'!h572)</f>
      </c>
    </row>
    <row r="573" spans="1:40" x14ac:dyDescent="0.25">
      <c r="A573">
        <f>IF(ISBLANK('Data Entry'!A573), "", 'Data Entry'!A573)</f>
      </c>
      <c r="B573">
        <f>IF(ISBLANK('Data Entry'!B573), "", 'Data Entry'!B573)</f>
      </c>
      <c r="C573">
        <f>IF(ISBLANK('Data Entry'!C573), "", 'Data Entry'!C573)</f>
      </c>
      <c r="D573">
        <f>IF(ISBLANK('Data Entry'!D573), "", 'Data Entry'!D573)</f>
      </c>
      <c r="E573">
        <f>IF(ISBLANK('Data Entry'!E573), "", 'Data Entry'!E573)</f>
      </c>
      <c r="F573">
        <f>IF(ISBLANK('Data Entry'!F573), "", 'Data Entry'!F573)</f>
      </c>
      <c r="G573">
        <f>IF(ISBLANK('Data Entry'!G573), "", 'Data Entry'!G573)</f>
      </c>
      <c r="H573">
        <f>IF(ISBLANK('Data Entry'!H573), "", 'Data Entry'!H573)</f>
      </c>
      <c r="I573">
        <f>IF(ISBLANK('Data Entry'!I573), "", 'Data Entry'!I573)</f>
      </c>
      <c r="J573">
        <f>IF(ISBLANK('Data Entry'!J573), "", 'Data Entry'!J573)</f>
      </c>
      <c r="K573">
        <f>IF(ISBLANK('Data Entry'!K573), "", 'Data Entry'!K573)</f>
      </c>
      <c r="L573">
        <f>IF(ISBLANK('Data Entry'!L573), "", 'Data Entry'!L573)</f>
      </c>
      <c r="M573">
        <f>IF(ISBLANK('Data Entry'!M573), "", 'Data Entry'!M573)</f>
      </c>
      <c r="N573">
        <f>IF(ISBLANK('Data Entry'!N573), "", 'Data Entry'!N573)</f>
      </c>
      <c r="O573">
        <f>IF(ISBLANK('Data Entry'!O573), "", 'Data Entry'!O573)</f>
      </c>
      <c r="P573">
        <f>IF(ISBLANK('Data Entry'!P573), "", 'Data Entry'!P573)</f>
      </c>
      <c r="Q573">
        <f>IF(ISBLANK('Data Entry'!Q573), "", 'Data Entry'!Q573)</f>
      </c>
      <c r="R573">
        <f>IF(ISBLANK('Data Entry'!R573), "", 'Data Entry'!R573)</f>
      </c>
      <c r="S573">
        <f>IF(ISBLANK('Data Entry'!S573), "", 'Data Entry'!S573)</f>
      </c>
      <c r="T573">
        <f>IF(ISBLANK('Data Entry'!T573), "", 'Data Entry'!T573)</f>
      </c>
      <c r="U573">
        <f>IF(ISBLANK('Data Entry'!U573), "", 'Data Entry'!U573)</f>
      </c>
      <c r="V573">
        <f>IF(ISBLANK('Data Entry'!V573), "", 'Data Entry'!V573)</f>
      </c>
      <c r="W573">
        <f>IF(ISBLANK('Data Entry'!W573), "", 'Data Entry'!W573)</f>
      </c>
      <c r="X573">
        <f>IF(ISBLANK('Data Entry'!X573), "", 'Data Entry'!X573)</f>
      </c>
      <c r="Y573">
        <f>IF(ISBLANK('Data Entry'!Y573), "", 'Data Entry'!Y573)</f>
      </c>
      <c r="Z573">
        <f>IF(ISBLANK('Data Entry'!Z573), "", 'Data Entry'!Z573)</f>
      </c>
      <c r="AA573">
        <f>IF(ISBLANK('Data Entry'![573), "", 'Data Entry'![573)</f>
      </c>
      <c r="AB573">
        <f>IF(ISBLANK('Data Entry'!\573), "", 'Data Entry'!\573)</f>
      </c>
      <c r="AC573">
        <f>IF(ISBLANK('Data Entry'!]573), "", 'Data Entry'!]573)</f>
      </c>
      <c r="AD573">
        <f>IF(ISBLANK('Data Entry'!^573), "", 'Data Entry'!^573)</f>
      </c>
      <c r="AE573">
        <f>IF(ISBLANK('Data Entry'!_573), "", 'Data Entry'!_573)</f>
      </c>
      <c r="AF573">
        <f>IF(ISBLANK('Data Entry'!`573), "", 'Data Entry'!`573)</f>
      </c>
      <c r="AG573">
        <f>IF(ISBLANK('Data Entry'!a573), "", 'Data Entry'!a573)</f>
      </c>
      <c r="AH573">
        <f>IF(ISBLANK('Data Entry'!b573), "", 'Data Entry'!b573)</f>
      </c>
      <c r="AI573">
        <f>IF(ISBLANK('Data Entry'!c573), "", 'Data Entry'!c573)</f>
      </c>
      <c r="AJ573">
        <f>IF(ISBLANK('Data Entry'!d573), "", 'Data Entry'!d573)</f>
      </c>
      <c r="AK573">
        <f>IF(ISBLANK('Data Entry'!e573), "", 'Data Entry'!e573)</f>
      </c>
      <c r="AL573">
        <f>IF(ISBLANK('Data Entry'!f573), "", 'Data Entry'!f573)</f>
      </c>
      <c r="AM573">
        <f>IF(ISBLANK('Data Entry'!g573), "", 'Data Entry'!g573)</f>
      </c>
      <c r="AN573">
        <f>IF(ISBLANK('Data Entry'!h573), "", 'Data Entry'!h573)</f>
      </c>
    </row>
    <row r="574" spans="1:40" x14ac:dyDescent="0.25">
      <c r="A574">
        <f>IF(ISBLANK('Data Entry'!A574), "", 'Data Entry'!A574)</f>
      </c>
      <c r="B574">
        <f>IF(ISBLANK('Data Entry'!B574), "", 'Data Entry'!B574)</f>
      </c>
      <c r="C574">
        <f>IF(ISBLANK('Data Entry'!C574), "", 'Data Entry'!C574)</f>
      </c>
      <c r="D574">
        <f>IF(ISBLANK('Data Entry'!D574), "", 'Data Entry'!D574)</f>
      </c>
      <c r="E574">
        <f>IF(ISBLANK('Data Entry'!E574), "", 'Data Entry'!E574)</f>
      </c>
      <c r="F574">
        <f>IF(ISBLANK('Data Entry'!F574), "", 'Data Entry'!F574)</f>
      </c>
      <c r="G574">
        <f>IF(ISBLANK('Data Entry'!G574), "", 'Data Entry'!G574)</f>
      </c>
      <c r="H574">
        <f>IF(ISBLANK('Data Entry'!H574), "", 'Data Entry'!H574)</f>
      </c>
      <c r="I574">
        <f>IF(ISBLANK('Data Entry'!I574), "", 'Data Entry'!I574)</f>
      </c>
      <c r="J574">
        <f>IF(ISBLANK('Data Entry'!J574), "", 'Data Entry'!J574)</f>
      </c>
      <c r="K574">
        <f>IF(ISBLANK('Data Entry'!K574), "", 'Data Entry'!K574)</f>
      </c>
      <c r="L574">
        <f>IF(ISBLANK('Data Entry'!L574), "", 'Data Entry'!L574)</f>
      </c>
      <c r="M574">
        <f>IF(ISBLANK('Data Entry'!M574), "", 'Data Entry'!M574)</f>
      </c>
      <c r="N574">
        <f>IF(ISBLANK('Data Entry'!N574), "", 'Data Entry'!N574)</f>
      </c>
      <c r="O574">
        <f>IF(ISBLANK('Data Entry'!O574), "", 'Data Entry'!O574)</f>
      </c>
      <c r="P574">
        <f>IF(ISBLANK('Data Entry'!P574), "", 'Data Entry'!P574)</f>
      </c>
      <c r="Q574">
        <f>IF(ISBLANK('Data Entry'!Q574), "", 'Data Entry'!Q574)</f>
      </c>
      <c r="R574">
        <f>IF(ISBLANK('Data Entry'!R574), "", 'Data Entry'!R574)</f>
      </c>
      <c r="S574">
        <f>IF(ISBLANK('Data Entry'!S574), "", 'Data Entry'!S574)</f>
      </c>
      <c r="T574">
        <f>IF(ISBLANK('Data Entry'!T574), "", 'Data Entry'!T574)</f>
      </c>
      <c r="U574">
        <f>IF(ISBLANK('Data Entry'!U574), "", 'Data Entry'!U574)</f>
      </c>
      <c r="V574">
        <f>IF(ISBLANK('Data Entry'!V574), "", 'Data Entry'!V574)</f>
      </c>
      <c r="W574">
        <f>IF(ISBLANK('Data Entry'!W574), "", 'Data Entry'!W574)</f>
      </c>
      <c r="X574">
        <f>IF(ISBLANK('Data Entry'!X574), "", 'Data Entry'!X574)</f>
      </c>
      <c r="Y574">
        <f>IF(ISBLANK('Data Entry'!Y574), "", 'Data Entry'!Y574)</f>
      </c>
      <c r="Z574">
        <f>IF(ISBLANK('Data Entry'!Z574), "", 'Data Entry'!Z574)</f>
      </c>
      <c r="AA574">
        <f>IF(ISBLANK('Data Entry'![574), "", 'Data Entry'![574)</f>
      </c>
      <c r="AB574">
        <f>IF(ISBLANK('Data Entry'!\574), "", 'Data Entry'!\574)</f>
      </c>
      <c r="AC574">
        <f>IF(ISBLANK('Data Entry'!]574), "", 'Data Entry'!]574)</f>
      </c>
      <c r="AD574">
        <f>IF(ISBLANK('Data Entry'!^574), "", 'Data Entry'!^574)</f>
      </c>
      <c r="AE574">
        <f>IF(ISBLANK('Data Entry'!_574), "", 'Data Entry'!_574)</f>
      </c>
      <c r="AF574">
        <f>IF(ISBLANK('Data Entry'!`574), "", 'Data Entry'!`574)</f>
      </c>
      <c r="AG574">
        <f>IF(ISBLANK('Data Entry'!a574), "", 'Data Entry'!a574)</f>
      </c>
      <c r="AH574">
        <f>IF(ISBLANK('Data Entry'!b574), "", 'Data Entry'!b574)</f>
      </c>
      <c r="AI574">
        <f>IF(ISBLANK('Data Entry'!c574), "", 'Data Entry'!c574)</f>
      </c>
      <c r="AJ574">
        <f>IF(ISBLANK('Data Entry'!d574), "", 'Data Entry'!d574)</f>
      </c>
      <c r="AK574">
        <f>IF(ISBLANK('Data Entry'!e574), "", 'Data Entry'!e574)</f>
      </c>
      <c r="AL574">
        <f>IF(ISBLANK('Data Entry'!f574), "", 'Data Entry'!f574)</f>
      </c>
      <c r="AM574">
        <f>IF(ISBLANK('Data Entry'!g574), "", 'Data Entry'!g574)</f>
      </c>
      <c r="AN574">
        <f>IF(ISBLANK('Data Entry'!h574), "", 'Data Entry'!h574)</f>
      </c>
    </row>
    <row r="575" spans="1:40" x14ac:dyDescent="0.25">
      <c r="A575">
        <f>IF(ISBLANK('Data Entry'!A575), "", 'Data Entry'!A575)</f>
      </c>
      <c r="B575">
        <f>IF(ISBLANK('Data Entry'!B575), "", 'Data Entry'!B575)</f>
      </c>
      <c r="C575">
        <f>IF(ISBLANK('Data Entry'!C575), "", 'Data Entry'!C575)</f>
      </c>
      <c r="D575">
        <f>IF(ISBLANK('Data Entry'!D575), "", 'Data Entry'!D575)</f>
      </c>
      <c r="E575">
        <f>IF(ISBLANK('Data Entry'!E575), "", 'Data Entry'!E575)</f>
      </c>
      <c r="F575">
        <f>IF(ISBLANK('Data Entry'!F575), "", 'Data Entry'!F575)</f>
      </c>
      <c r="G575">
        <f>IF(ISBLANK('Data Entry'!G575), "", 'Data Entry'!G575)</f>
      </c>
      <c r="H575">
        <f>IF(ISBLANK('Data Entry'!H575), "", 'Data Entry'!H575)</f>
      </c>
      <c r="I575">
        <f>IF(ISBLANK('Data Entry'!I575), "", 'Data Entry'!I575)</f>
      </c>
      <c r="J575">
        <f>IF(ISBLANK('Data Entry'!J575), "", 'Data Entry'!J575)</f>
      </c>
      <c r="K575">
        <f>IF(ISBLANK('Data Entry'!K575), "", 'Data Entry'!K575)</f>
      </c>
      <c r="L575">
        <f>IF(ISBLANK('Data Entry'!L575), "", 'Data Entry'!L575)</f>
      </c>
      <c r="M575">
        <f>IF(ISBLANK('Data Entry'!M575), "", 'Data Entry'!M575)</f>
      </c>
      <c r="N575">
        <f>IF(ISBLANK('Data Entry'!N575), "", 'Data Entry'!N575)</f>
      </c>
      <c r="O575">
        <f>IF(ISBLANK('Data Entry'!O575), "", 'Data Entry'!O575)</f>
      </c>
      <c r="P575">
        <f>IF(ISBLANK('Data Entry'!P575), "", 'Data Entry'!P575)</f>
      </c>
      <c r="Q575">
        <f>IF(ISBLANK('Data Entry'!Q575), "", 'Data Entry'!Q575)</f>
      </c>
      <c r="R575">
        <f>IF(ISBLANK('Data Entry'!R575), "", 'Data Entry'!R575)</f>
      </c>
      <c r="S575">
        <f>IF(ISBLANK('Data Entry'!S575), "", 'Data Entry'!S575)</f>
      </c>
      <c r="T575">
        <f>IF(ISBLANK('Data Entry'!T575), "", 'Data Entry'!T575)</f>
      </c>
      <c r="U575">
        <f>IF(ISBLANK('Data Entry'!U575), "", 'Data Entry'!U575)</f>
      </c>
      <c r="V575">
        <f>IF(ISBLANK('Data Entry'!V575), "", 'Data Entry'!V575)</f>
      </c>
      <c r="W575">
        <f>IF(ISBLANK('Data Entry'!W575), "", 'Data Entry'!W575)</f>
      </c>
      <c r="X575">
        <f>IF(ISBLANK('Data Entry'!X575), "", 'Data Entry'!X575)</f>
      </c>
      <c r="Y575">
        <f>IF(ISBLANK('Data Entry'!Y575), "", 'Data Entry'!Y575)</f>
      </c>
      <c r="Z575">
        <f>IF(ISBLANK('Data Entry'!Z575), "", 'Data Entry'!Z575)</f>
      </c>
      <c r="AA575">
        <f>IF(ISBLANK('Data Entry'![575), "", 'Data Entry'![575)</f>
      </c>
      <c r="AB575">
        <f>IF(ISBLANK('Data Entry'!\575), "", 'Data Entry'!\575)</f>
      </c>
      <c r="AC575">
        <f>IF(ISBLANK('Data Entry'!]575), "", 'Data Entry'!]575)</f>
      </c>
      <c r="AD575">
        <f>IF(ISBLANK('Data Entry'!^575), "", 'Data Entry'!^575)</f>
      </c>
      <c r="AE575">
        <f>IF(ISBLANK('Data Entry'!_575), "", 'Data Entry'!_575)</f>
      </c>
      <c r="AF575">
        <f>IF(ISBLANK('Data Entry'!`575), "", 'Data Entry'!`575)</f>
      </c>
      <c r="AG575">
        <f>IF(ISBLANK('Data Entry'!a575), "", 'Data Entry'!a575)</f>
      </c>
      <c r="AH575">
        <f>IF(ISBLANK('Data Entry'!b575), "", 'Data Entry'!b575)</f>
      </c>
      <c r="AI575">
        <f>IF(ISBLANK('Data Entry'!c575), "", 'Data Entry'!c575)</f>
      </c>
      <c r="AJ575">
        <f>IF(ISBLANK('Data Entry'!d575), "", 'Data Entry'!d575)</f>
      </c>
      <c r="AK575">
        <f>IF(ISBLANK('Data Entry'!e575), "", 'Data Entry'!e575)</f>
      </c>
      <c r="AL575">
        <f>IF(ISBLANK('Data Entry'!f575), "", 'Data Entry'!f575)</f>
      </c>
      <c r="AM575">
        <f>IF(ISBLANK('Data Entry'!g575), "", 'Data Entry'!g575)</f>
      </c>
      <c r="AN575">
        <f>IF(ISBLANK('Data Entry'!h575), "", 'Data Entry'!h575)</f>
      </c>
    </row>
    <row r="576" spans="1:40" x14ac:dyDescent="0.25">
      <c r="A576">
        <f>IF(ISBLANK('Data Entry'!A576), "", 'Data Entry'!A576)</f>
      </c>
      <c r="B576">
        <f>IF(ISBLANK('Data Entry'!B576), "", 'Data Entry'!B576)</f>
      </c>
      <c r="C576">
        <f>IF(ISBLANK('Data Entry'!C576), "", 'Data Entry'!C576)</f>
      </c>
      <c r="D576">
        <f>IF(ISBLANK('Data Entry'!D576), "", 'Data Entry'!D576)</f>
      </c>
      <c r="E576">
        <f>IF(ISBLANK('Data Entry'!E576), "", 'Data Entry'!E576)</f>
      </c>
      <c r="F576">
        <f>IF(ISBLANK('Data Entry'!F576), "", 'Data Entry'!F576)</f>
      </c>
      <c r="G576">
        <f>IF(ISBLANK('Data Entry'!G576), "", 'Data Entry'!G576)</f>
      </c>
      <c r="H576">
        <f>IF(ISBLANK('Data Entry'!H576), "", 'Data Entry'!H576)</f>
      </c>
      <c r="I576">
        <f>IF(ISBLANK('Data Entry'!I576), "", 'Data Entry'!I576)</f>
      </c>
      <c r="J576">
        <f>IF(ISBLANK('Data Entry'!J576), "", 'Data Entry'!J576)</f>
      </c>
      <c r="K576">
        <f>IF(ISBLANK('Data Entry'!K576), "", 'Data Entry'!K576)</f>
      </c>
      <c r="L576">
        <f>IF(ISBLANK('Data Entry'!L576), "", 'Data Entry'!L576)</f>
      </c>
      <c r="M576">
        <f>IF(ISBLANK('Data Entry'!M576), "", 'Data Entry'!M576)</f>
      </c>
      <c r="N576">
        <f>IF(ISBLANK('Data Entry'!N576), "", 'Data Entry'!N576)</f>
      </c>
      <c r="O576">
        <f>IF(ISBLANK('Data Entry'!O576), "", 'Data Entry'!O576)</f>
      </c>
      <c r="P576">
        <f>IF(ISBLANK('Data Entry'!P576), "", 'Data Entry'!P576)</f>
      </c>
      <c r="Q576">
        <f>IF(ISBLANK('Data Entry'!Q576), "", 'Data Entry'!Q576)</f>
      </c>
      <c r="R576">
        <f>IF(ISBLANK('Data Entry'!R576), "", 'Data Entry'!R576)</f>
      </c>
      <c r="S576">
        <f>IF(ISBLANK('Data Entry'!S576), "", 'Data Entry'!S576)</f>
      </c>
      <c r="T576">
        <f>IF(ISBLANK('Data Entry'!T576), "", 'Data Entry'!T576)</f>
      </c>
      <c r="U576">
        <f>IF(ISBLANK('Data Entry'!U576), "", 'Data Entry'!U576)</f>
      </c>
      <c r="V576">
        <f>IF(ISBLANK('Data Entry'!V576), "", 'Data Entry'!V576)</f>
      </c>
      <c r="W576">
        <f>IF(ISBLANK('Data Entry'!W576), "", 'Data Entry'!W576)</f>
      </c>
      <c r="X576">
        <f>IF(ISBLANK('Data Entry'!X576), "", 'Data Entry'!X576)</f>
      </c>
      <c r="Y576">
        <f>IF(ISBLANK('Data Entry'!Y576), "", 'Data Entry'!Y576)</f>
      </c>
      <c r="Z576">
        <f>IF(ISBLANK('Data Entry'!Z576), "", 'Data Entry'!Z576)</f>
      </c>
      <c r="AA576">
        <f>IF(ISBLANK('Data Entry'![576), "", 'Data Entry'![576)</f>
      </c>
      <c r="AB576">
        <f>IF(ISBLANK('Data Entry'!\576), "", 'Data Entry'!\576)</f>
      </c>
      <c r="AC576">
        <f>IF(ISBLANK('Data Entry'!]576), "", 'Data Entry'!]576)</f>
      </c>
      <c r="AD576">
        <f>IF(ISBLANK('Data Entry'!^576), "", 'Data Entry'!^576)</f>
      </c>
      <c r="AE576">
        <f>IF(ISBLANK('Data Entry'!_576), "", 'Data Entry'!_576)</f>
      </c>
      <c r="AF576">
        <f>IF(ISBLANK('Data Entry'!`576), "", 'Data Entry'!`576)</f>
      </c>
      <c r="AG576">
        <f>IF(ISBLANK('Data Entry'!a576), "", 'Data Entry'!a576)</f>
      </c>
      <c r="AH576">
        <f>IF(ISBLANK('Data Entry'!b576), "", 'Data Entry'!b576)</f>
      </c>
      <c r="AI576">
        <f>IF(ISBLANK('Data Entry'!c576), "", 'Data Entry'!c576)</f>
      </c>
      <c r="AJ576">
        <f>IF(ISBLANK('Data Entry'!d576), "", 'Data Entry'!d576)</f>
      </c>
      <c r="AK576">
        <f>IF(ISBLANK('Data Entry'!e576), "", 'Data Entry'!e576)</f>
      </c>
      <c r="AL576">
        <f>IF(ISBLANK('Data Entry'!f576), "", 'Data Entry'!f576)</f>
      </c>
      <c r="AM576">
        <f>IF(ISBLANK('Data Entry'!g576), "", 'Data Entry'!g576)</f>
      </c>
      <c r="AN576">
        <f>IF(ISBLANK('Data Entry'!h576), "", 'Data Entry'!h576)</f>
      </c>
    </row>
    <row r="577" spans="1:40" x14ac:dyDescent="0.25">
      <c r="A577">
        <f>IF(ISBLANK('Data Entry'!A577), "", 'Data Entry'!A577)</f>
      </c>
      <c r="B577">
        <f>IF(ISBLANK('Data Entry'!B577), "", 'Data Entry'!B577)</f>
      </c>
      <c r="C577">
        <f>IF(ISBLANK('Data Entry'!C577), "", 'Data Entry'!C577)</f>
      </c>
      <c r="D577">
        <f>IF(ISBLANK('Data Entry'!D577), "", 'Data Entry'!D577)</f>
      </c>
      <c r="E577">
        <f>IF(ISBLANK('Data Entry'!E577), "", 'Data Entry'!E577)</f>
      </c>
      <c r="F577">
        <f>IF(ISBLANK('Data Entry'!F577), "", 'Data Entry'!F577)</f>
      </c>
      <c r="G577">
        <f>IF(ISBLANK('Data Entry'!G577), "", 'Data Entry'!G577)</f>
      </c>
      <c r="H577">
        <f>IF(ISBLANK('Data Entry'!H577), "", 'Data Entry'!H577)</f>
      </c>
      <c r="I577">
        <f>IF(ISBLANK('Data Entry'!I577), "", 'Data Entry'!I577)</f>
      </c>
      <c r="J577">
        <f>IF(ISBLANK('Data Entry'!J577), "", 'Data Entry'!J577)</f>
      </c>
      <c r="K577">
        <f>IF(ISBLANK('Data Entry'!K577), "", 'Data Entry'!K577)</f>
      </c>
      <c r="L577">
        <f>IF(ISBLANK('Data Entry'!L577), "", 'Data Entry'!L577)</f>
      </c>
      <c r="M577">
        <f>IF(ISBLANK('Data Entry'!M577), "", 'Data Entry'!M577)</f>
      </c>
      <c r="N577">
        <f>IF(ISBLANK('Data Entry'!N577), "", 'Data Entry'!N577)</f>
      </c>
      <c r="O577">
        <f>IF(ISBLANK('Data Entry'!O577), "", 'Data Entry'!O577)</f>
      </c>
      <c r="P577">
        <f>IF(ISBLANK('Data Entry'!P577), "", 'Data Entry'!P577)</f>
      </c>
      <c r="Q577">
        <f>IF(ISBLANK('Data Entry'!Q577), "", 'Data Entry'!Q577)</f>
      </c>
      <c r="R577">
        <f>IF(ISBLANK('Data Entry'!R577), "", 'Data Entry'!R577)</f>
      </c>
      <c r="S577">
        <f>IF(ISBLANK('Data Entry'!S577), "", 'Data Entry'!S577)</f>
      </c>
      <c r="T577">
        <f>IF(ISBLANK('Data Entry'!T577), "", 'Data Entry'!T577)</f>
      </c>
      <c r="U577">
        <f>IF(ISBLANK('Data Entry'!U577), "", 'Data Entry'!U577)</f>
      </c>
      <c r="V577">
        <f>IF(ISBLANK('Data Entry'!V577), "", 'Data Entry'!V577)</f>
      </c>
      <c r="W577">
        <f>IF(ISBLANK('Data Entry'!W577), "", 'Data Entry'!W577)</f>
      </c>
      <c r="X577">
        <f>IF(ISBLANK('Data Entry'!X577), "", 'Data Entry'!X577)</f>
      </c>
      <c r="Y577">
        <f>IF(ISBLANK('Data Entry'!Y577), "", 'Data Entry'!Y577)</f>
      </c>
      <c r="Z577">
        <f>IF(ISBLANK('Data Entry'!Z577), "", 'Data Entry'!Z577)</f>
      </c>
      <c r="AA577">
        <f>IF(ISBLANK('Data Entry'![577), "", 'Data Entry'![577)</f>
      </c>
      <c r="AB577">
        <f>IF(ISBLANK('Data Entry'!\577), "", 'Data Entry'!\577)</f>
      </c>
      <c r="AC577">
        <f>IF(ISBLANK('Data Entry'!]577), "", 'Data Entry'!]577)</f>
      </c>
      <c r="AD577">
        <f>IF(ISBLANK('Data Entry'!^577), "", 'Data Entry'!^577)</f>
      </c>
      <c r="AE577">
        <f>IF(ISBLANK('Data Entry'!_577), "", 'Data Entry'!_577)</f>
      </c>
      <c r="AF577">
        <f>IF(ISBLANK('Data Entry'!`577), "", 'Data Entry'!`577)</f>
      </c>
      <c r="AG577">
        <f>IF(ISBLANK('Data Entry'!a577), "", 'Data Entry'!a577)</f>
      </c>
      <c r="AH577">
        <f>IF(ISBLANK('Data Entry'!b577), "", 'Data Entry'!b577)</f>
      </c>
      <c r="AI577">
        <f>IF(ISBLANK('Data Entry'!c577), "", 'Data Entry'!c577)</f>
      </c>
      <c r="AJ577">
        <f>IF(ISBLANK('Data Entry'!d577), "", 'Data Entry'!d577)</f>
      </c>
      <c r="AK577">
        <f>IF(ISBLANK('Data Entry'!e577), "", 'Data Entry'!e577)</f>
      </c>
      <c r="AL577">
        <f>IF(ISBLANK('Data Entry'!f577), "", 'Data Entry'!f577)</f>
      </c>
      <c r="AM577">
        <f>IF(ISBLANK('Data Entry'!g577), "", 'Data Entry'!g577)</f>
      </c>
      <c r="AN577">
        <f>IF(ISBLANK('Data Entry'!h577), "", 'Data Entry'!h577)</f>
      </c>
    </row>
    <row r="578" spans="1:40" x14ac:dyDescent="0.25">
      <c r="A578">
        <f>IF(ISBLANK('Data Entry'!A578), "", 'Data Entry'!A578)</f>
      </c>
      <c r="B578">
        <f>IF(ISBLANK('Data Entry'!B578), "", 'Data Entry'!B578)</f>
      </c>
      <c r="C578">
        <f>IF(ISBLANK('Data Entry'!C578), "", 'Data Entry'!C578)</f>
      </c>
      <c r="D578">
        <f>IF(ISBLANK('Data Entry'!D578), "", 'Data Entry'!D578)</f>
      </c>
      <c r="E578">
        <f>IF(ISBLANK('Data Entry'!E578), "", 'Data Entry'!E578)</f>
      </c>
      <c r="F578">
        <f>IF(ISBLANK('Data Entry'!F578), "", 'Data Entry'!F578)</f>
      </c>
      <c r="G578">
        <f>IF(ISBLANK('Data Entry'!G578), "", 'Data Entry'!G578)</f>
      </c>
      <c r="H578">
        <f>IF(ISBLANK('Data Entry'!H578), "", 'Data Entry'!H578)</f>
      </c>
      <c r="I578">
        <f>IF(ISBLANK('Data Entry'!I578), "", 'Data Entry'!I578)</f>
      </c>
      <c r="J578">
        <f>IF(ISBLANK('Data Entry'!J578), "", 'Data Entry'!J578)</f>
      </c>
      <c r="K578">
        <f>IF(ISBLANK('Data Entry'!K578), "", 'Data Entry'!K578)</f>
      </c>
      <c r="L578">
        <f>IF(ISBLANK('Data Entry'!L578), "", 'Data Entry'!L578)</f>
      </c>
      <c r="M578">
        <f>IF(ISBLANK('Data Entry'!M578), "", 'Data Entry'!M578)</f>
      </c>
      <c r="N578">
        <f>IF(ISBLANK('Data Entry'!N578), "", 'Data Entry'!N578)</f>
      </c>
      <c r="O578">
        <f>IF(ISBLANK('Data Entry'!O578), "", 'Data Entry'!O578)</f>
      </c>
      <c r="P578">
        <f>IF(ISBLANK('Data Entry'!P578), "", 'Data Entry'!P578)</f>
      </c>
      <c r="Q578">
        <f>IF(ISBLANK('Data Entry'!Q578), "", 'Data Entry'!Q578)</f>
      </c>
      <c r="R578">
        <f>IF(ISBLANK('Data Entry'!R578), "", 'Data Entry'!R578)</f>
      </c>
      <c r="S578">
        <f>IF(ISBLANK('Data Entry'!S578), "", 'Data Entry'!S578)</f>
      </c>
      <c r="T578">
        <f>IF(ISBLANK('Data Entry'!T578), "", 'Data Entry'!T578)</f>
      </c>
      <c r="U578">
        <f>IF(ISBLANK('Data Entry'!U578), "", 'Data Entry'!U578)</f>
      </c>
      <c r="V578">
        <f>IF(ISBLANK('Data Entry'!V578), "", 'Data Entry'!V578)</f>
      </c>
      <c r="W578">
        <f>IF(ISBLANK('Data Entry'!W578), "", 'Data Entry'!W578)</f>
      </c>
      <c r="X578">
        <f>IF(ISBLANK('Data Entry'!X578), "", 'Data Entry'!X578)</f>
      </c>
      <c r="Y578">
        <f>IF(ISBLANK('Data Entry'!Y578), "", 'Data Entry'!Y578)</f>
      </c>
      <c r="Z578">
        <f>IF(ISBLANK('Data Entry'!Z578), "", 'Data Entry'!Z578)</f>
      </c>
      <c r="AA578">
        <f>IF(ISBLANK('Data Entry'![578), "", 'Data Entry'![578)</f>
      </c>
      <c r="AB578">
        <f>IF(ISBLANK('Data Entry'!\578), "", 'Data Entry'!\578)</f>
      </c>
      <c r="AC578">
        <f>IF(ISBLANK('Data Entry'!]578), "", 'Data Entry'!]578)</f>
      </c>
      <c r="AD578">
        <f>IF(ISBLANK('Data Entry'!^578), "", 'Data Entry'!^578)</f>
      </c>
      <c r="AE578">
        <f>IF(ISBLANK('Data Entry'!_578), "", 'Data Entry'!_578)</f>
      </c>
      <c r="AF578">
        <f>IF(ISBLANK('Data Entry'!`578), "", 'Data Entry'!`578)</f>
      </c>
      <c r="AG578">
        <f>IF(ISBLANK('Data Entry'!a578), "", 'Data Entry'!a578)</f>
      </c>
      <c r="AH578">
        <f>IF(ISBLANK('Data Entry'!b578), "", 'Data Entry'!b578)</f>
      </c>
      <c r="AI578">
        <f>IF(ISBLANK('Data Entry'!c578), "", 'Data Entry'!c578)</f>
      </c>
      <c r="AJ578">
        <f>IF(ISBLANK('Data Entry'!d578), "", 'Data Entry'!d578)</f>
      </c>
      <c r="AK578">
        <f>IF(ISBLANK('Data Entry'!e578), "", 'Data Entry'!e578)</f>
      </c>
      <c r="AL578">
        <f>IF(ISBLANK('Data Entry'!f578), "", 'Data Entry'!f578)</f>
      </c>
      <c r="AM578">
        <f>IF(ISBLANK('Data Entry'!g578), "", 'Data Entry'!g578)</f>
      </c>
      <c r="AN578">
        <f>IF(ISBLANK('Data Entry'!h578), "", 'Data Entry'!h578)</f>
      </c>
    </row>
    <row r="579" spans="1:40" x14ac:dyDescent="0.25">
      <c r="A579">
        <f>IF(ISBLANK('Data Entry'!A579), "", 'Data Entry'!A579)</f>
      </c>
      <c r="B579">
        <f>IF(ISBLANK('Data Entry'!B579), "", 'Data Entry'!B579)</f>
      </c>
      <c r="C579">
        <f>IF(ISBLANK('Data Entry'!C579), "", 'Data Entry'!C579)</f>
      </c>
      <c r="D579">
        <f>IF(ISBLANK('Data Entry'!D579), "", 'Data Entry'!D579)</f>
      </c>
      <c r="E579">
        <f>IF(ISBLANK('Data Entry'!E579), "", 'Data Entry'!E579)</f>
      </c>
      <c r="F579">
        <f>IF(ISBLANK('Data Entry'!F579), "", 'Data Entry'!F579)</f>
      </c>
      <c r="G579">
        <f>IF(ISBLANK('Data Entry'!G579), "", 'Data Entry'!G579)</f>
      </c>
      <c r="H579">
        <f>IF(ISBLANK('Data Entry'!H579), "", 'Data Entry'!H579)</f>
      </c>
      <c r="I579">
        <f>IF(ISBLANK('Data Entry'!I579), "", 'Data Entry'!I579)</f>
      </c>
      <c r="J579">
        <f>IF(ISBLANK('Data Entry'!J579), "", 'Data Entry'!J579)</f>
      </c>
      <c r="K579">
        <f>IF(ISBLANK('Data Entry'!K579), "", 'Data Entry'!K579)</f>
      </c>
      <c r="L579">
        <f>IF(ISBLANK('Data Entry'!L579), "", 'Data Entry'!L579)</f>
      </c>
      <c r="M579">
        <f>IF(ISBLANK('Data Entry'!M579), "", 'Data Entry'!M579)</f>
      </c>
      <c r="N579">
        <f>IF(ISBLANK('Data Entry'!N579), "", 'Data Entry'!N579)</f>
      </c>
      <c r="O579">
        <f>IF(ISBLANK('Data Entry'!O579), "", 'Data Entry'!O579)</f>
      </c>
      <c r="P579">
        <f>IF(ISBLANK('Data Entry'!P579), "", 'Data Entry'!P579)</f>
      </c>
      <c r="Q579">
        <f>IF(ISBLANK('Data Entry'!Q579), "", 'Data Entry'!Q579)</f>
      </c>
      <c r="R579">
        <f>IF(ISBLANK('Data Entry'!R579), "", 'Data Entry'!R579)</f>
      </c>
      <c r="S579">
        <f>IF(ISBLANK('Data Entry'!S579), "", 'Data Entry'!S579)</f>
      </c>
      <c r="T579">
        <f>IF(ISBLANK('Data Entry'!T579), "", 'Data Entry'!T579)</f>
      </c>
      <c r="U579">
        <f>IF(ISBLANK('Data Entry'!U579), "", 'Data Entry'!U579)</f>
      </c>
      <c r="V579">
        <f>IF(ISBLANK('Data Entry'!V579), "", 'Data Entry'!V579)</f>
      </c>
      <c r="W579">
        <f>IF(ISBLANK('Data Entry'!W579), "", 'Data Entry'!W579)</f>
      </c>
      <c r="X579">
        <f>IF(ISBLANK('Data Entry'!X579), "", 'Data Entry'!X579)</f>
      </c>
      <c r="Y579">
        <f>IF(ISBLANK('Data Entry'!Y579), "", 'Data Entry'!Y579)</f>
      </c>
      <c r="Z579">
        <f>IF(ISBLANK('Data Entry'!Z579), "", 'Data Entry'!Z579)</f>
      </c>
      <c r="AA579">
        <f>IF(ISBLANK('Data Entry'![579), "", 'Data Entry'![579)</f>
      </c>
      <c r="AB579">
        <f>IF(ISBLANK('Data Entry'!\579), "", 'Data Entry'!\579)</f>
      </c>
      <c r="AC579">
        <f>IF(ISBLANK('Data Entry'!]579), "", 'Data Entry'!]579)</f>
      </c>
      <c r="AD579">
        <f>IF(ISBLANK('Data Entry'!^579), "", 'Data Entry'!^579)</f>
      </c>
      <c r="AE579">
        <f>IF(ISBLANK('Data Entry'!_579), "", 'Data Entry'!_579)</f>
      </c>
      <c r="AF579">
        <f>IF(ISBLANK('Data Entry'!`579), "", 'Data Entry'!`579)</f>
      </c>
      <c r="AG579">
        <f>IF(ISBLANK('Data Entry'!a579), "", 'Data Entry'!a579)</f>
      </c>
      <c r="AH579">
        <f>IF(ISBLANK('Data Entry'!b579), "", 'Data Entry'!b579)</f>
      </c>
      <c r="AI579">
        <f>IF(ISBLANK('Data Entry'!c579), "", 'Data Entry'!c579)</f>
      </c>
      <c r="AJ579">
        <f>IF(ISBLANK('Data Entry'!d579), "", 'Data Entry'!d579)</f>
      </c>
      <c r="AK579">
        <f>IF(ISBLANK('Data Entry'!e579), "", 'Data Entry'!e579)</f>
      </c>
      <c r="AL579">
        <f>IF(ISBLANK('Data Entry'!f579), "", 'Data Entry'!f579)</f>
      </c>
      <c r="AM579">
        <f>IF(ISBLANK('Data Entry'!g579), "", 'Data Entry'!g579)</f>
      </c>
      <c r="AN579">
        <f>IF(ISBLANK('Data Entry'!h579), "", 'Data Entry'!h579)</f>
      </c>
    </row>
    <row r="580" spans="1:40" x14ac:dyDescent="0.25">
      <c r="A580">
        <f>IF(ISBLANK('Data Entry'!A580), "", 'Data Entry'!A580)</f>
      </c>
      <c r="B580">
        <f>IF(ISBLANK('Data Entry'!B580), "", 'Data Entry'!B580)</f>
      </c>
      <c r="C580">
        <f>IF(ISBLANK('Data Entry'!C580), "", 'Data Entry'!C580)</f>
      </c>
      <c r="D580">
        <f>IF(ISBLANK('Data Entry'!D580), "", 'Data Entry'!D580)</f>
      </c>
      <c r="E580">
        <f>IF(ISBLANK('Data Entry'!E580), "", 'Data Entry'!E580)</f>
      </c>
      <c r="F580">
        <f>IF(ISBLANK('Data Entry'!F580), "", 'Data Entry'!F580)</f>
      </c>
      <c r="G580">
        <f>IF(ISBLANK('Data Entry'!G580), "", 'Data Entry'!G580)</f>
      </c>
      <c r="H580">
        <f>IF(ISBLANK('Data Entry'!H580), "", 'Data Entry'!H580)</f>
      </c>
      <c r="I580">
        <f>IF(ISBLANK('Data Entry'!I580), "", 'Data Entry'!I580)</f>
      </c>
      <c r="J580">
        <f>IF(ISBLANK('Data Entry'!J580), "", 'Data Entry'!J580)</f>
      </c>
      <c r="K580">
        <f>IF(ISBLANK('Data Entry'!K580), "", 'Data Entry'!K580)</f>
      </c>
      <c r="L580">
        <f>IF(ISBLANK('Data Entry'!L580), "", 'Data Entry'!L580)</f>
      </c>
      <c r="M580">
        <f>IF(ISBLANK('Data Entry'!M580), "", 'Data Entry'!M580)</f>
      </c>
      <c r="N580">
        <f>IF(ISBLANK('Data Entry'!N580), "", 'Data Entry'!N580)</f>
      </c>
      <c r="O580">
        <f>IF(ISBLANK('Data Entry'!O580), "", 'Data Entry'!O580)</f>
      </c>
      <c r="P580">
        <f>IF(ISBLANK('Data Entry'!P580), "", 'Data Entry'!P580)</f>
      </c>
      <c r="Q580">
        <f>IF(ISBLANK('Data Entry'!Q580), "", 'Data Entry'!Q580)</f>
      </c>
      <c r="R580">
        <f>IF(ISBLANK('Data Entry'!R580), "", 'Data Entry'!R580)</f>
      </c>
      <c r="S580">
        <f>IF(ISBLANK('Data Entry'!S580), "", 'Data Entry'!S580)</f>
      </c>
      <c r="T580">
        <f>IF(ISBLANK('Data Entry'!T580), "", 'Data Entry'!T580)</f>
      </c>
      <c r="U580">
        <f>IF(ISBLANK('Data Entry'!U580), "", 'Data Entry'!U580)</f>
      </c>
      <c r="V580">
        <f>IF(ISBLANK('Data Entry'!V580), "", 'Data Entry'!V580)</f>
      </c>
      <c r="W580">
        <f>IF(ISBLANK('Data Entry'!W580), "", 'Data Entry'!W580)</f>
      </c>
      <c r="X580">
        <f>IF(ISBLANK('Data Entry'!X580), "", 'Data Entry'!X580)</f>
      </c>
      <c r="Y580">
        <f>IF(ISBLANK('Data Entry'!Y580), "", 'Data Entry'!Y580)</f>
      </c>
      <c r="Z580">
        <f>IF(ISBLANK('Data Entry'!Z580), "", 'Data Entry'!Z580)</f>
      </c>
      <c r="AA580">
        <f>IF(ISBLANK('Data Entry'![580), "", 'Data Entry'![580)</f>
      </c>
      <c r="AB580">
        <f>IF(ISBLANK('Data Entry'!\580), "", 'Data Entry'!\580)</f>
      </c>
      <c r="AC580">
        <f>IF(ISBLANK('Data Entry'!]580), "", 'Data Entry'!]580)</f>
      </c>
      <c r="AD580">
        <f>IF(ISBLANK('Data Entry'!^580), "", 'Data Entry'!^580)</f>
      </c>
      <c r="AE580">
        <f>IF(ISBLANK('Data Entry'!_580), "", 'Data Entry'!_580)</f>
      </c>
      <c r="AF580">
        <f>IF(ISBLANK('Data Entry'!`580), "", 'Data Entry'!`580)</f>
      </c>
      <c r="AG580">
        <f>IF(ISBLANK('Data Entry'!a580), "", 'Data Entry'!a580)</f>
      </c>
      <c r="AH580">
        <f>IF(ISBLANK('Data Entry'!b580), "", 'Data Entry'!b580)</f>
      </c>
      <c r="AI580">
        <f>IF(ISBLANK('Data Entry'!c580), "", 'Data Entry'!c580)</f>
      </c>
      <c r="AJ580">
        <f>IF(ISBLANK('Data Entry'!d580), "", 'Data Entry'!d580)</f>
      </c>
      <c r="AK580">
        <f>IF(ISBLANK('Data Entry'!e580), "", 'Data Entry'!e580)</f>
      </c>
      <c r="AL580">
        <f>IF(ISBLANK('Data Entry'!f580), "", 'Data Entry'!f580)</f>
      </c>
      <c r="AM580">
        <f>IF(ISBLANK('Data Entry'!g580), "", 'Data Entry'!g580)</f>
      </c>
      <c r="AN580">
        <f>IF(ISBLANK('Data Entry'!h580), "", 'Data Entry'!h580)</f>
      </c>
    </row>
    <row r="581" spans="1:40" x14ac:dyDescent="0.25">
      <c r="A581">
        <f>IF(ISBLANK('Data Entry'!A581), "", 'Data Entry'!A581)</f>
      </c>
      <c r="B581">
        <f>IF(ISBLANK('Data Entry'!B581), "", 'Data Entry'!B581)</f>
      </c>
      <c r="C581">
        <f>IF(ISBLANK('Data Entry'!C581), "", 'Data Entry'!C581)</f>
      </c>
      <c r="D581">
        <f>IF(ISBLANK('Data Entry'!D581), "", 'Data Entry'!D581)</f>
      </c>
      <c r="E581">
        <f>IF(ISBLANK('Data Entry'!E581), "", 'Data Entry'!E581)</f>
      </c>
      <c r="F581">
        <f>IF(ISBLANK('Data Entry'!F581), "", 'Data Entry'!F581)</f>
      </c>
      <c r="G581">
        <f>IF(ISBLANK('Data Entry'!G581), "", 'Data Entry'!G581)</f>
      </c>
      <c r="H581">
        <f>IF(ISBLANK('Data Entry'!H581), "", 'Data Entry'!H581)</f>
      </c>
      <c r="I581">
        <f>IF(ISBLANK('Data Entry'!I581), "", 'Data Entry'!I581)</f>
      </c>
      <c r="J581">
        <f>IF(ISBLANK('Data Entry'!J581), "", 'Data Entry'!J581)</f>
      </c>
      <c r="K581">
        <f>IF(ISBLANK('Data Entry'!K581), "", 'Data Entry'!K581)</f>
      </c>
      <c r="L581">
        <f>IF(ISBLANK('Data Entry'!L581), "", 'Data Entry'!L581)</f>
      </c>
      <c r="M581">
        <f>IF(ISBLANK('Data Entry'!M581), "", 'Data Entry'!M581)</f>
      </c>
      <c r="N581">
        <f>IF(ISBLANK('Data Entry'!N581), "", 'Data Entry'!N581)</f>
      </c>
      <c r="O581">
        <f>IF(ISBLANK('Data Entry'!O581), "", 'Data Entry'!O581)</f>
      </c>
      <c r="P581">
        <f>IF(ISBLANK('Data Entry'!P581), "", 'Data Entry'!P581)</f>
      </c>
      <c r="Q581">
        <f>IF(ISBLANK('Data Entry'!Q581), "", 'Data Entry'!Q581)</f>
      </c>
      <c r="R581">
        <f>IF(ISBLANK('Data Entry'!R581), "", 'Data Entry'!R581)</f>
      </c>
      <c r="S581">
        <f>IF(ISBLANK('Data Entry'!S581), "", 'Data Entry'!S581)</f>
      </c>
      <c r="T581">
        <f>IF(ISBLANK('Data Entry'!T581), "", 'Data Entry'!T581)</f>
      </c>
      <c r="U581">
        <f>IF(ISBLANK('Data Entry'!U581), "", 'Data Entry'!U581)</f>
      </c>
      <c r="V581">
        <f>IF(ISBLANK('Data Entry'!V581), "", 'Data Entry'!V581)</f>
      </c>
      <c r="W581">
        <f>IF(ISBLANK('Data Entry'!W581), "", 'Data Entry'!W581)</f>
      </c>
      <c r="X581">
        <f>IF(ISBLANK('Data Entry'!X581), "", 'Data Entry'!X581)</f>
      </c>
      <c r="Y581">
        <f>IF(ISBLANK('Data Entry'!Y581), "", 'Data Entry'!Y581)</f>
      </c>
      <c r="Z581">
        <f>IF(ISBLANK('Data Entry'!Z581), "", 'Data Entry'!Z581)</f>
      </c>
      <c r="AA581">
        <f>IF(ISBLANK('Data Entry'![581), "", 'Data Entry'![581)</f>
      </c>
      <c r="AB581">
        <f>IF(ISBLANK('Data Entry'!\581), "", 'Data Entry'!\581)</f>
      </c>
      <c r="AC581">
        <f>IF(ISBLANK('Data Entry'!]581), "", 'Data Entry'!]581)</f>
      </c>
      <c r="AD581">
        <f>IF(ISBLANK('Data Entry'!^581), "", 'Data Entry'!^581)</f>
      </c>
      <c r="AE581">
        <f>IF(ISBLANK('Data Entry'!_581), "", 'Data Entry'!_581)</f>
      </c>
      <c r="AF581">
        <f>IF(ISBLANK('Data Entry'!`581), "", 'Data Entry'!`581)</f>
      </c>
      <c r="AG581">
        <f>IF(ISBLANK('Data Entry'!a581), "", 'Data Entry'!a581)</f>
      </c>
      <c r="AH581">
        <f>IF(ISBLANK('Data Entry'!b581), "", 'Data Entry'!b581)</f>
      </c>
      <c r="AI581">
        <f>IF(ISBLANK('Data Entry'!c581), "", 'Data Entry'!c581)</f>
      </c>
      <c r="AJ581">
        <f>IF(ISBLANK('Data Entry'!d581), "", 'Data Entry'!d581)</f>
      </c>
      <c r="AK581">
        <f>IF(ISBLANK('Data Entry'!e581), "", 'Data Entry'!e581)</f>
      </c>
      <c r="AL581">
        <f>IF(ISBLANK('Data Entry'!f581), "", 'Data Entry'!f581)</f>
      </c>
      <c r="AM581">
        <f>IF(ISBLANK('Data Entry'!g581), "", 'Data Entry'!g581)</f>
      </c>
      <c r="AN581">
        <f>IF(ISBLANK('Data Entry'!h581), "", 'Data Entry'!h581)</f>
      </c>
    </row>
    <row r="582" spans="1:40" x14ac:dyDescent="0.25">
      <c r="A582">
        <f>IF(ISBLANK('Data Entry'!A582), "", 'Data Entry'!A582)</f>
      </c>
      <c r="B582">
        <f>IF(ISBLANK('Data Entry'!B582), "", 'Data Entry'!B582)</f>
      </c>
      <c r="C582">
        <f>IF(ISBLANK('Data Entry'!C582), "", 'Data Entry'!C582)</f>
      </c>
      <c r="D582">
        <f>IF(ISBLANK('Data Entry'!D582), "", 'Data Entry'!D582)</f>
      </c>
      <c r="E582">
        <f>IF(ISBLANK('Data Entry'!E582), "", 'Data Entry'!E582)</f>
      </c>
      <c r="F582">
        <f>IF(ISBLANK('Data Entry'!F582), "", 'Data Entry'!F582)</f>
      </c>
      <c r="G582">
        <f>IF(ISBLANK('Data Entry'!G582), "", 'Data Entry'!G582)</f>
      </c>
      <c r="H582">
        <f>IF(ISBLANK('Data Entry'!H582), "", 'Data Entry'!H582)</f>
      </c>
      <c r="I582">
        <f>IF(ISBLANK('Data Entry'!I582), "", 'Data Entry'!I582)</f>
      </c>
      <c r="J582">
        <f>IF(ISBLANK('Data Entry'!J582), "", 'Data Entry'!J582)</f>
      </c>
      <c r="K582">
        <f>IF(ISBLANK('Data Entry'!K582), "", 'Data Entry'!K582)</f>
      </c>
      <c r="L582">
        <f>IF(ISBLANK('Data Entry'!L582), "", 'Data Entry'!L582)</f>
      </c>
      <c r="M582">
        <f>IF(ISBLANK('Data Entry'!M582), "", 'Data Entry'!M582)</f>
      </c>
      <c r="N582">
        <f>IF(ISBLANK('Data Entry'!N582), "", 'Data Entry'!N582)</f>
      </c>
      <c r="O582">
        <f>IF(ISBLANK('Data Entry'!O582), "", 'Data Entry'!O582)</f>
      </c>
      <c r="P582">
        <f>IF(ISBLANK('Data Entry'!P582), "", 'Data Entry'!P582)</f>
      </c>
      <c r="Q582">
        <f>IF(ISBLANK('Data Entry'!Q582), "", 'Data Entry'!Q582)</f>
      </c>
      <c r="R582">
        <f>IF(ISBLANK('Data Entry'!R582), "", 'Data Entry'!R582)</f>
      </c>
      <c r="S582">
        <f>IF(ISBLANK('Data Entry'!S582), "", 'Data Entry'!S582)</f>
      </c>
      <c r="T582">
        <f>IF(ISBLANK('Data Entry'!T582), "", 'Data Entry'!T582)</f>
      </c>
      <c r="U582">
        <f>IF(ISBLANK('Data Entry'!U582), "", 'Data Entry'!U582)</f>
      </c>
      <c r="V582">
        <f>IF(ISBLANK('Data Entry'!V582), "", 'Data Entry'!V582)</f>
      </c>
      <c r="W582">
        <f>IF(ISBLANK('Data Entry'!W582), "", 'Data Entry'!W582)</f>
      </c>
      <c r="X582">
        <f>IF(ISBLANK('Data Entry'!X582), "", 'Data Entry'!X582)</f>
      </c>
      <c r="Y582">
        <f>IF(ISBLANK('Data Entry'!Y582), "", 'Data Entry'!Y582)</f>
      </c>
      <c r="Z582">
        <f>IF(ISBLANK('Data Entry'!Z582), "", 'Data Entry'!Z582)</f>
      </c>
      <c r="AA582">
        <f>IF(ISBLANK('Data Entry'![582), "", 'Data Entry'![582)</f>
      </c>
      <c r="AB582">
        <f>IF(ISBLANK('Data Entry'!\582), "", 'Data Entry'!\582)</f>
      </c>
      <c r="AC582">
        <f>IF(ISBLANK('Data Entry'!]582), "", 'Data Entry'!]582)</f>
      </c>
      <c r="AD582">
        <f>IF(ISBLANK('Data Entry'!^582), "", 'Data Entry'!^582)</f>
      </c>
      <c r="AE582">
        <f>IF(ISBLANK('Data Entry'!_582), "", 'Data Entry'!_582)</f>
      </c>
      <c r="AF582">
        <f>IF(ISBLANK('Data Entry'!`582), "", 'Data Entry'!`582)</f>
      </c>
      <c r="AG582">
        <f>IF(ISBLANK('Data Entry'!a582), "", 'Data Entry'!a582)</f>
      </c>
      <c r="AH582">
        <f>IF(ISBLANK('Data Entry'!b582), "", 'Data Entry'!b582)</f>
      </c>
      <c r="AI582">
        <f>IF(ISBLANK('Data Entry'!c582), "", 'Data Entry'!c582)</f>
      </c>
      <c r="AJ582">
        <f>IF(ISBLANK('Data Entry'!d582), "", 'Data Entry'!d582)</f>
      </c>
      <c r="AK582">
        <f>IF(ISBLANK('Data Entry'!e582), "", 'Data Entry'!e582)</f>
      </c>
      <c r="AL582">
        <f>IF(ISBLANK('Data Entry'!f582), "", 'Data Entry'!f582)</f>
      </c>
      <c r="AM582">
        <f>IF(ISBLANK('Data Entry'!g582), "", 'Data Entry'!g582)</f>
      </c>
      <c r="AN582">
        <f>IF(ISBLANK('Data Entry'!h582), "", 'Data Entry'!h582)</f>
      </c>
    </row>
    <row r="583" spans="1:40" x14ac:dyDescent="0.25">
      <c r="A583">
        <f>IF(ISBLANK('Data Entry'!A583), "", 'Data Entry'!A583)</f>
      </c>
      <c r="B583">
        <f>IF(ISBLANK('Data Entry'!B583), "", 'Data Entry'!B583)</f>
      </c>
      <c r="C583">
        <f>IF(ISBLANK('Data Entry'!C583), "", 'Data Entry'!C583)</f>
      </c>
      <c r="D583">
        <f>IF(ISBLANK('Data Entry'!D583), "", 'Data Entry'!D583)</f>
      </c>
      <c r="E583">
        <f>IF(ISBLANK('Data Entry'!E583), "", 'Data Entry'!E583)</f>
      </c>
      <c r="F583">
        <f>IF(ISBLANK('Data Entry'!F583), "", 'Data Entry'!F583)</f>
      </c>
      <c r="G583">
        <f>IF(ISBLANK('Data Entry'!G583), "", 'Data Entry'!G583)</f>
      </c>
      <c r="H583">
        <f>IF(ISBLANK('Data Entry'!H583), "", 'Data Entry'!H583)</f>
      </c>
      <c r="I583">
        <f>IF(ISBLANK('Data Entry'!I583), "", 'Data Entry'!I583)</f>
      </c>
      <c r="J583">
        <f>IF(ISBLANK('Data Entry'!J583), "", 'Data Entry'!J583)</f>
      </c>
      <c r="K583">
        <f>IF(ISBLANK('Data Entry'!K583), "", 'Data Entry'!K583)</f>
      </c>
      <c r="L583">
        <f>IF(ISBLANK('Data Entry'!L583), "", 'Data Entry'!L583)</f>
      </c>
      <c r="M583">
        <f>IF(ISBLANK('Data Entry'!M583), "", 'Data Entry'!M583)</f>
      </c>
      <c r="N583">
        <f>IF(ISBLANK('Data Entry'!N583), "", 'Data Entry'!N583)</f>
      </c>
      <c r="O583">
        <f>IF(ISBLANK('Data Entry'!O583), "", 'Data Entry'!O583)</f>
      </c>
      <c r="P583">
        <f>IF(ISBLANK('Data Entry'!P583), "", 'Data Entry'!P583)</f>
      </c>
      <c r="Q583">
        <f>IF(ISBLANK('Data Entry'!Q583), "", 'Data Entry'!Q583)</f>
      </c>
      <c r="R583">
        <f>IF(ISBLANK('Data Entry'!R583), "", 'Data Entry'!R583)</f>
      </c>
      <c r="S583">
        <f>IF(ISBLANK('Data Entry'!S583), "", 'Data Entry'!S583)</f>
      </c>
      <c r="T583">
        <f>IF(ISBLANK('Data Entry'!T583), "", 'Data Entry'!T583)</f>
      </c>
      <c r="U583">
        <f>IF(ISBLANK('Data Entry'!U583), "", 'Data Entry'!U583)</f>
      </c>
      <c r="V583">
        <f>IF(ISBLANK('Data Entry'!V583), "", 'Data Entry'!V583)</f>
      </c>
      <c r="W583">
        <f>IF(ISBLANK('Data Entry'!W583), "", 'Data Entry'!W583)</f>
      </c>
      <c r="X583">
        <f>IF(ISBLANK('Data Entry'!X583), "", 'Data Entry'!X583)</f>
      </c>
      <c r="Y583">
        <f>IF(ISBLANK('Data Entry'!Y583), "", 'Data Entry'!Y583)</f>
      </c>
      <c r="Z583">
        <f>IF(ISBLANK('Data Entry'!Z583), "", 'Data Entry'!Z583)</f>
      </c>
      <c r="AA583">
        <f>IF(ISBLANK('Data Entry'![583), "", 'Data Entry'![583)</f>
      </c>
      <c r="AB583">
        <f>IF(ISBLANK('Data Entry'!\583), "", 'Data Entry'!\583)</f>
      </c>
      <c r="AC583">
        <f>IF(ISBLANK('Data Entry'!]583), "", 'Data Entry'!]583)</f>
      </c>
      <c r="AD583">
        <f>IF(ISBLANK('Data Entry'!^583), "", 'Data Entry'!^583)</f>
      </c>
      <c r="AE583">
        <f>IF(ISBLANK('Data Entry'!_583), "", 'Data Entry'!_583)</f>
      </c>
      <c r="AF583">
        <f>IF(ISBLANK('Data Entry'!`583), "", 'Data Entry'!`583)</f>
      </c>
      <c r="AG583">
        <f>IF(ISBLANK('Data Entry'!a583), "", 'Data Entry'!a583)</f>
      </c>
      <c r="AH583">
        <f>IF(ISBLANK('Data Entry'!b583), "", 'Data Entry'!b583)</f>
      </c>
      <c r="AI583">
        <f>IF(ISBLANK('Data Entry'!c583), "", 'Data Entry'!c583)</f>
      </c>
      <c r="AJ583">
        <f>IF(ISBLANK('Data Entry'!d583), "", 'Data Entry'!d583)</f>
      </c>
      <c r="AK583">
        <f>IF(ISBLANK('Data Entry'!e583), "", 'Data Entry'!e583)</f>
      </c>
      <c r="AL583">
        <f>IF(ISBLANK('Data Entry'!f583), "", 'Data Entry'!f583)</f>
      </c>
      <c r="AM583">
        <f>IF(ISBLANK('Data Entry'!g583), "", 'Data Entry'!g583)</f>
      </c>
      <c r="AN583">
        <f>IF(ISBLANK('Data Entry'!h583), "", 'Data Entry'!h583)</f>
      </c>
    </row>
    <row r="584" spans="1:40" x14ac:dyDescent="0.25">
      <c r="A584">
        <f>IF(ISBLANK('Data Entry'!A584), "", 'Data Entry'!A584)</f>
      </c>
      <c r="B584">
        <f>IF(ISBLANK('Data Entry'!B584), "", 'Data Entry'!B584)</f>
      </c>
      <c r="C584">
        <f>IF(ISBLANK('Data Entry'!C584), "", 'Data Entry'!C584)</f>
      </c>
      <c r="D584">
        <f>IF(ISBLANK('Data Entry'!D584), "", 'Data Entry'!D584)</f>
      </c>
      <c r="E584">
        <f>IF(ISBLANK('Data Entry'!E584), "", 'Data Entry'!E584)</f>
      </c>
      <c r="F584">
        <f>IF(ISBLANK('Data Entry'!F584), "", 'Data Entry'!F584)</f>
      </c>
      <c r="G584">
        <f>IF(ISBLANK('Data Entry'!G584), "", 'Data Entry'!G584)</f>
      </c>
      <c r="H584">
        <f>IF(ISBLANK('Data Entry'!H584), "", 'Data Entry'!H584)</f>
      </c>
      <c r="I584">
        <f>IF(ISBLANK('Data Entry'!I584), "", 'Data Entry'!I584)</f>
      </c>
      <c r="J584">
        <f>IF(ISBLANK('Data Entry'!J584), "", 'Data Entry'!J584)</f>
      </c>
      <c r="K584">
        <f>IF(ISBLANK('Data Entry'!K584), "", 'Data Entry'!K584)</f>
      </c>
      <c r="L584">
        <f>IF(ISBLANK('Data Entry'!L584), "", 'Data Entry'!L584)</f>
      </c>
      <c r="M584">
        <f>IF(ISBLANK('Data Entry'!M584), "", 'Data Entry'!M584)</f>
      </c>
      <c r="N584">
        <f>IF(ISBLANK('Data Entry'!N584), "", 'Data Entry'!N584)</f>
      </c>
      <c r="O584">
        <f>IF(ISBLANK('Data Entry'!O584), "", 'Data Entry'!O584)</f>
      </c>
      <c r="P584">
        <f>IF(ISBLANK('Data Entry'!P584), "", 'Data Entry'!P584)</f>
      </c>
      <c r="Q584">
        <f>IF(ISBLANK('Data Entry'!Q584), "", 'Data Entry'!Q584)</f>
      </c>
      <c r="R584">
        <f>IF(ISBLANK('Data Entry'!R584), "", 'Data Entry'!R584)</f>
      </c>
      <c r="S584">
        <f>IF(ISBLANK('Data Entry'!S584), "", 'Data Entry'!S584)</f>
      </c>
      <c r="T584">
        <f>IF(ISBLANK('Data Entry'!T584), "", 'Data Entry'!T584)</f>
      </c>
      <c r="U584">
        <f>IF(ISBLANK('Data Entry'!U584), "", 'Data Entry'!U584)</f>
      </c>
      <c r="V584">
        <f>IF(ISBLANK('Data Entry'!V584), "", 'Data Entry'!V584)</f>
      </c>
      <c r="W584">
        <f>IF(ISBLANK('Data Entry'!W584), "", 'Data Entry'!W584)</f>
      </c>
      <c r="X584">
        <f>IF(ISBLANK('Data Entry'!X584), "", 'Data Entry'!X584)</f>
      </c>
      <c r="Y584">
        <f>IF(ISBLANK('Data Entry'!Y584), "", 'Data Entry'!Y584)</f>
      </c>
      <c r="Z584">
        <f>IF(ISBLANK('Data Entry'!Z584), "", 'Data Entry'!Z584)</f>
      </c>
      <c r="AA584">
        <f>IF(ISBLANK('Data Entry'![584), "", 'Data Entry'![584)</f>
      </c>
      <c r="AB584">
        <f>IF(ISBLANK('Data Entry'!\584), "", 'Data Entry'!\584)</f>
      </c>
      <c r="AC584">
        <f>IF(ISBLANK('Data Entry'!]584), "", 'Data Entry'!]584)</f>
      </c>
      <c r="AD584">
        <f>IF(ISBLANK('Data Entry'!^584), "", 'Data Entry'!^584)</f>
      </c>
      <c r="AE584">
        <f>IF(ISBLANK('Data Entry'!_584), "", 'Data Entry'!_584)</f>
      </c>
      <c r="AF584">
        <f>IF(ISBLANK('Data Entry'!`584), "", 'Data Entry'!`584)</f>
      </c>
      <c r="AG584">
        <f>IF(ISBLANK('Data Entry'!a584), "", 'Data Entry'!a584)</f>
      </c>
      <c r="AH584">
        <f>IF(ISBLANK('Data Entry'!b584), "", 'Data Entry'!b584)</f>
      </c>
      <c r="AI584">
        <f>IF(ISBLANK('Data Entry'!c584), "", 'Data Entry'!c584)</f>
      </c>
      <c r="AJ584">
        <f>IF(ISBLANK('Data Entry'!d584), "", 'Data Entry'!d584)</f>
      </c>
      <c r="AK584">
        <f>IF(ISBLANK('Data Entry'!e584), "", 'Data Entry'!e584)</f>
      </c>
      <c r="AL584">
        <f>IF(ISBLANK('Data Entry'!f584), "", 'Data Entry'!f584)</f>
      </c>
      <c r="AM584">
        <f>IF(ISBLANK('Data Entry'!g584), "", 'Data Entry'!g584)</f>
      </c>
      <c r="AN584">
        <f>IF(ISBLANK('Data Entry'!h584), "", 'Data Entry'!h584)</f>
      </c>
    </row>
    <row r="585" spans="1:40" x14ac:dyDescent="0.25">
      <c r="A585">
        <f>IF(ISBLANK('Data Entry'!A585), "", 'Data Entry'!A585)</f>
      </c>
      <c r="B585">
        <f>IF(ISBLANK('Data Entry'!B585), "", 'Data Entry'!B585)</f>
      </c>
      <c r="C585">
        <f>IF(ISBLANK('Data Entry'!C585), "", 'Data Entry'!C585)</f>
      </c>
      <c r="D585">
        <f>IF(ISBLANK('Data Entry'!D585), "", 'Data Entry'!D585)</f>
      </c>
      <c r="E585">
        <f>IF(ISBLANK('Data Entry'!E585), "", 'Data Entry'!E585)</f>
      </c>
      <c r="F585">
        <f>IF(ISBLANK('Data Entry'!F585), "", 'Data Entry'!F585)</f>
      </c>
      <c r="G585">
        <f>IF(ISBLANK('Data Entry'!G585), "", 'Data Entry'!G585)</f>
      </c>
      <c r="H585">
        <f>IF(ISBLANK('Data Entry'!H585), "", 'Data Entry'!H585)</f>
      </c>
      <c r="I585">
        <f>IF(ISBLANK('Data Entry'!I585), "", 'Data Entry'!I585)</f>
      </c>
      <c r="J585">
        <f>IF(ISBLANK('Data Entry'!J585), "", 'Data Entry'!J585)</f>
      </c>
      <c r="K585">
        <f>IF(ISBLANK('Data Entry'!K585), "", 'Data Entry'!K585)</f>
      </c>
      <c r="L585">
        <f>IF(ISBLANK('Data Entry'!L585), "", 'Data Entry'!L585)</f>
      </c>
      <c r="M585">
        <f>IF(ISBLANK('Data Entry'!M585), "", 'Data Entry'!M585)</f>
      </c>
      <c r="N585">
        <f>IF(ISBLANK('Data Entry'!N585), "", 'Data Entry'!N585)</f>
      </c>
      <c r="O585">
        <f>IF(ISBLANK('Data Entry'!O585), "", 'Data Entry'!O585)</f>
      </c>
      <c r="P585">
        <f>IF(ISBLANK('Data Entry'!P585), "", 'Data Entry'!P585)</f>
      </c>
      <c r="Q585">
        <f>IF(ISBLANK('Data Entry'!Q585), "", 'Data Entry'!Q585)</f>
      </c>
      <c r="R585">
        <f>IF(ISBLANK('Data Entry'!R585), "", 'Data Entry'!R585)</f>
      </c>
      <c r="S585">
        <f>IF(ISBLANK('Data Entry'!S585), "", 'Data Entry'!S585)</f>
      </c>
      <c r="T585">
        <f>IF(ISBLANK('Data Entry'!T585), "", 'Data Entry'!T585)</f>
      </c>
      <c r="U585">
        <f>IF(ISBLANK('Data Entry'!U585), "", 'Data Entry'!U585)</f>
      </c>
      <c r="V585">
        <f>IF(ISBLANK('Data Entry'!V585), "", 'Data Entry'!V585)</f>
      </c>
      <c r="W585">
        <f>IF(ISBLANK('Data Entry'!W585), "", 'Data Entry'!W585)</f>
      </c>
      <c r="X585">
        <f>IF(ISBLANK('Data Entry'!X585), "", 'Data Entry'!X585)</f>
      </c>
      <c r="Y585">
        <f>IF(ISBLANK('Data Entry'!Y585), "", 'Data Entry'!Y585)</f>
      </c>
      <c r="Z585">
        <f>IF(ISBLANK('Data Entry'!Z585), "", 'Data Entry'!Z585)</f>
      </c>
      <c r="AA585">
        <f>IF(ISBLANK('Data Entry'![585), "", 'Data Entry'![585)</f>
      </c>
      <c r="AB585">
        <f>IF(ISBLANK('Data Entry'!\585), "", 'Data Entry'!\585)</f>
      </c>
      <c r="AC585">
        <f>IF(ISBLANK('Data Entry'!]585), "", 'Data Entry'!]585)</f>
      </c>
      <c r="AD585">
        <f>IF(ISBLANK('Data Entry'!^585), "", 'Data Entry'!^585)</f>
      </c>
      <c r="AE585">
        <f>IF(ISBLANK('Data Entry'!_585), "", 'Data Entry'!_585)</f>
      </c>
      <c r="AF585">
        <f>IF(ISBLANK('Data Entry'!`585), "", 'Data Entry'!`585)</f>
      </c>
      <c r="AG585">
        <f>IF(ISBLANK('Data Entry'!a585), "", 'Data Entry'!a585)</f>
      </c>
      <c r="AH585">
        <f>IF(ISBLANK('Data Entry'!b585), "", 'Data Entry'!b585)</f>
      </c>
      <c r="AI585">
        <f>IF(ISBLANK('Data Entry'!c585), "", 'Data Entry'!c585)</f>
      </c>
      <c r="AJ585">
        <f>IF(ISBLANK('Data Entry'!d585), "", 'Data Entry'!d585)</f>
      </c>
      <c r="AK585">
        <f>IF(ISBLANK('Data Entry'!e585), "", 'Data Entry'!e585)</f>
      </c>
      <c r="AL585">
        <f>IF(ISBLANK('Data Entry'!f585), "", 'Data Entry'!f585)</f>
      </c>
      <c r="AM585">
        <f>IF(ISBLANK('Data Entry'!g585), "", 'Data Entry'!g585)</f>
      </c>
      <c r="AN585">
        <f>IF(ISBLANK('Data Entry'!h585), "", 'Data Entry'!h585)</f>
      </c>
    </row>
    <row r="586" spans="1:40" x14ac:dyDescent="0.25">
      <c r="A586">
        <f>IF(ISBLANK('Data Entry'!A586), "", 'Data Entry'!A586)</f>
      </c>
      <c r="B586">
        <f>IF(ISBLANK('Data Entry'!B586), "", 'Data Entry'!B586)</f>
      </c>
      <c r="C586">
        <f>IF(ISBLANK('Data Entry'!C586), "", 'Data Entry'!C586)</f>
      </c>
      <c r="D586">
        <f>IF(ISBLANK('Data Entry'!D586), "", 'Data Entry'!D586)</f>
      </c>
      <c r="E586">
        <f>IF(ISBLANK('Data Entry'!E586), "", 'Data Entry'!E586)</f>
      </c>
      <c r="F586">
        <f>IF(ISBLANK('Data Entry'!F586), "", 'Data Entry'!F586)</f>
      </c>
      <c r="G586">
        <f>IF(ISBLANK('Data Entry'!G586), "", 'Data Entry'!G586)</f>
      </c>
      <c r="H586">
        <f>IF(ISBLANK('Data Entry'!H586), "", 'Data Entry'!H586)</f>
      </c>
      <c r="I586">
        <f>IF(ISBLANK('Data Entry'!I586), "", 'Data Entry'!I586)</f>
      </c>
      <c r="J586">
        <f>IF(ISBLANK('Data Entry'!J586), "", 'Data Entry'!J586)</f>
      </c>
      <c r="K586">
        <f>IF(ISBLANK('Data Entry'!K586), "", 'Data Entry'!K586)</f>
      </c>
      <c r="L586">
        <f>IF(ISBLANK('Data Entry'!L586), "", 'Data Entry'!L586)</f>
      </c>
      <c r="M586">
        <f>IF(ISBLANK('Data Entry'!M586), "", 'Data Entry'!M586)</f>
      </c>
      <c r="N586">
        <f>IF(ISBLANK('Data Entry'!N586), "", 'Data Entry'!N586)</f>
      </c>
      <c r="O586">
        <f>IF(ISBLANK('Data Entry'!O586), "", 'Data Entry'!O586)</f>
      </c>
      <c r="P586">
        <f>IF(ISBLANK('Data Entry'!P586), "", 'Data Entry'!P586)</f>
      </c>
      <c r="Q586">
        <f>IF(ISBLANK('Data Entry'!Q586), "", 'Data Entry'!Q586)</f>
      </c>
      <c r="R586">
        <f>IF(ISBLANK('Data Entry'!R586), "", 'Data Entry'!R586)</f>
      </c>
      <c r="S586">
        <f>IF(ISBLANK('Data Entry'!S586), "", 'Data Entry'!S586)</f>
      </c>
      <c r="T586">
        <f>IF(ISBLANK('Data Entry'!T586), "", 'Data Entry'!T586)</f>
      </c>
      <c r="U586">
        <f>IF(ISBLANK('Data Entry'!U586), "", 'Data Entry'!U586)</f>
      </c>
      <c r="V586">
        <f>IF(ISBLANK('Data Entry'!V586), "", 'Data Entry'!V586)</f>
      </c>
      <c r="W586">
        <f>IF(ISBLANK('Data Entry'!W586), "", 'Data Entry'!W586)</f>
      </c>
      <c r="X586">
        <f>IF(ISBLANK('Data Entry'!X586), "", 'Data Entry'!X586)</f>
      </c>
      <c r="Y586">
        <f>IF(ISBLANK('Data Entry'!Y586), "", 'Data Entry'!Y586)</f>
      </c>
      <c r="Z586">
        <f>IF(ISBLANK('Data Entry'!Z586), "", 'Data Entry'!Z586)</f>
      </c>
      <c r="AA586">
        <f>IF(ISBLANK('Data Entry'![586), "", 'Data Entry'![586)</f>
      </c>
      <c r="AB586">
        <f>IF(ISBLANK('Data Entry'!\586), "", 'Data Entry'!\586)</f>
      </c>
      <c r="AC586">
        <f>IF(ISBLANK('Data Entry'!]586), "", 'Data Entry'!]586)</f>
      </c>
      <c r="AD586">
        <f>IF(ISBLANK('Data Entry'!^586), "", 'Data Entry'!^586)</f>
      </c>
      <c r="AE586">
        <f>IF(ISBLANK('Data Entry'!_586), "", 'Data Entry'!_586)</f>
      </c>
      <c r="AF586">
        <f>IF(ISBLANK('Data Entry'!`586), "", 'Data Entry'!`586)</f>
      </c>
      <c r="AG586">
        <f>IF(ISBLANK('Data Entry'!a586), "", 'Data Entry'!a586)</f>
      </c>
      <c r="AH586">
        <f>IF(ISBLANK('Data Entry'!b586), "", 'Data Entry'!b586)</f>
      </c>
      <c r="AI586">
        <f>IF(ISBLANK('Data Entry'!c586), "", 'Data Entry'!c586)</f>
      </c>
      <c r="AJ586">
        <f>IF(ISBLANK('Data Entry'!d586), "", 'Data Entry'!d586)</f>
      </c>
      <c r="AK586">
        <f>IF(ISBLANK('Data Entry'!e586), "", 'Data Entry'!e586)</f>
      </c>
      <c r="AL586">
        <f>IF(ISBLANK('Data Entry'!f586), "", 'Data Entry'!f586)</f>
      </c>
      <c r="AM586">
        <f>IF(ISBLANK('Data Entry'!g586), "", 'Data Entry'!g586)</f>
      </c>
      <c r="AN586">
        <f>IF(ISBLANK('Data Entry'!h586), "", 'Data Entry'!h586)</f>
      </c>
    </row>
    <row r="587" spans="1:40" x14ac:dyDescent="0.25">
      <c r="A587">
        <f>IF(ISBLANK('Data Entry'!A587), "", 'Data Entry'!A587)</f>
      </c>
      <c r="B587">
        <f>IF(ISBLANK('Data Entry'!B587), "", 'Data Entry'!B587)</f>
      </c>
      <c r="C587">
        <f>IF(ISBLANK('Data Entry'!C587), "", 'Data Entry'!C587)</f>
      </c>
      <c r="D587">
        <f>IF(ISBLANK('Data Entry'!D587), "", 'Data Entry'!D587)</f>
      </c>
      <c r="E587">
        <f>IF(ISBLANK('Data Entry'!E587), "", 'Data Entry'!E587)</f>
      </c>
      <c r="F587">
        <f>IF(ISBLANK('Data Entry'!F587), "", 'Data Entry'!F587)</f>
      </c>
      <c r="G587">
        <f>IF(ISBLANK('Data Entry'!G587), "", 'Data Entry'!G587)</f>
      </c>
      <c r="H587">
        <f>IF(ISBLANK('Data Entry'!H587), "", 'Data Entry'!H587)</f>
      </c>
      <c r="I587">
        <f>IF(ISBLANK('Data Entry'!I587), "", 'Data Entry'!I587)</f>
      </c>
      <c r="J587">
        <f>IF(ISBLANK('Data Entry'!J587), "", 'Data Entry'!J587)</f>
      </c>
      <c r="K587">
        <f>IF(ISBLANK('Data Entry'!K587), "", 'Data Entry'!K587)</f>
      </c>
      <c r="L587">
        <f>IF(ISBLANK('Data Entry'!L587), "", 'Data Entry'!L587)</f>
      </c>
      <c r="M587">
        <f>IF(ISBLANK('Data Entry'!M587), "", 'Data Entry'!M587)</f>
      </c>
      <c r="N587">
        <f>IF(ISBLANK('Data Entry'!N587), "", 'Data Entry'!N587)</f>
      </c>
      <c r="O587">
        <f>IF(ISBLANK('Data Entry'!O587), "", 'Data Entry'!O587)</f>
      </c>
      <c r="P587">
        <f>IF(ISBLANK('Data Entry'!P587), "", 'Data Entry'!P587)</f>
      </c>
      <c r="Q587">
        <f>IF(ISBLANK('Data Entry'!Q587), "", 'Data Entry'!Q587)</f>
      </c>
      <c r="R587">
        <f>IF(ISBLANK('Data Entry'!R587), "", 'Data Entry'!R587)</f>
      </c>
      <c r="S587">
        <f>IF(ISBLANK('Data Entry'!S587), "", 'Data Entry'!S587)</f>
      </c>
      <c r="T587">
        <f>IF(ISBLANK('Data Entry'!T587), "", 'Data Entry'!T587)</f>
      </c>
      <c r="U587">
        <f>IF(ISBLANK('Data Entry'!U587), "", 'Data Entry'!U587)</f>
      </c>
      <c r="V587">
        <f>IF(ISBLANK('Data Entry'!V587), "", 'Data Entry'!V587)</f>
      </c>
      <c r="W587">
        <f>IF(ISBLANK('Data Entry'!W587), "", 'Data Entry'!W587)</f>
      </c>
      <c r="X587">
        <f>IF(ISBLANK('Data Entry'!X587), "", 'Data Entry'!X587)</f>
      </c>
      <c r="Y587">
        <f>IF(ISBLANK('Data Entry'!Y587), "", 'Data Entry'!Y587)</f>
      </c>
      <c r="Z587">
        <f>IF(ISBLANK('Data Entry'!Z587), "", 'Data Entry'!Z587)</f>
      </c>
      <c r="AA587">
        <f>IF(ISBLANK('Data Entry'![587), "", 'Data Entry'![587)</f>
      </c>
      <c r="AB587">
        <f>IF(ISBLANK('Data Entry'!\587), "", 'Data Entry'!\587)</f>
      </c>
      <c r="AC587">
        <f>IF(ISBLANK('Data Entry'!]587), "", 'Data Entry'!]587)</f>
      </c>
      <c r="AD587">
        <f>IF(ISBLANK('Data Entry'!^587), "", 'Data Entry'!^587)</f>
      </c>
      <c r="AE587">
        <f>IF(ISBLANK('Data Entry'!_587), "", 'Data Entry'!_587)</f>
      </c>
      <c r="AF587">
        <f>IF(ISBLANK('Data Entry'!`587), "", 'Data Entry'!`587)</f>
      </c>
      <c r="AG587">
        <f>IF(ISBLANK('Data Entry'!a587), "", 'Data Entry'!a587)</f>
      </c>
      <c r="AH587">
        <f>IF(ISBLANK('Data Entry'!b587), "", 'Data Entry'!b587)</f>
      </c>
      <c r="AI587">
        <f>IF(ISBLANK('Data Entry'!c587), "", 'Data Entry'!c587)</f>
      </c>
      <c r="AJ587">
        <f>IF(ISBLANK('Data Entry'!d587), "", 'Data Entry'!d587)</f>
      </c>
      <c r="AK587">
        <f>IF(ISBLANK('Data Entry'!e587), "", 'Data Entry'!e587)</f>
      </c>
      <c r="AL587">
        <f>IF(ISBLANK('Data Entry'!f587), "", 'Data Entry'!f587)</f>
      </c>
      <c r="AM587">
        <f>IF(ISBLANK('Data Entry'!g587), "", 'Data Entry'!g587)</f>
      </c>
      <c r="AN587">
        <f>IF(ISBLANK('Data Entry'!h587), "", 'Data Entry'!h587)</f>
      </c>
    </row>
    <row r="588" spans="1:40" x14ac:dyDescent="0.25">
      <c r="A588">
        <f>IF(ISBLANK('Data Entry'!A588), "", 'Data Entry'!A588)</f>
      </c>
      <c r="B588">
        <f>IF(ISBLANK('Data Entry'!B588), "", 'Data Entry'!B588)</f>
      </c>
      <c r="C588">
        <f>IF(ISBLANK('Data Entry'!C588), "", 'Data Entry'!C588)</f>
      </c>
      <c r="D588">
        <f>IF(ISBLANK('Data Entry'!D588), "", 'Data Entry'!D588)</f>
      </c>
      <c r="E588">
        <f>IF(ISBLANK('Data Entry'!E588), "", 'Data Entry'!E588)</f>
      </c>
      <c r="F588">
        <f>IF(ISBLANK('Data Entry'!F588), "", 'Data Entry'!F588)</f>
      </c>
      <c r="G588">
        <f>IF(ISBLANK('Data Entry'!G588), "", 'Data Entry'!G588)</f>
      </c>
      <c r="H588">
        <f>IF(ISBLANK('Data Entry'!H588), "", 'Data Entry'!H588)</f>
      </c>
      <c r="I588">
        <f>IF(ISBLANK('Data Entry'!I588), "", 'Data Entry'!I588)</f>
      </c>
      <c r="J588">
        <f>IF(ISBLANK('Data Entry'!J588), "", 'Data Entry'!J588)</f>
      </c>
      <c r="K588">
        <f>IF(ISBLANK('Data Entry'!K588), "", 'Data Entry'!K588)</f>
      </c>
      <c r="L588">
        <f>IF(ISBLANK('Data Entry'!L588), "", 'Data Entry'!L588)</f>
      </c>
      <c r="M588">
        <f>IF(ISBLANK('Data Entry'!M588), "", 'Data Entry'!M588)</f>
      </c>
      <c r="N588">
        <f>IF(ISBLANK('Data Entry'!N588), "", 'Data Entry'!N588)</f>
      </c>
      <c r="O588">
        <f>IF(ISBLANK('Data Entry'!O588), "", 'Data Entry'!O588)</f>
      </c>
      <c r="P588">
        <f>IF(ISBLANK('Data Entry'!P588), "", 'Data Entry'!P588)</f>
      </c>
      <c r="Q588">
        <f>IF(ISBLANK('Data Entry'!Q588), "", 'Data Entry'!Q588)</f>
      </c>
      <c r="R588">
        <f>IF(ISBLANK('Data Entry'!R588), "", 'Data Entry'!R588)</f>
      </c>
      <c r="S588">
        <f>IF(ISBLANK('Data Entry'!S588), "", 'Data Entry'!S588)</f>
      </c>
      <c r="T588">
        <f>IF(ISBLANK('Data Entry'!T588), "", 'Data Entry'!T588)</f>
      </c>
      <c r="U588">
        <f>IF(ISBLANK('Data Entry'!U588), "", 'Data Entry'!U588)</f>
      </c>
      <c r="V588">
        <f>IF(ISBLANK('Data Entry'!V588), "", 'Data Entry'!V588)</f>
      </c>
      <c r="W588">
        <f>IF(ISBLANK('Data Entry'!W588), "", 'Data Entry'!W588)</f>
      </c>
      <c r="X588">
        <f>IF(ISBLANK('Data Entry'!X588), "", 'Data Entry'!X588)</f>
      </c>
      <c r="Y588">
        <f>IF(ISBLANK('Data Entry'!Y588), "", 'Data Entry'!Y588)</f>
      </c>
      <c r="Z588">
        <f>IF(ISBLANK('Data Entry'!Z588), "", 'Data Entry'!Z588)</f>
      </c>
      <c r="AA588">
        <f>IF(ISBLANK('Data Entry'![588), "", 'Data Entry'![588)</f>
      </c>
      <c r="AB588">
        <f>IF(ISBLANK('Data Entry'!\588), "", 'Data Entry'!\588)</f>
      </c>
      <c r="AC588">
        <f>IF(ISBLANK('Data Entry'!]588), "", 'Data Entry'!]588)</f>
      </c>
      <c r="AD588">
        <f>IF(ISBLANK('Data Entry'!^588), "", 'Data Entry'!^588)</f>
      </c>
      <c r="AE588">
        <f>IF(ISBLANK('Data Entry'!_588), "", 'Data Entry'!_588)</f>
      </c>
      <c r="AF588">
        <f>IF(ISBLANK('Data Entry'!`588), "", 'Data Entry'!`588)</f>
      </c>
      <c r="AG588">
        <f>IF(ISBLANK('Data Entry'!a588), "", 'Data Entry'!a588)</f>
      </c>
      <c r="AH588">
        <f>IF(ISBLANK('Data Entry'!b588), "", 'Data Entry'!b588)</f>
      </c>
      <c r="AI588">
        <f>IF(ISBLANK('Data Entry'!c588), "", 'Data Entry'!c588)</f>
      </c>
      <c r="AJ588">
        <f>IF(ISBLANK('Data Entry'!d588), "", 'Data Entry'!d588)</f>
      </c>
      <c r="AK588">
        <f>IF(ISBLANK('Data Entry'!e588), "", 'Data Entry'!e588)</f>
      </c>
      <c r="AL588">
        <f>IF(ISBLANK('Data Entry'!f588), "", 'Data Entry'!f588)</f>
      </c>
      <c r="AM588">
        <f>IF(ISBLANK('Data Entry'!g588), "", 'Data Entry'!g588)</f>
      </c>
      <c r="AN588">
        <f>IF(ISBLANK('Data Entry'!h588), "", 'Data Entry'!h588)</f>
      </c>
    </row>
    <row r="589" spans="1:40" x14ac:dyDescent="0.25">
      <c r="A589">
        <f>IF(ISBLANK('Data Entry'!A589), "", 'Data Entry'!A589)</f>
      </c>
      <c r="B589">
        <f>IF(ISBLANK('Data Entry'!B589), "", 'Data Entry'!B589)</f>
      </c>
      <c r="C589">
        <f>IF(ISBLANK('Data Entry'!C589), "", 'Data Entry'!C589)</f>
      </c>
      <c r="D589">
        <f>IF(ISBLANK('Data Entry'!D589), "", 'Data Entry'!D589)</f>
      </c>
      <c r="E589">
        <f>IF(ISBLANK('Data Entry'!E589), "", 'Data Entry'!E589)</f>
      </c>
      <c r="F589">
        <f>IF(ISBLANK('Data Entry'!F589), "", 'Data Entry'!F589)</f>
      </c>
      <c r="G589">
        <f>IF(ISBLANK('Data Entry'!G589), "", 'Data Entry'!G589)</f>
      </c>
      <c r="H589">
        <f>IF(ISBLANK('Data Entry'!H589), "", 'Data Entry'!H589)</f>
      </c>
      <c r="I589">
        <f>IF(ISBLANK('Data Entry'!I589), "", 'Data Entry'!I589)</f>
      </c>
      <c r="J589">
        <f>IF(ISBLANK('Data Entry'!J589), "", 'Data Entry'!J589)</f>
      </c>
      <c r="K589">
        <f>IF(ISBLANK('Data Entry'!K589), "", 'Data Entry'!K589)</f>
      </c>
      <c r="L589">
        <f>IF(ISBLANK('Data Entry'!L589), "", 'Data Entry'!L589)</f>
      </c>
      <c r="M589">
        <f>IF(ISBLANK('Data Entry'!M589), "", 'Data Entry'!M589)</f>
      </c>
      <c r="N589">
        <f>IF(ISBLANK('Data Entry'!N589), "", 'Data Entry'!N589)</f>
      </c>
      <c r="O589">
        <f>IF(ISBLANK('Data Entry'!O589), "", 'Data Entry'!O589)</f>
      </c>
      <c r="P589">
        <f>IF(ISBLANK('Data Entry'!P589), "", 'Data Entry'!P589)</f>
      </c>
      <c r="Q589">
        <f>IF(ISBLANK('Data Entry'!Q589), "", 'Data Entry'!Q589)</f>
      </c>
      <c r="R589">
        <f>IF(ISBLANK('Data Entry'!R589), "", 'Data Entry'!R589)</f>
      </c>
      <c r="S589">
        <f>IF(ISBLANK('Data Entry'!S589), "", 'Data Entry'!S589)</f>
      </c>
      <c r="T589">
        <f>IF(ISBLANK('Data Entry'!T589), "", 'Data Entry'!T589)</f>
      </c>
      <c r="U589">
        <f>IF(ISBLANK('Data Entry'!U589), "", 'Data Entry'!U589)</f>
      </c>
      <c r="V589">
        <f>IF(ISBLANK('Data Entry'!V589), "", 'Data Entry'!V589)</f>
      </c>
      <c r="W589">
        <f>IF(ISBLANK('Data Entry'!W589), "", 'Data Entry'!W589)</f>
      </c>
      <c r="X589">
        <f>IF(ISBLANK('Data Entry'!X589), "", 'Data Entry'!X589)</f>
      </c>
      <c r="Y589">
        <f>IF(ISBLANK('Data Entry'!Y589), "", 'Data Entry'!Y589)</f>
      </c>
      <c r="Z589">
        <f>IF(ISBLANK('Data Entry'!Z589), "", 'Data Entry'!Z589)</f>
      </c>
      <c r="AA589">
        <f>IF(ISBLANK('Data Entry'![589), "", 'Data Entry'![589)</f>
      </c>
      <c r="AB589">
        <f>IF(ISBLANK('Data Entry'!\589), "", 'Data Entry'!\589)</f>
      </c>
      <c r="AC589">
        <f>IF(ISBLANK('Data Entry'!]589), "", 'Data Entry'!]589)</f>
      </c>
      <c r="AD589">
        <f>IF(ISBLANK('Data Entry'!^589), "", 'Data Entry'!^589)</f>
      </c>
      <c r="AE589">
        <f>IF(ISBLANK('Data Entry'!_589), "", 'Data Entry'!_589)</f>
      </c>
      <c r="AF589">
        <f>IF(ISBLANK('Data Entry'!`589), "", 'Data Entry'!`589)</f>
      </c>
      <c r="AG589">
        <f>IF(ISBLANK('Data Entry'!a589), "", 'Data Entry'!a589)</f>
      </c>
      <c r="AH589">
        <f>IF(ISBLANK('Data Entry'!b589), "", 'Data Entry'!b589)</f>
      </c>
      <c r="AI589">
        <f>IF(ISBLANK('Data Entry'!c589), "", 'Data Entry'!c589)</f>
      </c>
      <c r="AJ589">
        <f>IF(ISBLANK('Data Entry'!d589), "", 'Data Entry'!d589)</f>
      </c>
      <c r="AK589">
        <f>IF(ISBLANK('Data Entry'!e589), "", 'Data Entry'!e589)</f>
      </c>
      <c r="AL589">
        <f>IF(ISBLANK('Data Entry'!f589), "", 'Data Entry'!f589)</f>
      </c>
      <c r="AM589">
        <f>IF(ISBLANK('Data Entry'!g589), "", 'Data Entry'!g589)</f>
      </c>
      <c r="AN589">
        <f>IF(ISBLANK('Data Entry'!h589), "", 'Data Entry'!h589)</f>
      </c>
    </row>
    <row r="590" spans="1:40" x14ac:dyDescent="0.25">
      <c r="A590">
        <f>IF(ISBLANK('Data Entry'!A590), "", 'Data Entry'!A590)</f>
      </c>
      <c r="B590">
        <f>IF(ISBLANK('Data Entry'!B590), "", 'Data Entry'!B590)</f>
      </c>
      <c r="C590">
        <f>IF(ISBLANK('Data Entry'!C590), "", 'Data Entry'!C590)</f>
      </c>
      <c r="D590">
        <f>IF(ISBLANK('Data Entry'!D590), "", 'Data Entry'!D590)</f>
      </c>
      <c r="E590">
        <f>IF(ISBLANK('Data Entry'!E590), "", 'Data Entry'!E590)</f>
      </c>
      <c r="F590">
        <f>IF(ISBLANK('Data Entry'!F590), "", 'Data Entry'!F590)</f>
      </c>
      <c r="G590">
        <f>IF(ISBLANK('Data Entry'!G590), "", 'Data Entry'!G590)</f>
      </c>
      <c r="H590">
        <f>IF(ISBLANK('Data Entry'!H590), "", 'Data Entry'!H590)</f>
      </c>
      <c r="I590">
        <f>IF(ISBLANK('Data Entry'!I590), "", 'Data Entry'!I590)</f>
      </c>
      <c r="J590">
        <f>IF(ISBLANK('Data Entry'!J590), "", 'Data Entry'!J590)</f>
      </c>
      <c r="K590">
        <f>IF(ISBLANK('Data Entry'!K590), "", 'Data Entry'!K590)</f>
      </c>
      <c r="L590">
        <f>IF(ISBLANK('Data Entry'!L590), "", 'Data Entry'!L590)</f>
      </c>
      <c r="M590">
        <f>IF(ISBLANK('Data Entry'!M590), "", 'Data Entry'!M590)</f>
      </c>
      <c r="N590">
        <f>IF(ISBLANK('Data Entry'!N590), "", 'Data Entry'!N590)</f>
      </c>
      <c r="O590">
        <f>IF(ISBLANK('Data Entry'!O590), "", 'Data Entry'!O590)</f>
      </c>
      <c r="P590">
        <f>IF(ISBLANK('Data Entry'!P590), "", 'Data Entry'!P590)</f>
      </c>
      <c r="Q590">
        <f>IF(ISBLANK('Data Entry'!Q590), "", 'Data Entry'!Q590)</f>
      </c>
      <c r="R590">
        <f>IF(ISBLANK('Data Entry'!R590), "", 'Data Entry'!R590)</f>
      </c>
      <c r="S590">
        <f>IF(ISBLANK('Data Entry'!S590), "", 'Data Entry'!S590)</f>
      </c>
      <c r="T590">
        <f>IF(ISBLANK('Data Entry'!T590), "", 'Data Entry'!T590)</f>
      </c>
      <c r="U590">
        <f>IF(ISBLANK('Data Entry'!U590), "", 'Data Entry'!U590)</f>
      </c>
      <c r="V590">
        <f>IF(ISBLANK('Data Entry'!V590), "", 'Data Entry'!V590)</f>
      </c>
      <c r="W590">
        <f>IF(ISBLANK('Data Entry'!W590), "", 'Data Entry'!W590)</f>
      </c>
      <c r="X590">
        <f>IF(ISBLANK('Data Entry'!X590), "", 'Data Entry'!X590)</f>
      </c>
      <c r="Y590">
        <f>IF(ISBLANK('Data Entry'!Y590), "", 'Data Entry'!Y590)</f>
      </c>
      <c r="Z590">
        <f>IF(ISBLANK('Data Entry'!Z590), "", 'Data Entry'!Z590)</f>
      </c>
      <c r="AA590">
        <f>IF(ISBLANK('Data Entry'![590), "", 'Data Entry'![590)</f>
      </c>
      <c r="AB590">
        <f>IF(ISBLANK('Data Entry'!\590), "", 'Data Entry'!\590)</f>
      </c>
      <c r="AC590">
        <f>IF(ISBLANK('Data Entry'!]590), "", 'Data Entry'!]590)</f>
      </c>
      <c r="AD590">
        <f>IF(ISBLANK('Data Entry'!^590), "", 'Data Entry'!^590)</f>
      </c>
      <c r="AE590">
        <f>IF(ISBLANK('Data Entry'!_590), "", 'Data Entry'!_590)</f>
      </c>
      <c r="AF590">
        <f>IF(ISBLANK('Data Entry'!`590), "", 'Data Entry'!`590)</f>
      </c>
      <c r="AG590">
        <f>IF(ISBLANK('Data Entry'!a590), "", 'Data Entry'!a590)</f>
      </c>
      <c r="AH590">
        <f>IF(ISBLANK('Data Entry'!b590), "", 'Data Entry'!b590)</f>
      </c>
      <c r="AI590">
        <f>IF(ISBLANK('Data Entry'!c590), "", 'Data Entry'!c590)</f>
      </c>
      <c r="AJ590">
        <f>IF(ISBLANK('Data Entry'!d590), "", 'Data Entry'!d590)</f>
      </c>
      <c r="AK590">
        <f>IF(ISBLANK('Data Entry'!e590), "", 'Data Entry'!e590)</f>
      </c>
      <c r="AL590">
        <f>IF(ISBLANK('Data Entry'!f590), "", 'Data Entry'!f590)</f>
      </c>
      <c r="AM590">
        <f>IF(ISBLANK('Data Entry'!g590), "", 'Data Entry'!g590)</f>
      </c>
      <c r="AN590">
        <f>IF(ISBLANK('Data Entry'!h590), "", 'Data Entry'!h590)</f>
      </c>
    </row>
    <row r="591" spans="1:40" x14ac:dyDescent="0.25">
      <c r="A591">
        <f>IF(ISBLANK('Data Entry'!A591), "", 'Data Entry'!A591)</f>
      </c>
      <c r="B591">
        <f>IF(ISBLANK('Data Entry'!B591), "", 'Data Entry'!B591)</f>
      </c>
      <c r="C591">
        <f>IF(ISBLANK('Data Entry'!C591), "", 'Data Entry'!C591)</f>
      </c>
      <c r="D591">
        <f>IF(ISBLANK('Data Entry'!D591), "", 'Data Entry'!D591)</f>
      </c>
      <c r="E591">
        <f>IF(ISBLANK('Data Entry'!E591), "", 'Data Entry'!E591)</f>
      </c>
      <c r="F591">
        <f>IF(ISBLANK('Data Entry'!F591), "", 'Data Entry'!F591)</f>
      </c>
      <c r="G591">
        <f>IF(ISBLANK('Data Entry'!G591), "", 'Data Entry'!G591)</f>
      </c>
      <c r="H591">
        <f>IF(ISBLANK('Data Entry'!H591), "", 'Data Entry'!H591)</f>
      </c>
      <c r="I591">
        <f>IF(ISBLANK('Data Entry'!I591), "", 'Data Entry'!I591)</f>
      </c>
      <c r="J591">
        <f>IF(ISBLANK('Data Entry'!J591), "", 'Data Entry'!J591)</f>
      </c>
      <c r="K591">
        <f>IF(ISBLANK('Data Entry'!K591), "", 'Data Entry'!K591)</f>
      </c>
      <c r="L591">
        <f>IF(ISBLANK('Data Entry'!L591), "", 'Data Entry'!L591)</f>
      </c>
      <c r="M591">
        <f>IF(ISBLANK('Data Entry'!M591), "", 'Data Entry'!M591)</f>
      </c>
      <c r="N591">
        <f>IF(ISBLANK('Data Entry'!N591), "", 'Data Entry'!N591)</f>
      </c>
      <c r="O591">
        <f>IF(ISBLANK('Data Entry'!O591), "", 'Data Entry'!O591)</f>
      </c>
      <c r="P591">
        <f>IF(ISBLANK('Data Entry'!P591), "", 'Data Entry'!P591)</f>
      </c>
      <c r="Q591">
        <f>IF(ISBLANK('Data Entry'!Q591), "", 'Data Entry'!Q591)</f>
      </c>
      <c r="R591">
        <f>IF(ISBLANK('Data Entry'!R591), "", 'Data Entry'!R591)</f>
      </c>
      <c r="S591">
        <f>IF(ISBLANK('Data Entry'!S591), "", 'Data Entry'!S591)</f>
      </c>
      <c r="T591">
        <f>IF(ISBLANK('Data Entry'!T591), "", 'Data Entry'!T591)</f>
      </c>
      <c r="U591">
        <f>IF(ISBLANK('Data Entry'!U591), "", 'Data Entry'!U591)</f>
      </c>
      <c r="V591">
        <f>IF(ISBLANK('Data Entry'!V591), "", 'Data Entry'!V591)</f>
      </c>
      <c r="W591">
        <f>IF(ISBLANK('Data Entry'!W591), "", 'Data Entry'!W591)</f>
      </c>
      <c r="X591">
        <f>IF(ISBLANK('Data Entry'!X591), "", 'Data Entry'!X591)</f>
      </c>
      <c r="Y591">
        <f>IF(ISBLANK('Data Entry'!Y591), "", 'Data Entry'!Y591)</f>
      </c>
      <c r="Z591">
        <f>IF(ISBLANK('Data Entry'!Z591), "", 'Data Entry'!Z591)</f>
      </c>
      <c r="AA591">
        <f>IF(ISBLANK('Data Entry'![591), "", 'Data Entry'![591)</f>
      </c>
      <c r="AB591">
        <f>IF(ISBLANK('Data Entry'!\591), "", 'Data Entry'!\591)</f>
      </c>
      <c r="AC591">
        <f>IF(ISBLANK('Data Entry'!]591), "", 'Data Entry'!]591)</f>
      </c>
      <c r="AD591">
        <f>IF(ISBLANK('Data Entry'!^591), "", 'Data Entry'!^591)</f>
      </c>
      <c r="AE591">
        <f>IF(ISBLANK('Data Entry'!_591), "", 'Data Entry'!_591)</f>
      </c>
      <c r="AF591">
        <f>IF(ISBLANK('Data Entry'!`591), "", 'Data Entry'!`591)</f>
      </c>
      <c r="AG591">
        <f>IF(ISBLANK('Data Entry'!a591), "", 'Data Entry'!a591)</f>
      </c>
      <c r="AH591">
        <f>IF(ISBLANK('Data Entry'!b591), "", 'Data Entry'!b591)</f>
      </c>
      <c r="AI591">
        <f>IF(ISBLANK('Data Entry'!c591), "", 'Data Entry'!c591)</f>
      </c>
      <c r="AJ591">
        <f>IF(ISBLANK('Data Entry'!d591), "", 'Data Entry'!d591)</f>
      </c>
      <c r="AK591">
        <f>IF(ISBLANK('Data Entry'!e591), "", 'Data Entry'!e591)</f>
      </c>
      <c r="AL591">
        <f>IF(ISBLANK('Data Entry'!f591), "", 'Data Entry'!f591)</f>
      </c>
      <c r="AM591">
        <f>IF(ISBLANK('Data Entry'!g591), "", 'Data Entry'!g591)</f>
      </c>
      <c r="AN591">
        <f>IF(ISBLANK('Data Entry'!h591), "", 'Data Entry'!h591)</f>
      </c>
    </row>
    <row r="592" spans="1:40" x14ac:dyDescent="0.25">
      <c r="A592">
        <f>IF(ISBLANK('Data Entry'!A592), "", 'Data Entry'!A592)</f>
      </c>
      <c r="B592">
        <f>IF(ISBLANK('Data Entry'!B592), "", 'Data Entry'!B592)</f>
      </c>
      <c r="C592">
        <f>IF(ISBLANK('Data Entry'!C592), "", 'Data Entry'!C592)</f>
      </c>
      <c r="D592">
        <f>IF(ISBLANK('Data Entry'!D592), "", 'Data Entry'!D592)</f>
      </c>
      <c r="E592">
        <f>IF(ISBLANK('Data Entry'!E592), "", 'Data Entry'!E592)</f>
      </c>
      <c r="F592">
        <f>IF(ISBLANK('Data Entry'!F592), "", 'Data Entry'!F592)</f>
      </c>
      <c r="G592">
        <f>IF(ISBLANK('Data Entry'!G592), "", 'Data Entry'!G592)</f>
      </c>
      <c r="H592">
        <f>IF(ISBLANK('Data Entry'!H592), "", 'Data Entry'!H592)</f>
      </c>
      <c r="I592">
        <f>IF(ISBLANK('Data Entry'!I592), "", 'Data Entry'!I592)</f>
      </c>
      <c r="J592">
        <f>IF(ISBLANK('Data Entry'!J592), "", 'Data Entry'!J592)</f>
      </c>
      <c r="K592">
        <f>IF(ISBLANK('Data Entry'!K592), "", 'Data Entry'!K592)</f>
      </c>
      <c r="L592">
        <f>IF(ISBLANK('Data Entry'!L592), "", 'Data Entry'!L592)</f>
      </c>
      <c r="M592">
        <f>IF(ISBLANK('Data Entry'!M592), "", 'Data Entry'!M592)</f>
      </c>
      <c r="N592">
        <f>IF(ISBLANK('Data Entry'!N592), "", 'Data Entry'!N592)</f>
      </c>
      <c r="O592">
        <f>IF(ISBLANK('Data Entry'!O592), "", 'Data Entry'!O592)</f>
      </c>
      <c r="P592">
        <f>IF(ISBLANK('Data Entry'!P592), "", 'Data Entry'!P592)</f>
      </c>
      <c r="Q592">
        <f>IF(ISBLANK('Data Entry'!Q592), "", 'Data Entry'!Q592)</f>
      </c>
      <c r="R592">
        <f>IF(ISBLANK('Data Entry'!R592), "", 'Data Entry'!R592)</f>
      </c>
      <c r="S592">
        <f>IF(ISBLANK('Data Entry'!S592), "", 'Data Entry'!S592)</f>
      </c>
      <c r="T592">
        <f>IF(ISBLANK('Data Entry'!T592), "", 'Data Entry'!T592)</f>
      </c>
      <c r="U592">
        <f>IF(ISBLANK('Data Entry'!U592), "", 'Data Entry'!U592)</f>
      </c>
      <c r="V592">
        <f>IF(ISBLANK('Data Entry'!V592), "", 'Data Entry'!V592)</f>
      </c>
      <c r="W592">
        <f>IF(ISBLANK('Data Entry'!W592), "", 'Data Entry'!W592)</f>
      </c>
      <c r="X592">
        <f>IF(ISBLANK('Data Entry'!X592), "", 'Data Entry'!X592)</f>
      </c>
      <c r="Y592">
        <f>IF(ISBLANK('Data Entry'!Y592), "", 'Data Entry'!Y592)</f>
      </c>
      <c r="Z592">
        <f>IF(ISBLANK('Data Entry'!Z592), "", 'Data Entry'!Z592)</f>
      </c>
      <c r="AA592">
        <f>IF(ISBLANK('Data Entry'![592), "", 'Data Entry'![592)</f>
      </c>
      <c r="AB592">
        <f>IF(ISBLANK('Data Entry'!\592), "", 'Data Entry'!\592)</f>
      </c>
      <c r="AC592">
        <f>IF(ISBLANK('Data Entry'!]592), "", 'Data Entry'!]592)</f>
      </c>
      <c r="AD592">
        <f>IF(ISBLANK('Data Entry'!^592), "", 'Data Entry'!^592)</f>
      </c>
      <c r="AE592">
        <f>IF(ISBLANK('Data Entry'!_592), "", 'Data Entry'!_592)</f>
      </c>
      <c r="AF592">
        <f>IF(ISBLANK('Data Entry'!`592), "", 'Data Entry'!`592)</f>
      </c>
      <c r="AG592">
        <f>IF(ISBLANK('Data Entry'!a592), "", 'Data Entry'!a592)</f>
      </c>
      <c r="AH592">
        <f>IF(ISBLANK('Data Entry'!b592), "", 'Data Entry'!b592)</f>
      </c>
      <c r="AI592">
        <f>IF(ISBLANK('Data Entry'!c592), "", 'Data Entry'!c592)</f>
      </c>
      <c r="AJ592">
        <f>IF(ISBLANK('Data Entry'!d592), "", 'Data Entry'!d592)</f>
      </c>
      <c r="AK592">
        <f>IF(ISBLANK('Data Entry'!e592), "", 'Data Entry'!e592)</f>
      </c>
      <c r="AL592">
        <f>IF(ISBLANK('Data Entry'!f592), "", 'Data Entry'!f592)</f>
      </c>
      <c r="AM592">
        <f>IF(ISBLANK('Data Entry'!g592), "", 'Data Entry'!g592)</f>
      </c>
      <c r="AN592">
        <f>IF(ISBLANK('Data Entry'!h592), "", 'Data Entry'!h592)</f>
      </c>
    </row>
    <row r="593" spans="1:40" x14ac:dyDescent="0.25">
      <c r="A593">
        <f>IF(ISBLANK('Data Entry'!A593), "", 'Data Entry'!A593)</f>
      </c>
      <c r="B593">
        <f>IF(ISBLANK('Data Entry'!B593), "", 'Data Entry'!B593)</f>
      </c>
      <c r="C593">
        <f>IF(ISBLANK('Data Entry'!C593), "", 'Data Entry'!C593)</f>
      </c>
      <c r="D593">
        <f>IF(ISBLANK('Data Entry'!D593), "", 'Data Entry'!D593)</f>
      </c>
      <c r="E593">
        <f>IF(ISBLANK('Data Entry'!E593), "", 'Data Entry'!E593)</f>
      </c>
      <c r="F593">
        <f>IF(ISBLANK('Data Entry'!F593), "", 'Data Entry'!F593)</f>
      </c>
      <c r="G593">
        <f>IF(ISBLANK('Data Entry'!G593), "", 'Data Entry'!G593)</f>
      </c>
      <c r="H593">
        <f>IF(ISBLANK('Data Entry'!H593), "", 'Data Entry'!H593)</f>
      </c>
      <c r="I593">
        <f>IF(ISBLANK('Data Entry'!I593), "", 'Data Entry'!I593)</f>
      </c>
      <c r="J593">
        <f>IF(ISBLANK('Data Entry'!J593), "", 'Data Entry'!J593)</f>
      </c>
      <c r="K593">
        <f>IF(ISBLANK('Data Entry'!K593), "", 'Data Entry'!K593)</f>
      </c>
      <c r="L593">
        <f>IF(ISBLANK('Data Entry'!L593), "", 'Data Entry'!L593)</f>
      </c>
      <c r="M593">
        <f>IF(ISBLANK('Data Entry'!M593), "", 'Data Entry'!M593)</f>
      </c>
      <c r="N593">
        <f>IF(ISBLANK('Data Entry'!N593), "", 'Data Entry'!N593)</f>
      </c>
      <c r="O593">
        <f>IF(ISBLANK('Data Entry'!O593), "", 'Data Entry'!O593)</f>
      </c>
      <c r="P593">
        <f>IF(ISBLANK('Data Entry'!P593), "", 'Data Entry'!P593)</f>
      </c>
      <c r="Q593">
        <f>IF(ISBLANK('Data Entry'!Q593), "", 'Data Entry'!Q593)</f>
      </c>
      <c r="R593">
        <f>IF(ISBLANK('Data Entry'!R593), "", 'Data Entry'!R593)</f>
      </c>
      <c r="S593">
        <f>IF(ISBLANK('Data Entry'!S593), "", 'Data Entry'!S593)</f>
      </c>
      <c r="T593">
        <f>IF(ISBLANK('Data Entry'!T593), "", 'Data Entry'!T593)</f>
      </c>
      <c r="U593">
        <f>IF(ISBLANK('Data Entry'!U593), "", 'Data Entry'!U593)</f>
      </c>
      <c r="V593">
        <f>IF(ISBLANK('Data Entry'!V593), "", 'Data Entry'!V593)</f>
      </c>
      <c r="W593">
        <f>IF(ISBLANK('Data Entry'!W593), "", 'Data Entry'!W593)</f>
      </c>
      <c r="X593">
        <f>IF(ISBLANK('Data Entry'!X593), "", 'Data Entry'!X593)</f>
      </c>
      <c r="Y593">
        <f>IF(ISBLANK('Data Entry'!Y593), "", 'Data Entry'!Y593)</f>
      </c>
      <c r="Z593">
        <f>IF(ISBLANK('Data Entry'!Z593), "", 'Data Entry'!Z593)</f>
      </c>
      <c r="AA593">
        <f>IF(ISBLANK('Data Entry'![593), "", 'Data Entry'![593)</f>
      </c>
      <c r="AB593">
        <f>IF(ISBLANK('Data Entry'!\593), "", 'Data Entry'!\593)</f>
      </c>
      <c r="AC593">
        <f>IF(ISBLANK('Data Entry'!]593), "", 'Data Entry'!]593)</f>
      </c>
      <c r="AD593">
        <f>IF(ISBLANK('Data Entry'!^593), "", 'Data Entry'!^593)</f>
      </c>
      <c r="AE593">
        <f>IF(ISBLANK('Data Entry'!_593), "", 'Data Entry'!_593)</f>
      </c>
      <c r="AF593">
        <f>IF(ISBLANK('Data Entry'!`593), "", 'Data Entry'!`593)</f>
      </c>
      <c r="AG593">
        <f>IF(ISBLANK('Data Entry'!a593), "", 'Data Entry'!a593)</f>
      </c>
      <c r="AH593">
        <f>IF(ISBLANK('Data Entry'!b593), "", 'Data Entry'!b593)</f>
      </c>
      <c r="AI593">
        <f>IF(ISBLANK('Data Entry'!c593), "", 'Data Entry'!c593)</f>
      </c>
      <c r="AJ593">
        <f>IF(ISBLANK('Data Entry'!d593), "", 'Data Entry'!d593)</f>
      </c>
      <c r="AK593">
        <f>IF(ISBLANK('Data Entry'!e593), "", 'Data Entry'!e593)</f>
      </c>
      <c r="AL593">
        <f>IF(ISBLANK('Data Entry'!f593), "", 'Data Entry'!f593)</f>
      </c>
      <c r="AM593">
        <f>IF(ISBLANK('Data Entry'!g593), "", 'Data Entry'!g593)</f>
      </c>
      <c r="AN593">
        <f>IF(ISBLANK('Data Entry'!h593), "", 'Data Entry'!h593)</f>
      </c>
    </row>
    <row r="594" spans="1:40" x14ac:dyDescent="0.25">
      <c r="A594">
        <f>IF(ISBLANK('Data Entry'!A594), "", 'Data Entry'!A594)</f>
      </c>
      <c r="B594">
        <f>IF(ISBLANK('Data Entry'!B594), "", 'Data Entry'!B594)</f>
      </c>
      <c r="C594">
        <f>IF(ISBLANK('Data Entry'!C594), "", 'Data Entry'!C594)</f>
      </c>
      <c r="D594">
        <f>IF(ISBLANK('Data Entry'!D594), "", 'Data Entry'!D594)</f>
      </c>
      <c r="E594">
        <f>IF(ISBLANK('Data Entry'!E594), "", 'Data Entry'!E594)</f>
      </c>
      <c r="F594">
        <f>IF(ISBLANK('Data Entry'!F594), "", 'Data Entry'!F594)</f>
      </c>
      <c r="G594">
        <f>IF(ISBLANK('Data Entry'!G594), "", 'Data Entry'!G594)</f>
      </c>
      <c r="H594">
        <f>IF(ISBLANK('Data Entry'!H594), "", 'Data Entry'!H594)</f>
      </c>
      <c r="I594">
        <f>IF(ISBLANK('Data Entry'!I594), "", 'Data Entry'!I594)</f>
      </c>
      <c r="J594">
        <f>IF(ISBLANK('Data Entry'!J594), "", 'Data Entry'!J594)</f>
      </c>
      <c r="K594">
        <f>IF(ISBLANK('Data Entry'!K594), "", 'Data Entry'!K594)</f>
      </c>
      <c r="L594">
        <f>IF(ISBLANK('Data Entry'!L594), "", 'Data Entry'!L594)</f>
      </c>
      <c r="M594">
        <f>IF(ISBLANK('Data Entry'!M594), "", 'Data Entry'!M594)</f>
      </c>
      <c r="N594">
        <f>IF(ISBLANK('Data Entry'!N594), "", 'Data Entry'!N594)</f>
      </c>
      <c r="O594">
        <f>IF(ISBLANK('Data Entry'!O594), "", 'Data Entry'!O594)</f>
      </c>
      <c r="P594">
        <f>IF(ISBLANK('Data Entry'!P594), "", 'Data Entry'!P594)</f>
      </c>
      <c r="Q594">
        <f>IF(ISBLANK('Data Entry'!Q594), "", 'Data Entry'!Q594)</f>
      </c>
      <c r="R594">
        <f>IF(ISBLANK('Data Entry'!R594), "", 'Data Entry'!R594)</f>
      </c>
      <c r="S594">
        <f>IF(ISBLANK('Data Entry'!S594), "", 'Data Entry'!S594)</f>
      </c>
      <c r="T594">
        <f>IF(ISBLANK('Data Entry'!T594), "", 'Data Entry'!T594)</f>
      </c>
      <c r="U594">
        <f>IF(ISBLANK('Data Entry'!U594), "", 'Data Entry'!U594)</f>
      </c>
      <c r="V594">
        <f>IF(ISBLANK('Data Entry'!V594), "", 'Data Entry'!V594)</f>
      </c>
      <c r="W594">
        <f>IF(ISBLANK('Data Entry'!W594), "", 'Data Entry'!W594)</f>
      </c>
      <c r="X594">
        <f>IF(ISBLANK('Data Entry'!X594), "", 'Data Entry'!X594)</f>
      </c>
      <c r="Y594">
        <f>IF(ISBLANK('Data Entry'!Y594), "", 'Data Entry'!Y594)</f>
      </c>
      <c r="Z594">
        <f>IF(ISBLANK('Data Entry'!Z594), "", 'Data Entry'!Z594)</f>
      </c>
      <c r="AA594">
        <f>IF(ISBLANK('Data Entry'![594), "", 'Data Entry'![594)</f>
      </c>
      <c r="AB594">
        <f>IF(ISBLANK('Data Entry'!\594), "", 'Data Entry'!\594)</f>
      </c>
      <c r="AC594">
        <f>IF(ISBLANK('Data Entry'!]594), "", 'Data Entry'!]594)</f>
      </c>
      <c r="AD594">
        <f>IF(ISBLANK('Data Entry'!^594), "", 'Data Entry'!^594)</f>
      </c>
      <c r="AE594">
        <f>IF(ISBLANK('Data Entry'!_594), "", 'Data Entry'!_594)</f>
      </c>
      <c r="AF594">
        <f>IF(ISBLANK('Data Entry'!`594), "", 'Data Entry'!`594)</f>
      </c>
      <c r="AG594">
        <f>IF(ISBLANK('Data Entry'!a594), "", 'Data Entry'!a594)</f>
      </c>
      <c r="AH594">
        <f>IF(ISBLANK('Data Entry'!b594), "", 'Data Entry'!b594)</f>
      </c>
      <c r="AI594">
        <f>IF(ISBLANK('Data Entry'!c594), "", 'Data Entry'!c594)</f>
      </c>
      <c r="AJ594">
        <f>IF(ISBLANK('Data Entry'!d594), "", 'Data Entry'!d594)</f>
      </c>
      <c r="AK594">
        <f>IF(ISBLANK('Data Entry'!e594), "", 'Data Entry'!e594)</f>
      </c>
      <c r="AL594">
        <f>IF(ISBLANK('Data Entry'!f594), "", 'Data Entry'!f594)</f>
      </c>
      <c r="AM594">
        <f>IF(ISBLANK('Data Entry'!g594), "", 'Data Entry'!g594)</f>
      </c>
      <c r="AN594">
        <f>IF(ISBLANK('Data Entry'!h594), "", 'Data Entry'!h594)</f>
      </c>
    </row>
    <row r="595" spans="1:40" x14ac:dyDescent="0.25">
      <c r="A595">
        <f>IF(ISBLANK('Data Entry'!A595), "", 'Data Entry'!A595)</f>
      </c>
      <c r="B595">
        <f>IF(ISBLANK('Data Entry'!B595), "", 'Data Entry'!B595)</f>
      </c>
      <c r="C595">
        <f>IF(ISBLANK('Data Entry'!C595), "", 'Data Entry'!C595)</f>
      </c>
      <c r="D595">
        <f>IF(ISBLANK('Data Entry'!D595), "", 'Data Entry'!D595)</f>
      </c>
      <c r="E595">
        <f>IF(ISBLANK('Data Entry'!E595), "", 'Data Entry'!E595)</f>
      </c>
      <c r="F595">
        <f>IF(ISBLANK('Data Entry'!F595), "", 'Data Entry'!F595)</f>
      </c>
      <c r="G595">
        <f>IF(ISBLANK('Data Entry'!G595), "", 'Data Entry'!G595)</f>
      </c>
      <c r="H595">
        <f>IF(ISBLANK('Data Entry'!H595), "", 'Data Entry'!H595)</f>
      </c>
      <c r="I595">
        <f>IF(ISBLANK('Data Entry'!I595), "", 'Data Entry'!I595)</f>
      </c>
      <c r="J595">
        <f>IF(ISBLANK('Data Entry'!J595), "", 'Data Entry'!J595)</f>
      </c>
      <c r="K595">
        <f>IF(ISBLANK('Data Entry'!K595), "", 'Data Entry'!K595)</f>
      </c>
      <c r="L595">
        <f>IF(ISBLANK('Data Entry'!L595), "", 'Data Entry'!L595)</f>
      </c>
      <c r="M595">
        <f>IF(ISBLANK('Data Entry'!M595), "", 'Data Entry'!M595)</f>
      </c>
      <c r="N595">
        <f>IF(ISBLANK('Data Entry'!N595), "", 'Data Entry'!N595)</f>
      </c>
      <c r="O595">
        <f>IF(ISBLANK('Data Entry'!O595), "", 'Data Entry'!O595)</f>
      </c>
      <c r="P595">
        <f>IF(ISBLANK('Data Entry'!P595), "", 'Data Entry'!P595)</f>
      </c>
      <c r="Q595">
        <f>IF(ISBLANK('Data Entry'!Q595), "", 'Data Entry'!Q595)</f>
      </c>
      <c r="R595">
        <f>IF(ISBLANK('Data Entry'!R595), "", 'Data Entry'!R595)</f>
      </c>
      <c r="S595">
        <f>IF(ISBLANK('Data Entry'!S595), "", 'Data Entry'!S595)</f>
      </c>
      <c r="T595">
        <f>IF(ISBLANK('Data Entry'!T595), "", 'Data Entry'!T595)</f>
      </c>
      <c r="U595">
        <f>IF(ISBLANK('Data Entry'!U595), "", 'Data Entry'!U595)</f>
      </c>
      <c r="V595">
        <f>IF(ISBLANK('Data Entry'!V595), "", 'Data Entry'!V595)</f>
      </c>
      <c r="W595">
        <f>IF(ISBLANK('Data Entry'!W595), "", 'Data Entry'!W595)</f>
      </c>
      <c r="X595">
        <f>IF(ISBLANK('Data Entry'!X595), "", 'Data Entry'!X595)</f>
      </c>
      <c r="Y595">
        <f>IF(ISBLANK('Data Entry'!Y595), "", 'Data Entry'!Y595)</f>
      </c>
      <c r="Z595">
        <f>IF(ISBLANK('Data Entry'!Z595), "", 'Data Entry'!Z595)</f>
      </c>
      <c r="AA595">
        <f>IF(ISBLANK('Data Entry'![595), "", 'Data Entry'![595)</f>
      </c>
      <c r="AB595">
        <f>IF(ISBLANK('Data Entry'!\595), "", 'Data Entry'!\595)</f>
      </c>
      <c r="AC595">
        <f>IF(ISBLANK('Data Entry'!]595), "", 'Data Entry'!]595)</f>
      </c>
      <c r="AD595">
        <f>IF(ISBLANK('Data Entry'!^595), "", 'Data Entry'!^595)</f>
      </c>
      <c r="AE595">
        <f>IF(ISBLANK('Data Entry'!_595), "", 'Data Entry'!_595)</f>
      </c>
      <c r="AF595">
        <f>IF(ISBLANK('Data Entry'!`595), "", 'Data Entry'!`595)</f>
      </c>
      <c r="AG595">
        <f>IF(ISBLANK('Data Entry'!a595), "", 'Data Entry'!a595)</f>
      </c>
      <c r="AH595">
        <f>IF(ISBLANK('Data Entry'!b595), "", 'Data Entry'!b595)</f>
      </c>
      <c r="AI595">
        <f>IF(ISBLANK('Data Entry'!c595), "", 'Data Entry'!c595)</f>
      </c>
      <c r="AJ595">
        <f>IF(ISBLANK('Data Entry'!d595), "", 'Data Entry'!d595)</f>
      </c>
      <c r="AK595">
        <f>IF(ISBLANK('Data Entry'!e595), "", 'Data Entry'!e595)</f>
      </c>
      <c r="AL595">
        <f>IF(ISBLANK('Data Entry'!f595), "", 'Data Entry'!f595)</f>
      </c>
      <c r="AM595">
        <f>IF(ISBLANK('Data Entry'!g595), "", 'Data Entry'!g595)</f>
      </c>
      <c r="AN595">
        <f>IF(ISBLANK('Data Entry'!h595), "", 'Data Entry'!h595)</f>
      </c>
    </row>
    <row r="596" spans="1:40" x14ac:dyDescent="0.25">
      <c r="A596">
        <f>IF(ISBLANK('Data Entry'!A596), "", 'Data Entry'!A596)</f>
      </c>
      <c r="B596">
        <f>IF(ISBLANK('Data Entry'!B596), "", 'Data Entry'!B596)</f>
      </c>
      <c r="C596">
        <f>IF(ISBLANK('Data Entry'!C596), "", 'Data Entry'!C596)</f>
      </c>
      <c r="D596">
        <f>IF(ISBLANK('Data Entry'!D596), "", 'Data Entry'!D596)</f>
      </c>
      <c r="E596">
        <f>IF(ISBLANK('Data Entry'!E596), "", 'Data Entry'!E596)</f>
      </c>
      <c r="F596">
        <f>IF(ISBLANK('Data Entry'!F596), "", 'Data Entry'!F596)</f>
      </c>
      <c r="G596">
        <f>IF(ISBLANK('Data Entry'!G596), "", 'Data Entry'!G596)</f>
      </c>
      <c r="H596">
        <f>IF(ISBLANK('Data Entry'!H596), "", 'Data Entry'!H596)</f>
      </c>
      <c r="I596">
        <f>IF(ISBLANK('Data Entry'!I596), "", 'Data Entry'!I596)</f>
      </c>
      <c r="J596">
        <f>IF(ISBLANK('Data Entry'!J596), "", 'Data Entry'!J596)</f>
      </c>
      <c r="K596">
        <f>IF(ISBLANK('Data Entry'!K596), "", 'Data Entry'!K596)</f>
      </c>
      <c r="L596">
        <f>IF(ISBLANK('Data Entry'!L596), "", 'Data Entry'!L596)</f>
      </c>
      <c r="M596">
        <f>IF(ISBLANK('Data Entry'!M596), "", 'Data Entry'!M596)</f>
      </c>
      <c r="N596">
        <f>IF(ISBLANK('Data Entry'!N596), "", 'Data Entry'!N596)</f>
      </c>
      <c r="O596">
        <f>IF(ISBLANK('Data Entry'!O596), "", 'Data Entry'!O596)</f>
      </c>
      <c r="P596">
        <f>IF(ISBLANK('Data Entry'!P596), "", 'Data Entry'!P596)</f>
      </c>
      <c r="Q596">
        <f>IF(ISBLANK('Data Entry'!Q596), "", 'Data Entry'!Q596)</f>
      </c>
      <c r="R596">
        <f>IF(ISBLANK('Data Entry'!R596), "", 'Data Entry'!R596)</f>
      </c>
      <c r="S596">
        <f>IF(ISBLANK('Data Entry'!S596), "", 'Data Entry'!S596)</f>
      </c>
      <c r="T596">
        <f>IF(ISBLANK('Data Entry'!T596), "", 'Data Entry'!T596)</f>
      </c>
      <c r="U596">
        <f>IF(ISBLANK('Data Entry'!U596), "", 'Data Entry'!U596)</f>
      </c>
      <c r="V596">
        <f>IF(ISBLANK('Data Entry'!V596), "", 'Data Entry'!V596)</f>
      </c>
      <c r="W596">
        <f>IF(ISBLANK('Data Entry'!W596), "", 'Data Entry'!W596)</f>
      </c>
      <c r="X596">
        <f>IF(ISBLANK('Data Entry'!X596), "", 'Data Entry'!X596)</f>
      </c>
      <c r="Y596">
        <f>IF(ISBLANK('Data Entry'!Y596), "", 'Data Entry'!Y596)</f>
      </c>
      <c r="Z596">
        <f>IF(ISBLANK('Data Entry'!Z596), "", 'Data Entry'!Z596)</f>
      </c>
      <c r="AA596">
        <f>IF(ISBLANK('Data Entry'![596), "", 'Data Entry'![596)</f>
      </c>
      <c r="AB596">
        <f>IF(ISBLANK('Data Entry'!\596), "", 'Data Entry'!\596)</f>
      </c>
      <c r="AC596">
        <f>IF(ISBLANK('Data Entry'!]596), "", 'Data Entry'!]596)</f>
      </c>
      <c r="AD596">
        <f>IF(ISBLANK('Data Entry'!^596), "", 'Data Entry'!^596)</f>
      </c>
      <c r="AE596">
        <f>IF(ISBLANK('Data Entry'!_596), "", 'Data Entry'!_596)</f>
      </c>
      <c r="AF596">
        <f>IF(ISBLANK('Data Entry'!`596), "", 'Data Entry'!`596)</f>
      </c>
      <c r="AG596">
        <f>IF(ISBLANK('Data Entry'!a596), "", 'Data Entry'!a596)</f>
      </c>
      <c r="AH596">
        <f>IF(ISBLANK('Data Entry'!b596), "", 'Data Entry'!b596)</f>
      </c>
      <c r="AI596">
        <f>IF(ISBLANK('Data Entry'!c596), "", 'Data Entry'!c596)</f>
      </c>
      <c r="AJ596">
        <f>IF(ISBLANK('Data Entry'!d596), "", 'Data Entry'!d596)</f>
      </c>
      <c r="AK596">
        <f>IF(ISBLANK('Data Entry'!e596), "", 'Data Entry'!e596)</f>
      </c>
      <c r="AL596">
        <f>IF(ISBLANK('Data Entry'!f596), "", 'Data Entry'!f596)</f>
      </c>
      <c r="AM596">
        <f>IF(ISBLANK('Data Entry'!g596), "", 'Data Entry'!g596)</f>
      </c>
      <c r="AN596">
        <f>IF(ISBLANK('Data Entry'!h596), "", 'Data Entry'!h596)</f>
      </c>
    </row>
    <row r="597" spans="1:40" x14ac:dyDescent="0.25">
      <c r="A597">
        <f>IF(ISBLANK('Data Entry'!A597), "", 'Data Entry'!A597)</f>
      </c>
      <c r="B597">
        <f>IF(ISBLANK('Data Entry'!B597), "", 'Data Entry'!B597)</f>
      </c>
      <c r="C597">
        <f>IF(ISBLANK('Data Entry'!C597), "", 'Data Entry'!C597)</f>
      </c>
      <c r="D597">
        <f>IF(ISBLANK('Data Entry'!D597), "", 'Data Entry'!D597)</f>
      </c>
      <c r="E597">
        <f>IF(ISBLANK('Data Entry'!E597), "", 'Data Entry'!E597)</f>
      </c>
      <c r="F597">
        <f>IF(ISBLANK('Data Entry'!F597), "", 'Data Entry'!F597)</f>
      </c>
      <c r="G597">
        <f>IF(ISBLANK('Data Entry'!G597), "", 'Data Entry'!G597)</f>
      </c>
      <c r="H597">
        <f>IF(ISBLANK('Data Entry'!H597), "", 'Data Entry'!H597)</f>
      </c>
      <c r="I597">
        <f>IF(ISBLANK('Data Entry'!I597), "", 'Data Entry'!I597)</f>
      </c>
      <c r="J597">
        <f>IF(ISBLANK('Data Entry'!J597), "", 'Data Entry'!J597)</f>
      </c>
      <c r="K597">
        <f>IF(ISBLANK('Data Entry'!K597), "", 'Data Entry'!K597)</f>
      </c>
      <c r="L597">
        <f>IF(ISBLANK('Data Entry'!L597), "", 'Data Entry'!L597)</f>
      </c>
      <c r="M597">
        <f>IF(ISBLANK('Data Entry'!M597), "", 'Data Entry'!M597)</f>
      </c>
      <c r="N597">
        <f>IF(ISBLANK('Data Entry'!N597), "", 'Data Entry'!N597)</f>
      </c>
      <c r="O597">
        <f>IF(ISBLANK('Data Entry'!O597), "", 'Data Entry'!O597)</f>
      </c>
      <c r="P597">
        <f>IF(ISBLANK('Data Entry'!P597), "", 'Data Entry'!P597)</f>
      </c>
      <c r="Q597">
        <f>IF(ISBLANK('Data Entry'!Q597), "", 'Data Entry'!Q597)</f>
      </c>
      <c r="R597">
        <f>IF(ISBLANK('Data Entry'!R597), "", 'Data Entry'!R597)</f>
      </c>
      <c r="S597">
        <f>IF(ISBLANK('Data Entry'!S597), "", 'Data Entry'!S597)</f>
      </c>
      <c r="T597">
        <f>IF(ISBLANK('Data Entry'!T597), "", 'Data Entry'!T597)</f>
      </c>
      <c r="U597">
        <f>IF(ISBLANK('Data Entry'!U597), "", 'Data Entry'!U597)</f>
      </c>
      <c r="V597">
        <f>IF(ISBLANK('Data Entry'!V597), "", 'Data Entry'!V597)</f>
      </c>
      <c r="W597">
        <f>IF(ISBLANK('Data Entry'!W597), "", 'Data Entry'!W597)</f>
      </c>
      <c r="X597">
        <f>IF(ISBLANK('Data Entry'!X597), "", 'Data Entry'!X597)</f>
      </c>
      <c r="Y597">
        <f>IF(ISBLANK('Data Entry'!Y597), "", 'Data Entry'!Y597)</f>
      </c>
      <c r="Z597">
        <f>IF(ISBLANK('Data Entry'!Z597), "", 'Data Entry'!Z597)</f>
      </c>
      <c r="AA597">
        <f>IF(ISBLANK('Data Entry'![597), "", 'Data Entry'![597)</f>
      </c>
      <c r="AB597">
        <f>IF(ISBLANK('Data Entry'!\597), "", 'Data Entry'!\597)</f>
      </c>
      <c r="AC597">
        <f>IF(ISBLANK('Data Entry'!]597), "", 'Data Entry'!]597)</f>
      </c>
      <c r="AD597">
        <f>IF(ISBLANK('Data Entry'!^597), "", 'Data Entry'!^597)</f>
      </c>
      <c r="AE597">
        <f>IF(ISBLANK('Data Entry'!_597), "", 'Data Entry'!_597)</f>
      </c>
      <c r="AF597">
        <f>IF(ISBLANK('Data Entry'!`597), "", 'Data Entry'!`597)</f>
      </c>
      <c r="AG597">
        <f>IF(ISBLANK('Data Entry'!a597), "", 'Data Entry'!a597)</f>
      </c>
      <c r="AH597">
        <f>IF(ISBLANK('Data Entry'!b597), "", 'Data Entry'!b597)</f>
      </c>
      <c r="AI597">
        <f>IF(ISBLANK('Data Entry'!c597), "", 'Data Entry'!c597)</f>
      </c>
      <c r="AJ597">
        <f>IF(ISBLANK('Data Entry'!d597), "", 'Data Entry'!d597)</f>
      </c>
      <c r="AK597">
        <f>IF(ISBLANK('Data Entry'!e597), "", 'Data Entry'!e597)</f>
      </c>
      <c r="AL597">
        <f>IF(ISBLANK('Data Entry'!f597), "", 'Data Entry'!f597)</f>
      </c>
      <c r="AM597">
        <f>IF(ISBLANK('Data Entry'!g597), "", 'Data Entry'!g597)</f>
      </c>
      <c r="AN597">
        <f>IF(ISBLANK('Data Entry'!h597), "", 'Data Entry'!h597)</f>
      </c>
    </row>
    <row r="598" spans="1:40" x14ac:dyDescent="0.25">
      <c r="A598">
        <f>IF(ISBLANK('Data Entry'!A598), "", 'Data Entry'!A598)</f>
      </c>
      <c r="B598">
        <f>IF(ISBLANK('Data Entry'!B598), "", 'Data Entry'!B598)</f>
      </c>
      <c r="C598">
        <f>IF(ISBLANK('Data Entry'!C598), "", 'Data Entry'!C598)</f>
      </c>
      <c r="D598">
        <f>IF(ISBLANK('Data Entry'!D598), "", 'Data Entry'!D598)</f>
      </c>
      <c r="E598">
        <f>IF(ISBLANK('Data Entry'!E598), "", 'Data Entry'!E598)</f>
      </c>
      <c r="F598">
        <f>IF(ISBLANK('Data Entry'!F598), "", 'Data Entry'!F598)</f>
      </c>
      <c r="G598">
        <f>IF(ISBLANK('Data Entry'!G598), "", 'Data Entry'!G598)</f>
      </c>
      <c r="H598">
        <f>IF(ISBLANK('Data Entry'!H598), "", 'Data Entry'!H598)</f>
      </c>
      <c r="I598">
        <f>IF(ISBLANK('Data Entry'!I598), "", 'Data Entry'!I598)</f>
      </c>
      <c r="J598">
        <f>IF(ISBLANK('Data Entry'!J598), "", 'Data Entry'!J598)</f>
      </c>
      <c r="K598">
        <f>IF(ISBLANK('Data Entry'!K598), "", 'Data Entry'!K598)</f>
      </c>
      <c r="L598">
        <f>IF(ISBLANK('Data Entry'!L598), "", 'Data Entry'!L598)</f>
      </c>
      <c r="M598">
        <f>IF(ISBLANK('Data Entry'!M598), "", 'Data Entry'!M598)</f>
      </c>
      <c r="N598">
        <f>IF(ISBLANK('Data Entry'!N598), "", 'Data Entry'!N598)</f>
      </c>
      <c r="O598">
        <f>IF(ISBLANK('Data Entry'!O598), "", 'Data Entry'!O598)</f>
      </c>
      <c r="P598">
        <f>IF(ISBLANK('Data Entry'!P598), "", 'Data Entry'!P598)</f>
      </c>
      <c r="Q598">
        <f>IF(ISBLANK('Data Entry'!Q598), "", 'Data Entry'!Q598)</f>
      </c>
      <c r="R598">
        <f>IF(ISBLANK('Data Entry'!R598), "", 'Data Entry'!R598)</f>
      </c>
      <c r="S598">
        <f>IF(ISBLANK('Data Entry'!S598), "", 'Data Entry'!S598)</f>
      </c>
      <c r="T598">
        <f>IF(ISBLANK('Data Entry'!T598), "", 'Data Entry'!T598)</f>
      </c>
      <c r="U598">
        <f>IF(ISBLANK('Data Entry'!U598), "", 'Data Entry'!U598)</f>
      </c>
      <c r="V598">
        <f>IF(ISBLANK('Data Entry'!V598), "", 'Data Entry'!V598)</f>
      </c>
      <c r="W598">
        <f>IF(ISBLANK('Data Entry'!W598), "", 'Data Entry'!W598)</f>
      </c>
      <c r="X598">
        <f>IF(ISBLANK('Data Entry'!X598), "", 'Data Entry'!X598)</f>
      </c>
      <c r="Y598">
        <f>IF(ISBLANK('Data Entry'!Y598), "", 'Data Entry'!Y598)</f>
      </c>
      <c r="Z598">
        <f>IF(ISBLANK('Data Entry'!Z598), "", 'Data Entry'!Z598)</f>
      </c>
      <c r="AA598">
        <f>IF(ISBLANK('Data Entry'![598), "", 'Data Entry'![598)</f>
      </c>
      <c r="AB598">
        <f>IF(ISBLANK('Data Entry'!\598), "", 'Data Entry'!\598)</f>
      </c>
      <c r="AC598">
        <f>IF(ISBLANK('Data Entry'!]598), "", 'Data Entry'!]598)</f>
      </c>
      <c r="AD598">
        <f>IF(ISBLANK('Data Entry'!^598), "", 'Data Entry'!^598)</f>
      </c>
      <c r="AE598">
        <f>IF(ISBLANK('Data Entry'!_598), "", 'Data Entry'!_598)</f>
      </c>
      <c r="AF598">
        <f>IF(ISBLANK('Data Entry'!`598), "", 'Data Entry'!`598)</f>
      </c>
      <c r="AG598">
        <f>IF(ISBLANK('Data Entry'!a598), "", 'Data Entry'!a598)</f>
      </c>
      <c r="AH598">
        <f>IF(ISBLANK('Data Entry'!b598), "", 'Data Entry'!b598)</f>
      </c>
      <c r="AI598">
        <f>IF(ISBLANK('Data Entry'!c598), "", 'Data Entry'!c598)</f>
      </c>
      <c r="AJ598">
        <f>IF(ISBLANK('Data Entry'!d598), "", 'Data Entry'!d598)</f>
      </c>
      <c r="AK598">
        <f>IF(ISBLANK('Data Entry'!e598), "", 'Data Entry'!e598)</f>
      </c>
      <c r="AL598">
        <f>IF(ISBLANK('Data Entry'!f598), "", 'Data Entry'!f598)</f>
      </c>
      <c r="AM598">
        <f>IF(ISBLANK('Data Entry'!g598), "", 'Data Entry'!g598)</f>
      </c>
      <c r="AN598">
        <f>IF(ISBLANK('Data Entry'!h598), "", 'Data Entry'!h598)</f>
      </c>
    </row>
    <row r="599" spans="1:40" x14ac:dyDescent="0.25">
      <c r="A599">
        <f>IF(ISBLANK('Data Entry'!A599), "", 'Data Entry'!A599)</f>
      </c>
      <c r="B599">
        <f>IF(ISBLANK('Data Entry'!B599), "", 'Data Entry'!B599)</f>
      </c>
      <c r="C599">
        <f>IF(ISBLANK('Data Entry'!C599), "", 'Data Entry'!C599)</f>
      </c>
      <c r="D599">
        <f>IF(ISBLANK('Data Entry'!D599), "", 'Data Entry'!D599)</f>
      </c>
      <c r="E599">
        <f>IF(ISBLANK('Data Entry'!E599), "", 'Data Entry'!E599)</f>
      </c>
      <c r="F599">
        <f>IF(ISBLANK('Data Entry'!F599), "", 'Data Entry'!F599)</f>
      </c>
      <c r="G599">
        <f>IF(ISBLANK('Data Entry'!G599), "", 'Data Entry'!G599)</f>
      </c>
      <c r="H599">
        <f>IF(ISBLANK('Data Entry'!H599), "", 'Data Entry'!H599)</f>
      </c>
      <c r="I599">
        <f>IF(ISBLANK('Data Entry'!I599), "", 'Data Entry'!I599)</f>
      </c>
      <c r="J599">
        <f>IF(ISBLANK('Data Entry'!J599), "", 'Data Entry'!J599)</f>
      </c>
      <c r="K599">
        <f>IF(ISBLANK('Data Entry'!K599), "", 'Data Entry'!K599)</f>
      </c>
      <c r="L599">
        <f>IF(ISBLANK('Data Entry'!L599), "", 'Data Entry'!L599)</f>
      </c>
      <c r="M599">
        <f>IF(ISBLANK('Data Entry'!M599), "", 'Data Entry'!M599)</f>
      </c>
      <c r="N599">
        <f>IF(ISBLANK('Data Entry'!N599), "", 'Data Entry'!N599)</f>
      </c>
      <c r="O599">
        <f>IF(ISBLANK('Data Entry'!O599), "", 'Data Entry'!O599)</f>
      </c>
      <c r="P599">
        <f>IF(ISBLANK('Data Entry'!P599), "", 'Data Entry'!P599)</f>
      </c>
      <c r="Q599">
        <f>IF(ISBLANK('Data Entry'!Q599), "", 'Data Entry'!Q599)</f>
      </c>
      <c r="R599">
        <f>IF(ISBLANK('Data Entry'!R599), "", 'Data Entry'!R599)</f>
      </c>
      <c r="S599">
        <f>IF(ISBLANK('Data Entry'!S599), "", 'Data Entry'!S599)</f>
      </c>
      <c r="T599">
        <f>IF(ISBLANK('Data Entry'!T599), "", 'Data Entry'!T599)</f>
      </c>
      <c r="U599">
        <f>IF(ISBLANK('Data Entry'!U599), "", 'Data Entry'!U599)</f>
      </c>
      <c r="V599">
        <f>IF(ISBLANK('Data Entry'!V599), "", 'Data Entry'!V599)</f>
      </c>
      <c r="W599">
        <f>IF(ISBLANK('Data Entry'!W599), "", 'Data Entry'!W599)</f>
      </c>
      <c r="X599">
        <f>IF(ISBLANK('Data Entry'!X599), "", 'Data Entry'!X599)</f>
      </c>
      <c r="Y599">
        <f>IF(ISBLANK('Data Entry'!Y599), "", 'Data Entry'!Y599)</f>
      </c>
      <c r="Z599">
        <f>IF(ISBLANK('Data Entry'!Z599), "", 'Data Entry'!Z599)</f>
      </c>
      <c r="AA599">
        <f>IF(ISBLANK('Data Entry'![599), "", 'Data Entry'![599)</f>
      </c>
      <c r="AB599">
        <f>IF(ISBLANK('Data Entry'!\599), "", 'Data Entry'!\599)</f>
      </c>
      <c r="AC599">
        <f>IF(ISBLANK('Data Entry'!]599), "", 'Data Entry'!]599)</f>
      </c>
      <c r="AD599">
        <f>IF(ISBLANK('Data Entry'!^599), "", 'Data Entry'!^599)</f>
      </c>
      <c r="AE599">
        <f>IF(ISBLANK('Data Entry'!_599), "", 'Data Entry'!_599)</f>
      </c>
      <c r="AF599">
        <f>IF(ISBLANK('Data Entry'!`599), "", 'Data Entry'!`599)</f>
      </c>
      <c r="AG599">
        <f>IF(ISBLANK('Data Entry'!a599), "", 'Data Entry'!a599)</f>
      </c>
      <c r="AH599">
        <f>IF(ISBLANK('Data Entry'!b599), "", 'Data Entry'!b599)</f>
      </c>
      <c r="AI599">
        <f>IF(ISBLANK('Data Entry'!c599), "", 'Data Entry'!c599)</f>
      </c>
      <c r="AJ599">
        <f>IF(ISBLANK('Data Entry'!d599), "", 'Data Entry'!d599)</f>
      </c>
      <c r="AK599">
        <f>IF(ISBLANK('Data Entry'!e599), "", 'Data Entry'!e599)</f>
      </c>
      <c r="AL599">
        <f>IF(ISBLANK('Data Entry'!f599), "", 'Data Entry'!f599)</f>
      </c>
      <c r="AM599">
        <f>IF(ISBLANK('Data Entry'!g599), "", 'Data Entry'!g599)</f>
      </c>
      <c r="AN599">
        <f>IF(ISBLANK('Data Entry'!h599), "", 'Data Entry'!h599)</f>
      </c>
    </row>
    <row r="600" spans="1:40" x14ac:dyDescent="0.25">
      <c r="A600">
        <f>IF(ISBLANK('Data Entry'!A600), "", 'Data Entry'!A600)</f>
      </c>
      <c r="B600">
        <f>IF(ISBLANK('Data Entry'!B600), "", 'Data Entry'!B600)</f>
      </c>
      <c r="C600">
        <f>IF(ISBLANK('Data Entry'!C600), "", 'Data Entry'!C600)</f>
      </c>
      <c r="D600">
        <f>IF(ISBLANK('Data Entry'!D600), "", 'Data Entry'!D600)</f>
      </c>
      <c r="E600">
        <f>IF(ISBLANK('Data Entry'!E600), "", 'Data Entry'!E600)</f>
      </c>
      <c r="F600">
        <f>IF(ISBLANK('Data Entry'!F600), "", 'Data Entry'!F600)</f>
      </c>
      <c r="G600">
        <f>IF(ISBLANK('Data Entry'!G600), "", 'Data Entry'!G600)</f>
      </c>
      <c r="H600">
        <f>IF(ISBLANK('Data Entry'!H600), "", 'Data Entry'!H600)</f>
      </c>
      <c r="I600">
        <f>IF(ISBLANK('Data Entry'!I600), "", 'Data Entry'!I600)</f>
      </c>
      <c r="J600">
        <f>IF(ISBLANK('Data Entry'!J600), "", 'Data Entry'!J600)</f>
      </c>
      <c r="K600">
        <f>IF(ISBLANK('Data Entry'!K600), "", 'Data Entry'!K600)</f>
      </c>
      <c r="L600">
        <f>IF(ISBLANK('Data Entry'!L600), "", 'Data Entry'!L600)</f>
      </c>
      <c r="M600">
        <f>IF(ISBLANK('Data Entry'!M600), "", 'Data Entry'!M600)</f>
      </c>
      <c r="N600">
        <f>IF(ISBLANK('Data Entry'!N600), "", 'Data Entry'!N600)</f>
      </c>
      <c r="O600">
        <f>IF(ISBLANK('Data Entry'!O600), "", 'Data Entry'!O600)</f>
      </c>
      <c r="P600">
        <f>IF(ISBLANK('Data Entry'!P600), "", 'Data Entry'!P600)</f>
      </c>
      <c r="Q600">
        <f>IF(ISBLANK('Data Entry'!Q600), "", 'Data Entry'!Q600)</f>
      </c>
      <c r="R600">
        <f>IF(ISBLANK('Data Entry'!R600), "", 'Data Entry'!R600)</f>
      </c>
      <c r="S600">
        <f>IF(ISBLANK('Data Entry'!S600), "", 'Data Entry'!S600)</f>
      </c>
      <c r="T600">
        <f>IF(ISBLANK('Data Entry'!T600), "", 'Data Entry'!T600)</f>
      </c>
      <c r="U600">
        <f>IF(ISBLANK('Data Entry'!U600), "", 'Data Entry'!U600)</f>
      </c>
      <c r="V600">
        <f>IF(ISBLANK('Data Entry'!V600), "", 'Data Entry'!V600)</f>
      </c>
      <c r="W600">
        <f>IF(ISBLANK('Data Entry'!W600), "", 'Data Entry'!W600)</f>
      </c>
      <c r="X600">
        <f>IF(ISBLANK('Data Entry'!X600), "", 'Data Entry'!X600)</f>
      </c>
      <c r="Y600">
        <f>IF(ISBLANK('Data Entry'!Y600), "", 'Data Entry'!Y600)</f>
      </c>
      <c r="Z600">
        <f>IF(ISBLANK('Data Entry'!Z600), "", 'Data Entry'!Z600)</f>
      </c>
      <c r="AA600">
        <f>IF(ISBLANK('Data Entry'![600), "", 'Data Entry'![600)</f>
      </c>
      <c r="AB600">
        <f>IF(ISBLANK('Data Entry'!\600), "", 'Data Entry'!\600)</f>
      </c>
      <c r="AC600">
        <f>IF(ISBLANK('Data Entry'!]600), "", 'Data Entry'!]600)</f>
      </c>
      <c r="AD600">
        <f>IF(ISBLANK('Data Entry'!^600), "", 'Data Entry'!^600)</f>
      </c>
      <c r="AE600">
        <f>IF(ISBLANK('Data Entry'!_600), "", 'Data Entry'!_600)</f>
      </c>
      <c r="AF600">
        <f>IF(ISBLANK('Data Entry'!`600), "", 'Data Entry'!`600)</f>
      </c>
      <c r="AG600">
        <f>IF(ISBLANK('Data Entry'!a600), "", 'Data Entry'!a600)</f>
      </c>
      <c r="AH600">
        <f>IF(ISBLANK('Data Entry'!b600), "", 'Data Entry'!b600)</f>
      </c>
      <c r="AI600">
        <f>IF(ISBLANK('Data Entry'!c600), "", 'Data Entry'!c600)</f>
      </c>
      <c r="AJ600">
        <f>IF(ISBLANK('Data Entry'!d600), "", 'Data Entry'!d600)</f>
      </c>
      <c r="AK600">
        <f>IF(ISBLANK('Data Entry'!e600), "", 'Data Entry'!e600)</f>
      </c>
      <c r="AL600">
        <f>IF(ISBLANK('Data Entry'!f600), "", 'Data Entry'!f600)</f>
      </c>
      <c r="AM600">
        <f>IF(ISBLANK('Data Entry'!g600), "", 'Data Entry'!g600)</f>
      </c>
      <c r="AN600">
        <f>IF(ISBLANK('Data Entry'!h600), "", 'Data Entry'!h600)</f>
      </c>
    </row>
    <row r="601" spans="1:40" x14ac:dyDescent="0.25">
      <c r="A601">
        <f>IF(ISBLANK('Data Entry'!A601), "", 'Data Entry'!A601)</f>
      </c>
      <c r="B601">
        <f>IF(ISBLANK('Data Entry'!B601), "", 'Data Entry'!B601)</f>
      </c>
      <c r="C601">
        <f>IF(ISBLANK('Data Entry'!C601), "", 'Data Entry'!C601)</f>
      </c>
      <c r="D601">
        <f>IF(ISBLANK('Data Entry'!D601), "", 'Data Entry'!D601)</f>
      </c>
      <c r="E601">
        <f>IF(ISBLANK('Data Entry'!E601), "", 'Data Entry'!E601)</f>
      </c>
      <c r="F601">
        <f>IF(ISBLANK('Data Entry'!F601), "", 'Data Entry'!F601)</f>
      </c>
      <c r="G601">
        <f>IF(ISBLANK('Data Entry'!G601), "", 'Data Entry'!G601)</f>
      </c>
      <c r="H601">
        <f>IF(ISBLANK('Data Entry'!H601), "", 'Data Entry'!H601)</f>
      </c>
      <c r="I601">
        <f>IF(ISBLANK('Data Entry'!I601), "", 'Data Entry'!I601)</f>
      </c>
      <c r="J601">
        <f>IF(ISBLANK('Data Entry'!J601), "", 'Data Entry'!J601)</f>
      </c>
      <c r="K601">
        <f>IF(ISBLANK('Data Entry'!K601), "", 'Data Entry'!K601)</f>
      </c>
      <c r="L601">
        <f>IF(ISBLANK('Data Entry'!L601), "", 'Data Entry'!L601)</f>
      </c>
      <c r="M601">
        <f>IF(ISBLANK('Data Entry'!M601), "", 'Data Entry'!M601)</f>
      </c>
      <c r="N601">
        <f>IF(ISBLANK('Data Entry'!N601), "", 'Data Entry'!N601)</f>
      </c>
      <c r="O601">
        <f>IF(ISBLANK('Data Entry'!O601), "", 'Data Entry'!O601)</f>
      </c>
      <c r="P601">
        <f>IF(ISBLANK('Data Entry'!P601), "", 'Data Entry'!P601)</f>
      </c>
      <c r="Q601">
        <f>IF(ISBLANK('Data Entry'!Q601), "", 'Data Entry'!Q601)</f>
      </c>
      <c r="R601">
        <f>IF(ISBLANK('Data Entry'!R601), "", 'Data Entry'!R601)</f>
      </c>
      <c r="S601">
        <f>IF(ISBLANK('Data Entry'!S601), "", 'Data Entry'!S601)</f>
      </c>
      <c r="T601">
        <f>IF(ISBLANK('Data Entry'!T601), "", 'Data Entry'!T601)</f>
      </c>
      <c r="U601">
        <f>IF(ISBLANK('Data Entry'!U601), "", 'Data Entry'!U601)</f>
      </c>
      <c r="V601">
        <f>IF(ISBLANK('Data Entry'!V601), "", 'Data Entry'!V601)</f>
      </c>
      <c r="W601">
        <f>IF(ISBLANK('Data Entry'!W601), "", 'Data Entry'!W601)</f>
      </c>
      <c r="X601">
        <f>IF(ISBLANK('Data Entry'!X601), "", 'Data Entry'!X601)</f>
      </c>
      <c r="Y601">
        <f>IF(ISBLANK('Data Entry'!Y601), "", 'Data Entry'!Y601)</f>
      </c>
      <c r="Z601">
        <f>IF(ISBLANK('Data Entry'!Z601), "", 'Data Entry'!Z601)</f>
      </c>
      <c r="AA601">
        <f>IF(ISBLANK('Data Entry'![601), "", 'Data Entry'![601)</f>
      </c>
      <c r="AB601">
        <f>IF(ISBLANK('Data Entry'!\601), "", 'Data Entry'!\601)</f>
      </c>
      <c r="AC601">
        <f>IF(ISBLANK('Data Entry'!]601), "", 'Data Entry'!]601)</f>
      </c>
      <c r="AD601">
        <f>IF(ISBLANK('Data Entry'!^601), "", 'Data Entry'!^601)</f>
      </c>
      <c r="AE601">
        <f>IF(ISBLANK('Data Entry'!_601), "", 'Data Entry'!_601)</f>
      </c>
      <c r="AF601">
        <f>IF(ISBLANK('Data Entry'!`601), "", 'Data Entry'!`601)</f>
      </c>
      <c r="AG601">
        <f>IF(ISBLANK('Data Entry'!a601), "", 'Data Entry'!a601)</f>
      </c>
      <c r="AH601">
        <f>IF(ISBLANK('Data Entry'!b601), "", 'Data Entry'!b601)</f>
      </c>
      <c r="AI601">
        <f>IF(ISBLANK('Data Entry'!c601), "", 'Data Entry'!c601)</f>
      </c>
      <c r="AJ601">
        <f>IF(ISBLANK('Data Entry'!d601), "", 'Data Entry'!d601)</f>
      </c>
      <c r="AK601">
        <f>IF(ISBLANK('Data Entry'!e601), "", 'Data Entry'!e601)</f>
      </c>
      <c r="AL601">
        <f>IF(ISBLANK('Data Entry'!f601), "", 'Data Entry'!f601)</f>
      </c>
      <c r="AM601">
        <f>IF(ISBLANK('Data Entry'!g601), "", 'Data Entry'!g601)</f>
      </c>
      <c r="AN601">
        <f>IF(ISBLANK('Data Entry'!h601), "", 'Data Entry'!h601)</f>
      </c>
    </row>
    <row r="602" spans="1:40" x14ac:dyDescent="0.25">
      <c r="A602">
        <f>IF(ISBLANK('Data Entry'!A602), "", 'Data Entry'!A602)</f>
      </c>
      <c r="B602">
        <f>IF(ISBLANK('Data Entry'!B602), "", 'Data Entry'!B602)</f>
      </c>
      <c r="C602">
        <f>IF(ISBLANK('Data Entry'!C602), "", 'Data Entry'!C602)</f>
      </c>
      <c r="D602">
        <f>IF(ISBLANK('Data Entry'!D602), "", 'Data Entry'!D602)</f>
      </c>
      <c r="E602">
        <f>IF(ISBLANK('Data Entry'!E602), "", 'Data Entry'!E602)</f>
      </c>
      <c r="F602">
        <f>IF(ISBLANK('Data Entry'!F602), "", 'Data Entry'!F602)</f>
      </c>
      <c r="G602">
        <f>IF(ISBLANK('Data Entry'!G602), "", 'Data Entry'!G602)</f>
      </c>
      <c r="H602">
        <f>IF(ISBLANK('Data Entry'!H602), "", 'Data Entry'!H602)</f>
      </c>
      <c r="I602">
        <f>IF(ISBLANK('Data Entry'!I602), "", 'Data Entry'!I602)</f>
      </c>
      <c r="J602">
        <f>IF(ISBLANK('Data Entry'!J602), "", 'Data Entry'!J602)</f>
      </c>
      <c r="K602">
        <f>IF(ISBLANK('Data Entry'!K602), "", 'Data Entry'!K602)</f>
      </c>
      <c r="L602">
        <f>IF(ISBLANK('Data Entry'!L602), "", 'Data Entry'!L602)</f>
      </c>
      <c r="M602">
        <f>IF(ISBLANK('Data Entry'!M602), "", 'Data Entry'!M602)</f>
      </c>
      <c r="N602">
        <f>IF(ISBLANK('Data Entry'!N602), "", 'Data Entry'!N602)</f>
      </c>
      <c r="O602">
        <f>IF(ISBLANK('Data Entry'!O602), "", 'Data Entry'!O602)</f>
      </c>
      <c r="P602">
        <f>IF(ISBLANK('Data Entry'!P602), "", 'Data Entry'!P602)</f>
      </c>
      <c r="Q602">
        <f>IF(ISBLANK('Data Entry'!Q602), "", 'Data Entry'!Q602)</f>
      </c>
      <c r="R602">
        <f>IF(ISBLANK('Data Entry'!R602), "", 'Data Entry'!R602)</f>
      </c>
      <c r="S602">
        <f>IF(ISBLANK('Data Entry'!S602), "", 'Data Entry'!S602)</f>
      </c>
      <c r="T602">
        <f>IF(ISBLANK('Data Entry'!T602), "", 'Data Entry'!T602)</f>
      </c>
      <c r="U602">
        <f>IF(ISBLANK('Data Entry'!U602), "", 'Data Entry'!U602)</f>
      </c>
      <c r="V602">
        <f>IF(ISBLANK('Data Entry'!V602), "", 'Data Entry'!V602)</f>
      </c>
      <c r="W602">
        <f>IF(ISBLANK('Data Entry'!W602), "", 'Data Entry'!W602)</f>
      </c>
      <c r="X602">
        <f>IF(ISBLANK('Data Entry'!X602), "", 'Data Entry'!X602)</f>
      </c>
      <c r="Y602">
        <f>IF(ISBLANK('Data Entry'!Y602), "", 'Data Entry'!Y602)</f>
      </c>
      <c r="Z602">
        <f>IF(ISBLANK('Data Entry'!Z602), "", 'Data Entry'!Z602)</f>
      </c>
      <c r="AA602">
        <f>IF(ISBLANK('Data Entry'![602), "", 'Data Entry'![602)</f>
      </c>
      <c r="AB602">
        <f>IF(ISBLANK('Data Entry'!\602), "", 'Data Entry'!\602)</f>
      </c>
      <c r="AC602">
        <f>IF(ISBLANK('Data Entry'!]602), "", 'Data Entry'!]602)</f>
      </c>
      <c r="AD602">
        <f>IF(ISBLANK('Data Entry'!^602), "", 'Data Entry'!^602)</f>
      </c>
      <c r="AE602">
        <f>IF(ISBLANK('Data Entry'!_602), "", 'Data Entry'!_602)</f>
      </c>
      <c r="AF602">
        <f>IF(ISBLANK('Data Entry'!`602), "", 'Data Entry'!`602)</f>
      </c>
      <c r="AG602">
        <f>IF(ISBLANK('Data Entry'!a602), "", 'Data Entry'!a602)</f>
      </c>
      <c r="AH602">
        <f>IF(ISBLANK('Data Entry'!b602), "", 'Data Entry'!b602)</f>
      </c>
      <c r="AI602">
        <f>IF(ISBLANK('Data Entry'!c602), "", 'Data Entry'!c602)</f>
      </c>
      <c r="AJ602">
        <f>IF(ISBLANK('Data Entry'!d602), "", 'Data Entry'!d602)</f>
      </c>
      <c r="AK602">
        <f>IF(ISBLANK('Data Entry'!e602), "", 'Data Entry'!e602)</f>
      </c>
      <c r="AL602">
        <f>IF(ISBLANK('Data Entry'!f602), "", 'Data Entry'!f602)</f>
      </c>
      <c r="AM602">
        <f>IF(ISBLANK('Data Entry'!g602), "", 'Data Entry'!g602)</f>
      </c>
      <c r="AN602">
        <f>IF(ISBLANK('Data Entry'!h602), "", 'Data Entry'!h602)</f>
      </c>
    </row>
    <row r="603" spans="1:40" x14ac:dyDescent="0.25">
      <c r="A603">
        <f>IF(ISBLANK('Data Entry'!A603), "", 'Data Entry'!A603)</f>
      </c>
      <c r="B603">
        <f>IF(ISBLANK('Data Entry'!B603), "", 'Data Entry'!B603)</f>
      </c>
      <c r="C603">
        <f>IF(ISBLANK('Data Entry'!C603), "", 'Data Entry'!C603)</f>
      </c>
      <c r="D603">
        <f>IF(ISBLANK('Data Entry'!D603), "", 'Data Entry'!D603)</f>
      </c>
      <c r="E603">
        <f>IF(ISBLANK('Data Entry'!E603), "", 'Data Entry'!E603)</f>
      </c>
      <c r="F603">
        <f>IF(ISBLANK('Data Entry'!F603), "", 'Data Entry'!F603)</f>
      </c>
      <c r="G603">
        <f>IF(ISBLANK('Data Entry'!G603), "", 'Data Entry'!G603)</f>
      </c>
      <c r="H603">
        <f>IF(ISBLANK('Data Entry'!H603), "", 'Data Entry'!H603)</f>
      </c>
      <c r="I603">
        <f>IF(ISBLANK('Data Entry'!I603), "", 'Data Entry'!I603)</f>
      </c>
      <c r="J603">
        <f>IF(ISBLANK('Data Entry'!J603), "", 'Data Entry'!J603)</f>
      </c>
      <c r="K603">
        <f>IF(ISBLANK('Data Entry'!K603), "", 'Data Entry'!K603)</f>
      </c>
      <c r="L603">
        <f>IF(ISBLANK('Data Entry'!L603), "", 'Data Entry'!L603)</f>
      </c>
      <c r="M603">
        <f>IF(ISBLANK('Data Entry'!M603), "", 'Data Entry'!M603)</f>
      </c>
      <c r="N603">
        <f>IF(ISBLANK('Data Entry'!N603), "", 'Data Entry'!N603)</f>
      </c>
      <c r="O603">
        <f>IF(ISBLANK('Data Entry'!O603), "", 'Data Entry'!O603)</f>
      </c>
      <c r="P603">
        <f>IF(ISBLANK('Data Entry'!P603), "", 'Data Entry'!P603)</f>
      </c>
      <c r="Q603">
        <f>IF(ISBLANK('Data Entry'!Q603), "", 'Data Entry'!Q603)</f>
      </c>
      <c r="R603">
        <f>IF(ISBLANK('Data Entry'!R603), "", 'Data Entry'!R603)</f>
      </c>
      <c r="S603">
        <f>IF(ISBLANK('Data Entry'!S603), "", 'Data Entry'!S603)</f>
      </c>
      <c r="T603">
        <f>IF(ISBLANK('Data Entry'!T603), "", 'Data Entry'!T603)</f>
      </c>
      <c r="U603">
        <f>IF(ISBLANK('Data Entry'!U603), "", 'Data Entry'!U603)</f>
      </c>
      <c r="V603">
        <f>IF(ISBLANK('Data Entry'!V603), "", 'Data Entry'!V603)</f>
      </c>
      <c r="W603">
        <f>IF(ISBLANK('Data Entry'!W603), "", 'Data Entry'!W603)</f>
      </c>
      <c r="X603">
        <f>IF(ISBLANK('Data Entry'!X603), "", 'Data Entry'!X603)</f>
      </c>
      <c r="Y603">
        <f>IF(ISBLANK('Data Entry'!Y603), "", 'Data Entry'!Y603)</f>
      </c>
      <c r="Z603">
        <f>IF(ISBLANK('Data Entry'!Z603), "", 'Data Entry'!Z603)</f>
      </c>
      <c r="AA603">
        <f>IF(ISBLANK('Data Entry'![603), "", 'Data Entry'![603)</f>
      </c>
      <c r="AB603">
        <f>IF(ISBLANK('Data Entry'!\603), "", 'Data Entry'!\603)</f>
      </c>
      <c r="AC603">
        <f>IF(ISBLANK('Data Entry'!]603), "", 'Data Entry'!]603)</f>
      </c>
      <c r="AD603">
        <f>IF(ISBLANK('Data Entry'!^603), "", 'Data Entry'!^603)</f>
      </c>
      <c r="AE603">
        <f>IF(ISBLANK('Data Entry'!_603), "", 'Data Entry'!_603)</f>
      </c>
      <c r="AF603">
        <f>IF(ISBLANK('Data Entry'!`603), "", 'Data Entry'!`603)</f>
      </c>
      <c r="AG603">
        <f>IF(ISBLANK('Data Entry'!a603), "", 'Data Entry'!a603)</f>
      </c>
      <c r="AH603">
        <f>IF(ISBLANK('Data Entry'!b603), "", 'Data Entry'!b603)</f>
      </c>
      <c r="AI603">
        <f>IF(ISBLANK('Data Entry'!c603), "", 'Data Entry'!c603)</f>
      </c>
      <c r="AJ603">
        <f>IF(ISBLANK('Data Entry'!d603), "", 'Data Entry'!d603)</f>
      </c>
      <c r="AK603">
        <f>IF(ISBLANK('Data Entry'!e603), "", 'Data Entry'!e603)</f>
      </c>
      <c r="AL603">
        <f>IF(ISBLANK('Data Entry'!f603), "", 'Data Entry'!f603)</f>
      </c>
      <c r="AM603">
        <f>IF(ISBLANK('Data Entry'!g603), "", 'Data Entry'!g603)</f>
      </c>
      <c r="AN603">
        <f>IF(ISBLANK('Data Entry'!h603), "", 'Data Entry'!h603)</f>
      </c>
    </row>
    <row r="604" spans="1:40" x14ac:dyDescent="0.25">
      <c r="A604">
        <f>IF(ISBLANK('Data Entry'!A604), "", 'Data Entry'!A604)</f>
      </c>
      <c r="B604">
        <f>IF(ISBLANK('Data Entry'!B604), "", 'Data Entry'!B604)</f>
      </c>
      <c r="C604">
        <f>IF(ISBLANK('Data Entry'!C604), "", 'Data Entry'!C604)</f>
      </c>
      <c r="D604">
        <f>IF(ISBLANK('Data Entry'!D604), "", 'Data Entry'!D604)</f>
      </c>
      <c r="E604">
        <f>IF(ISBLANK('Data Entry'!E604), "", 'Data Entry'!E604)</f>
      </c>
      <c r="F604">
        <f>IF(ISBLANK('Data Entry'!F604), "", 'Data Entry'!F604)</f>
      </c>
      <c r="G604">
        <f>IF(ISBLANK('Data Entry'!G604), "", 'Data Entry'!G604)</f>
      </c>
      <c r="H604">
        <f>IF(ISBLANK('Data Entry'!H604), "", 'Data Entry'!H604)</f>
      </c>
      <c r="I604">
        <f>IF(ISBLANK('Data Entry'!I604), "", 'Data Entry'!I604)</f>
      </c>
      <c r="J604">
        <f>IF(ISBLANK('Data Entry'!J604), "", 'Data Entry'!J604)</f>
      </c>
      <c r="K604">
        <f>IF(ISBLANK('Data Entry'!K604), "", 'Data Entry'!K604)</f>
      </c>
      <c r="L604">
        <f>IF(ISBLANK('Data Entry'!L604), "", 'Data Entry'!L604)</f>
      </c>
      <c r="M604">
        <f>IF(ISBLANK('Data Entry'!M604), "", 'Data Entry'!M604)</f>
      </c>
      <c r="N604">
        <f>IF(ISBLANK('Data Entry'!N604), "", 'Data Entry'!N604)</f>
      </c>
      <c r="O604">
        <f>IF(ISBLANK('Data Entry'!O604), "", 'Data Entry'!O604)</f>
      </c>
      <c r="P604">
        <f>IF(ISBLANK('Data Entry'!P604), "", 'Data Entry'!P604)</f>
      </c>
      <c r="Q604">
        <f>IF(ISBLANK('Data Entry'!Q604), "", 'Data Entry'!Q604)</f>
      </c>
      <c r="R604">
        <f>IF(ISBLANK('Data Entry'!R604), "", 'Data Entry'!R604)</f>
      </c>
      <c r="S604">
        <f>IF(ISBLANK('Data Entry'!S604), "", 'Data Entry'!S604)</f>
      </c>
      <c r="T604">
        <f>IF(ISBLANK('Data Entry'!T604), "", 'Data Entry'!T604)</f>
      </c>
      <c r="U604">
        <f>IF(ISBLANK('Data Entry'!U604), "", 'Data Entry'!U604)</f>
      </c>
      <c r="V604">
        <f>IF(ISBLANK('Data Entry'!V604), "", 'Data Entry'!V604)</f>
      </c>
      <c r="W604">
        <f>IF(ISBLANK('Data Entry'!W604), "", 'Data Entry'!W604)</f>
      </c>
      <c r="X604">
        <f>IF(ISBLANK('Data Entry'!X604), "", 'Data Entry'!X604)</f>
      </c>
      <c r="Y604">
        <f>IF(ISBLANK('Data Entry'!Y604), "", 'Data Entry'!Y604)</f>
      </c>
      <c r="Z604">
        <f>IF(ISBLANK('Data Entry'!Z604), "", 'Data Entry'!Z604)</f>
      </c>
      <c r="AA604">
        <f>IF(ISBLANK('Data Entry'![604), "", 'Data Entry'![604)</f>
      </c>
      <c r="AB604">
        <f>IF(ISBLANK('Data Entry'!\604), "", 'Data Entry'!\604)</f>
      </c>
      <c r="AC604">
        <f>IF(ISBLANK('Data Entry'!]604), "", 'Data Entry'!]604)</f>
      </c>
      <c r="AD604">
        <f>IF(ISBLANK('Data Entry'!^604), "", 'Data Entry'!^604)</f>
      </c>
      <c r="AE604">
        <f>IF(ISBLANK('Data Entry'!_604), "", 'Data Entry'!_604)</f>
      </c>
      <c r="AF604">
        <f>IF(ISBLANK('Data Entry'!`604), "", 'Data Entry'!`604)</f>
      </c>
      <c r="AG604">
        <f>IF(ISBLANK('Data Entry'!a604), "", 'Data Entry'!a604)</f>
      </c>
      <c r="AH604">
        <f>IF(ISBLANK('Data Entry'!b604), "", 'Data Entry'!b604)</f>
      </c>
      <c r="AI604">
        <f>IF(ISBLANK('Data Entry'!c604), "", 'Data Entry'!c604)</f>
      </c>
      <c r="AJ604">
        <f>IF(ISBLANK('Data Entry'!d604), "", 'Data Entry'!d604)</f>
      </c>
      <c r="AK604">
        <f>IF(ISBLANK('Data Entry'!e604), "", 'Data Entry'!e604)</f>
      </c>
      <c r="AL604">
        <f>IF(ISBLANK('Data Entry'!f604), "", 'Data Entry'!f604)</f>
      </c>
      <c r="AM604">
        <f>IF(ISBLANK('Data Entry'!g604), "", 'Data Entry'!g604)</f>
      </c>
      <c r="AN604">
        <f>IF(ISBLANK('Data Entry'!h604), "", 'Data Entry'!h604)</f>
      </c>
    </row>
    <row r="605" spans="1:40" x14ac:dyDescent="0.25">
      <c r="A605">
        <f>IF(ISBLANK('Data Entry'!A605), "", 'Data Entry'!A605)</f>
      </c>
      <c r="B605">
        <f>IF(ISBLANK('Data Entry'!B605), "", 'Data Entry'!B605)</f>
      </c>
      <c r="C605">
        <f>IF(ISBLANK('Data Entry'!C605), "", 'Data Entry'!C605)</f>
      </c>
      <c r="D605">
        <f>IF(ISBLANK('Data Entry'!D605), "", 'Data Entry'!D605)</f>
      </c>
      <c r="E605">
        <f>IF(ISBLANK('Data Entry'!E605), "", 'Data Entry'!E605)</f>
      </c>
      <c r="F605">
        <f>IF(ISBLANK('Data Entry'!F605), "", 'Data Entry'!F605)</f>
      </c>
      <c r="G605">
        <f>IF(ISBLANK('Data Entry'!G605), "", 'Data Entry'!G605)</f>
      </c>
      <c r="H605">
        <f>IF(ISBLANK('Data Entry'!H605), "", 'Data Entry'!H605)</f>
      </c>
      <c r="I605">
        <f>IF(ISBLANK('Data Entry'!I605), "", 'Data Entry'!I605)</f>
      </c>
      <c r="J605">
        <f>IF(ISBLANK('Data Entry'!J605), "", 'Data Entry'!J605)</f>
      </c>
      <c r="K605">
        <f>IF(ISBLANK('Data Entry'!K605), "", 'Data Entry'!K605)</f>
      </c>
      <c r="L605">
        <f>IF(ISBLANK('Data Entry'!L605), "", 'Data Entry'!L605)</f>
      </c>
      <c r="M605">
        <f>IF(ISBLANK('Data Entry'!M605), "", 'Data Entry'!M605)</f>
      </c>
      <c r="N605">
        <f>IF(ISBLANK('Data Entry'!N605), "", 'Data Entry'!N605)</f>
      </c>
      <c r="O605">
        <f>IF(ISBLANK('Data Entry'!O605), "", 'Data Entry'!O605)</f>
      </c>
      <c r="P605">
        <f>IF(ISBLANK('Data Entry'!P605), "", 'Data Entry'!P605)</f>
      </c>
      <c r="Q605">
        <f>IF(ISBLANK('Data Entry'!Q605), "", 'Data Entry'!Q605)</f>
      </c>
      <c r="R605">
        <f>IF(ISBLANK('Data Entry'!R605), "", 'Data Entry'!R605)</f>
      </c>
      <c r="S605">
        <f>IF(ISBLANK('Data Entry'!S605), "", 'Data Entry'!S605)</f>
      </c>
      <c r="T605">
        <f>IF(ISBLANK('Data Entry'!T605), "", 'Data Entry'!T605)</f>
      </c>
      <c r="U605">
        <f>IF(ISBLANK('Data Entry'!U605), "", 'Data Entry'!U605)</f>
      </c>
      <c r="V605">
        <f>IF(ISBLANK('Data Entry'!V605), "", 'Data Entry'!V605)</f>
      </c>
      <c r="W605">
        <f>IF(ISBLANK('Data Entry'!W605), "", 'Data Entry'!W605)</f>
      </c>
      <c r="X605">
        <f>IF(ISBLANK('Data Entry'!X605), "", 'Data Entry'!X605)</f>
      </c>
      <c r="Y605">
        <f>IF(ISBLANK('Data Entry'!Y605), "", 'Data Entry'!Y605)</f>
      </c>
      <c r="Z605">
        <f>IF(ISBLANK('Data Entry'!Z605), "", 'Data Entry'!Z605)</f>
      </c>
      <c r="AA605">
        <f>IF(ISBLANK('Data Entry'![605), "", 'Data Entry'![605)</f>
      </c>
      <c r="AB605">
        <f>IF(ISBLANK('Data Entry'!\605), "", 'Data Entry'!\605)</f>
      </c>
      <c r="AC605">
        <f>IF(ISBLANK('Data Entry'!]605), "", 'Data Entry'!]605)</f>
      </c>
      <c r="AD605">
        <f>IF(ISBLANK('Data Entry'!^605), "", 'Data Entry'!^605)</f>
      </c>
      <c r="AE605">
        <f>IF(ISBLANK('Data Entry'!_605), "", 'Data Entry'!_605)</f>
      </c>
      <c r="AF605">
        <f>IF(ISBLANK('Data Entry'!`605), "", 'Data Entry'!`605)</f>
      </c>
      <c r="AG605">
        <f>IF(ISBLANK('Data Entry'!a605), "", 'Data Entry'!a605)</f>
      </c>
      <c r="AH605">
        <f>IF(ISBLANK('Data Entry'!b605), "", 'Data Entry'!b605)</f>
      </c>
      <c r="AI605">
        <f>IF(ISBLANK('Data Entry'!c605), "", 'Data Entry'!c605)</f>
      </c>
      <c r="AJ605">
        <f>IF(ISBLANK('Data Entry'!d605), "", 'Data Entry'!d605)</f>
      </c>
      <c r="AK605">
        <f>IF(ISBLANK('Data Entry'!e605), "", 'Data Entry'!e605)</f>
      </c>
      <c r="AL605">
        <f>IF(ISBLANK('Data Entry'!f605), "", 'Data Entry'!f605)</f>
      </c>
      <c r="AM605">
        <f>IF(ISBLANK('Data Entry'!g605), "", 'Data Entry'!g605)</f>
      </c>
      <c r="AN605">
        <f>IF(ISBLANK('Data Entry'!h605), "", 'Data Entry'!h605)</f>
      </c>
    </row>
    <row r="606" spans="1:40" x14ac:dyDescent="0.25">
      <c r="A606">
        <f>IF(ISBLANK('Data Entry'!A606), "", 'Data Entry'!A606)</f>
      </c>
      <c r="B606">
        <f>IF(ISBLANK('Data Entry'!B606), "", 'Data Entry'!B606)</f>
      </c>
      <c r="C606">
        <f>IF(ISBLANK('Data Entry'!C606), "", 'Data Entry'!C606)</f>
      </c>
      <c r="D606">
        <f>IF(ISBLANK('Data Entry'!D606), "", 'Data Entry'!D606)</f>
      </c>
      <c r="E606">
        <f>IF(ISBLANK('Data Entry'!E606), "", 'Data Entry'!E606)</f>
      </c>
      <c r="F606">
        <f>IF(ISBLANK('Data Entry'!F606), "", 'Data Entry'!F606)</f>
      </c>
      <c r="G606">
        <f>IF(ISBLANK('Data Entry'!G606), "", 'Data Entry'!G606)</f>
      </c>
      <c r="H606">
        <f>IF(ISBLANK('Data Entry'!H606), "", 'Data Entry'!H606)</f>
      </c>
      <c r="I606">
        <f>IF(ISBLANK('Data Entry'!I606), "", 'Data Entry'!I606)</f>
      </c>
      <c r="J606">
        <f>IF(ISBLANK('Data Entry'!J606), "", 'Data Entry'!J606)</f>
      </c>
      <c r="K606">
        <f>IF(ISBLANK('Data Entry'!K606), "", 'Data Entry'!K606)</f>
      </c>
      <c r="L606">
        <f>IF(ISBLANK('Data Entry'!L606), "", 'Data Entry'!L606)</f>
      </c>
      <c r="M606">
        <f>IF(ISBLANK('Data Entry'!M606), "", 'Data Entry'!M606)</f>
      </c>
      <c r="N606">
        <f>IF(ISBLANK('Data Entry'!N606), "", 'Data Entry'!N606)</f>
      </c>
      <c r="O606">
        <f>IF(ISBLANK('Data Entry'!O606), "", 'Data Entry'!O606)</f>
      </c>
      <c r="P606">
        <f>IF(ISBLANK('Data Entry'!P606), "", 'Data Entry'!P606)</f>
      </c>
      <c r="Q606">
        <f>IF(ISBLANK('Data Entry'!Q606), "", 'Data Entry'!Q606)</f>
      </c>
      <c r="R606">
        <f>IF(ISBLANK('Data Entry'!R606), "", 'Data Entry'!R606)</f>
      </c>
      <c r="S606">
        <f>IF(ISBLANK('Data Entry'!S606), "", 'Data Entry'!S606)</f>
      </c>
      <c r="T606">
        <f>IF(ISBLANK('Data Entry'!T606), "", 'Data Entry'!T606)</f>
      </c>
      <c r="U606">
        <f>IF(ISBLANK('Data Entry'!U606), "", 'Data Entry'!U606)</f>
      </c>
      <c r="V606">
        <f>IF(ISBLANK('Data Entry'!V606), "", 'Data Entry'!V606)</f>
      </c>
      <c r="W606">
        <f>IF(ISBLANK('Data Entry'!W606), "", 'Data Entry'!W606)</f>
      </c>
      <c r="X606">
        <f>IF(ISBLANK('Data Entry'!X606), "", 'Data Entry'!X606)</f>
      </c>
      <c r="Y606">
        <f>IF(ISBLANK('Data Entry'!Y606), "", 'Data Entry'!Y606)</f>
      </c>
      <c r="Z606">
        <f>IF(ISBLANK('Data Entry'!Z606), "", 'Data Entry'!Z606)</f>
      </c>
      <c r="AA606">
        <f>IF(ISBLANK('Data Entry'![606), "", 'Data Entry'![606)</f>
      </c>
      <c r="AB606">
        <f>IF(ISBLANK('Data Entry'!\606), "", 'Data Entry'!\606)</f>
      </c>
      <c r="AC606">
        <f>IF(ISBLANK('Data Entry'!]606), "", 'Data Entry'!]606)</f>
      </c>
      <c r="AD606">
        <f>IF(ISBLANK('Data Entry'!^606), "", 'Data Entry'!^606)</f>
      </c>
      <c r="AE606">
        <f>IF(ISBLANK('Data Entry'!_606), "", 'Data Entry'!_606)</f>
      </c>
      <c r="AF606">
        <f>IF(ISBLANK('Data Entry'!`606), "", 'Data Entry'!`606)</f>
      </c>
      <c r="AG606">
        <f>IF(ISBLANK('Data Entry'!a606), "", 'Data Entry'!a606)</f>
      </c>
      <c r="AH606">
        <f>IF(ISBLANK('Data Entry'!b606), "", 'Data Entry'!b606)</f>
      </c>
      <c r="AI606">
        <f>IF(ISBLANK('Data Entry'!c606), "", 'Data Entry'!c606)</f>
      </c>
      <c r="AJ606">
        <f>IF(ISBLANK('Data Entry'!d606), "", 'Data Entry'!d606)</f>
      </c>
      <c r="AK606">
        <f>IF(ISBLANK('Data Entry'!e606), "", 'Data Entry'!e606)</f>
      </c>
      <c r="AL606">
        <f>IF(ISBLANK('Data Entry'!f606), "", 'Data Entry'!f606)</f>
      </c>
      <c r="AM606">
        <f>IF(ISBLANK('Data Entry'!g606), "", 'Data Entry'!g606)</f>
      </c>
      <c r="AN606">
        <f>IF(ISBLANK('Data Entry'!h606), "", 'Data Entry'!h606)</f>
      </c>
    </row>
    <row r="607" spans="1:40" x14ac:dyDescent="0.25">
      <c r="A607">
        <f>IF(ISBLANK('Data Entry'!A607), "", 'Data Entry'!A607)</f>
      </c>
      <c r="B607">
        <f>IF(ISBLANK('Data Entry'!B607), "", 'Data Entry'!B607)</f>
      </c>
      <c r="C607">
        <f>IF(ISBLANK('Data Entry'!C607), "", 'Data Entry'!C607)</f>
      </c>
      <c r="D607">
        <f>IF(ISBLANK('Data Entry'!D607), "", 'Data Entry'!D607)</f>
      </c>
      <c r="E607">
        <f>IF(ISBLANK('Data Entry'!E607), "", 'Data Entry'!E607)</f>
      </c>
      <c r="F607">
        <f>IF(ISBLANK('Data Entry'!F607), "", 'Data Entry'!F607)</f>
      </c>
      <c r="G607">
        <f>IF(ISBLANK('Data Entry'!G607), "", 'Data Entry'!G607)</f>
      </c>
      <c r="H607">
        <f>IF(ISBLANK('Data Entry'!H607), "", 'Data Entry'!H607)</f>
      </c>
      <c r="I607">
        <f>IF(ISBLANK('Data Entry'!I607), "", 'Data Entry'!I607)</f>
      </c>
      <c r="J607">
        <f>IF(ISBLANK('Data Entry'!J607), "", 'Data Entry'!J607)</f>
      </c>
      <c r="K607">
        <f>IF(ISBLANK('Data Entry'!K607), "", 'Data Entry'!K607)</f>
      </c>
      <c r="L607">
        <f>IF(ISBLANK('Data Entry'!L607), "", 'Data Entry'!L607)</f>
      </c>
      <c r="M607">
        <f>IF(ISBLANK('Data Entry'!M607), "", 'Data Entry'!M607)</f>
      </c>
      <c r="N607">
        <f>IF(ISBLANK('Data Entry'!N607), "", 'Data Entry'!N607)</f>
      </c>
      <c r="O607">
        <f>IF(ISBLANK('Data Entry'!O607), "", 'Data Entry'!O607)</f>
      </c>
      <c r="P607">
        <f>IF(ISBLANK('Data Entry'!P607), "", 'Data Entry'!P607)</f>
      </c>
      <c r="Q607">
        <f>IF(ISBLANK('Data Entry'!Q607), "", 'Data Entry'!Q607)</f>
      </c>
      <c r="R607">
        <f>IF(ISBLANK('Data Entry'!R607), "", 'Data Entry'!R607)</f>
      </c>
      <c r="S607">
        <f>IF(ISBLANK('Data Entry'!S607), "", 'Data Entry'!S607)</f>
      </c>
      <c r="T607">
        <f>IF(ISBLANK('Data Entry'!T607), "", 'Data Entry'!T607)</f>
      </c>
      <c r="U607">
        <f>IF(ISBLANK('Data Entry'!U607), "", 'Data Entry'!U607)</f>
      </c>
      <c r="V607">
        <f>IF(ISBLANK('Data Entry'!V607), "", 'Data Entry'!V607)</f>
      </c>
      <c r="W607">
        <f>IF(ISBLANK('Data Entry'!W607), "", 'Data Entry'!W607)</f>
      </c>
      <c r="X607">
        <f>IF(ISBLANK('Data Entry'!X607), "", 'Data Entry'!X607)</f>
      </c>
      <c r="Y607">
        <f>IF(ISBLANK('Data Entry'!Y607), "", 'Data Entry'!Y607)</f>
      </c>
      <c r="Z607">
        <f>IF(ISBLANK('Data Entry'!Z607), "", 'Data Entry'!Z607)</f>
      </c>
      <c r="AA607">
        <f>IF(ISBLANK('Data Entry'![607), "", 'Data Entry'![607)</f>
      </c>
      <c r="AB607">
        <f>IF(ISBLANK('Data Entry'!\607), "", 'Data Entry'!\607)</f>
      </c>
      <c r="AC607">
        <f>IF(ISBLANK('Data Entry'!]607), "", 'Data Entry'!]607)</f>
      </c>
      <c r="AD607">
        <f>IF(ISBLANK('Data Entry'!^607), "", 'Data Entry'!^607)</f>
      </c>
      <c r="AE607">
        <f>IF(ISBLANK('Data Entry'!_607), "", 'Data Entry'!_607)</f>
      </c>
      <c r="AF607">
        <f>IF(ISBLANK('Data Entry'!`607), "", 'Data Entry'!`607)</f>
      </c>
      <c r="AG607">
        <f>IF(ISBLANK('Data Entry'!a607), "", 'Data Entry'!a607)</f>
      </c>
      <c r="AH607">
        <f>IF(ISBLANK('Data Entry'!b607), "", 'Data Entry'!b607)</f>
      </c>
      <c r="AI607">
        <f>IF(ISBLANK('Data Entry'!c607), "", 'Data Entry'!c607)</f>
      </c>
      <c r="AJ607">
        <f>IF(ISBLANK('Data Entry'!d607), "", 'Data Entry'!d607)</f>
      </c>
      <c r="AK607">
        <f>IF(ISBLANK('Data Entry'!e607), "", 'Data Entry'!e607)</f>
      </c>
      <c r="AL607">
        <f>IF(ISBLANK('Data Entry'!f607), "", 'Data Entry'!f607)</f>
      </c>
      <c r="AM607">
        <f>IF(ISBLANK('Data Entry'!g607), "", 'Data Entry'!g607)</f>
      </c>
      <c r="AN607">
        <f>IF(ISBLANK('Data Entry'!h607), "", 'Data Entry'!h607)</f>
      </c>
    </row>
    <row r="608" spans="1:40" x14ac:dyDescent="0.25">
      <c r="A608">
        <f>IF(ISBLANK('Data Entry'!A608), "", 'Data Entry'!A608)</f>
      </c>
      <c r="B608">
        <f>IF(ISBLANK('Data Entry'!B608), "", 'Data Entry'!B608)</f>
      </c>
      <c r="C608">
        <f>IF(ISBLANK('Data Entry'!C608), "", 'Data Entry'!C608)</f>
      </c>
      <c r="D608">
        <f>IF(ISBLANK('Data Entry'!D608), "", 'Data Entry'!D608)</f>
      </c>
      <c r="E608">
        <f>IF(ISBLANK('Data Entry'!E608), "", 'Data Entry'!E608)</f>
      </c>
      <c r="F608">
        <f>IF(ISBLANK('Data Entry'!F608), "", 'Data Entry'!F608)</f>
      </c>
      <c r="G608">
        <f>IF(ISBLANK('Data Entry'!G608), "", 'Data Entry'!G608)</f>
      </c>
      <c r="H608">
        <f>IF(ISBLANK('Data Entry'!H608), "", 'Data Entry'!H608)</f>
      </c>
      <c r="I608">
        <f>IF(ISBLANK('Data Entry'!I608), "", 'Data Entry'!I608)</f>
      </c>
      <c r="J608">
        <f>IF(ISBLANK('Data Entry'!J608), "", 'Data Entry'!J608)</f>
      </c>
      <c r="K608">
        <f>IF(ISBLANK('Data Entry'!K608), "", 'Data Entry'!K608)</f>
      </c>
      <c r="L608">
        <f>IF(ISBLANK('Data Entry'!L608), "", 'Data Entry'!L608)</f>
      </c>
      <c r="M608">
        <f>IF(ISBLANK('Data Entry'!M608), "", 'Data Entry'!M608)</f>
      </c>
      <c r="N608">
        <f>IF(ISBLANK('Data Entry'!N608), "", 'Data Entry'!N608)</f>
      </c>
      <c r="O608">
        <f>IF(ISBLANK('Data Entry'!O608), "", 'Data Entry'!O608)</f>
      </c>
      <c r="P608">
        <f>IF(ISBLANK('Data Entry'!P608), "", 'Data Entry'!P608)</f>
      </c>
      <c r="Q608">
        <f>IF(ISBLANK('Data Entry'!Q608), "", 'Data Entry'!Q608)</f>
      </c>
      <c r="R608">
        <f>IF(ISBLANK('Data Entry'!R608), "", 'Data Entry'!R608)</f>
      </c>
      <c r="S608">
        <f>IF(ISBLANK('Data Entry'!S608), "", 'Data Entry'!S608)</f>
      </c>
      <c r="T608">
        <f>IF(ISBLANK('Data Entry'!T608), "", 'Data Entry'!T608)</f>
      </c>
      <c r="U608">
        <f>IF(ISBLANK('Data Entry'!U608), "", 'Data Entry'!U608)</f>
      </c>
      <c r="V608">
        <f>IF(ISBLANK('Data Entry'!V608), "", 'Data Entry'!V608)</f>
      </c>
      <c r="W608">
        <f>IF(ISBLANK('Data Entry'!W608), "", 'Data Entry'!W608)</f>
      </c>
      <c r="X608">
        <f>IF(ISBLANK('Data Entry'!X608), "", 'Data Entry'!X608)</f>
      </c>
      <c r="Y608">
        <f>IF(ISBLANK('Data Entry'!Y608), "", 'Data Entry'!Y608)</f>
      </c>
      <c r="Z608">
        <f>IF(ISBLANK('Data Entry'!Z608), "", 'Data Entry'!Z608)</f>
      </c>
      <c r="AA608">
        <f>IF(ISBLANK('Data Entry'![608), "", 'Data Entry'![608)</f>
      </c>
      <c r="AB608">
        <f>IF(ISBLANK('Data Entry'!\608), "", 'Data Entry'!\608)</f>
      </c>
      <c r="AC608">
        <f>IF(ISBLANK('Data Entry'!]608), "", 'Data Entry'!]608)</f>
      </c>
      <c r="AD608">
        <f>IF(ISBLANK('Data Entry'!^608), "", 'Data Entry'!^608)</f>
      </c>
      <c r="AE608">
        <f>IF(ISBLANK('Data Entry'!_608), "", 'Data Entry'!_608)</f>
      </c>
      <c r="AF608">
        <f>IF(ISBLANK('Data Entry'!`608), "", 'Data Entry'!`608)</f>
      </c>
      <c r="AG608">
        <f>IF(ISBLANK('Data Entry'!a608), "", 'Data Entry'!a608)</f>
      </c>
      <c r="AH608">
        <f>IF(ISBLANK('Data Entry'!b608), "", 'Data Entry'!b608)</f>
      </c>
      <c r="AI608">
        <f>IF(ISBLANK('Data Entry'!c608), "", 'Data Entry'!c608)</f>
      </c>
      <c r="AJ608">
        <f>IF(ISBLANK('Data Entry'!d608), "", 'Data Entry'!d608)</f>
      </c>
      <c r="AK608">
        <f>IF(ISBLANK('Data Entry'!e608), "", 'Data Entry'!e608)</f>
      </c>
      <c r="AL608">
        <f>IF(ISBLANK('Data Entry'!f608), "", 'Data Entry'!f608)</f>
      </c>
      <c r="AM608">
        <f>IF(ISBLANK('Data Entry'!g608), "", 'Data Entry'!g608)</f>
      </c>
      <c r="AN608">
        <f>IF(ISBLANK('Data Entry'!h608), "", 'Data Entry'!h608)</f>
      </c>
    </row>
    <row r="609" spans="1:40" x14ac:dyDescent="0.25">
      <c r="A609">
        <f>IF(ISBLANK('Data Entry'!A609), "", 'Data Entry'!A609)</f>
      </c>
      <c r="B609">
        <f>IF(ISBLANK('Data Entry'!B609), "", 'Data Entry'!B609)</f>
      </c>
      <c r="C609">
        <f>IF(ISBLANK('Data Entry'!C609), "", 'Data Entry'!C609)</f>
      </c>
      <c r="D609">
        <f>IF(ISBLANK('Data Entry'!D609), "", 'Data Entry'!D609)</f>
      </c>
      <c r="E609">
        <f>IF(ISBLANK('Data Entry'!E609), "", 'Data Entry'!E609)</f>
      </c>
      <c r="F609">
        <f>IF(ISBLANK('Data Entry'!F609), "", 'Data Entry'!F609)</f>
      </c>
      <c r="G609">
        <f>IF(ISBLANK('Data Entry'!G609), "", 'Data Entry'!G609)</f>
      </c>
      <c r="H609">
        <f>IF(ISBLANK('Data Entry'!H609), "", 'Data Entry'!H609)</f>
      </c>
      <c r="I609">
        <f>IF(ISBLANK('Data Entry'!I609), "", 'Data Entry'!I609)</f>
      </c>
      <c r="J609">
        <f>IF(ISBLANK('Data Entry'!J609), "", 'Data Entry'!J609)</f>
      </c>
      <c r="K609">
        <f>IF(ISBLANK('Data Entry'!K609), "", 'Data Entry'!K609)</f>
      </c>
      <c r="L609">
        <f>IF(ISBLANK('Data Entry'!L609), "", 'Data Entry'!L609)</f>
      </c>
      <c r="M609">
        <f>IF(ISBLANK('Data Entry'!M609), "", 'Data Entry'!M609)</f>
      </c>
      <c r="N609">
        <f>IF(ISBLANK('Data Entry'!N609), "", 'Data Entry'!N609)</f>
      </c>
      <c r="O609">
        <f>IF(ISBLANK('Data Entry'!O609), "", 'Data Entry'!O609)</f>
      </c>
      <c r="P609">
        <f>IF(ISBLANK('Data Entry'!P609), "", 'Data Entry'!P609)</f>
      </c>
      <c r="Q609">
        <f>IF(ISBLANK('Data Entry'!Q609), "", 'Data Entry'!Q609)</f>
      </c>
      <c r="R609">
        <f>IF(ISBLANK('Data Entry'!R609), "", 'Data Entry'!R609)</f>
      </c>
      <c r="S609">
        <f>IF(ISBLANK('Data Entry'!S609), "", 'Data Entry'!S609)</f>
      </c>
      <c r="T609">
        <f>IF(ISBLANK('Data Entry'!T609), "", 'Data Entry'!T609)</f>
      </c>
      <c r="U609">
        <f>IF(ISBLANK('Data Entry'!U609), "", 'Data Entry'!U609)</f>
      </c>
      <c r="V609">
        <f>IF(ISBLANK('Data Entry'!V609), "", 'Data Entry'!V609)</f>
      </c>
      <c r="W609">
        <f>IF(ISBLANK('Data Entry'!W609), "", 'Data Entry'!W609)</f>
      </c>
      <c r="X609">
        <f>IF(ISBLANK('Data Entry'!X609), "", 'Data Entry'!X609)</f>
      </c>
      <c r="Y609">
        <f>IF(ISBLANK('Data Entry'!Y609), "", 'Data Entry'!Y609)</f>
      </c>
      <c r="Z609">
        <f>IF(ISBLANK('Data Entry'!Z609), "", 'Data Entry'!Z609)</f>
      </c>
      <c r="AA609">
        <f>IF(ISBLANK('Data Entry'![609), "", 'Data Entry'![609)</f>
      </c>
      <c r="AB609">
        <f>IF(ISBLANK('Data Entry'!\609), "", 'Data Entry'!\609)</f>
      </c>
      <c r="AC609">
        <f>IF(ISBLANK('Data Entry'!]609), "", 'Data Entry'!]609)</f>
      </c>
      <c r="AD609">
        <f>IF(ISBLANK('Data Entry'!^609), "", 'Data Entry'!^609)</f>
      </c>
      <c r="AE609">
        <f>IF(ISBLANK('Data Entry'!_609), "", 'Data Entry'!_609)</f>
      </c>
      <c r="AF609">
        <f>IF(ISBLANK('Data Entry'!`609), "", 'Data Entry'!`609)</f>
      </c>
      <c r="AG609">
        <f>IF(ISBLANK('Data Entry'!a609), "", 'Data Entry'!a609)</f>
      </c>
      <c r="AH609">
        <f>IF(ISBLANK('Data Entry'!b609), "", 'Data Entry'!b609)</f>
      </c>
      <c r="AI609">
        <f>IF(ISBLANK('Data Entry'!c609), "", 'Data Entry'!c609)</f>
      </c>
      <c r="AJ609">
        <f>IF(ISBLANK('Data Entry'!d609), "", 'Data Entry'!d609)</f>
      </c>
      <c r="AK609">
        <f>IF(ISBLANK('Data Entry'!e609), "", 'Data Entry'!e609)</f>
      </c>
      <c r="AL609">
        <f>IF(ISBLANK('Data Entry'!f609), "", 'Data Entry'!f609)</f>
      </c>
      <c r="AM609">
        <f>IF(ISBLANK('Data Entry'!g609), "", 'Data Entry'!g609)</f>
      </c>
      <c r="AN609">
        <f>IF(ISBLANK('Data Entry'!h609), "", 'Data Entry'!h609)</f>
      </c>
    </row>
    <row r="610" spans="1:40" x14ac:dyDescent="0.25">
      <c r="A610">
        <f>IF(ISBLANK('Data Entry'!A610), "", 'Data Entry'!A610)</f>
      </c>
      <c r="B610">
        <f>IF(ISBLANK('Data Entry'!B610), "", 'Data Entry'!B610)</f>
      </c>
      <c r="C610">
        <f>IF(ISBLANK('Data Entry'!C610), "", 'Data Entry'!C610)</f>
      </c>
      <c r="D610">
        <f>IF(ISBLANK('Data Entry'!D610), "", 'Data Entry'!D610)</f>
      </c>
      <c r="E610">
        <f>IF(ISBLANK('Data Entry'!E610), "", 'Data Entry'!E610)</f>
      </c>
      <c r="F610">
        <f>IF(ISBLANK('Data Entry'!F610), "", 'Data Entry'!F610)</f>
      </c>
      <c r="G610">
        <f>IF(ISBLANK('Data Entry'!G610), "", 'Data Entry'!G610)</f>
      </c>
      <c r="H610">
        <f>IF(ISBLANK('Data Entry'!H610), "", 'Data Entry'!H610)</f>
      </c>
      <c r="I610">
        <f>IF(ISBLANK('Data Entry'!I610), "", 'Data Entry'!I610)</f>
      </c>
      <c r="J610">
        <f>IF(ISBLANK('Data Entry'!J610), "", 'Data Entry'!J610)</f>
      </c>
      <c r="K610">
        <f>IF(ISBLANK('Data Entry'!K610), "", 'Data Entry'!K610)</f>
      </c>
      <c r="L610">
        <f>IF(ISBLANK('Data Entry'!L610), "", 'Data Entry'!L610)</f>
      </c>
      <c r="M610">
        <f>IF(ISBLANK('Data Entry'!M610), "", 'Data Entry'!M610)</f>
      </c>
      <c r="N610">
        <f>IF(ISBLANK('Data Entry'!N610), "", 'Data Entry'!N610)</f>
      </c>
      <c r="O610">
        <f>IF(ISBLANK('Data Entry'!O610), "", 'Data Entry'!O610)</f>
      </c>
      <c r="P610">
        <f>IF(ISBLANK('Data Entry'!P610), "", 'Data Entry'!P610)</f>
      </c>
      <c r="Q610">
        <f>IF(ISBLANK('Data Entry'!Q610), "", 'Data Entry'!Q610)</f>
      </c>
      <c r="R610">
        <f>IF(ISBLANK('Data Entry'!R610), "", 'Data Entry'!R610)</f>
      </c>
      <c r="S610">
        <f>IF(ISBLANK('Data Entry'!S610), "", 'Data Entry'!S610)</f>
      </c>
      <c r="T610">
        <f>IF(ISBLANK('Data Entry'!T610), "", 'Data Entry'!T610)</f>
      </c>
      <c r="U610">
        <f>IF(ISBLANK('Data Entry'!U610), "", 'Data Entry'!U610)</f>
      </c>
      <c r="V610">
        <f>IF(ISBLANK('Data Entry'!V610), "", 'Data Entry'!V610)</f>
      </c>
      <c r="W610">
        <f>IF(ISBLANK('Data Entry'!W610), "", 'Data Entry'!W610)</f>
      </c>
      <c r="X610">
        <f>IF(ISBLANK('Data Entry'!X610), "", 'Data Entry'!X610)</f>
      </c>
      <c r="Y610">
        <f>IF(ISBLANK('Data Entry'!Y610), "", 'Data Entry'!Y610)</f>
      </c>
      <c r="Z610">
        <f>IF(ISBLANK('Data Entry'!Z610), "", 'Data Entry'!Z610)</f>
      </c>
      <c r="AA610">
        <f>IF(ISBLANK('Data Entry'![610), "", 'Data Entry'![610)</f>
      </c>
      <c r="AB610">
        <f>IF(ISBLANK('Data Entry'!\610), "", 'Data Entry'!\610)</f>
      </c>
      <c r="AC610">
        <f>IF(ISBLANK('Data Entry'!]610), "", 'Data Entry'!]610)</f>
      </c>
      <c r="AD610">
        <f>IF(ISBLANK('Data Entry'!^610), "", 'Data Entry'!^610)</f>
      </c>
      <c r="AE610">
        <f>IF(ISBLANK('Data Entry'!_610), "", 'Data Entry'!_610)</f>
      </c>
      <c r="AF610">
        <f>IF(ISBLANK('Data Entry'!`610), "", 'Data Entry'!`610)</f>
      </c>
      <c r="AG610">
        <f>IF(ISBLANK('Data Entry'!a610), "", 'Data Entry'!a610)</f>
      </c>
      <c r="AH610">
        <f>IF(ISBLANK('Data Entry'!b610), "", 'Data Entry'!b610)</f>
      </c>
      <c r="AI610">
        <f>IF(ISBLANK('Data Entry'!c610), "", 'Data Entry'!c610)</f>
      </c>
      <c r="AJ610">
        <f>IF(ISBLANK('Data Entry'!d610), "", 'Data Entry'!d610)</f>
      </c>
      <c r="AK610">
        <f>IF(ISBLANK('Data Entry'!e610), "", 'Data Entry'!e610)</f>
      </c>
      <c r="AL610">
        <f>IF(ISBLANK('Data Entry'!f610), "", 'Data Entry'!f610)</f>
      </c>
      <c r="AM610">
        <f>IF(ISBLANK('Data Entry'!g610), "", 'Data Entry'!g610)</f>
      </c>
      <c r="AN610">
        <f>IF(ISBLANK('Data Entry'!h610), "", 'Data Entry'!h610)</f>
      </c>
    </row>
    <row r="611" spans="1:40" x14ac:dyDescent="0.25">
      <c r="A611">
        <f>IF(ISBLANK('Data Entry'!A611), "", 'Data Entry'!A611)</f>
      </c>
      <c r="B611">
        <f>IF(ISBLANK('Data Entry'!B611), "", 'Data Entry'!B611)</f>
      </c>
      <c r="C611">
        <f>IF(ISBLANK('Data Entry'!C611), "", 'Data Entry'!C611)</f>
      </c>
      <c r="D611">
        <f>IF(ISBLANK('Data Entry'!D611), "", 'Data Entry'!D611)</f>
      </c>
      <c r="E611">
        <f>IF(ISBLANK('Data Entry'!E611), "", 'Data Entry'!E611)</f>
      </c>
      <c r="F611">
        <f>IF(ISBLANK('Data Entry'!F611), "", 'Data Entry'!F611)</f>
      </c>
      <c r="G611">
        <f>IF(ISBLANK('Data Entry'!G611), "", 'Data Entry'!G611)</f>
      </c>
      <c r="H611">
        <f>IF(ISBLANK('Data Entry'!H611), "", 'Data Entry'!H611)</f>
      </c>
      <c r="I611">
        <f>IF(ISBLANK('Data Entry'!I611), "", 'Data Entry'!I611)</f>
      </c>
      <c r="J611">
        <f>IF(ISBLANK('Data Entry'!J611), "", 'Data Entry'!J611)</f>
      </c>
      <c r="K611">
        <f>IF(ISBLANK('Data Entry'!K611), "", 'Data Entry'!K611)</f>
      </c>
      <c r="L611">
        <f>IF(ISBLANK('Data Entry'!L611), "", 'Data Entry'!L611)</f>
      </c>
      <c r="M611">
        <f>IF(ISBLANK('Data Entry'!M611), "", 'Data Entry'!M611)</f>
      </c>
      <c r="N611">
        <f>IF(ISBLANK('Data Entry'!N611), "", 'Data Entry'!N611)</f>
      </c>
      <c r="O611">
        <f>IF(ISBLANK('Data Entry'!O611), "", 'Data Entry'!O611)</f>
      </c>
      <c r="P611">
        <f>IF(ISBLANK('Data Entry'!P611), "", 'Data Entry'!P611)</f>
      </c>
      <c r="Q611">
        <f>IF(ISBLANK('Data Entry'!Q611), "", 'Data Entry'!Q611)</f>
      </c>
      <c r="R611">
        <f>IF(ISBLANK('Data Entry'!R611), "", 'Data Entry'!R611)</f>
      </c>
      <c r="S611">
        <f>IF(ISBLANK('Data Entry'!S611), "", 'Data Entry'!S611)</f>
      </c>
      <c r="T611">
        <f>IF(ISBLANK('Data Entry'!T611), "", 'Data Entry'!T611)</f>
      </c>
      <c r="U611">
        <f>IF(ISBLANK('Data Entry'!U611), "", 'Data Entry'!U611)</f>
      </c>
      <c r="V611">
        <f>IF(ISBLANK('Data Entry'!V611), "", 'Data Entry'!V611)</f>
      </c>
      <c r="W611">
        <f>IF(ISBLANK('Data Entry'!W611), "", 'Data Entry'!W611)</f>
      </c>
      <c r="X611">
        <f>IF(ISBLANK('Data Entry'!X611), "", 'Data Entry'!X611)</f>
      </c>
      <c r="Y611">
        <f>IF(ISBLANK('Data Entry'!Y611), "", 'Data Entry'!Y611)</f>
      </c>
      <c r="Z611">
        <f>IF(ISBLANK('Data Entry'!Z611), "", 'Data Entry'!Z611)</f>
      </c>
      <c r="AA611">
        <f>IF(ISBLANK('Data Entry'![611), "", 'Data Entry'![611)</f>
      </c>
      <c r="AB611">
        <f>IF(ISBLANK('Data Entry'!\611), "", 'Data Entry'!\611)</f>
      </c>
      <c r="AC611">
        <f>IF(ISBLANK('Data Entry'!]611), "", 'Data Entry'!]611)</f>
      </c>
      <c r="AD611">
        <f>IF(ISBLANK('Data Entry'!^611), "", 'Data Entry'!^611)</f>
      </c>
      <c r="AE611">
        <f>IF(ISBLANK('Data Entry'!_611), "", 'Data Entry'!_611)</f>
      </c>
      <c r="AF611">
        <f>IF(ISBLANK('Data Entry'!`611), "", 'Data Entry'!`611)</f>
      </c>
      <c r="AG611">
        <f>IF(ISBLANK('Data Entry'!a611), "", 'Data Entry'!a611)</f>
      </c>
      <c r="AH611">
        <f>IF(ISBLANK('Data Entry'!b611), "", 'Data Entry'!b611)</f>
      </c>
      <c r="AI611">
        <f>IF(ISBLANK('Data Entry'!c611), "", 'Data Entry'!c611)</f>
      </c>
      <c r="AJ611">
        <f>IF(ISBLANK('Data Entry'!d611), "", 'Data Entry'!d611)</f>
      </c>
      <c r="AK611">
        <f>IF(ISBLANK('Data Entry'!e611), "", 'Data Entry'!e611)</f>
      </c>
      <c r="AL611">
        <f>IF(ISBLANK('Data Entry'!f611), "", 'Data Entry'!f611)</f>
      </c>
      <c r="AM611">
        <f>IF(ISBLANK('Data Entry'!g611), "", 'Data Entry'!g611)</f>
      </c>
      <c r="AN611">
        <f>IF(ISBLANK('Data Entry'!h611), "", 'Data Entry'!h611)</f>
      </c>
    </row>
    <row r="612" spans="1:40" x14ac:dyDescent="0.25">
      <c r="A612">
        <f>IF(ISBLANK('Data Entry'!A612), "", 'Data Entry'!A612)</f>
      </c>
      <c r="B612">
        <f>IF(ISBLANK('Data Entry'!B612), "", 'Data Entry'!B612)</f>
      </c>
      <c r="C612">
        <f>IF(ISBLANK('Data Entry'!C612), "", 'Data Entry'!C612)</f>
      </c>
      <c r="D612">
        <f>IF(ISBLANK('Data Entry'!D612), "", 'Data Entry'!D612)</f>
      </c>
      <c r="E612">
        <f>IF(ISBLANK('Data Entry'!E612), "", 'Data Entry'!E612)</f>
      </c>
      <c r="F612">
        <f>IF(ISBLANK('Data Entry'!F612), "", 'Data Entry'!F612)</f>
      </c>
      <c r="G612">
        <f>IF(ISBLANK('Data Entry'!G612), "", 'Data Entry'!G612)</f>
      </c>
      <c r="H612">
        <f>IF(ISBLANK('Data Entry'!H612), "", 'Data Entry'!H612)</f>
      </c>
      <c r="I612">
        <f>IF(ISBLANK('Data Entry'!I612), "", 'Data Entry'!I612)</f>
      </c>
      <c r="J612">
        <f>IF(ISBLANK('Data Entry'!J612), "", 'Data Entry'!J612)</f>
      </c>
      <c r="K612">
        <f>IF(ISBLANK('Data Entry'!K612), "", 'Data Entry'!K612)</f>
      </c>
      <c r="L612">
        <f>IF(ISBLANK('Data Entry'!L612), "", 'Data Entry'!L612)</f>
      </c>
      <c r="M612">
        <f>IF(ISBLANK('Data Entry'!M612), "", 'Data Entry'!M612)</f>
      </c>
      <c r="N612">
        <f>IF(ISBLANK('Data Entry'!N612), "", 'Data Entry'!N612)</f>
      </c>
      <c r="O612">
        <f>IF(ISBLANK('Data Entry'!O612), "", 'Data Entry'!O612)</f>
      </c>
      <c r="P612">
        <f>IF(ISBLANK('Data Entry'!P612), "", 'Data Entry'!P612)</f>
      </c>
      <c r="Q612">
        <f>IF(ISBLANK('Data Entry'!Q612), "", 'Data Entry'!Q612)</f>
      </c>
      <c r="R612">
        <f>IF(ISBLANK('Data Entry'!R612), "", 'Data Entry'!R612)</f>
      </c>
      <c r="S612">
        <f>IF(ISBLANK('Data Entry'!S612), "", 'Data Entry'!S612)</f>
      </c>
      <c r="T612">
        <f>IF(ISBLANK('Data Entry'!T612), "", 'Data Entry'!T612)</f>
      </c>
      <c r="U612">
        <f>IF(ISBLANK('Data Entry'!U612), "", 'Data Entry'!U612)</f>
      </c>
      <c r="V612">
        <f>IF(ISBLANK('Data Entry'!V612), "", 'Data Entry'!V612)</f>
      </c>
      <c r="W612">
        <f>IF(ISBLANK('Data Entry'!W612), "", 'Data Entry'!W612)</f>
      </c>
      <c r="X612">
        <f>IF(ISBLANK('Data Entry'!X612), "", 'Data Entry'!X612)</f>
      </c>
      <c r="Y612">
        <f>IF(ISBLANK('Data Entry'!Y612), "", 'Data Entry'!Y612)</f>
      </c>
      <c r="Z612">
        <f>IF(ISBLANK('Data Entry'!Z612), "", 'Data Entry'!Z612)</f>
      </c>
      <c r="AA612">
        <f>IF(ISBLANK('Data Entry'![612), "", 'Data Entry'![612)</f>
      </c>
      <c r="AB612">
        <f>IF(ISBLANK('Data Entry'!\612), "", 'Data Entry'!\612)</f>
      </c>
      <c r="AC612">
        <f>IF(ISBLANK('Data Entry'!]612), "", 'Data Entry'!]612)</f>
      </c>
      <c r="AD612">
        <f>IF(ISBLANK('Data Entry'!^612), "", 'Data Entry'!^612)</f>
      </c>
      <c r="AE612">
        <f>IF(ISBLANK('Data Entry'!_612), "", 'Data Entry'!_612)</f>
      </c>
      <c r="AF612">
        <f>IF(ISBLANK('Data Entry'!`612), "", 'Data Entry'!`612)</f>
      </c>
      <c r="AG612">
        <f>IF(ISBLANK('Data Entry'!a612), "", 'Data Entry'!a612)</f>
      </c>
      <c r="AH612">
        <f>IF(ISBLANK('Data Entry'!b612), "", 'Data Entry'!b612)</f>
      </c>
      <c r="AI612">
        <f>IF(ISBLANK('Data Entry'!c612), "", 'Data Entry'!c612)</f>
      </c>
      <c r="AJ612">
        <f>IF(ISBLANK('Data Entry'!d612), "", 'Data Entry'!d612)</f>
      </c>
      <c r="AK612">
        <f>IF(ISBLANK('Data Entry'!e612), "", 'Data Entry'!e612)</f>
      </c>
      <c r="AL612">
        <f>IF(ISBLANK('Data Entry'!f612), "", 'Data Entry'!f612)</f>
      </c>
      <c r="AM612">
        <f>IF(ISBLANK('Data Entry'!g612), "", 'Data Entry'!g612)</f>
      </c>
      <c r="AN612">
        <f>IF(ISBLANK('Data Entry'!h612), "", 'Data Entry'!h612)</f>
      </c>
    </row>
    <row r="613" spans="1:40" x14ac:dyDescent="0.25">
      <c r="A613">
        <f>IF(ISBLANK('Data Entry'!A613), "", 'Data Entry'!A613)</f>
      </c>
      <c r="B613">
        <f>IF(ISBLANK('Data Entry'!B613), "", 'Data Entry'!B613)</f>
      </c>
      <c r="C613">
        <f>IF(ISBLANK('Data Entry'!C613), "", 'Data Entry'!C613)</f>
      </c>
      <c r="D613">
        <f>IF(ISBLANK('Data Entry'!D613), "", 'Data Entry'!D613)</f>
      </c>
      <c r="E613">
        <f>IF(ISBLANK('Data Entry'!E613), "", 'Data Entry'!E613)</f>
      </c>
      <c r="F613">
        <f>IF(ISBLANK('Data Entry'!F613), "", 'Data Entry'!F613)</f>
      </c>
      <c r="G613">
        <f>IF(ISBLANK('Data Entry'!G613), "", 'Data Entry'!G613)</f>
      </c>
      <c r="H613">
        <f>IF(ISBLANK('Data Entry'!H613), "", 'Data Entry'!H613)</f>
      </c>
      <c r="I613">
        <f>IF(ISBLANK('Data Entry'!I613), "", 'Data Entry'!I613)</f>
      </c>
      <c r="J613">
        <f>IF(ISBLANK('Data Entry'!J613), "", 'Data Entry'!J613)</f>
      </c>
      <c r="K613">
        <f>IF(ISBLANK('Data Entry'!K613), "", 'Data Entry'!K613)</f>
      </c>
      <c r="L613">
        <f>IF(ISBLANK('Data Entry'!L613), "", 'Data Entry'!L613)</f>
      </c>
      <c r="M613">
        <f>IF(ISBLANK('Data Entry'!M613), "", 'Data Entry'!M613)</f>
      </c>
      <c r="N613">
        <f>IF(ISBLANK('Data Entry'!N613), "", 'Data Entry'!N613)</f>
      </c>
      <c r="O613">
        <f>IF(ISBLANK('Data Entry'!O613), "", 'Data Entry'!O613)</f>
      </c>
      <c r="P613">
        <f>IF(ISBLANK('Data Entry'!P613), "", 'Data Entry'!P613)</f>
      </c>
      <c r="Q613">
        <f>IF(ISBLANK('Data Entry'!Q613), "", 'Data Entry'!Q613)</f>
      </c>
      <c r="R613">
        <f>IF(ISBLANK('Data Entry'!R613), "", 'Data Entry'!R613)</f>
      </c>
      <c r="S613">
        <f>IF(ISBLANK('Data Entry'!S613), "", 'Data Entry'!S613)</f>
      </c>
      <c r="T613">
        <f>IF(ISBLANK('Data Entry'!T613), "", 'Data Entry'!T613)</f>
      </c>
      <c r="U613">
        <f>IF(ISBLANK('Data Entry'!U613), "", 'Data Entry'!U613)</f>
      </c>
      <c r="V613">
        <f>IF(ISBLANK('Data Entry'!V613), "", 'Data Entry'!V613)</f>
      </c>
      <c r="W613">
        <f>IF(ISBLANK('Data Entry'!W613), "", 'Data Entry'!W613)</f>
      </c>
      <c r="X613">
        <f>IF(ISBLANK('Data Entry'!X613), "", 'Data Entry'!X613)</f>
      </c>
      <c r="Y613">
        <f>IF(ISBLANK('Data Entry'!Y613), "", 'Data Entry'!Y613)</f>
      </c>
      <c r="Z613">
        <f>IF(ISBLANK('Data Entry'!Z613), "", 'Data Entry'!Z613)</f>
      </c>
      <c r="AA613">
        <f>IF(ISBLANK('Data Entry'![613), "", 'Data Entry'![613)</f>
      </c>
      <c r="AB613">
        <f>IF(ISBLANK('Data Entry'!\613), "", 'Data Entry'!\613)</f>
      </c>
      <c r="AC613">
        <f>IF(ISBLANK('Data Entry'!]613), "", 'Data Entry'!]613)</f>
      </c>
      <c r="AD613">
        <f>IF(ISBLANK('Data Entry'!^613), "", 'Data Entry'!^613)</f>
      </c>
      <c r="AE613">
        <f>IF(ISBLANK('Data Entry'!_613), "", 'Data Entry'!_613)</f>
      </c>
      <c r="AF613">
        <f>IF(ISBLANK('Data Entry'!`613), "", 'Data Entry'!`613)</f>
      </c>
      <c r="AG613">
        <f>IF(ISBLANK('Data Entry'!a613), "", 'Data Entry'!a613)</f>
      </c>
      <c r="AH613">
        <f>IF(ISBLANK('Data Entry'!b613), "", 'Data Entry'!b613)</f>
      </c>
      <c r="AI613">
        <f>IF(ISBLANK('Data Entry'!c613), "", 'Data Entry'!c613)</f>
      </c>
      <c r="AJ613">
        <f>IF(ISBLANK('Data Entry'!d613), "", 'Data Entry'!d613)</f>
      </c>
      <c r="AK613">
        <f>IF(ISBLANK('Data Entry'!e613), "", 'Data Entry'!e613)</f>
      </c>
      <c r="AL613">
        <f>IF(ISBLANK('Data Entry'!f613), "", 'Data Entry'!f613)</f>
      </c>
      <c r="AM613">
        <f>IF(ISBLANK('Data Entry'!g613), "", 'Data Entry'!g613)</f>
      </c>
      <c r="AN613">
        <f>IF(ISBLANK('Data Entry'!h613), "", 'Data Entry'!h613)</f>
      </c>
    </row>
    <row r="614" spans="1:40" x14ac:dyDescent="0.25">
      <c r="A614">
        <f>IF(ISBLANK('Data Entry'!A614), "", 'Data Entry'!A614)</f>
      </c>
      <c r="B614">
        <f>IF(ISBLANK('Data Entry'!B614), "", 'Data Entry'!B614)</f>
      </c>
      <c r="C614">
        <f>IF(ISBLANK('Data Entry'!C614), "", 'Data Entry'!C614)</f>
      </c>
      <c r="D614">
        <f>IF(ISBLANK('Data Entry'!D614), "", 'Data Entry'!D614)</f>
      </c>
      <c r="E614">
        <f>IF(ISBLANK('Data Entry'!E614), "", 'Data Entry'!E614)</f>
      </c>
      <c r="F614">
        <f>IF(ISBLANK('Data Entry'!F614), "", 'Data Entry'!F614)</f>
      </c>
      <c r="G614">
        <f>IF(ISBLANK('Data Entry'!G614), "", 'Data Entry'!G614)</f>
      </c>
      <c r="H614">
        <f>IF(ISBLANK('Data Entry'!H614), "", 'Data Entry'!H614)</f>
      </c>
      <c r="I614">
        <f>IF(ISBLANK('Data Entry'!I614), "", 'Data Entry'!I614)</f>
      </c>
      <c r="J614">
        <f>IF(ISBLANK('Data Entry'!J614), "", 'Data Entry'!J614)</f>
      </c>
      <c r="K614">
        <f>IF(ISBLANK('Data Entry'!K614), "", 'Data Entry'!K614)</f>
      </c>
      <c r="L614">
        <f>IF(ISBLANK('Data Entry'!L614), "", 'Data Entry'!L614)</f>
      </c>
      <c r="M614">
        <f>IF(ISBLANK('Data Entry'!M614), "", 'Data Entry'!M614)</f>
      </c>
      <c r="N614">
        <f>IF(ISBLANK('Data Entry'!N614), "", 'Data Entry'!N614)</f>
      </c>
      <c r="O614">
        <f>IF(ISBLANK('Data Entry'!O614), "", 'Data Entry'!O614)</f>
      </c>
      <c r="P614">
        <f>IF(ISBLANK('Data Entry'!P614), "", 'Data Entry'!P614)</f>
      </c>
      <c r="Q614">
        <f>IF(ISBLANK('Data Entry'!Q614), "", 'Data Entry'!Q614)</f>
      </c>
      <c r="R614">
        <f>IF(ISBLANK('Data Entry'!R614), "", 'Data Entry'!R614)</f>
      </c>
      <c r="S614">
        <f>IF(ISBLANK('Data Entry'!S614), "", 'Data Entry'!S614)</f>
      </c>
      <c r="T614">
        <f>IF(ISBLANK('Data Entry'!T614), "", 'Data Entry'!T614)</f>
      </c>
      <c r="U614">
        <f>IF(ISBLANK('Data Entry'!U614), "", 'Data Entry'!U614)</f>
      </c>
      <c r="V614">
        <f>IF(ISBLANK('Data Entry'!V614), "", 'Data Entry'!V614)</f>
      </c>
      <c r="W614">
        <f>IF(ISBLANK('Data Entry'!W614), "", 'Data Entry'!W614)</f>
      </c>
      <c r="X614">
        <f>IF(ISBLANK('Data Entry'!X614), "", 'Data Entry'!X614)</f>
      </c>
      <c r="Y614">
        <f>IF(ISBLANK('Data Entry'!Y614), "", 'Data Entry'!Y614)</f>
      </c>
      <c r="Z614">
        <f>IF(ISBLANK('Data Entry'!Z614), "", 'Data Entry'!Z614)</f>
      </c>
      <c r="AA614">
        <f>IF(ISBLANK('Data Entry'![614), "", 'Data Entry'![614)</f>
      </c>
      <c r="AB614">
        <f>IF(ISBLANK('Data Entry'!\614), "", 'Data Entry'!\614)</f>
      </c>
      <c r="AC614">
        <f>IF(ISBLANK('Data Entry'!]614), "", 'Data Entry'!]614)</f>
      </c>
      <c r="AD614">
        <f>IF(ISBLANK('Data Entry'!^614), "", 'Data Entry'!^614)</f>
      </c>
      <c r="AE614">
        <f>IF(ISBLANK('Data Entry'!_614), "", 'Data Entry'!_614)</f>
      </c>
      <c r="AF614">
        <f>IF(ISBLANK('Data Entry'!`614), "", 'Data Entry'!`614)</f>
      </c>
      <c r="AG614">
        <f>IF(ISBLANK('Data Entry'!a614), "", 'Data Entry'!a614)</f>
      </c>
      <c r="AH614">
        <f>IF(ISBLANK('Data Entry'!b614), "", 'Data Entry'!b614)</f>
      </c>
      <c r="AI614">
        <f>IF(ISBLANK('Data Entry'!c614), "", 'Data Entry'!c614)</f>
      </c>
      <c r="AJ614">
        <f>IF(ISBLANK('Data Entry'!d614), "", 'Data Entry'!d614)</f>
      </c>
      <c r="AK614">
        <f>IF(ISBLANK('Data Entry'!e614), "", 'Data Entry'!e614)</f>
      </c>
      <c r="AL614">
        <f>IF(ISBLANK('Data Entry'!f614), "", 'Data Entry'!f614)</f>
      </c>
      <c r="AM614">
        <f>IF(ISBLANK('Data Entry'!g614), "", 'Data Entry'!g614)</f>
      </c>
      <c r="AN614">
        <f>IF(ISBLANK('Data Entry'!h614), "", 'Data Entry'!h614)</f>
      </c>
    </row>
    <row r="615" spans="1:40" x14ac:dyDescent="0.25">
      <c r="A615">
        <f>IF(ISBLANK('Data Entry'!A615), "", 'Data Entry'!A615)</f>
      </c>
      <c r="B615">
        <f>IF(ISBLANK('Data Entry'!B615), "", 'Data Entry'!B615)</f>
      </c>
      <c r="C615">
        <f>IF(ISBLANK('Data Entry'!C615), "", 'Data Entry'!C615)</f>
      </c>
      <c r="D615">
        <f>IF(ISBLANK('Data Entry'!D615), "", 'Data Entry'!D615)</f>
      </c>
      <c r="E615">
        <f>IF(ISBLANK('Data Entry'!E615), "", 'Data Entry'!E615)</f>
      </c>
      <c r="F615">
        <f>IF(ISBLANK('Data Entry'!F615), "", 'Data Entry'!F615)</f>
      </c>
      <c r="G615">
        <f>IF(ISBLANK('Data Entry'!G615), "", 'Data Entry'!G615)</f>
      </c>
      <c r="H615">
        <f>IF(ISBLANK('Data Entry'!H615), "", 'Data Entry'!H615)</f>
      </c>
      <c r="I615">
        <f>IF(ISBLANK('Data Entry'!I615), "", 'Data Entry'!I615)</f>
      </c>
      <c r="J615">
        <f>IF(ISBLANK('Data Entry'!J615), "", 'Data Entry'!J615)</f>
      </c>
      <c r="K615">
        <f>IF(ISBLANK('Data Entry'!K615), "", 'Data Entry'!K615)</f>
      </c>
      <c r="L615">
        <f>IF(ISBLANK('Data Entry'!L615), "", 'Data Entry'!L615)</f>
      </c>
      <c r="M615">
        <f>IF(ISBLANK('Data Entry'!M615), "", 'Data Entry'!M615)</f>
      </c>
      <c r="N615">
        <f>IF(ISBLANK('Data Entry'!N615), "", 'Data Entry'!N615)</f>
      </c>
      <c r="O615">
        <f>IF(ISBLANK('Data Entry'!O615), "", 'Data Entry'!O615)</f>
      </c>
      <c r="P615">
        <f>IF(ISBLANK('Data Entry'!P615), "", 'Data Entry'!P615)</f>
      </c>
      <c r="Q615">
        <f>IF(ISBLANK('Data Entry'!Q615), "", 'Data Entry'!Q615)</f>
      </c>
      <c r="R615">
        <f>IF(ISBLANK('Data Entry'!R615), "", 'Data Entry'!R615)</f>
      </c>
      <c r="S615">
        <f>IF(ISBLANK('Data Entry'!S615), "", 'Data Entry'!S615)</f>
      </c>
      <c r="T615">
        <f>IF(ISBLANK('Data Entry'!T615), "", 'Data Entry'!T615)</f>
      </c>
      <c r="U615">
        <f>IF(ISBLANK('Data Entry'!U615), "", 'Data Entry'!U615)</f>
      </c>
      <c r="V615">
        <f>IF(ISBLANK('Data Entry'!V615), "", 'Data Entry'!V615)</f>
      </c>
      <c r="W615">
        <f>IF(ISBLANK('Data Entry'!W615), "", 'Data Entry'!W615)</f>
      </c>
      <c r="X615">
        <f>IF(ISBLANK('Data Entry'!X615), "", 'Data Entry'!X615)</f>
      </c>
      <c r="Y615">
        <f>IF(ISBLANK('Data Entry'!Y615), "", 'Data Entry'!Y615)</f>
      </c>
      <c r="Z615">
        <f>IF(ISBLANK('Data Entry'!Z615), "", 'Data Entry'!Z615)</f>
      </c>
      <c r="AA615">
        <f>IF(ISBLANK('Data Entry'![615), "", 'Data Entry'![615)</f>
      </c>
      <c r="AB615">
        <f>IF(ISBLANK('Data Entry'!\615), "", 'Data Entry'!\615)</f>
      </c>
      <c r="AC615">
        <f>IF(ISBLANK('Data Entry'!]615), "", 'Data Entry'!]615)</f>
      </c>
      <c r="AD615">
        <f>IF(ISBLANK('Data Entry'!^615), "", 'Data Entry'!^615)</f>
      </c>
      <c r="AE615">
        <f>IF(ISBLANK('Data Entry'!_615), "", 'Data Entry'!_615)</f>
      </c>
      <c r="AF615">
        <f>IF(ISBLANK('Data Entry'!`615), "", 'Data Entry'!`615)</f>
      </c>
      <c r="AG615">
        <f>IF(ISBLANK('Data Entry'!a615), "", 'Data Entry'!a615)</f>
      </c>
      <c r="AH615">
        <f>IF(ISBLANK('Data Entry'!b615), "", 'Data Entry'!b615)</f>
      </c>
      <c r="AI615">
        <f>IF(ISBLANK('Data Entry'!c615), "", 'Data Entry'!c615)</f>
      </c>
      <c r="AJ615">
        <f>IF(ISBLANK('Data Entry'!d615), "", 'Data Entry'!d615)</f>
      </c>
      <c r="AK615">
        <f>IF(ISBLANK('Data Entry'!e615), "", 'Data Entry'!e615)</f>
      </c>
      <c r="AL615">
        <f>IF(ISBLANK('Data Entry'!f615), "", 'Data Entry'!f615)</f>
      </c>
      <c r="AM615">
        <f>IF(ISBLANK('Data Entry'!g615), "", 'Data Entry'!g615)</f>
      </c>
      <c r="AN615">
        <f>IF(ISBLANK('Data Entry'!h615), "", 'Data Entry'!h615)</f>
      </c>
    </row>
    <row r="616" spans="1:40" x14ac:dyDescent="0.25">
      <c r="A616">
        <f>IF(ISBLANK('Data Entry'!A616), "", 'Data Entry'!A616)</f>
      </c>
      <c r="B616">
        <f>IF(ISBLANK('Data Entry'!B616), "", 'Data Entry'!B616)</f>
      </c>
      <c r="C616">
        <f>IF(ISBLANK('Data Entry'!C616), "", 'Data Entry'!C616)</f>
      </c>
      <c r="D616">
        <f>IF(ISBLANK('Data Entry'!D616), "", 'Data Entry'!D616)</f>
      </c>
      <c r="E616">
        <f>IF(ISBLANK('Data Entry'!E616), "", 'Data Entry'!E616)</f>
      </c>
      <c r="F616">
        <f>IF(ISBLANK('Data Entry'!F616), "", 'Data Entry'!F616)</f>
      </c>
      <c r="G616">
        <f>IF(ISBLANK('Data Entry'!G616), "", 'Data Entry'!G616)</f>
      </c>
      <c r="H616">
        <f>IF(ISBLANK('Data Entry'!H616), "", 'Data Entry'!H616)</f>
      </c>
      <c r="I616">
        <f>IF(ISBLANK('Data Entry'!I616), "", 'Data Entry'!I616)</f>
      </c>
      <c r="J616">
        <f>IF(ISBLANK('Data Entry'!J616), "", 'Data Entry'!J616)</f>
      </c>
      <c r="K616">
        <f>IF(ISBLANK('Data Entry'!K616), "", 'Data Entry'!K616)</f>
      </c>
      <c r="L616">
        <f>IF(ISBLANK('Data Entry'!L616), "", 'Data Entry'!L616)</f>
      </c>
      <c r="M616">
        <f>IF(ISBLANK('Data Entry'!M616), "", 'Data Entry'!M616)</f>
      </c>
      <c r="N616">
        <f>IF(ISBLANK('Data Entry'!N616), "", 'Data Entry'!N616)</f>
      </c>
      <c r="O616">
        <f>IF(ISBLANK('Data Entry'!O616), "", 'Data Entry'!O616)</f>
      </c>
      <c r="P616">
        <f>IF(ISBLANK('Data Entry'!P616), "", 'Data Entry'!P616)</f>
      </c>
      <c r="Q616">
        <f>IF(ISBLANK('Data Entry'!Q616), "", 'Data Entry'!Q616)</f>
      </c>
      <c r="R616">
        <f>IF(ISBLANK('Data Entry'!R616), "", 'Data Entry'!R616)</f>
      </c>
      <c r="S616">
        <f>IF(ISBLANK('Data Entry'!S616), "", 'Data Entry'!S616)</f>
      </c>
      <c r="T616">
        <f>IF(ISBLANK('Data Entry'!T616), "", 'Data Entry'!T616)</f>
      </c>
      <c r="U616">
        <f>IF(ISBLANK('Data Entry'!U616), "", 'Data Entry'!U616)</f>
      </c>
      <c r="V616">
        <f>IF(ISBLANK('Data Entry'!V616), "", 'Data Entry'!V616)</f>
      </c>
      <c r="W616">
        <f>IF(ISBLANK('Data Entry'!W616), "", 'Data Entry'!W616)</f>
      </c>
      <c r="X616">
        <f>IF(ISBLANK('Data Entry'!X616), "", 'Data Entry'!X616)</f>
      </c>
      <c r="Y616">
        <f>IF(ISBLANK('Data Entry'!Y616), "", 'Data Entry'!Y616)</f>
      </c>
      <c r="Z616">
        <f>IF(ISBLANK('Data Entry'!Z616), "", 'Data Entry'!Z616)</f>
      </c>
      <c r="AA616">
        <f>IF(ISBLANK('Data Entry'![616), "", 'Data Entry'![616)</f>
      </c>
      <c r="AB616">
        <f>IF(ISBLANK('Data Entry'!\616), "", 'Data Entry'!\616)</f>
      </c>
      <c r="AC616">
        <f>IF(ISBLANK('Data Entry'!]616), "", 'Data Entry'!]616)</f>
      </c>
      <c r="AD616">
        <f>IF(ISBLANK('Data Entry'!^616), "", 'Data Entry'!^616)</f>
      </c>
      <c r="AE616">
        <f>IF(ISBLANK('Data Entry'!_616), "", 'Data Entry'!_616)</f>
      </c>
      <c r="AF616">
        <f>IF(ISBLANK('Data Entry'!`616), "", 'Data Entry'!`616)</f>
      </c>
      <c r="AG616">
        <f>IF(ISBLANK('Data Entry'!a616), "", 'Data Entry'!a616)</f>
      </c>
      <c r="AH616">
        <f>IF(ISBLANK('Data Entry'!b616), "", 'Data Entry'!b616)</f>
      </c>
      <c r="AI616">
        <f>IF(ISBLANK('Data Entry'!c616), "", 'Data Entry'!c616)</f>
      </c>
      <c r="AJ616">
        <f>IF(ISBLANK('Data Entry'!d616), "", 'Data Entry'!d616)</f>
      </c>
      <c r="AK616">
        <f>IF(ISBLANK('Data Entry'!e616), "", 'Data Entry'!e616)</f>
      </c>
      <c r="AL616">
        <f>IF(ISBLANK('Data Entry'!f616), "", 'Data Entry'!f616)</f>
      </c>
      <c r="AM616">
        <f>IF(ISBLANK('Data Entry'!g616), "", 'Data Entry'!g616)</f>
      </c>
      <c r="AN616">
        <f>IF(ISBLANK('Data Entry'!h616), "", 'Data Entry'!h616)</f>
      </c>
    </row>
    <row r="617" spans="1:40" x14ac:dyDescent="0.25">
      <c r="A617">
        <f>IF(ISBLANK('Data Entry'!A617), "", 'Data Entry'!A617)</f>
      </c>
      <c r="B617">
        <f>IF(ISBLANK('Data Entry'!B617), "", 'Data Entry'!B617)</f>
      </c>
      <c r="C617">
        <f>IF(ISBLANK('Data Entry'!C617), "", 'Data Entry'!C617)</f>
      </c>
      <c r="D617">
        <f>IF(ISBLANK('Data Entry'!D617), "", 'Data Entry'!D617)</f>
      </c>
      <c r="E617">
        <f>IF(ISBLANK('Data Entry'!E617), "", 'Data Entry'!E617)</f>
      </c>
      <c r="F617">
        <f>IF(ISBLANK('Data Entry'!F617), "", 'Data Entry'!F617)</f>
      </c>
      <c r="G617">
        <f>IF(ISBLANK('Data Entry'!G617), "", 'Data Entry'!G617)</f>
      </c>
      <c r="H617">
        <f>IF(ISBLANK('Data Entry'!H617), "", 'Data Entry'!H617)</f>
      </c>
      <c r="I617">
        <f>IF(ISBLANK('Data Entry'!I617), "", 'Data Entry'!I617)</f>
      </c>
      <c r="J617">
        <f>IF(ISBLANK('Data Entry'!J617), "", 'Data Entry'!J617)</f>
      </c>
      <c r="K617">
        <f>IF(ISBLANK('Data Entry'!K617), "", 'Data Entry'!K617)</f>
      </c>
      <c r="L617">
        <f>IF(ISBLANK('Data Entry'!L617), "", 'Data Entry'!L617)</f>
      </c>
      <c r="M617">
        <f>IF(ISBLANK('Data Entry'!M617), "", 'Data Entry'!M617)</f>
      </c>
      <c r="N617">
        <f>IF(ISBLANK('Data Entry'!N617), "", 'Data Entry'!N617)</f>
      </c>
      <c r="O617">
        <f>IF(ISBLANK('Data Entry'!O617), "", 'Data Entry'!O617)</f>
      </c>
      <c r="P617">
        <f>IF(ISBLANK('Data Entry'!P617), "", 'Data Entry'!P617)</f>
      </c>
      <c r="Q617">
        <f>IF(ISBLANK('Data Entry'!Q617), "", 'Data Entry'!Q617)</f>
      </c>
      <c r="R617">
        <f>IF(ISBLANK('Data Entry'!R617), "", 'Data Entry'!R617)</f>
      </c>
      <c r="S617">
        <f>IF(ISBLANK('Data Entry'!S617), "", 'Data Entry'!S617)</f>
      </c>
      <c r="T617">
        <f>IF(ISBLANK('Data Entry'!T617), "", 'Data Entry'!T617)</f>
      </c>
      <c r="U617">
        <f>IF(ISBLANK('Data Entry'!U617), "", 'Data Entry'!U617)</f>
      </c>
      <c r="V617">
        <f>IF(ISBLANK('Data Entry'!V617), "", 'Data Entry'!V617)</f>
      </c>
      <c r="W617">
        <f>IF(ISBLANK('Data Entry'!W617), "", 'Data Entry'!W617)</f>
      </c>
      <c r="X617">
        <f>IF(ISBLANK('Data Entry'!X617), "", 'Data Entry'!X617)</f>
      </c>
      <c r="Y617">
        <f>IF(ISBLANK('Data Entry'!Y617), "", 'Data Entry'!Y617)</f>
      </c>
      <c r="Z617">
        <f>IF(ISBLANK('Data Entry'!Z617), "", 'Data Entry'!Z617)</f>
      </c>
      <c r="AA617">
        <f>IF(ISBLANK('Data Entry'![617), "", 'Data Entry'![617)</f>
      </c>
      <c r="AB617">
        <f>IF(ISBLANK('Data Entry'!\617), "", 'Data Entry'!\617)</f>
      </c>
      <c r="AC617">
        <f>IF(ISBLANK('Data Entry'!]617), "", 'Data Entry'!]617)</f>
      </c>
      <c r="AD617">
        <f>IF(ISBLANK('Data Entry'!^617), "", 'Data Entry'!^617)</f>
      </c>
      <c r="AE617">
        <f>IF(ISBLANK('Data Entry'!_617), "", 'Data Entry'!_617)</f>
      </c>
      <c r="AF617">
        <f>IF(ISBLANK('Data Entry'!`617), "", 'Data Entry'!`617)</f>
      </c>
      <c r="AG617">
        <f>IF(ISBLANK('Data Entry'!a617), "", 'Data Entry'!a617)</f>
      </c>
      <c r="AH617">
        <f>IF(ISBLANK('Data Entry'!b617), "", 'Data Entry'!b617)</f>
      </c>
      <c r="AI617">
        <f>IF(ISBLANK('Data Entry'!c617), "", 'Data Entry'!c617)</f>
      </c>
      <c r="AJ617">
        <f>IF(ISBLANK('Data Entry'!d617), "", 'Data Entry'!d617)</f>
      </c>
      <c r="AK617">
        <f>IF(ISBLANK('Data Entry'!e617), "", 'Data Entry'!e617)</f>
      </c>
      <c r="AL617">
        <f>IF(ISBLANK('Data Entry'!f617), "", 'Data Entry'!f617)</f>
      </c>
      <c r="AM617">
        <f>IF(ISBLANK('Data Entry'!g617), "", 'Data Entry'!g617)</f>
      </c>
      <c r="AN617">
        <f>IF(ISBLANK('Data Entry'!h617), "", 'Data Entry'!h617)</f>
      </c>
    </row>
    <row r="618" spans="1:40" x14ac:dyDescent="0.25">
      <c r="A618">
        <f>IF(ISBLANK('Data Entry'!A618), "", 'Data Entry'!A618)</f>
      </c>
      <c r="B618">
        <f>IF(ISBLANK('Data Entry'!B618), "", 'Data Entry'!B618)</f>
      </c>
      <c r="C618">
        <f>IF(ISBLANK('Data Entry'!C618), "", 'Data Entry'!C618)</f>
      </c>
      <c r="D618">
        <f>IF(ISBLANK('Data Entry'!D618), "", 'Data Entry'!D618)</f>
      </c>
      <c r="E618">
        <f>IF(ISBLANK('Data Entry'!E618), "", 'Data Entry'!E618)</f>
      </c>
      <c r="F618">
        <f>IF(ISBLANK('Data Entry'!F618), "", 'Data Entry'!F618)</f>
      </c>
      <c r="G618">
        <f>IF(ISBLANK('Data Entry'!G618), "", 'Data Entry'!G618)</f>
      </c>
      <c r="H618">
        <f>IF(ISBLANK('Data Entry'!H618), "", 'Data Entry'!H618)</f>
      </c>
      <c r="I618">
        <f>IF(ISBLANK('Data Entry'!I618), "", 'Data Entry'!I618)</f>
      </c>
      <c r="J618">
        <f>IF(ISBLANK('Data Entry'!J618), "", 'Data Entry'!J618)</f>
      </c>
      <c r="K618">
        <f>IF(ISBLANK('Data Entry'!K618), "", 'Data Entry'!K618)</f>
      </c>
      <c r="L618">
        <f>IF(ISBLANK('Data Entry'!L618), "", 'Data Entry'!L618)</f>
      </c>
      <c r="M618">
        <f>IF(ISBLANK('Data Entry'!M618), "", 'Data Entry'!M618)</f>
      </c>
      <c r="N618">
        <f>IF(ISBLANK('Data Entry'!N618), "", 'Data Entry'!N618)</f>
      </c>
      <c r="O618">
        <f>IF(ISBLANK('Data Entry'!O618), "", 'Data Entry'!O618)</f>
      </c>
      <c r="P618">
        <f>IF(ISBLANK('Data Entry'!P618), "", 'Data Entry'!P618)</f>
      </c>
      <c r="Q618">
        <f>IF(ISBLANK('Data Entry'!Q618), "", 'Data Entry'!Q618)</f>
      </c>
      <c r="R618">
        <f>IF(ISBLANK('Data Entry'!R618), "", 'Data Entry'!R618)</f>
      </c>
      <c r="S618">
        <f>IF(ISBLANK('Data Entry'!S618), "", 'Data Entry'!S618)</f>
      </c>
      <c r="T618">
        <f>IF(ISBLANK('Data Entry'!T618), "", 'Data Entry'!T618)</f>
      </c>
      <c r="U618">
        <f>IF(ISBLANK('Data Entry'!U618), "", 'Data Entry'!U618)</f>
      </c>
      <c r="V618">
        <f>IF(ISBLANK('Data Entry'!V618), "", 'Data Entry'!V618)</f>
      </c>
      <c r="W618">
        <f>IF(ISBLANK('Data Entry'!W618), "", 'Data Entry'!W618)</f>
      </c>
      <c r="X618">
        <f>IF(ISBLANK('Data Entry'!X618), "", 'Data Entry'!X618)</f>
      </c>
      <c r="Y618">
        <f>IF(ISBLANK('Data Entry'!Y618), "", 'Data Entry'!Y618)</f>
      </c>
      <c r="Z618">
        <f>IF(ISBLANK('Data Entry'!Z618), "", 'Data Entry'!Z618)</f>
      </c>
      <c r="AA618">
        <f>IF(ISBLANK('Data Entry'![618), "", 'Data Entry'![618)</f>
      </c>
      <c r="AB618">
        <f>IF(ISBLANK('Data Entry'!\618), "", 'Data Entry'!\618)</f>
      </c>
      <c r="AC618">
        <f>IF(ISBLANK('Data Entry'!]618), "", 'Data Entry'!]618)</f>
      </c>
      <c r="AD618">
        <f>IF(ISBLANK('Data Entry'!^618), "", 'Data Entry'!^618)</f>
      </c>
      <c r="AE618">
        <f>IF(ISBLANK('Data Entry'!_618), "", 'Data Entry'!_618)</f>
      </c>
      <c r="AF618">
        <f>IF(ISBLANK('Data Entry'!`618), "", 'Data Entry'!`618)</f>
      </c>
      <c r="AG618">
        <f>IF(ISBLANK('Data Entry'!a618), "", 'Data Entry'!a618)</f>
      </c>
      <c r="AH618">
        <f>IF(ISBLANK('Data Entry'!b618), "", 'Data Entry'!b618)</f>
      </c>
      <c r="AI618">
        <f>IF(ISBLANK('Data Entry'!c618), "", 'Data Entry'!c618)</f>
      </c>
      <c r="AJ618">
        <f>IF(ISBLANK('Data Entry'!d618), "", 'Data Entry'!d618)</f>
      </c>
      <c r="AK618">
        <f>IF(ISBLANK('Data Entry'!e618), "", 'Data Entry'!e618)</f>
      </c>
      <c r="AL618">
        <f>IF(ISBLANK('Data Entry'!f618), "", 'Data Entry'!f618)</f>
      </c>
      <c r="AM618">
        <f>IF(ISBLANK('Data Entry'!g618), "", 'Data Entry'!g618)</f>
      </c>
      <c r="AN618">
        <f>IF(ISBLANK('Data Entry'!h618), "", 'Data Entry'!h618)</f>
      </c>
    </row>
    <row r="619" spans="1:40" x14ac:dyDescent="0.25">
      <c r="A619">
        <f>IF(ISBLANK('Data Entry'!A619), "", 'Data Entry'!A619)</f>
      </c>
      <c r="B619">
        <f>IF(ISBLANK('Data Entry'!B619), "", 'Data Entry'!B619)</f>
      </c>
      <c r="C619">
        <f>IF(ISBLANK('Data Entry'!C619), "", 'Data Entry'!C619)</f>
      </c>
      <c r="D619">
        <f>IF(ISBLANK('Data Entry'!D619), "", 'Data Entry'!D619)</f>
      </c>
      <c r="E619">
        <f>IF(ISBLANK('Data Entry'!E619), "", 'Data Entry'!E619)</f>
      </c>
      <c r="F619">
        <f>IF(ISBLANK('Data Entry'!F619), "", 'Data Entry'!F619)</f>
      </c>
      <c r="G619">
        <f>IF(ISBLANK('Data Entry'!G619), "", 'Data Entry'!G619)</f>
      </c>
      <c r="H619">
        <f>IF(ISBLANK('Data Entry'!H619), "", 'Data Entry'!H619)</f>
      </c>
      <c r="I619">
        <f>IF(ISBLANK('Data Entry'!I619), "", 'Data Entry'!I619)</f>
      </c>
      <c r="J619">
        <f>IF(ISBLANK('Data Entry'!J619), "", 'Data Entry'!J619)</f>
      </c>
      <c r="K619">
        <f>IF(ISBLANK('Data Entry'!K619), "", 'Data Entry'!K619)</f>
      </c>
      <c r="L619">
        <f>IF(ISBLANK('Data Entry'!L619), "", 'Data Entry'!L619)</f>
      </c>
      <c r="M619">
        <f>IF(ISBLANK('Data Entry'!M619), "", 'Data Entry'!M619)</f>
      </c>
      <c r="N619">
        <f>IF(ISBLANK('Data Entry'!N619), "", 'Data Entry'!N619)</f>
      </c>
      <c r="O619">
        <f>IF(ISBLANK('Data Entry'!O619), "", 'Data Entry'!O619)</f>
      </c>
      <c r="P619">
        <f>IF(ISBLANK('Data Entry'!P619), "", 'Data Entry'!P619)</f>
      </c>
      <c r="Q619">
        <f>IF(ISBLANK('Data Entry'!Q619), "", 'Data Entry'!Q619)</f>
      </c>
      <c r="R619">
        <f>IF(ISBLANK('Data Entry'!R619), "", 'Data Entry'!R619)</f>
      </c>
      <c r="S619">
        <f>IF(ISBLANK('Data Entry'!S619), "", 'Data Entry'!S619)</f>
      </c>
      <c r="T619">
        <f>IF(ISBLANK('Data Entry'!T619), "", 'Data Entry'!T619)</f>
      </c>
      <c r="U619">
        <f>IF(ISBLANK('Data Entry'!U619), "", 'Data Entry'!U619)</f>
      </c>
      <c r="V619">
        <f>IF(ISBLANK('Data Entry'!V619), "", 'Data Entry'!V619)</f>
      </c>
      <c r="W619">
        <f>IF(ISBLANK('Data Entry'!W619), "", 'Data Entry'!W619)</f>
      </c>
      <c r="X619">
        <f>IF(ISBLANK('Data Entry'!X619), "", 'Data Entry'!X619)</f>
      </c>
      <c r="Y619">
        <f>IF(ISBLANK('Data Entry'!Y619), "", 'Data Entry'!Y619)</f>
      </c>
      <c r="Z619">
        <f>IF(ISBLANK('Data Entry'!Z619), "", 'Data Entry'!Z619)</f>
      </c>
      <c r="AA619">
        <f>IF(ISBLANK('Data Entry'![619), "", 'Data Entry'![619)</f>
      </c>
      <c r="AB619">
        <f>IF(ISBLANK('Data Entry'!\619), "", 'Data Entry'!\619)</f>
      </c>
      <c r="AC619">
        <f>IF(ISBLANK('Data Entry'!]619), "", 'Data Entry'!]619)</f>
      </c>
      <c r="AD619">
        <f>IF(ISBLANK('Data Entry'!^619), "", 'Data Entry'!^619)</f>
      </c>
      <c r="AE619">
        <f>IF(ISBLANK('Data Entry'!_619), "", 'Data Entry'!_619)</f>
      </c>
      <c r="AF619">
        <f>IF(ISBLANK('Data Entry'!`619), "", 'Data Entry'!`619)</f>
      </c>
      <c r="AG619">
        <f>IF(ISBLANK('Data Entry'!a619), "", 'Data Entry'!a619)</f>
      </c>
      <c r="AH619">
        <f>IF(ISBLANK('Data Entry'!b619), "", 'Data Entry'!b619)</f>
      </c>
      <c r="AI619">
        <f>IF(ISBLANK('Data Entry'!c619), "", 'Data Entry'!c619)</f>
      </c>
      <c r="AJ619">
        <f>IF(ISBLANK('Data Entry'!d619), "", 'Data Entry'!d619)</f>
      </c>
      <c r="AK619">
        <f>IF(ISBLANK('Data Entry'!e619), "", 'Data Entry'!e619)</f>
      </c>
      <c r="AL619">
        <f>IF(ISBLANK('Data Entry'!f619), "", 'Data Entry'!f619)</f>
      </c>
      <c r="AM619">
        <f>IF(ISBLANK('Data Entry'!g619), "", 'Data Entry'!g619)</f>
      </c>
      <c r="AN619">
        <f>IF(ISBLANK('Data Entry'!h619), "", 'Data Entry'!h619)</f>
      </c>
    </row>
    <row r="620" spans="1:40" x14ac:dyDescent="0.25">
      <c r="A620">
        <f>IF(ISBLANK('Data Entry'!A620), "", 'Data Entry'!A620)</f>
      </c>
      <c r="B620">
        <f>IF(ISBLANK('Data Entry'!B620), "", 'Data Entry'!B620)</f>
      </c>
      <c r="C620">
        <f>IF(ISBLANK('Data Entry'!C620), "", 'Data Entry'!C620)</f>
      </c>
      <c r="D620">
        <f>IF(ISBLANK('Data Entry'!D620), "", 'Data Entry'!D620)</f>
      </c>
      <c r="E620">
        <f>IF(ISBLANK('Data Entry'!E620), "", 'Data Entry'!E620)</f>
      </c>
      <c r="F620">
        <f>IF(ISBLANK('Data Entry'!F620), "", 'Data Entry'!F620)</f>
      </c>
      <c r="G620">
        <f>IF(ISBLANK('Data Entry'!G620), "", 'Data Entry'!G620)</f>
      </c>
      <c r="H620">
        <f>IF(ISBLANK('Data Entry'!H620), "", 'Data Entry'!H620)</f>
      </c>
      <c r="I620">
        <f>IF(ISBLANK('Data Entry'!I620), "", 'Data Entry'!I620)</f>
      </c>
      <c r="J620">
        <f>IF(ISBLANK('Data Entry'!J620), "", 'Data Entry'!J620)</f>
      </c>
      <c r="K620">
        <f>IF(ISBLANK('Data Entry'!K620), "", 'Data Entry'!K620)</f>
      </c>
      <c r="L620">
        <f>IF(ISBLANK('Data Entry'!L620), "", 'Data Entry'!L620)</f>
      </c>
      <c r="M620">
        <f>IF(ISBLANK('Data Entry'!M620), "", 'Data Entry'!M620)</f>
      </c>
      <c r="N620">
        <f>IF(ISBLANK('Data Entry'!N620), "", 'Data Entry'!N620)</f>
      </c>
      <c r="O620">
        <f>IF(ISBLANK('Data Entry'!O620), "", 'Data Entry'!O620)</f>
      </c>
      <c r="P620">
        <f>IF(ISBLANK('Data Entry'!P620), "", 'Data Entry'!P620)</f>
      </c>
      <c r="Q620">
        <f>IF(ISBLANK('Data Entry'!Q620), "", 'Data Entry'!Q620)</f>
      </c>
      <c r="R620">
        <f>IF(ISBLANK('Data Entry'!R620), "", 'Data Entry'!R620)</f>
      </c>
      <c r="S620">
        <f>IF(ISBLANK('Data Entry'!S620), "", 'Data Entry'!S620)</f>
      </c>
      <c r="T620">
        <f>IF(ISBLANK('Data Entry'!T620), "", 'Data Entry'!T620)</f>
      </c>
      <c r="U620">
        <f>IF(ISBLANK('Data Entry'!U620), "", 'Data Entry'!U620)</f>
      </c>
      <c r="V620">
        <f>IF(ISBLANK('Data Entry'!V620), "", 'Data Entry'!V620)</f>
      </c>
      <c r="W620">
        <f>IF(ISBLANK('Data Entry'!W620), "", 'Data Entry'!W620)</f>
      </c>
      <c r="X620">
        <f>IF(ISBLANK('Data Entry'!X620), "", 'Data Entry'!X620)</f>
      </c>
      <c r="Y620">
        <f>IF(ISBLANK('Data Entry'!Y620), "", 'Data Entry'!Y620)</f>
      </c>
      <c r="Z620">
        <f>IF(ISBLANK('Data Entry'!Z620), "", 'Data Entry'!Z620)</f>
      </c>
      <c r="AA620">
        <f>IF(ISBLANK('Data Entry'![620), "", 'Data Entry'![620)</f>
      </c>
      <c r="AB620">
        <f>IF(ISBLANK('Data Entry'!\620), "", 'Data Entry'!\620)</f>
      </c>
      <c r="AC620">
        <f>IF(ISBLANK('Data Entry'!]620), "", 'Data Entry'!]620)</f>
      </c>
      <c r="AD620">
        <f>IF(ISBLANK('Data Entry'!^620), "", 'Data Entry'!^620)</f>
      </c>
      <c r="AE620">
        <f>IF(ISBLANK('Data Entry'!_620), "", 'Data Entry'!_620)</f>
      </c>
      <c r="AF620">
        <f>IF(ISBLANK('Data Entry'!`620), "", 'Data Entry'!`620)</f>
      </c>
      <c r="AG620">
        <f>IF(ISBLANK('Data Entry'!a620), "", 'Data Entry'!a620)</f>
      </c>
      <c r="AH620">
        <f>IF(ISBLANK('Data Entry'!b620), "", 'Data Entry'!b620)</f>
      </c>
      <c r="AI620">
        <f>IF(ISBLANK('Data Entry'!c620), "", 'Data Entry'!c620)</f>
      </c>
      <c r="AJ620">
        <f>IF(ISBLANK('Data Entry'!d620), "", 'Data Entry'!d620)</f>
      </c>
      <c r="AK620">
        <f>IF(ISBLANK('Data Entry'!e620), "", 'Data Entry'!e620)</f>
      </c>
      <c r="AL620">
        <f>IF(ISBLANK('Data Entry'!f620), "", 'Data Entry'!f620)</f>
      </c>
      <c r="AM620">
        <f>IF(ISBLANK('Data Entry'!g620), "", 'Data Entry'!g620)</f>
      </c>
      <c r="AN620">
        <f>IF(ISBLANK('Data Entry'!h620), "", 'Data Entry'!h620)</f>
      </c>
    </row>
    <row r="621" spans="1:40" x14ac:dyDescent="0.25">
      <c r="A621">
        <f>IF(ISBLANK('Data Entry'!A621), "", 'Data Entry'!A621)</f>
      </c>
      <c r="B621">
        <f>IF(ISBLANK('Data Entry'!B621), "", 'Data Entry'!B621)</f>
      </c>
      <c r="C621">
        <f>IF(ISBLANK('Data Entry'!C621), "", 'Data Entry'!C621)</f>
      </c>
      <c r="D621">
        <f>IF(ISBLANK('Data Entry'!D621), "", 'Data Entry'!D621)</f>
      </c>
      <c r="E621">
        <f>IF(ISBLANK('Data Entry'!E621), "", 'Data Entry'!E621)</f>
      </c>
      <c r="F621">
        <f>IF(ISBLANK('Data Entry'!F621), "", 'Data Entry'!F621)</f>
      </c>
      <c r="G621">
        <f>IF(ISBLANK('Data Entry'!G621), "", 'Data Entry'!G621)</f>
      </c>
      <c r="H621">
        <f>IF(ISBLANK('Data Entry'!H621), "", 'Data Entry'!H621)</f>
      </c>
      <c r="I621">
        <f>IF(ISBLANK('Data Entry'!I621), "", 'Data Entry'!I621)</f>
      </c>
      <c r="J621">
        <f>IF(ISBLANK('Data Entry'!J621), "", 'Data Entry'!J621)</f>
      </c>
      <c r="K621">
        <f>IF(ISBLANK('Data Entry'!K621), "", 'Data Entry'!K621)</f>
      </c>
      <c r="L621">
        <f>IF(ISBLANK('Data Entry'!L621), "", 'Data Entry'!L621)</f>
      </c>
      <c r="M621">
        <f>IF(ISBLANK('Data Entry'!M621), "", 'Data Entry'!M621)</f>
      </c>
      <c r="N621">
        <f>IF(ISBLANK('Data Entry'!N621), "", 'Data Entry'!N621)</f>
      </c>
      <c r="O621">
        <f>IF(ISBLANK('Data Entry'!O621), "", 'Data Entry'!O621)</f>
      </c>
      <c r="P621">
        <f>IF(ISBLANK('Data Entry'!P621), "", 'Data Entry'!P621)</f>
      </c>
      <c r="Q621">
        <f>IF(ISBLANK('Data Entry'!Q621), "", 'Data Entry'!Q621)</f>
      </c>
      <c r="R621">
        <f>IF(ISBLANK('Data Entry'!R621), "", 'Data Entry'!R621)</f>
      </c>
      <c r="S621">
        <f>IF(ISBLANK('Data Entry'!S621), "", 'Data Entry'!S621)</f>
      </c>
      <c r="T621">
        <f>IF(ISBLANK('Data Entry'!T621), "", 'Data Entry'!T621)</f>
      </c>
      <c r="U621">
        <f>IF(ISBLANK('Data Entry'!U621), "", 'Data Entry'!U621)</f>
      </c>
      <c r="V621">
        <f>IF(ISBLANK('Data Entry'!V621), "", 'Data Entry'!V621)</f>
      </c>
      <c r="W621">
        <f>IF(ISBLANK('Data Entry'!W621), "", 'Data Entry'!W621)</f>
      </c>
      <c r="X621">
        <f>IF(ISBLANK('Data Entry'!X621), "", 'Data Entry'!X621)</f>
      </c>
      <c r="Y621">
        <f>IF(ISBLANK('Data Entry'!Y621), "", 'Data Entry'!Y621)</f>
      </c>
      <c r="Z621">
        <f>IF(ISBLANK('Data Entry'!Z621), "", 'Data Entry'!Z621)</f>
      </c>
      <c r="AA621">
        <f>IF(ISBLANK('Data Entry'![621), "", 'Data Entry'![621)</f>
      </c>
      <c r="AB621">
        <f>IF(ISBLANK('Data Entry'!\621), "", 'Data Entry'!\621)</f>
      </c>
      <c r="AC621">
        <f>IF(ISBLANK('Data Entry'!]621), "", 'Data Entry'!]621)</f>
      </c>
      <c r="AD621">
        <f>IF(ISBLANK('Data Entry'!^621), "", 'Data Entry'!^621)</f>
      </c>
      <c r="AE621">
        <f>IF(ISBLANK('Data Entry'!_621), "", 'Data Entry'!_621)</f>
      </c>
      <c r="AF621">
        <f>IF(ISBLANK('Data Entry'!`621), "", 'Data Entry'!`621)</f>
      </c>
      <c r="AG621">
        <f>IF(ISBLANK('Data Entry'!a621), "", 'Data Entry'!a621)</f>
      </c>
      <c r="AH621">
        <f>IF(ISBLANK('Data Entry'!b621), "", 'Data Entry'!b621)</f>
      </c>
      <c r="AI621">
        <f>IF(ISBLANK('Data Entry'!c621), "", 'Data Entry'!c621)</f>
      </c>
      <c r="AJ621">
        <f>IF(ISBLANK('Data Entry'!d621), "", 'Data Entry'!d621)</f>
      </c>
      <c r="AK621">
        <f>IF(ISBLANK('Data Entry'!e621), "", 'Data Entry'!e621)</f>
      </c>
      <c r="AL621">
        <f>IF(ISBLANK('Data Entry'!f621), "", 'Data Entry'!f621)</f>
      </c>
      <c r="AM621">
        <f>IF(ISBLANK('Data Entry'!g621), "", 'Data Entry'!g621)</f>
      </c>
      <c r="AN621">
        <f>IF(ISBLANK('Data Entry'!h621), "", 'Data Entry'!h621)</f>
      </c>
    </row>
    <row r="622" spans="1:40" x14ac:dyDescent="0.25">
      <c r="A622">
        <f>IF(ISBLANK('Data Entry'!A622), "", 'Data Entry'!A622)</f>
      </c>
      <c r="B622">
        <f>IF(ISBLANK('Data Entry'!B622), "", 'Data Entry'!B622)</f>
      </c>
      <c r="C622">
        <f>IF(ISBLANK('Data Entry'!C622), "", 'Data Entry'!C622)</f>
      </c>
      <c r="D622">
        <f>IF(ISBLANK('Data Entry'!D622), "", 'Data Entry'!D622)</f>
      </c>
      <c r="E622">
        <f>IF(ISBLANK('Data Entry'!E622), "", 'Data Entry'!E622)</f>
      </c>
      <c r="F622">
        <f>IF(ISBLANK('Data Entry'!F622), "", 'Data Entry'!F622)</f>
      </c>
      <c r="G622">
        <f>IF(ISBLANK('Data Entry'!G622), "", 'Data Entry'!G622)</f>
      </c>
      <c r="H622">
        <f>IF(ISBLANK('Data Entry'!H622), "", 'Data Entry'!H622)</f>
      </c>
      <c r="I622">
        <f>IF(ISBLANK('Data Entry'!I622), "", 'Data Entry'!I622)</f>
      </c>
      <c r="J622">
        <f>IF(ISBLANK('Data Entry'!J622), "", 'Data Entry'!J622)</f>
      </c>
      <c r="K622">
        <f>IF(ISBLANK('Data Entry'!K622), "", 'Data Entry'!K622)</f>
      </c>
      <c r="L622">
        <f>IF(ISBLANK('Data Entry'!L622), "", 'Data Entry'!L622)</f>
      </c>
      <c r="M622">
        <f>IF(ISBLANK('Data Entry'!M622), "", 'Data Entry'!M622)</f>
      </c>
      <c r="N622">
        <f>IF(ISBLANK('Data Entry'!N622), "", 'Data Entry'!N622)</f>
      </c>
      <c r="O622">
        <f>IF(ISBLANK('Data Entry'!O622), "", 'Data Entry'!O622)</f>
      </c>
      <c r="P622">
        <f>IF(ISBLANK('Data Entry'!P622), "", 'Data Entry'!P622)</f>
      </c>
      <c r="Q622">
        <f>IF(ISBLANK('Data Entry'!Q622), "", 'Data Entry'!Q622)</f>
      </c>
      <c r="R622">
        <f>IF(ISBLANK('Data Entry'!R622), "", 'Data Entry'!R622)</f>
      </c>
      <c r="S622">
        <f>IF(ISBLANK('Data Entry'!S622), "", 'Data Entry'!S622)</f>
      </c>
      <c r="T622">
        <f>IF(ISBLANK('Data Entry'!T622), "", 'Data Entry'!T622)</f>
      </c>
      <c r="U622">
        <f>IF(ISBLANK('Data Entry'!U622), "", 'Data Entry'!U622)</f>
      </c>
      <c r="V622">
        <f>IF(ISBLANK('Data Entry'!V622), "", 'Data Entry'!V622)</f>
      </c>
      <c r="W622">
        <f>IF(ISBLANK('Data Entry'!W622), "", 'Data Entry'!W622)</f>
      </c>
      <c r="X622">
        <f>IF(ISBLANK('Data Entry'!X622), "", 'Data Entry'!X622)</f>
      </c>
      <c r="Y622">
        <f>IF(ISBLANK('Data Entry'!Y622), "", 'Data Entry'!Y622)</f>
      </c>
      <c r="Z622">
        <f>IF(ISBLANK('Data Entry'!Z622), "", 'Data Entry'!Z622)</f>
      </c>
      <c r="AA622">
        <f>IF(ISBLANK('Data Entry'![622), "", 'Data Entry'![622)</f>
      </c>
      <c r="AB622">
        <f>IF(ISBLANK('Data Entry'!\622), "", 'Data Entry'!\622)</f>
      </c>
      <c r="AC622">
        <f>IF(ISBLANK('Data Entry'!]622), "", 'Data Entry'!]622)</f>
      </c>
      <c r="AD622">
        <f>IF(ISBLANK('Data Entry'!^622), "", 'Data Entry'!^622)</f>
      </c>
      <c r="AE622">
        <f>IF(ISBLANK('Data Entry'!_622), "", 'Data Entry'!_622)</f>
      </c>
      <c r="AF622">
        <f>IF(ISBLANK('Data Entry'!`622), "", 'Data Entry'!`622)</f>
      </c>
      <c r="AG622">
        <f>IF(ISBLANK('Data Entry'!a622), "", 'Data Entry'!a622)</f>
      </c>
      <c r="AH622">
        <f>IF(ISBLANK('Data Entry'!b622), "", 'Data Entry'!b622)</f>
      </c>
      <c r="AI622">
        <f>IF(ISBLANK('Data Entry'!c622), "", 'Data Entry'!c622)</f>
      </c>
      <c r="AJ622">
        <f>IF(ISBLANK('Data Entry'!d622), "", 'Data Entry'!d622)</f>
      </c>
      <c r="AK622">
        <f>IF(ISBLANK('Data Entry'!e622), "", 'Data Entry'!e622)</f>
      </c>
      <c r="AL622">
        <f>IF(ISBLANK('Data Entry'!f622), "", 'Data Entry'!f622)</f>
      </c>
      <c r="AM622">
        <f>IF(ISBLANK('Data Entry'!g622), "", 'Data Entry'!g622)</f>
      </c>
      <c r="AN622">
        <f>IF(ISBLANK('Data Entry'!h622), "", 'Data Entry'!h622)</f>
      </c>
    </row>
    <row r="623" spans="1:40" x14ac:dyDescent="0.25">
      <c r="A623">
        <f>IF(ISBLANK('Data Entry'!A623), "", 'Data Entry'!A623)</f>
      </c>
      <c r="B623">
        <f>IF(ISBLANK('Data Entry'!B623), "", 'Data Entry'!B623)</f>
      </c>
      <c r="C623">
        <f>IF(ISBLANK('Data Entry'!C623), "", 'Data Entry'!C623)</f>
      </c>
      <c r="D623">
        <f>IF(ISBLANK('Data Entry'!D623), "", 'Data Entry'!D623)</f>
      </c>
      <c r="E623">
        <f>IF(ISBLANK('Data Entry'!E623), "", 'Data Entry'!E623)</f>
      </c>
      <c r="F623">
        <f>IF(ISBLANK('Data Entry'!F623), "", 'Data Entry'!F623)</f>
      </c>
      <c r="G623">
        <f>IF(ISBLANK('Data Entry'!G623), "", 'Data Entry'!G623)</f>
      </c>
      <c r="H623">
        <f>IF(ISBLANK('Data Entry'!H623), "", 'Data Entry'!H623)</f>
      </c>
      <c r="I623">
        <f>IF(ISBLANK('Data Entry'!I623), "", 'Data Entry'!I623)</f>
      </c>
      <c r="J623">
        <f>IF(ISBLANK('Data Entry'!J623), "", 'Data Entry'!J623)</f>
      </c>
      <c r="K623">
        <f>IF(ISBLANK('Data Entry'!K623), "", 'Data Entry'!K623)</f>
      </c>
      <c r="L623">
        <f>IF(ISBLANK('Data Entry'!L623), "", 'Data Entry'!L623)</f>
      </c>
      <c r="M623">
        <f>IF(ISBLANK('Data Entry'!M623), "", 'Data Entry'!M623)</f>
      </c>
      <c r="N623">
        <f>IF(ISBLANK('Data Entry'!N623), "", 'Data Entry'!N623)</f>
      </c>
      <c r="O623">
        <f>IF(ISBLANK('Data Entry'!O623), "", 'Data Entry'!O623)</f>
      </c>
      <c r="P623">
        <f>IF(ISBLANK('Data Entry'!P623), "", 'Data Entry'!P623)</f>
      </c>
      <c r="Q623">
        <f>IF(ISBLANK('Data Entry'!Q623), "", 'Data Entry'!Q623)</f>
      </c>
      <c r="R623">
        <f>IF(ISBLANK('Data Entry'!R623), "", 'Data Entry'!R623)</f>
      </c>
      <c r="S623">
        <f>IF(ISBLANK('Data Entry'!S623), "", 'Data Entry'!S623)</f>
      </c>
      <c r="T623">
        <f>IF(ISBLANK('Data Entry'!T623), "", 'Data Entry'!T623)</f>
      </c>
      <c r="U623">
        <f>IF(ISBLANK('Data Entry'!U623), "", 'Data Entry'!U623)</f>
      </c>
      <c r="V623">
        <f>IF(ISBLANK('Data Entry'!V623), "", 'Data Entry'!V623)</f>
      </c>
      <c r="W623">
        <f>IF(ISBLANK('Data Entry'!W623), "", 'Data Entry'!W623)</f>
      </c>
      <c r="X623">
        <f>IF(ISBLANK('Data Entry'!X623), "", 'Data Entry'!X623)</f>
      </c>
      <c r="Y623">
        <f>IF(ISBLANK('Data Entry'!Y623), "", 'Data Entry'!Y623)</f>
      </c>
      <c r="Z623">
        <f>IF(ISBLANK('Data Entry'!Z623), "", 'Data Entry'!Z623)</f>
      </c>
      <c r="AA623">
        <f>IF(ISBLANK('Data Entry'![623), "", 'Data Entry'![623)</f>
      </c>
      <c r="AB623">
        <f>IF(ISBLANK('Data Entry'!\623), "", 'Data Entry'!\623)</f>
      </c>
      <c r="AC623">
        <f>IF(ISBLANK('Data Entry'!]623), "", 'Data Entry'!]623)</f>
      </c>
      <c r="AD623">
        <f>IF(ISBLANK('Data Entry'!^623), "", 'Data Entry'!^623)</f>
      </c>
      <c r="AE623">
        <f>IF(ISBLANK('Data Entry'!_623), "", 'Data Entry'!_623)</f>
      </c>
      <c r="AF623">
        <f>IF(ISBLANK('Data Entry'!`623), "", 'Data Entry'!`623)</f>
      </c>
      <c r="AG623">
        <f>IF(ISBLANK('Data Entry'!a623), "", 'Data Entry'!a623)</f>
      </c>
      <c r="AH623">
        <f>IF(ISBLANK('Data Entry'!b623), "", 'Data Entry'!b623)</f>
      </c>
      <c r="AI623">
        <f>IF(ISBLANK('Data Entry'!c623), "", 'Data Entry'!c623)</f>
      </c>
      <c r="AJ623">
        <f>IF(ISBLANK('Data Entry'!d623), "", 'Data Entry'!d623)</f>
      </c>
      <c r="AK623">
        <f>IF(ISBLANK('Data Entry'!e623), "", 'Data Entry'!e623)</f>
      </c>
      <c r="AL623">
        <f>IF(ISBLANK('Data Entry'!f623), "", 'Data Entry'!f623)</f>
      </c>
      <c r="AM623">
        <f>IF(ISBLANK('Data Entry'!g623), "", 'Data Entry'!g623)</f>
      </c>
      <c r="AN623">
        <f>IF(ISBLANK('Data Entry'!h623), "", 'Data Entry'!h623)</f>
      </c>
    </row>
    <row r="624" spans="1:40" x14ac:dyDescent="0.25">
      <c r="A624">
        <f>IF(ISBLANK('Data Entry'!A624), "", 'Data Entry'!A624)</f>
      </c>
      <c r="B624">
        <f>IF(ISBLANK('Data Entry'!B624), "", 'Data Entry'!B624)</f>
      </c>
      <c r="C624">
        <f>IF(ISBLANK('Data Entry'!C624), "", 'Data Entry'!C624)</f>
      </c>
      <c r="D624">
        <f>IF(ISBLANK('Data Entry'!D624), "", 'Data Entry'!D624)</f>
      </c>
      <c r="E624">
        <f>IF(ISBLANK('Data Entry'!E624), "", 'Data Entry'!E624)</f>
      </c>
      <c r="F624">
        <f>IF(ISBLANK('Data Entry'!F624), "", 'Data Entry'!F624)</f>
      </c>
      <c r="G624">
        <f>IF(ISBLANK('Data Entry'!G624), "", 'Data Entry'!G624)</f>
      </c>
      <c r="H624">
        <f>IF(ISBLANK('Data Entry'!H624), "", 'Data Entry'!H624)</f>
      </c>
      <c r="I624">
        <f>IF(ISBLANK('Data Entry'!I624), "", 'Data Entry'!I624)</f>
      </c>
      <c r="J624">
        <f>IF(ISBLANK('Data Entry'!J624), "", 'Data Entry'!J624)</f>
      </c>
      <c r="K624">
        <f>IF(ISBLANK('Data Entry'!K624), "", 'Data Entry'!K624)</f>
      </c>
      <c r="L624">
        <f>IF(ISBLANK('Data Entry'!L624), "", 'Data Entry'!L624)</f>
      </c>
      <c r="M624">
        <f>IF(ISBLANK('Data Entry'!M624), "", 'Data Entry'!M624)</f>
      </c>
      <c r="N624">
        <f>IF(ISBLANK('Data Entry'!N624), "", 'Data Entry'!N624)</f>
      </c>
      <c r="O624">
        <f>IF(ISBLANK('Data Entry'!O624), "", 'Data Entry'!O624)</f>
      </c>
      <c r="P624">
        <f>IF(ISBLANK('Data Entry'!P624), "", 'Data Entry'!P624)</f>
      </c>
      <c r="Q624">
        <f>IF(ISBLANK('Data Entry'!Q624), "", 'Data Entry'!Q624)</f>
      </c>
      <c r="R624">
        <f>IF(ISBLANK('Data Entry'!R624), "", 'Data Entry'!R624)</f>
      </c>
      <c r="S624">
        <f>IF(ISBLANK('Data Entry'!S624), "", 'Data Entry'!S624)</f>
      </c>
      <c r="T624">
        <f>IF(ISBLANK('Data Entry'!T624), "", 'Data Entry'!T624)</f>
      </c>
      <c r="U624">
        <f>IF(ISBLANK('Data Entry'!U624), "", 'Data Entry'!U624)</f>
      </c>
      <c r="V624">
        <f>IF(ISBLANK('Data Entry'!V624), "", 'Data Entry'!V624)</f>
      </c>
      <c r="W624">
        <f>IF(ISBLANK('Data Entry'!W624), "", 'Data Entry'!W624)</f>
      </c>
      <c r="X624">
        <f>IF(ISBLANK('Data Entry'!X624), "", 'Data Entry'!X624)</f>
      </c>
      <c r="Y624">
        <f>IF(ISBLANK('Data Entry'!Y624), "", 'Data Entry'!Y624)</f>
      </c>
      <c r="Z624">
        <f>IF(ISBLANK('Data Entry'!Z624), "", 'Data Entry'!Z624)</f>
      </c>
      <c r="AA624">
        <f>IF(ISBLANK('Data Entry'![624), "", 'Data Entry'![624)</f>
      </c>
      <c r="AB624">
        <f>IF(ISBLANK('Data Entry'!\624), "", 'Data Entry'!\624)</f>
      </c>
      <c r="AC624">
        <f>IF(ISBLANK('Data Entry'!]624), "", 'Data Entry'!]624)</f>
      </c>
      <c r="AD624">
        <f>IF(ISBLANK('Data Entry'!^624), "", 'Data Entry'!^624)</f>
      </c>
      <c r="AE624">
        <f>IF(ISBLANK('Data Entry'!_624), "", 'Data Entry'!_624)</f>
      </c>
      <c r="AF624">
        <f>IF(ISBLANK('Data Entry'!`624), "", 'Data Entry'!`624)</f>
      </c>
      <c r="AG624">
        <f>IF(ISBLANK('Data Entry'!a624), "", 'Data Entry'!a624)</f>
      </c>
      <c r="AH624">
        <f>IF(ISBLANK('Data Entry'!b624), "", 'Data Entry'!b624)</f>
      </c>
      <c r="AI624">
        <f>IF(ISBLANK('Data Entry'!c624), "", 'Data Entry'!c624)</f>
      </c>
      <c r="AJ624">
        <f>IF(ISBLANK('Data Entry'!d624), "", 'Data Entry'!d624)</f>
      </c>
      <c r="AK624">
        <f>IF(ISBLANK('Data Entry'!e624), "", 'Data Entry'!e624)</f>
      </c>
      <c r="AL624">
        <f>IF(ISBLANK('Data Entry'!f624), "", 'Data Entry'!f624)</f>
      </c>
      <c r="AM624">
        <f>IF(ISBLANK('Data Entry'!g624), "", 'Data Entry'!g624)</f>
      </c>
      <c r="AN624">
        <f>IF(ISBLANK('Data Entry'!h624), "", 'Data Entry'!h624)</f>
      </c>
    </row>
    <row r="625" spans="1:40" x14ac:dyDescent="0.25">
      <c r="A625">
        <f>IF(ISBLANK('Data Entry'!A625), "", 'Data Entry'!A625)</f>
      </c>
      <c r="B625">
        <f>IF(ISBLANK('Data Entry'!B625), "", 'Data Entry'!B625)</f>
      </c>
      <c r="C625">
        <f>IF(ISBLANK('Data Entry'!C625), "", 'Data Entry'!C625)</f>
      </c>
      <c r="D625">
        <f>IF(ISBLANK('Data Entry'!D625), "", 'Data Entry'!D625)</f>
      </c>
      <c r="E625">
        <f>IF(ISBLANK('Data Entry'!E625), "", 'Data Entry'!E625)</f>
      </c>
      <c r="F625">
        <f>IF(ISBLANK('Data Entry'!F625), "", 'Data Entry'!F625)</f>
      </c>
      <c r="G625">
        <f>IF(ISBLANK('Data Entry'!G625), "", 'Data Entry'!G625)</f>
      </c>
      <c r="H625">
        <f>IF(ISBLANK('Data Entry'!H625), "", 'Data Entry'!H625)</f>
      </c>
      <c r="I625">
        <f>IF(ISBLANK('Data Entry'!I625), "", 'Data Entry'!I625)</f>
      </c>
      <c r="J625">
        <f>IF(ISBLANK('Data Entry'!J625), "", 'Data Entry'!J625)</f>
      </c>
      <c r="K625">
        <f>IF(ISBLANK('Data Entry'!K625), "", 'Data Entry'!K625)</f>
      </c>
      <c r="L625">
        <f>IF(ISBLANK('Data Entry'!L625), "", 'Data Entry'!L625)</f>
      </c>
      <c r="M625">
        <f>IF(ISBLANK('Data Entry'!M625), "", 'Data Entry'!M625)</f>
      </c>
      <c r="N625">
        <f>IF(ISBLANK('Data Entry'!N625), "", 'Data Entry'!N625)</f>
      </c>
      <c r="O625">
        <f>IF(ISBLANK('Data Entry'!O625), "", 'Data Entry'!O625)</f>
      </c>
      <c r="P625">
        <f>IF(ISBLANK('Data Entry'!P625), "", 'Data Entry'!P625)</f>
      </c>
      <c r="Q625">
        <f>IF(ISBLANK('Data Entry'!Q625), "", 'Data Entry'!Q625)</f>
      </c>
      <c r="R625">
        <f>IF(ISBLANK('Data Entry'!R625), "", 'Data Entry'!R625)</f>
      </c>
      <c r="S625">
        <f>IF(ISBLANK('Data Entry'!S625), "", 'Data Entry'!S625)</f>
      </c>
      <c r="T625">
        <f>IF(ISBLANK('Data Entry'!T625), "", 'Data Entry'!T625)</f>
      </c>
      <c r="U625">
        <f>IF(ISBLANK('Data Entry'!U625), "", 'Data Entry'!U625)</f>
      </c>
      <c r="V625">
        <f>IF(ISBLANK('Data Entry'!V625), "", 'Data Entry'!V625)</f>
      </c>
      <c r="W625">
        <f>IF(ISBLANK('Data Entry'!W625), "", 'Data Entry'!W625)</f>
      </c>
      <c r="X625">
        <f>IF(ISBLANK('Data Entry'!X625), "", 'Data Entry'!X625)</f>
      </c>
      <c r="Y625">
        <f>IF(ISBLANK('Data Entry'!Y625), "", 'Data Entry'!Y625)</f>
      </c>
      <c r="Z625">
        <f>IF(ISBLANK('Data Entry'!Z625), "", 'Data Entry'!Z625)</f>
      </c>
      <c r="AA625">
        <f>IF(ISBLANK('Data Entry'![625), "", 'Data Entry'![625)</f>
      </c>
      <c r="AB625">
        <f>IF(ISBLANK('Data Entry'!\625), "", 'Data Entry'!\625)</f>
      </c>
      <c r="AC625">
        <f>IF(ISBLANK('Data Entry'!]625), "", 'Data Entry'!]625)</f>
      </c>
      <c r="AD625">
        <f>IF(ISBLANK('Data Entry'!^625), "", 'Data Entry'!^625)</f>
      </c>
      <c r="AE625">
        <f>IF(ISBLANK('Data Entry'!_625), "", 'Data Entry'!_625)</f>
      </c>
      <c r="AF625">
        <f>IF(ISBLANK('Data Entry'!`625), "", 'Data Entry'!`625)</f>
      </c>
      <c r="AG625">
        <f>IF(ISBLANK('Data Entry'!a625), "", 'Data Entry'!a625)</f>
      </c>
      <c r="AH625">
        <f>IF(ISBLANK('Data Entry'!b625), "", 'Data Entry'!b625)</f>
      </c>
      <c r="AI625">
        <f>IF(ISBLANK('Data Entry'!c625), "", 'Data Entry'!c625)</f>
      </c>
      <c r="AJ625">
        <f>IF(ISBLANK('Data Entry'!d625), "", 'Data Entry'!d625)</f>
      </c>
      <c r="AK625">
        <f>IF(ISBLANK('Data Entry'!e625), "", 'Data Entry'!e625)</f>
      </c>
      <c r="AL625">
        <f>IF(ISBLANK('Data Entry'!f625), "", 'Data Entry'!f625)</f>
      </c>
      <c r="AM625">
        <f>IF(ISBLANK('Data Entry'!g625), "", 'Data Entry'!g625)</f>
      </c>
      <c r="AN625">
        <f>IF(ISBLANK('Data Entry'!h625), "", 'Data Entry'!h625)</f>
      </c>
    </row>
    <row r="626" spans="1:40" x14ac:dyDescent="0.25">
      <c r="A626">
        <f>IF(ISBLANK('Data Entry'!A626), "", 'Data Entry'!A626)</f>
      </c>
      <c r="B626">
        <f>IF(ISBLANK('Data Entry'!B626), "", 'Data Entry'!B626)</f>
      </c>
      <c r="C626">
        <f>IF(ISBLANK('Data Entry'!C626), "", 'Data Entry'!C626)</f>
      </c>
      <c r="D626">
        <f>IF(ISBLANK('Data Entry'!D626), "", 'Data Entry'!D626)</f>
      </c>
      <c r="E626">
        <f>IF(ISBLANK('Data Entry'!E626), "", 'Data Entry'!E626)</f>
      </c>
      <c r="F626">
        <f>IF(ISBLANK('Data Entry'!F626), "", 'Data Entry'!F626)</f>
      </c>
      <c r="G626">
        <f>IF(ISBLANK('Data Entry'!G626), "", 'Data Entry'!G626)</f>
      </c>
      <c r="H626">
        <f>IF(ISBLANK('Data Entry'!H626), "", 'Data Entry'!H626)</f>
      </c>
      <c r="I626">
        <f>IF(ISBLANK('Data Entry'!I626), "", 'Data Entry'!I626)</f>
      </c>
      <c r="J626">
        <f>IF(ISBLANK('Data Entry'!J626), "", 'Data Entry'!J626)</f>
      </c>
      <c r="K626">
        <f>IF(ISBLANK('Data Entry'!K626), "", 'Data Entry'!K626)</f>
      </c>
      <c r="L626">
        <f>IF(ISBLANK('Data Entry'!L626), "", 'Data Entry'!L626)</f>
      </c>
      <c r="M626">
        <f>IF(ISBLANK('Data Entry'!M626), "", 'Data Entry'!M626)</f>
      </c>
      <c r="N626">
        <f>IF(ISBLANK('Data Entry'!N626), "", 'Data Entry'!N626)</f>
      </c>
      <c r="O626">
        <f>IF(ISBLANK('Data Entry'!O626), "", 'Data Entry'!O626)</f>
      </c>
      <c r="P626">
        <f>IF(ISBLANK('Data Entry'!P626), "", 'Data Entry'!P626)</f>
      </c>
      <c r="Q626">
        <f>IF(ISBLANK('Data Entry'!Q626), "", 'Data Entry'!Q626)</f>
      </c>
      <c r="R626">
        <f>IF(ISBLANK('Data Entry'!R626), "", 'Data Entry'!R626)</f>
      </c>
      <c r="S626">
        <f>IF(ISBLANK('Data Entry'!S626), "", 'Data Entry'!S626)</f>
      </c>
      <c r="T626">
        <f>IF(ISBLANK('Data Entry'!T626), "", 'Data Entry'!T626)</f>
      </c>
      <c r="U626">
        <f>IF(ISBLANK('Data Entry'!U626), "", 'Data Entry'!U626)</f>
      </c>
      <c r="V626">
        <f>IF(ISBLANK('Data Entry'!V626), "", 'Data Entry'!V626)</f>
      </c>
      <c r="W626">
        <f>IF(ISBLANK('Data Entry'!W626), "", 'Data Entry'!W626)</f>
      </c>
      <c r="X626">
        <f>IF(ISBLANK('Data Entry'!X626), "", 'Data Entry'!X626)</f>
      </c>
      <c r="Y626">
        <f>IF(ISBLANK('Data Entry'!Y626), "", 'Data Entry'!Y626)</f>
      </c>
      <c r="Z626">
        <f>IF(ISBLANK('Data Entry'!Z626), "", 'Data Entry'!Z626)</f>
      </c>
      <c r="AA626">
        <f>IF(ISBLANK('Data Entry'![626), "", 'Data Entry'![626)</f>
      </c>
      <c r="AB626">
        <f>IF(ISBLANK('Data Entry'!\626), "", 'Data Entry'!\626)</f>
      </c>
      <c r="AC626">
        <f>IF(ISBLANK('Data Entry'!]626), "", 'Data Entry'!]626)</f>
      </c>
      <c r="AD626">
        <f>IF(ISBLANK('Data Entry'!^626), "", 'Data Entry'!^626)</f>
      </c>
      <c r="AE626">
        <f>IF(ISBLANK('Data Entry'!_626), "", 'Data Entry'!_626)</f>
      </c>
      <c r="AF626">
        <f>IF(ISBLANK('Data Entry'!`626), "", 'Data Entry'!`626)</f>
      </c>
      <c r="AG626">
        <f>IF(ISBLANK('Data Entry'!a626), "", 'Data Entry'!a626)</f>
      </c>
      <c r="AH626">
        <f>IF(ISBLANK('Data Entry'!b626), "", 'Data Entry'!b626)</f>
      </c>
      <c r="AI626">
        <f>IF(ISBLANK('Data Entry'!c626), "", 'Data Entry'!c626)</f>
      </c>
      <c r="AJ626">
        <f>IF(ISBLANK('Data Entry'!d626), "", 'Data Entry'!d626)</f>
      </c>
      <c r="AK626">
        <f>IF(ISBLANK('Data Entry'!e626), "", 'Data Entry'!e626)</f>
      </c>
      <c r="AL626">
        <f>IF(ISBLANK('Data Entry'!f626), "", 'Data Entry'!f626)</f>
      </c>
      <c r="AM626">
        <f>IF(ISBLANK('Data Entry'!g626), "", 'Data Entry'!g626)</f>
      </c>
      <c r="AN626">
        <f>IF(ISBLANK('Data Entry'!h626), "", 'Data Entry'!h626)</f>
      </c>
    </row>
    <row r="627" spans="1:40" x14ac:dyDescent="0.25">
      <c r="A627">
        <f>IF(ISBLANK('Data Entry'!A627), "", 'Data Entry'!A627)</f>
      </c>
      <c r="B627">
        <f>IF(ISBLANK('Data Entry'!B627), "", 'Data Entry'!B627)</f>
      </c>
      <c r="C627">
        <f>IF(ISBLANK('Data Entry'!C627), "", 'Data Entry'!C627)</f>
      </c>
      <c r="D627">
        <f>IF(ISBLANK('Data Entry'!D627), "", 'Data Entry'!D627)</f>
      </c>
      <c r="E627">
        <f>IF(ISBLANK('Data Entry'!E627), "", 'Data Entry'!E627)</f>
      </c>
      <c r="F627">
        <f>IF(ISBLANK('Data Entry'!F627), "", 'Data Entry'!F627)</f>
      </c>
      <c r="G627">
        <f>IF(ISBLANK('Data Entry'!G627), "", 'Data Entry'!G627)</f>
      </c>
      <c r="H627">
        <f>IF(ISBLANK('Data Entry'!H627), "", 'Data Entry'!H627)</f>
      </c>
      <c r="I627">
        <f>IF(ISBLANK('Data Entry'!I627), "", 'Data Entry'!I627)</f>
      </c>
      <c r="J627">
        <f>IF(ISBLANK('Data Entry'!J627), "", 'Data Entry'!J627)</f>
      </c>
      <c r="K627">
        <f>IF(ISBLANK('Data Entry'!K627), "", 'Data Entry'!K627)</f>
      </c>
      <c r="L627">
        <f>IF(ISBLANK('Data Entry'!L627), "", 'Data Entry'!L627)</f>
      </c>
      <c r="M627">
        <f>IF(ISBLANK('Data Entry'!M627), "", 'Data Entry'!M627)</f>
      </c>
      <c r="N627">
        <f>IF(ISBLANK('Data Entry'!N627), "", 'Data Entry'!N627)</f>
      </c>
      <c r="O627">
        <f>IF(ISBLANK('Data Entry'!O627), "", 'Data Entry'!O627)</f>
      </c>
      <c r="P627">
        <f>IF(ISBLANK('Data Entry'!P627), "", 'Data Entry'!P627)</f>
      </c>
      <c r="Q627">
        <f>IF(ISBLANK('Data Entry'!Q627), "", 'Data Entry'!Q627)</f>
      </c>
      <c r="R627">
        <f>IF(ISBLANK('Data Entry'!R627), "", 'Data Entry'!R627)</f>
      </c>
      <c r="S627">
        <f>IF(ISBLANK('Data Entry'!S627), "", 'Data Entry'!S627)</f>
      </c>
      <c r="T627">
        <f>IF(ISBLANK('Data Entry'!T627), "", 'Data Entry'!T627)</f>
      </c>
      <c r="U627">
        <f>IF(ISBLANK('Data Entry'!U627), "", 'Data Entry'!U627)</f>
      </c>
      <c r="V627">
        <f>IF(ISBLANK('Data Entry'!V627), "", 'Data Entry'!V627)</f>
      </c>
      <c r="W627">
        <f>IF(ISBLANK('Data Entry'!W627), "", 'Data Entry'!W627)</f>
      </c>
      <c r="X627">
        <f>IF(ISBLANK('Data Entry'!X627), "", 'Data Entry'!X627)</f>
      </c>
      <c r="Y627">
        <f>IF(ISBLANK('Data Entry'!Y627), "", 'Data Entry'!Y627)</f>
      </c>
      <c r="Z627">
        <f>IF(ISBLANK('Data Entry'!Z627), "", 'Data Entry'!Z627)</f>
      </c>
      <c r="AA627">
        <f>IF(ISBLANK('Data Entry'![627), "", 'Data Entry'![627)</f>
      </c>
      <c r="AB627">
        <f>IF(ISBLANK('Data Entry'!\627), "", 'Data Entry'!\627)</f>
      </c>
      <c r="AC627">
        <f>IF(ISBLANK('Data Entry'!]627), "", 'Data Entry'!]627)</f>
      </c>
      <c r="AD627">
        <f>IF(ISBLANK('Data Entry'!^627), "", 'Data Entry'!^627)</f>
      </c>
      <c r="AE627">
        <f>IF(ISBLANK('Data Entry'!_627), "", 'Data Entry'!_627)</f>
      </c>
      <c r="AF627">
        <f>IF(ISBLANK('Data Entry'!`627), "", 'Data Entry'!`627)</f>
      </c>
      <c r="AG627">
        <f>IF(ISBLANK('Data Entry'!a627), "", 'Data Entry'!a627)</f>
      </c>
      <c r="AH627">
        <f>IF(ISBLANK('Data Entry'!b627), "", 'Data Entry'!b627)</f>
      </c>
      <c r="AI627">
        <f>IF(ISBLANK('Data Entry'!c627), "", 'Data Entry'!c627)</f>
      </c>
      <c r="AJ627">
        <f>IF(ISBLANK('Data Entry'!d627), "", 'Data Entry'!d627)</f>
      </c>
      <c r="AK627">
        <f>IF(ISBLANK('Data Entry'!e627), "", 'Data Entry'!e627)</f>
      </c>
      <c r="AL627">
        <f>IF(ISBLANK('Data Entry'!f627), "", 'Data Entry'!f627)</f>
      </c>
      <c r="AM627">
        <f>IF(ISBLANK('Data Entry'!g627), "", 'Data Entry'!g627)</f>
      </c>
      <c r="AN627">
        <f>IF(ISBLANK('Data Entry'!h627), "", 'Data Entry'!h627)</f>
      </c>
    </row>
    <row r="628" spans="1:40" x14ac:dyDescent="0.25">
      <c r="A628">
        <f>IF(ISBLANK('Data Entry'!A628), "", 'Data Entry'!A628)</f>
      </c>
      <c r="B628">
        <f>IF(ISBLANK('Data Entry'!B628), "", 'Data Entry'!B628)</f>
      </c>
      <c r="C628">
        <f>IF(ISBLANK('Data Entry'!C628), "", 'Data Entry'!C628)</f>
      </c>
      <c r="D628">
        <f>IF(ISBLANK('Data Entry'!D628), "", 'Data Entry'!D628)</f>
      </c>
      <c r="E628">
        <f>IF(ISBLANK('Data Entry'!E628), "", 'Data Entry'!E628)</f>
      </c>
      <c r="F628">
        <f>IF(ISBLANK('Data Entry'!F628), "", 'Data Entry'!F628)</f>
      </c>
      <c r="G628">
        <f>IF(ISBLANK('Data Entry'!G628), "", 'Data Entry'!G628)</f>
      </c>
      <c r="H628">
        <f>IF(ISBLANK('Data Entry'!H628), "", 'Data Entry'!H628)</f>
      </c>
      <c r="I628">
        <f>IF(ISBLANK('Data Entry'!I628), "", 'Data Entry'!I628)</f>
      </c>
      <c r="J628">
        <f>IF(ISBLANK('Data Entry'!J628), "", 'Data Entry'!J628)</f>
      </c>
      <c r="K628">
        <f>IF(ISBLANK('Data Entry'!K628), "", 'Data Entry'!K628)</f>
      </c>
      <c r="L628">
        <f>IF(ISBLANK('Data Entry'!L628), "", 'Data Entry'!L628)</f>
      </c>
      <c r="M628">
        <f>IF(ISBLANK('Data Entry'!M628), "", 'Data Entry'!M628)</f>
      </c>
      <c r="N628">
        <f>IF(ISBLANK('Data Entry'!N628), "", 'Data Entry'!N628)</f>
      </c>
      <c r="O628">
        <f>IF(ISBLANK('Data Entry'!O628), "", 'Data Entry'!O628)</f>
      </c>
      <c r="P628">
        <f>IF(ISBLANK('Data Entry'!P628), "", 'Data Entry'!P628)</f>
      </c>
      <c r="Q628">
        <f>IF(ISBLANK('Data Entry'!Q628), "", 'Data Entry'!Q628)</f>
      </c>
      <c r="R628">
        <f>IF(ISBLANK('Data Entry'!R628), "", 'Data Entry'!R628)</f>
      </c>
      <c r="S628">
        <f>IF(ISBLANK('Data Entry'!S628), "", 'Data Entry'!S628)</f>
      </c>
      <c r="T628">
        <f>IF(ISBLANK('Data Entry'!T628), "", 'Data Entry'!T628)</f>
      </c>
      <c r="U628">
        <f>IF(ISBLANK('Data Entry'!U628), "", 'Data Entry'!U628)</f>
      </c>
      <c r="V628">
        <f>IF(ISBLANK('Data Entry'!V628), "", 'Data Entry'!V628)</f>
      </c>
      <c r="W628">
        <f>IF(ISBLANK('Data Entry'!W628), "", 'Data Entry'!W628)</f>
      </c>
      <c r="X628">
        <f>IF(ISBLANK('Data Entry'!X628), "", 'Data Entry'!X628)</f>
      </c>
      <c r="Y628">
        <f>IF(ISBLANK('Data Entry'!Y628), "", 'Data Entry'!Y628)</f>
      </c>
      <c r="Z628">
        <f>IF(ISBLANK('Data Entry'!Z628), "", 'Data Entry'!Z628)</f>
      </c>
      <c r="AA628">
        <f>IF(ISBLANK('Data Entry'![628), "", 'Data Entry'![628)</f>
      </c>
      <c r="AB628">
        <f>IF(ISBLANK('Data Entry'!\628), "", 'Data Entry'!\628)</f>
      </c>
      <c r="AC628">
        <f>IF(ISBLANK('Data Entry'!]628), "", 'Data Entry'!]628)</f>
      </c>
      <c r="AD628">
        <f>IF(ISBLANK('Data Entry'!^628), "", 'Data Entry'!^628)</f>
      </c>
      <c r="AE628">
        <f>IF(ISBLANK('Data Entry'!_628), "", 'Data Entry'!_628)</f>
      </c>
      <c r="AF628">
        <f>IF(ISBLANK('Data Entry'!`628), "", 'Data Entry'!`628)</f>
      </c>
      <c r="AG628">
        <f>IF(ISBLANK('Data Entry'!a628), "", 'Data Entry'!a628)</f>
      </c>
      <c r="AH628">
        <f>IF(ISBLANK('Data Entry'!b628), "", 'Data Entry'!b628)</f>
      </c>
      <c r="AI628">
        <f>IF(ISBLANK('Data Entry'!c628), "", 'Data Entry'!c628)</f>
      </c>
      <c r="AJ628">
        <f>IF(ISBLANK('Data Entry'!d628), "", 'Data Entry'!d628)</f>
      </c>
      <c r="AK628">
        <f>IF(ISBLANK('Data Entry'!e628), "", 'Data Entry'!e628)</f>
      </c>
      <c r="AL628">
        <f>IF(ISBLANK('Data Entry'!f628), "", 'Data Entry'!f628)</f>
      </c>
      <c r="AM628">
        <f>IF(ISBLANK('Data Entry'!g628), "", 'Data Entry'!g628)</f>
      </c>
      <c r="AN628">
        <f>IF(ISBLANK('Data Entry'!h628), "", 'Data Entry'!h628)</f>
      </c>
    </row>
    <row r="629" spans="1:40" x14ac:dyDescent="0.25">
      <c r="A629">
        <f>IF(ISBLANK('Data Entry'!A629), "", 'Data Entry'!A629)</f>
      </c>
      <c r="B629">
        <f>IF(ISBLANK('Data Entry'!B629), "", 'Data Entry'!B629)</f>
      </c>
      <c r="C629">
        <f>IF(ISBLANK('Data Entry'!C629), "", 'Data Entry'!C629)</f>
      </c>
      <c r="D629">
        <f>IF(ISBLANK('Data Entry'!D629), "", 'Data Entry'!D629)</f>
      </c>
      <c r="E629">
        <f>IF(ISBLANK('Data Entry'!E629), "", 'Data Entry'!E629)</f>
      </c>
      <c r="F629">
        <f>IF(ISBLANK('Data Entry'!F629), "", 'Data Entry'!F629)</f>
      </c>
      <c r="G629">
        <f>IF(ISBLANK('Data Entry'!G629), "", 'Data Entry'!G629)</f>
      </c>
      <c r="H629">
        <f>IF(ISBLANK('Data Entry'!H629), "", 'Data Entry'!H629)</f>
      </c>
      <c r="I629">
        <f>IF(ISBLANK('Data Entry'!I629), "", 'Data Entry'!I629)</f>
      </c>
      <c r="J629">
        <f>IF(ISBLANK('Data Entry'!J629), "", 'Data Entry'!J629)</f>
      </c>
      <c r="K629">
        <f>IF(ISBLANK('Data Entry'!K629), "", 'Data Entry'!K629)</f>
      </c>
      <c r="L629">
        <f>IF(ISBLANK('Data Entry'!L629), "", 'Data Entry'!L629)</f>
      </c>
      <c r="M629">
        <f>IF(ISBLANK('Data Entry'!M629), "", 'Data Entry'!M629)</f>
      </c>
      <c r="N629">
        <f>IF(ISBLANK('Data Entry'!N629), "", 'Data Entry'!N629)</f>
      </c>
      <c r="O629">
        <f>IF(ISBLANK('Data Entry'!O629), "", 'Data Entry'!O629)</f>
      </c>
      <c r="P629">
        <f>IF(ISBLANK('Data Entry'!P629), "", 'Data Entry'!P629)</f>
      </c>
      <c r="Q629">
        <f>IF(ISBLANK('Data Entry'!Q629), "", 'Data Entry'!Q629)</f>
      </c>
      <c r="R629">
        <f>IF(ISBLANK('Data Entry'!R629), "", 'Data Entry'!R629)</f>
      </c>
      <c r="S629">
        <f>IF(ISBLANK('Data Entry'!S629), "", 'Data Entry'!S629)</f>
      </c>
      <c r="T629">
        <f>IF(ISBLANK('Data Entry'!T629), "", 'Data Entry'!T629)</f>
      </c>
      <c r="U629">
        <f>IF(ISBLANK('Data Entry'!U629), "", 'Data Entry'!U629)</f>
      </c>
      <c r="V629">
        <f>IF(ISBLANK('Data Entry'!V629), "", 'Data Entry'!V629)</f>
      </c>
      <c r="W629">
        <f>IF(ISBLANK('Data Entry'!W629), "", 'Data Entry'!W629)</f>
      </c>
      <c r="X629">
        <f>IF(ISBLANK('Data Entry'!X629), "", 'Data Entry'!X629)</f>
      </c>
      <c r="Y629">
        <f>IF(ISBLANK('Data Entry'!Y629), "", 'Data Entry'!Y629)</f>
      </c>
      <c r="Z629">
        <f>IF(ISBLANK('Data Entry'!Z629), "", 'Data Entry'!Z629)</f>
      </c>
      <c r="AA629">
        <f>IF(ISBLANK('Data Entry'![629), "", 'Data Entry'![629)</f>
      </c>
      <c r="AB629">
        <f>IF(ISBLANK('Data Entry'!\629), "", 'Data Entry'!\629)</f>
      </c>
      <c r="AC629">
        <f>IF(ISBLANK('Data Entry'!]629), "", 'Data Entry'!]629)</f>
      </c>
      <c r="AD629">
        <f>IF(ISBLANK('Data Entry'!^629), "", 'Data Entry'!^629)</f>
      </c>
      <c r="AE629">
        <f>IF(ISBLANK('Data Entry'!_629), "", 'Data Entry'!_629)</f>
      </c>
      <c r="AF629">
        <f>IF(ISBLANK('Data Entry'!`629), "", 'Data Entry'!`629)</f>
      </c>
      <c r="AG629">
        <f>IF(ISBLANK('Data Entry'!a629), "", 'Data Entry'!a629)</f>
      </c>
      <c r="AH629">
        <f>IF(ISBLANK('Data Entry'!b629), "", 'Data Entry'!b629)</f>
      </c>
      <c r="AI629">
        <f>IF(ISBLANK('Data Entry'!c629), "", 'Data Entry'!c629)</f>
      </c>
      <c r="AJ629">
        <f>IF(ISBLANK('Data Entry'!d629), "", 'Data Entry'!d629)</f>
      </c>
      <c r="AK629">
        <f>IF(ISBLANK('Data Entry'!e629), "", 'Data Entry'!e629)</f>
      </c>
      <c r="AL629">
        <f>IF(ISBLANK('Data Entry'!f629), "", 'Data Entry'!f629)</f>
      </c>
      <c r="AM629">
        <f>IF(ISBLANK('Data Entry'!g629), "", 'Data Entry'!g629)</f>
      </c>
      <c r="AN629">
        <f>IF(ISBLANK('Data Entry'!h629), "", 'Data Entry'!h629)</f>
      </c>
    </row>
    <row r="630" spans="1:40" x14ac:dyDescent="0.25">
      <c r="A630">
        <f>IF(ISBLANK('Data Entry'!A630), "", 'Data Entry'!A630)</f>
      </c>
      <c r="B630">
        <f>IF(ISBLANK('Data Entry'!B630), "", 'Data Entry'!B630)</f>
      </c>
      <c r="C630">
        <f>IF(ISBLANK('Data Entry'!C630), "", 'Data Entry'!C630)</f>
      </c>
      <c r="D630">
        <f>IF(ISBLANK('Data Entry'!D630), "", 'Data Entry'!D630)</f>
      </c>
      <c r="E630">
        <f>IF(ISBLANK('Data Entry'!E630), "", 'Data Entry'!E630)</f>
      </c>
      <c r="F630">
        <f>IF(ISBLANK('Data Entry'!F630), "", 'Data Entry'!F630)</f>
      </c>
      <c r="G630">
        <f>IF(ISBLANK('Data Entry'!G630), "", 'Data Entry'!G630)</f>
      </c>
      <c r="H630">
        <f>IF(ISBLANK('Data Entry'!H630), "", 'Data Entry'!H630)</f>
      </c>
      <c r="I630">
        <f>IF(ISBLANK('Data Entry'!I630), "", 'Data Entry'!I630)</f>
      </c>
      <c r="J630">
        <f>IF(ISBLANK('Data Entry'!J630), "", 'Data Entry'!J630)</f>
      </c>
      <c r="K630">
        <f>IF(ISBLANK('Data Entry'!K630), "", 'Data Entry'!K630)</f>
      </c>
      <c r="L630">
        <f>IF(ISBLANK('Data Entry'!L630), "", 'Data Entry'!L630)</f>
      </c>
      <c r="M630">
        <f>IF(ISBLANK('Data Entry'!M630), "", 'Data Entry'!M630)</f>
      </c>
      <c r="N630">
        <f>IF(ISBLANK('Data Entry'!N630), "", 'Data Entry'!N630)</f>
      </c>
      <c r="O630">
        <f>IF(ISBLANK('Data Entry'!O630), "", 'Data Entry'!O630)</f>
      </c>
      <c r="P630">
        <f>IF(ISBLANK('Data Entry'!P630), "", 'Data Entry'!P630)</f>
      </c>
      <c r="Q630">
        <f>IF(ISBLANK('Data Entry'!Q630), "", 'Data Entry'!Q630)</f>
      </c>
      <c r="R630">
        <f>IF(ISBLANK('Data Entry'!R630), "", 'Data Entry'!R630)</f>
      </c>
      <c r="S630">
        <f>IF(ISBLANK('Data Entry'!S630), "", 'Data Entry'!S630)</f>
      </c>
      <c r="T630">
        <f>IF(ISBLANK('Data Entry'!T630), "", 'Data Entry'!T630)</f>
      </c>
      <c r="U630">
        <f>IF(ISBLANK('Data Entry'!U630), "", 'Data Entry'!U630)</f>
      </c>
      <c r="V630">
        <f>IF(ISBLANK('Data Entry'!V630), "", 'Data Entry'!V630)</f>
      </c>
      <c r="W630">
        <f>IF(ISBLANK('Data Entry'!W630), "", 'Data Entry'!W630)</f>
      </c>
      <c r="X630">
        <f>IF(ISBLANK('Data Entry'!X630), "", 'Data Entry'!X630)</f>
      </c>
      <c r="Y630">
        <f>IF(ISBLANK('Data Entry'!Y630), "", 'Data Entry'!Y630)</f>
      </c>
      <c r="Z630">
        <f>IF(ISBLANK('Data Entry'!Z630), "", 'Data Entry'!Z630)</f>
      </c>
      <c r="AA630">
        <f>IF(ISBLANK('Data Entry'![630), "", 'Data Entry'![630)</f>
      </c>
      <c r="AB630">
        <f>IF(ISBLANK('Data Entry'!\630), "", 'Data Entry'!\630)</f>
      </c>
      <c r="AC630">
        <f>IF(ISBLANK('Data Entry'!]630), "", 'Data Entry'!]630)</f>
      </c>
      <c r="AD630">
        <f>IF(ISBLANK('Data Entry'!^630), "", 'Data Entry'!^630)</f>
      </c>
      <c r="AE630">
        <f>IF(ISBLANK('Data Entry'!_630), "", 'Data Entry'!_630)</f>
      </c>
      <c r="AF630">
        <f>IF(ISBLANK('Data Entry'!`630), "", 'Data Entry'!`630)</f>
      </c>
      <c r="AG630">
        <f>IF(ISBLANK('Data Entry'!a630), "", 'Data Entry'!a630)</f>
      </c>
      <c r="AH630">
        <f>IF(ISBLANK('Data Entry'!b630), "", 'Data Entry'!b630)</f>
      </c>
      <c r="AI630">
        <f>IF(ISBLANK('Data Entry'!c630), "", 'Data Entry'!c630)</f>
      </c>
      <c r="AJ630">
        <f>IF(ISBLANK('Data Entry'!d630), "", 'Data Entry'!d630)</f>
      </c>
      <c r="AK630">
        <f>IF(ISBLANK('Data Entry'!e630), "", 'Data Entry'!e630)</f>
      </c>
      <c r="AL630">
        <f>IF(ISBLANK('Data Entry'!f630), "", 'Data Entry'!f630)</f>
      </c>
      <c r="AM630">
        <f>IF(ISBLANK('Data Entry'!g630), "", 'Data Entry'!g630)</f>
      </c>
      <c r="AN630">
        <f>IF(ISBLANK('Data Entry'!h630), "", 'Data Entry'!h630)</f>
      </c>
    </row>
    <row r="631" spans="1:40" x14ac:dyDescent="0.25">
      <c r="A631">
        <f>IF(ISBLANK('Data Entry'!A631), "", 'Data Entry'!A631)</f>
      </c>
      <c r="B631">
        <f>IF(ISBLANK('Data Entry'!B631), "", 'Data Entry'!B631)</f>
      </c>
      <c r="C631">
        <f>IF(ISBLANK('Data Entry'!C631), "", 'Data Entry'!C631)</f>
      </c>
      <c r="D631">
        <f>IF(ISBLANK('Data Entry'!D631), "", 'Data Entry'!D631)</f>
      </c>
      <c r="E631">
        <f>IF(ISBLANK('Data Entry'!E631), "", 'Data Entry'!E631)</f>
      </c>
      <c r="F631">
        <f>IF(ISBLANK('Data Entry'!F631), "", 'Data Entry'!F631)</f>
      </c>
      <c r="G631">
        <f>IF(ISBLANK('Data Entry'!G631), "", 'Data Entry'!G631)</f>
      </c>
      <c r="H631">
        <f>IF(ISBLANK('Data Entry'!H631), "", 'Data Entry'!H631)</f>
      </c>
      <c r="I631">
        <f>IF(ISBLANK('Data Entry'!I631), "", 'Data Entry'!I631)</f>
      </c>
      <c r="J631">
        <f>IF(ISBLANK('Data Entry'!J631), "", 'Data Entry'!J631)</f>
      </c>
      <c r="K631">
        <f>IF(ISBLANK('Data Entry'!K631), "", 'Data Entry'!K631)</f>
      </c>
      <c r="L631">
        <f>IF(ISBLANK('Data Entry'!L631), "", 'Data Entry'!L631)</f>
      </c>
      <c r="M631">
        <f>IF(ISBLANK('Data Entry'!M631), "", 'Data Entry'!M631)</f>
      </c>
      <c r="N631">
        <f>IF(ISBLANK('Data Entry'!N631), "", 'Data Entry'!N631)</f>
      </c>
      <c r="O631">
        <f>IF(ISBLANK('Data Entry'!O631), "", 'Data Entry'!O631)</f>
      </c>
      <c r="P631">
        <f>IF(ISBLANK('Data Entry'!P631), "", 'Data Entry'!P631)</f>
      </c>
      <c r="Q631">
        <f>IF(ISBLANK('Data Entry'!Q631), "", 'Data Entry'!Q631)</f>
      </c>
      <c r="R631">
        <f>IF(ISBLANK('Data Entry'!R631), "", 'Data Entry'!R631)</f>
      </c>
      <c r="S631">
        <f>IF(ISBLANK('Data Entry'!S631), "", 'Data Entry'!S631)</f>
      </c>
      <c r="T631">
        <f>IF(ISBLANK('Data Entry'!T631), "", 'Data Entry'!T631)</f>
      </c>
      <c r="U631">
        <f>IF(ISBLANK('Data Entry'!U631), "", 'Data Entry'!U631)</f>
      </c>
      <c r="V631">
        <f>IF(ISBLANK('Data Entry'!V631), "", 'Data Entry'!V631)</f>
      </c>
      <c r="W631">
        <f>IF(ISBLANK('Data Entry'!W631), "", 'Data Entry'!W631)</f>
      </c>
      <c r="X631">
        <f>IF(ISBLANK('Data Entry'!X631), "", 'Data Entry'!X631)</f>
      </c>
      <c r="Y631">
        <f>IF(ISBLANK('Data Entry'!Y631), "", 'Data Entry'!Y631)</f>
      </c>
      <c r="Z631">
        <f>IF(ISBLANK('Data Entry'!Z631), "", 'Data Entry'!Z631)</f>
      </c>
      <c r="AA631">
        <f>IF(ISBLANK('Data Entry'![631), "", 'Data Entry'![631)</f>
      </c>
      <c r="AB631">
        <f>IF(ISBLANK('Data Entry'!\631), "", 'Data Entry'!\631)</f>
      </c>
      <c r="AC631">
        <f>IF(ISBLANK('Data Entry'!]631), "", 'Data Entry'!]631)</f>
      </c>
      <c r="AD631">
        <f>IF(ISBLANK('Data Entry'!^631), "", 'Data Entry'!^631)</f>
      </c>
      <c r="AE631">
        <f>IF(ISBLANK('Data Entry'!_631), "", 'Data Entry'!_631)</f>
      </c>
      <c r="AF631">
        <f>IF(ISBLANK('Data Entry'!`631), "", 'Data Entry'!`631)</f>
      </c>
      <c r="AG631">
        <f>IF(ISBLANK('Data Entry'!a631), "", 'Data Entry'!a631)</f>
      </c>
      <c r="AH631">
        <f>IF(ISBLANK('Data Entry'!b631), "", 'Data Entry'!b631)</f>
      </c>
      <c r="AI631">
        <f>IF(ISBLANK('Data Entry'!c631), "", 'Data Entry'!c631)</f>
      </c>
      <c r="AJ631">
        <f>IF(ISBLANK('Data Entry'!d631), "", 'Data Entry'!d631)</f>
      </c>
      <c r="AK631">
        <f>IF(ISBLANK('Data Entry'!e631), "", 'Data Entry'!e631)</f>
      </c>
      <c r="AL631">
        <f>IF(ISBLANK('Data Entry'!f631), "", 'Data Entry'!f631)</f>
      </c>
      <c r="AM631">
        <f>IF(ISBLANK('Data Entry'!g631), "", 'Data Entry'!g631)</f>
      </c>
      <c r="AN631">
        <f>IF(ISBLANK('Data Entry'!h631), "", 'Data Entry'!h631)</f>
      </c>
    </row>
    <row r="632" spans="1:40" x14ac:dyDescent="0.25">
      <c r="A632">
        <f>IF(ISBLANK('Data Entry'!A632), "", 'Data Entry'!A632)</f>
      </c>
      <c r="B632">
        <f>IF(ISBLANK('Data Entry'!B632), "", 'Data Entry'!B632)</f>
      </c>
      <c r="C632">
        <f>IF(ISBLANK('Data Entry'!C632), "", 'Data Entry'!C632)</f>
      </c>
      <c r="D632">
        <f>IF(ISBLANK('Data Entry'!D632), "", 'Data Entry'!D632)</f>
      </c>
      <c r="E632">
        <f>IF(ISBLANK('Data Entry'!E632), "", 'Data Entry'!E632)</f>
      </c>
      <c r="F632">
        <f>IF(ISBLANK('Data Entry'!F632), "", 'Data Entry'!F632)</f>
      </c>
      <c r="G632">
        <f>IF(ISBLANK('Data Entry'!G632), "", 'Data Entry'!G632)</f>
      </c>
      <c r="H632">
        <f>IF(ISBLANK('Data Entry'!H632), "", 'Data Entry'!H632)</f>
      </c>
      <c r="I632">
        <f>IF(ISBLANK('Data Entry'!I632), "", 'Data Entry'!I632)</f>
      </c>
      <c r="J632">
        <f>IF(ISBLANK('Data Entry'!J632), "", 'Data Entry'!J632)</f>
      </c>
      <c r="K632">
        <f>IF(ISBLANK('Data Entry'!K632), "", 'Data Entry'!K632)</f>
      </c>
      <c r="L632">
        <f>IF(ISBLANK('Data Entry'!L632), "", 'Data Entry'!L632)</f>
      </c>
      <c r="M632">
        <f>IF(ISBLANK('Data Entry'!M632), "", 'Data Entry'!M632)</f>
      </c>
      <c r="N632">
        <f>IF(ISBLANK('Data Entry'!N632), "", 'Data Entry'!N632)</f>
      </c>
      <c r="O632">
        <f>IF(ISBLANK('Data Entry'!O632), "", 'Data Entry'!O632)</f>
      </c>
      <c r="P632">
        <f>IF(ISBLANK('Data Entry'!P632), "", 'Data Entry'!P632)</f>
      </c>
      <c r="Q632">
        <f>IF(ISBLANK('Data Entry'!Q632), "", 'Data Entry'!Q632)</f>
      </c>
      <c r="R632">
        <f>IF(ISBLANK('Data Entry'!R632), "", 'Data Entry'!R632)</f>
      </c>
      <c r="S632">
        <f>IF(ISBLANK('Data Entry'!S632), "", 'Data Entry'!S632)</f>
      </c>
      <c r="T632">
        <f>IF(ISBLANK('Data Entry'!T632), "", 'Data Entry'!T632)</f>
      </c>
      <c r="U632">
        <f>IF(ISBLANK('Data Entry'!U632), "", 'Data Entry'!U632)</f>
      </c>
      <c r="V632">
        <f>IF(ISBLANK('Data Entry'!V632), "", 'Data Entry'!V632)</f>
      </c>
      <c r="W632">
        <f>IF(ISBLANK('Data Entry'!W632), "", 'Data Entry'!W632)</f>
      </c>
      <c r="X632">
        <f>IF(ISBLANK('Data Entry'!X632), "", 'Data Entry'!X632)</f>
      </c>
      <c r="Y632">
        <f>IF(ISBLANK('Data Entry'!Y632), "", 'Data Entry'!Y632)</f>
      </c>
      <c r="Z632">
        <f>IF(ISBLANK('Data Entry'!Z632), "", 'Data Entry'!Z632)</f>
      </c>
      <c r="AA632">
        <f>IF(ISBLANK('Data Entry'![632), "", 'Data Entry'![632)</f>
      </c>
      <c r="AB632">
        <f>IF(ISBLANK('Data Entry'!\632), "", 'Data Entry'!\632)</f>
      </c>
      <c r="AC632">
        <f>IF(ISBLANK('Data Entry'!]632), "", 'Data Entry'!]632)</f>
      </c>
      <c r="AD632">
        <f>IF(ISBLANK('Data Entry'!^632), "", 'Data Entry'!^632)</f>
      </c>
      <c r="AE632">
        <f>IF(ISBLANK('Data Entry'!_632), "", 'Data Entry'!_632)</f>
      </c>
      <c r="AF632">
        <f>IF(ISBLANK('Data Entry'!`632), "", 'Data Entry'!`632)</f>
      </c>
      <c r="AG632">
        <f>IF(ISBLANK('Data Entry'!a632), "", 'Data Entry'!a632)</f>
      </c>
      <c r="AH632">
        <f>IF(ISBLANK('Data Entry'!b632), "", 'Data Entry'!b632)</f>
      </c>
      <c r="AI632">
        <f>IF(ISBLANK('Data Entry'!c632), "", 'Data Entry'!c632)</f>
      </c>
      <c r="AJ632">
        <f>IF(ISBLANK('Data Entry'!d632), "", 'Data Entry'!d632)</f>
      </c>
      <c r="AK632">
        <f>IF(ISBLANK('Data Entry'!e632), "", 'Data Entry'!e632)</f>
      </c>
      <c r="AL632">
        <f>IF(ISBLANK('Data Entry'!f632), "", 'Data Entry'!f632)</f>
      </c>
      <c r="AM632">
        <f>IF(ISBLANK('Data Entry'!g632), "", 'Data Entry'!g632)</f>
      </c>
      <c r="AN632">
        <f>IF(ISBLANK('Data Entry'!h632), "", 'Data Entry'!h632)</f>
      </c>
    </row>
    <row r="633" spans="1:40" x14ac:dyDescent="0.25">
      <c r="A633">
        <f>IF(ISBLANK('Data Entry'!A633), "", 'Data Entry'!A633)</f>
      </c>
      <c r="B633">
        <f>IF(ISBLANK('Data Entry'!B633), "", 'Data Entry'!B633)</f>
      </c>
      <c r="C633">
        <f>IF(ISBLANK('Data Entry'!C633), "", 'Data Entry'!C633)</f>
      </c>
      <c r="D633">
        <f>IF(ISBLANK('Data Entry'!D633), "", 'Data Entry'!D633)</f>
      </c>
      <c r="E633">
        <f>IF(ISBLANK('Data Entry'!E633), "", 'Data Entry'!E633)</f>
      </c>
      <c r="F633">
        <f>IF(ISBLANK('Data Entry'!F633), "", 'Data Entry'!F633)</f>
      </c>
      <c r="G633">
        <f>IF(ISBLANK('Data Entry'!G633), "", 'Data Entry'!G633)</f>
      </c>
      <c r="H633">
        <f>IF(ISBLANK('Data Entry'!H633), "", 'Data Entry'!H633)</f>
      </c>
      <c r="I633">
        <f>IF(ISBLANK('Data Entry'!I633), "", 'Data Entry'!I633)</f>
      </c>
      <c r="J633">
        <f>IF(ISBLANK('Data Entry'!J633), "", 'Data Entry'!J633)</f>
      </c>
      <c r="K633">
        <f>IF(ISBLANK('Data Entry'!K633), "", 'Data Entry'!K633)</f>
      </c>
      <c r="L633">
        <f>IF(ISBLANK('Data Entry'!L633), "", 'Data Entry'!L633)</f>
      </c>
      <c r="M633">
        <f>IF(ISBLANK('Data Entry'!M633), "", 'Data Entry'!M633)</f>
      </c>
      <c r="N633">
        <f>IF(ISBLANK('Data Entry'!N633), "", 'Data Entry'!N633)</f>
      </c>
      <c r="O633">
        <f>IF(ISBLANK('Data Entry'!O633), "", 'Data Entry'!O633)</f>
      </c>
      <c r="P633">
        <f>IF(ISBLANK('Data Entry'!P633), "", 'Data Entry'!P633)</f>
      </c>
      <c r="Q633">
        <f>IF(ISBLANK('Data Entry'!Q633), "", 'Data Entry'!Q633)</f>
      </c>
      <c r="R633">
        <f>IF(ISBLANK('Data Entry'!R633), "", 'Data Entry'!R633)</f>
      </c>
      <c r="S633">
        <f>IF(ISBLANK('Data Entry'!S633), "", 'Data Entry'!S633)</f>
      </c>
      <c r="T633">
        <f>IF(ISBLANK('Data Entry'!T633), "", 'Data Entry'!T633)</f>
      </c>
      <c r="U633">
        <f>IF(ISBLANK('Data Entry'!U633), "", 'Data Entry'!U633)</f>
      </c>
      <c r="V633">
        <f>IF(ISBLANK('Data Entry'!V633), "", 'Data Entry'!V633)</f>
      </c>
      <c r="W633">
        <f>IF(ISBLANK('Data Entry'!W633), "", 'Data Entry'!W633)</f>
      </c>
      <c r="X633">
        <f>IF(ISBLANK('Data Entry'!X633), "", 'Data Entry'!X633)</f>
      </c>
      <c r="Y633">
        <f>IF(ISBLANK('Data Entry'!Y633), "", 'Data Entry'!Y633)</f>
      </c>
      <c r="Z633">
        <f>IF(ISBLANK('Data Entry'!Z633), "", 'Data Entry'!Z633)</f>
      </c>
      <c r="AA633">
        <f>IF(ISBLANK('Data Entry'![633), "", 'Data Entry'![633)</f>
      </c>
      <c r="AB633">
        <f>IF(ISBLANK('Data Entry'!\633), "", 'Data Entry'!\633)</f>
      </c>
      <c r="AC633">
        <f>IF(ISBLANK('Data Entry'!]633), "", 'Data Entry'!]633)</f>
      </c>
      <c r="AD633">
        <f>IF(ISBLANK('Data Entry'!^633), "", 'Data Entry'!^633)</f>
      </c>
      <c r="AE633">
        <f>IF(ISBLANK('Data Entry'!_633), "", 'Data Entry'!_633)</f>
      </c>
      <c r="AF633">
        <f>IF(ISBLANK('Data Entry'!`633), "", 'Data Entry'!`633)</f>
      </c>
      <c r="AG633">
        <f>IF(ISBLANK('Data Entry'!a633), "", 'Data Entry'!a633)</f>
      </c>
      <c r="AH633">
        <f>IF(ISBLANK('Data Entry'!b633), "", 'Data Entry'!b633)</f>
      </c>
      <c r="AI633">
        <f>IF(ISBLANK('Data Entry'!c633), "", 'Data Entry'!c633)</f>
      </c>
      <c r="AJ633">
        <f>IF(ISBLANK('Data Entry'!d633), "", 'Data Entry'!d633)</f>
      </c>
      <c r="AK633">
        <f>IF(ISBLANK('Data Entry'!e633), "", 'Data Entry'!e633)</f>
      </c>
      <c r="AL633">
        <f>IF(ISBLANK('Data Entry'!f633), "", 'Data Entry'!f633)</f>
      </c>
      <c r="AM633">
        <f>IF(ISBLANK('Data Entry'!g633), "", 'Data Entry'!g633)</f>
      </c>
      <c r="AN633">
        <f>IF(ISBLANK('Data Entry'!h633), "", 'Data Entry'!h633)</f>
      </c>
    </row>
    <row r="634" spans="1:40" x14ac:dyDescent="0.25">
      <c r="A634">
        <f>IF(ISBLANK('Data Entry'!A634), "", 'Data Entry'!A634)</f>
      </c>
      <c r="B634">
        <f>IF(ISBLANK('Data Entry'!B634), "", 'Data Entry'!B634)</f>
      </c>
      <c r="C634">
        <f>IF(ISBLANK('Data Entry'!C634), "", 'Data Entry'!C634)</f>
      </c>
      <c r="D634">
        <f>IF(ISBLANK('Data Entry'!D634), "", 'Data Entry'!D634)</f>
      </c>
      <c r="E634">
        <f>IF(ISBLANK('Data Entry'!E634), "", 'Data Entry'!E634)</f>
      </c>
      <c r="F634">
        <f>IF(ISBLANK('Data Entry'!F634), "", 'Data Entry'!F634)</f>
      </c>
      <c r="G634">
        <f>IF(ISBLANK('Data Entry'!G634), "", 'Data Entry'!G634)</f>
      </c>
      <c r="H634">
        <f>IF(ISBLANK('Data Entry'!H634), "", 'Data Entry'!H634)</f>
      </c>
      <c r="I634">
        <f>IF(ISBLANK('Data Entry'!I634), "", 'Data Entry'!I634)</f>
      </c>
      <c r="J634">
        <f>IF(ISBLANK('Data Entry'!J634), "", 'Data Entry'!J634)</f>
      </c>
      <c r="K634">
        <f>IF(ISBLANK('Data Entry'!K634), "", 'Data Entry'!K634)</f>
      </c>
      <c r="L634">
        <f>IF(ISBLANK('Data Entry'!L634), "", 'Data Entry'!L634)</f>
      </c>
      <c r="M634">
        <f>IF(ISBLANK('Data Entry'!M634), "", 'Data Entry'!M634)</f>
      </c>
      <c r="N634">
        <f>IF(ISBLANK('Data Entry'!N634), "", 'Data Entry'!N634)</f>
      </c>
      <c r="O634">
        <f>IF(ISBLANK('Data Entry'!O634), "", 'Data Entry'!O634)</f>
      </c>
      <c r="P634">
        <f>IF(ISBLANK('Data Entry'!P634), "", 'Data Entry'!P634)</f>
      </c>
      <c r="Q634">
        <f>IF(ISBLANK('Data Entry'!Q634), "", 'Data Entry'!Q634)</f>
      </c>
      <c r="R634">
        <f>IF(ISBLANK('Data Entry'!R634), "", 'Data Entry'!R634)</f>
      </c>
      <c r="S634">
        <f>IF(ISBLANK('Data Entry'!S634), "", 'Data Entry'!S634)</f>
      </c>
      <c r="T634">
        <f>IF(ISBLANK('Data Entry'!T634), "", 'Data Entry'!T634)</f>
      </c>
      <c r="U634">
        <f>IF(ISBLANK('Data Entry'!U634), "", 'Data Entry'!U634)</f>
      </c>
      <c r="V634">
        <f>IF(ISBLANK('Data Entry'!V634), "", 'Data Entry'!V634)</f>
      </c>
      <c r="W634">
        <f>IF(ISBLANK('Data Entry'!W634), "", 'Data Entry'!W634)</f>
      </c>
      <c r="X634">
        <f>IF(ISBLANK('Data Entry'!X634), "", 'Data Entry'!X634)</f>
      </c>
      <c r="Y634">
        <f>IF(ISBLANK('Data Entry'!Y634), "", 'Data Entry'!Y634)</f>
      </c>
      <c r="Z634">
        <f>IF(ISBLANK('Data Entry'!Z634), "", 'Data Entry'!Z634)</f>
      </c>
      <c r="AA634">
        <f>IF(ISBLANK('Data Entry'![634), "", 'Data Entry'![634)</f>
      </c>
      <c r="AB634">
        <f>IF(ISBLANK('Data Entry'!\634), "", 'Data Entry'!\634)</f>
      </c>
      <c r="AC634">
        <f>IF(ISBLANK('Data Entry'!]634), "", 'Data Entry'!]634)</f>
      </c>
      <c r="AD634">
        <f>IF(ISBLANK('Data Entry'!^634), "", 'Data Entry'!^634)</f>
      </c>
      <c r="AE634">
        <f>IF(ISBLANK('Data Entry'!_634), "", 'Data Entry'!_634)</f>
      </c>
      <c r="AF634">
        <f>IF(ISBLANK('Data Entry'!`634), "", 'Data Entry'!`634)</f>
      </c>
      <c r="AG634">
        <f>IF(ISBLANK('Data Entry'!a634), "", 'Data Entry'!a634)</f>
      </c>
      <c r="AH634">
        <f>IF(ISBLANK('Data Entry'!b634), "", 'Data Entry'!b634)</f>
      </c>
      <c r="AI634">
        <f>IF(ISBLANK('Data Entry'!c634), "", 'Data Entry'!c634)</f>
      </c>
      <c r="AJ634">
        <f>IF(ISBLANK('Data Entry'!d634), "", 'Data Entry'!d634)</f>
      </c>
      <c r="AK634">
        <f>IF(ISBLANK('Data Entry'!e634), "", 'Data Entry'!e634)</f>
      </c>
      <c r="AL634">
        <f>IF(ISBLANK('Data Entry'!f634), "", 'Data Entry'!f634)</f>
      </c>
      <c r="AM634">
        <f>IF(ISBLANK('Data Entry'!g634), "", 'Data Entry'!g634)</f>
      </c>
      <c r="AN634">
        <f>IF(ISBLANK('Data Entry'!h634), "", 'Data Entry'!h634)</f>
      </c>
    </row>
    <row r="635" spans="1:40" x14ac:dyDescent="0.25">
      <c r="A635">
        <f>IF(ISBLANK('Data Entry'!A635), "", 'Data Entry'!A635)</f>
      </c>
      <c r="B635">
        <f>IF(ISBLANK('Data Entry'!B635), "", 'Data Entry'!B635)</f>
      </c>
      <c r="C635">
        <f>IF(ISBLANK('Data Entry'!C635), "", 'Data Entry'!C635)</f>
      </c>
      <c r="D635">
        <f>IF(ISBLANK('Data Entry'!D635), "", 'Data Entry'!D635)</f>
      </c>
      <c r="E635">
        <f>IF(ISBLANK('Data Entry'!E635), "", 'Data Entry'!E635)</f>
      </c>
      <c r="F635">
        <f>IF(ISBLANK('Data Entry'!F635), "", 'Data Entry'!F635)</f>
      </c>
      <c r="G635">
        <f>IF(ISBLANK('Data Entry'!G635), "", 'Data Entry'!G635)</f>
      </c>
      <c r="H635">
        <f>IF(ISBLANK('Data Entry'!H635), "", 'Data Entry'!H635)</f>
      </c>
      <c r="I635">
        <f>IF(ISBLANK('Data Entry'!I635), "", 'Data Entry'!I635)</f>
      </c>
      <c r="J635">
        <f>IF(ISBLANK('Data Entry'!J635), "", 'Data Entry'!J635)</f>
      </c>
      <c r="K635">
        <f>IF(ISBLANK('Data Entry'!K635), "", 'Data Entry'!K635)</f>
      </c>
      <c r="L635">
        <f>IF(ISBLANK('Data Entry'!L635), "", 'Data Entry'!L635)</f>
      </c>
      <c r="M635">
        <f>IF(ISBLANK('Data Entry'!M635), "", 'Data Entry'!M635)</f>
      </c>
      <c r="N635">
        <f>IF(ISBLANK('Data Entry'!N635), "", 'Data Entry'!N635)</f>
      </c>
      <c r="O635">
        <f>IF(ISBLANK('Data Entry'!O635), "", 'Data Entry'!O635)</f>
      </c>
      <c r="P635">
        <f>IF(ISBLANK('Data Entry'!P635), "", 'Data Entry'!P635)</f>
      </c>
      <c r="Q635">
        <f>IF(ISBLANK('Data Entry'!Q635), "", 'Data Entry'!Q635)</f>
      </c>
      <c r="R635">
        <f>IF(ISBLANK('Data Entry'!R635), "", 'Data Entry'!R635)</f>
      </c>
      <c r="S635">
        <f>IF(ISBLANK('Data Entry'!S635), "", 'Data Entry'!S635)</f>
      </c>
      <c r="T635">
        <f>IF(ISBLANK('Data Entry'!T635), "", 'Data Entry'!T635)</f>
      </c>
      <c r="U635">
        <f>IF(ISBLANK('Data Entry'!U635), "", 'Data Entry'!U635)</f>
      </c>
      <c r="V635">
        <f>IF(ISBLANK('Data Entry'!V635), "", 'Data Entry'!V635)</f>
      </c>
      <c r="W635">
        <f>IF(ISBLANK('Data Entry'!W635), "", 'Data Entry'!W635)</f>
      </c>
      <c r="X635">
        <f>IF(ISBLANK('Data Entry'!X635), "", 'Data Entry'!X635)</f>
      </c>
      <c r="Y635">
        <f>IF(ISBLANK('Data Entry'!Y635), "", 'Data Entry'!Y635)</f>
      </c>
      <c r="Z635">
        <f>IF(ISBLANK('Data Entry'!Z635), "", 'Data Entry'!Z635)</f>
      </c>
      <c r="AA635">
        <f>IF(ISBLANK('Data Entry'![635), "", 'Data Entry'![635)</f>
      </c>
      <c r="AB635">
        <f>IF(ISBLANK('Data Entry'!\635), "", 'Data Entry'!\635)</f>
      </c>
      <c r="AC635">
        <f>IF(ISBLANK('Data Entry'!]635), "", 'Data Entry'!]635)</f>
      </c>
      <c r="AD635">
        <f>IF(ISBLANK('Data Entry'!^635), "", 'Data Entry'!^635)</f>
      </c>
      <c r="AE635">
        <f>IF(ISBLANK('Data Entry'!_635), "", 'Data Entry'!_635)</f>
      </c>
      <c r="AF635">
        <f>IF(ISBLANK('Data Entry'!`635), "", 'Data Entry'!`635)</f>
      </c>
      <c r="AG635">
        <f>IF(ISBLANK('Data Entry'!a635), "", 'Data Entry'!a635)</f>
      </c>
      <c r="AH635">
        <f>IF(ISBLANK('Data Entry'!b635), "", 'Data Entry'!b635)</f>
      </c>
      <c r="AI635">
        <f>IF(ISBLANK('Data Entry'!c635), "", 'Data Entry'!c635)</f>
      </c>
      <c r="AJ635">
        <f>IF(ISBLANK('Data Entry'!d635), "", 'Data Entry'!d635)</f>
      </c>
      <c r="AK635">
        <f>IF(ISBLANK('Data Entry'!e635), "", 'Data Entry'!e635)</f>
      </c>
      <c r="AL635">
        <f>IF(ISBLANK('Data Entry'!f635), "", 'Data Entry'!f635)</f>
      </c>
      <c r="AM635">
        <f>IF(ISBLANK('Data Entry'!g635), "", 'Data Entry'!g635)</f>
      </c>
      <c r="AN635">
        <f>IF(ISBLANK('Data Entry'!h635), "", 'Data Entry'!h635)</f>
      </c>
    </row>
    <row r="636" spans="1:40" x14ac:dyDescent="0.25">
      <c r="A636">
        <f>IF(ISBLANK('Data Entry'!A636), "", 'Data Entry'!A636)</f>
      </c>
      <c r="B636">
        <f>IF(ISBLANK('Data Entry'!B636), "", 'Data Entry'!B636)</f>
      </c>
      <c r="C636">
        <f>IF(ISBLANK('Data Entry'!C636), "", 'Data Entry'!C636)</f>
      </c>
      <c r="D636">
        <f>IF(ISBLANK('Data Entry'!D636), "", 'Data Entry'!D636)</f>
      </c>
      <c r="E636">
        <f>IF(ISBLANK('Data Entry'!E636), "", 'Data Entry'!E636)</f>
      </c>
      <c r="F636">
        <f>IF(ISBLANK('Data Entry'!F636), "", 'Data Entry'!F636)</f>
      </c>
      <c r="G636">
        <f>IF(ISBLANK('Data Entry'!G636), "", 'Data Entry'!G636)</f>
      </c>
      <c r="H636">
        <f>IF(ISBLANK('Data Entry'!H636), "", 'Data Entry'!H636)</f>
      </c>
      <c r="I636">
        <f>IF(ISBLANK('Data Entry'!I636), "", 'Data Entry'!I636)</f>
      </c>
      <c r="J636">
        <f>IF(ISBLANK('Data Entry'!J636), "", 'Data Entry'!J636)</f>
      </c>
      <c r="K636">
        <f>IF(ISBLANK('Data Entry'!K636), "", 'Data Entry'!K636)</f>
      </c>
      <c r="L636">
        <f>IF(ISBLANK('Data Entry'!L636), "", 'Data Entry'!L636)</f>
      </c>
      <c r="M636">
        <f>IF(ISBLANK('Data Entry'!M636), "", 'Data Entry'!M636)</f>
      </c>
      <c r="N636">
        <f>IF(ISBLANK('Data Entry'!N636), "", 'Data Entry'!N636)</f>
      </c>
      <c r="O636">
        <f>IF(ISBLANK('Data Entry'!O636), "", 'Data Entry'!O636)</f>
      </c>
      <c r="P636">
        <f>IF(ISBLANK('Data Entry'!P636), "", 'Data Entry'!P636)</f>
      </c>
      <c r="Q636">
        <f>IF(ISBLANK('Data Entry'!Q636), "", 'Data Entry'!Q636)</f>
      </c>
      <c r="R636">
        <f>IF(ISBLANK('Data Entry'!R636), "", 'Data Entry'!R636)</f>
      </c>
      <c r="S636">
        <f>IF(ISBLANK('Data Entry'!S636), "", 'Data Entry'!S636)</f>
      </c>
      <c r="T636">
        <f>IF(ISBLANK('Data Entry'!T636), "", 'Data Entry'!T636)</f>
      </c>
      <c r="U636">
        <f>IF(ISBLANK('Data Entry'!U636), "", 'Data Entry'!U636)</f>
      </c>
      <c r="V636">
        <f>IF(ISBLANK('Data Entry'!V636), "", 'Data Entry'!V636)</f>
      </c>
      <c r="W636">
        <f>IF(ISBLANK('Data Entry'!W636), "", 'Data Entry'!W636)</f>
      </c>
      <c r="X636">
        <f>IF(ISBLANK('Data Entry'!X636), "", 'Data Entry'!X636)</f>
      </c>
      <c r="Y636">
        <f>IF(ISBLANK('Data Entry'!Y636), "", 'Data Entry'!Y636)</f>
      </c>
      <c r="Z636">
        <f>IF(ISBLANK('Data Entry'!Z636), "", 'Data Entry'!Z636)</f>
      </c>
      <c r="AA636">
        <f>IF(ISBLANK('Data Entry'![636), "", 'Data Entry'![636)</f>
      </c>
      <c r="AB636">
        <f>IF(ISBLANK('Data Entry'!\636), "", 'Data Entry'!\636)</f>
      </c>
      <c r="AC636">
        <f>IF(ISBLANK('Data Entry'!]636), "", 'Data Entry'!]636)</f>
      </c>
      <c r="AD636">
        <f>IF(ISBLANK('Data Entry'!^636), "", 'Data Entry'!^636)</f>
      </c>
      <c r="AE636">
        <f>IF(ISBLANK('Data Entry'!_636), "", 'Data Entry'!_636)</f>
      </c>
      <c r="AF636">
        <f>IF(ISBLANK('Data Entry'!`636), "", 'Data Entry'!`636)</f>
      </c>
      <c r="AG636">
        <f>IF(ISBLANK('Data Entry'!a636), "", 'Data Entry'!a636)</f>
      </c>
      <c r="AH636">
        <f>IF(ISBLANK('Data Entry'!b636), "", 'Data Entry'!b636)</f>
      </c>
      <c r="AI636">
        <f>IF(ISBLANK('Data Entry'!c636), "", 'Data Entry'!c636)</f>
      </c>
      <c r="AJ636">
        <f>IF(ISBLANK('Data Entry'!d636), "", 'Data Entry'!d636)</f>
      </c>
      <c r="AK636">
        <f>IF(ISBLANK('Data Entry'!e636), "", 'Data Entry'!e636)</f>
      </c>
      <c r="AL636">
        <f>IF(ISBLANK('Data Entry'!f636), "", 'Data Entry'!f636)</f>
      </c>
      <c r="AM636">
        <f>IF(ISBLANK('Data Entry'!g636), "", 'Data Entry'!g636)</f>
      </c>
      <c r="AN636">
        <f>IF(ISBLANK('Data Entry'!h636), "", 'Data Entry'!h636)</f>
      </c>
    </row>
    <row r="637" spans="1:40" x14ac:dyDescent="0.25">
      <c r="A637">
        <f>IF(ISBLANK('Data Entry'!A637), "", 'Data Entry'!A637)</f>
      </c>
      <c r="B637">
        <f>IF(ISBLANK('Data Entry'!B637), "", 'Data Entry'!B637)</f>
      </c>
      <c r="C637">
        <f>IF(ISBLANK('Data Entry'!C637), "", 'Data Entry'!C637)</f>
      </c>
      <c r="D637">
        <f>IF(ISBLANK('Data Entry'!D637), "", 'Data Entry'!D637)</f>
      </c>
      <c r="E637">
        <f>IF(ISBLANK('Data Entry'!E637), "", 'Data Entry'!E637)</f>
      </c>
      <c r="F637">
        <f>IF(ISBLANK('Data Entry'!F637), "", 'Data Entry'!F637)</f>
      </c>
      <c r="G637">
        <f>IF(ISBLANK('Data Entry'!G637), "", 'Data Entry'!G637)</f>
      </c>
      <c r="H637">
        <f>IF(ISBLANK('Data Entry'!H637), "", 'Data Entry'!H637)</f>
      </c>
      <c r="I637">
        <f>IF(ISBLANK('Data Entry'!I637), "", 'Data Entry'!I637)</f>
      </c>
      <c r="J637">
        <f>IF(ISBLANK('Data Entry'!J637), "", 'Data Entry'!J637)</f>
      </c>
      <c r="K637">
        <f>IF(ISBLANK('Data Entry'!K637), "", 'Data Entry'!K637)</f>
      </c>
      <c r="L637">
        <f>IF(ISBLANK('Data Entry'!L637), "", 'Data Entry'!L637)</f>
      </c>
      <c r="M637">
        <f>IF(ISBLANK('Data Entry'!M637), "", 'Data Entry'!M637)</f>
      </c>
      <c r="N637">
        <f>IF(ISBLANK('Data Entry'!N637), "", 'Data Entry'!N637)</f>
      </c>
      <c r="O637">
        <f>IF(ISBLANK('Data Entry'!O637), "", 'Data Entry'!O637)</f>
      </c>
      <c r="P637">
        <f>IF(ISBLANK('Data Entry'!P637), "", 'Data Entry'!P637)</f>
      </c>
      <c r="Q637">
        <f>IF(ISBLANK('Data Entry'!Q637), "", 'Data Entry'!Q637)</f>
      </c>
      <c r="R637">
        <f>IF(ISBLANK('Data Entry'!R637), "", 'Data Entry'!R637)</f>
      </c>
      <c r="S637">
        <f>IF(ISBLANK('Data Entry'!S637), "", 'Data Entry'!S637)</f>
      </c>
      <c r="T637">
        <f>IF(ISBLANK('Data Entry'!T637), "", 'Data Entry'!T637)</f>
      </c>
      <c r="U637">
        <f>IF(ISBLANK('Data Entry'!U637), "", 'Data Entry'!U637)</f>
      </c>
      <c r="V637">
        <f>IF(ISBLANK('Data Entry'!V637), "", 'Data Entry'!V637)</f>
      </c>
      <c r="W637">
        <f>IF(ISBLANK('Data Entry'!W637), "", 'Data Entry'!W637)</f>
      </c>
      <c r="X637">
        <f>IF(ISBLANK('Data Entry'!X637), "", 'Data Entry'!X637)</f>
      </c>
      <c r="Y637">
        <f>IF(ISBLANK('Data Entry'!Y637), "", 'Data Entry'!Y637)</f>
      </c>
      <c r="Z637">
        <f>IF(ISBLANK('Data Entry'!Z637), "", 'Data Entry'!Z637)</f>
      </c>
      <c r="AA637">
        <f>IF(ISBLANK('Data Entry'![637), "", 'Data Entry'![637)</f>
      </c>
      <c r="AB637">
        <f>IF(ISBLANK('Data Entry'!\637), "", 'Data Entry'!\637)</f>
      </c>
      <c r="AC637">
        <f>IF(ISBLANK('Data Entry'!]637), "", 'Data Entry'!]637)</f>
      </c>
      <c r="AD637">
        <f>IF(ISBLANK('Data Entry'!^637), "", 'Data Entry'!^637)</f>
      </c>
      <c r="AE637">
        <f>IF(ISBLANK('Data Entry'!_637), "", 'Data Entry'!_637)</f>
      </c>
      <c r="AF637">
        <f>IF(ISBLANK('Data Entry'!`637), "", 'Data Entry'!`637)</f>
      </c>
      <c r="AG637">
        <f>IF(ISBLANK('Data Entry'!a637), "", 'Data Entry'!a637)</f>
      </c>
      <c r="AH637">
        <f>IF(ISBLANK('Data Entry'!b637), "", 'Data Entry'!b637)</f>
      </c>
      <c r="AI637">
        <f>IF(ISBLANK('Data Entry'!c637), "", 'Data Entry'!c637)</f>
      </c>
      <c r="AJ637">
        <f>IF(ISBLANK('Data Entry'!d637), "", 'Data Entry'!d637)</f>
      </c>
      <c r="AK637">
        <f>IF(ISBLANK('Data Entry'!e637), "", 'Data Entry'!e637)</f>
      </c>
      <c r="AL637">
        <f>IF(ISBLANK('Data Entry'!f637), "", 'Data Entry'!f637)</f>
      </c>
      <c r="AM637">
        <f>IF(ISBLANK('Data Entry'!g637), "", 'Data Entry'!g637)</f>
      </c>
      <c r="AN637">
        <f>IF(ISBLANK('Data Entry'!h637), "", 'Data Entry'!h637)</f>
      </c>
    </row>
    <row r="638" spans="1:40" x14ac:dyDescent="0.25">
      <c r="A638">
        <f>IF(ISBLANK('Data Entry'!A638), "", 'Data Entry'!A638)</f>
      </c>
      <c r="B638">
        <f>IF(ISBLANK('Data Entry'!B638), "", 'Data Entry'!B638)</f>
      </c>
      <c r="C638">
        <f>IF(ISBLANK('Data Entry'!C638), "", 'Data Entry'!C638)</f>
      </c>
      <c r="D638">
        <f>IF(ISBLANK('Data Entry'!D638), "", 'Data Entry'!D638)</f>
      </c>
      <c r="E638">
        <f>IF(ISBLANK('Data Entry'!E638), "", 'Data Entry'!E638)</f>
      </c>
      <c r="F638">
        <f>IF(ISBLANK('Data Entry'!F638), "", 'Data Entry'!F638)</f>
      </c>
      <c r="G638">
        <f>IF(ISBLANK('Data Entry'!G638), "", 'Data Entry'!G638)</f>
      </c>
      <c r="H638">
        <f>IF(ISBLANK('Data Entry'!H638), "", 'Data Entry'!H638)</f>
      </c>
      <c r="I638">
        <f>IF(ISBLANK('Data Entry'!I638), "", 'Data Entry'!I638)</f>
      </c>
      <c r="J638">
        <f>IF(ISBLANK('Data Entry'!J638), "", 'Data Entry'!J638)</f>
      </c>
      <c r="K638">
        <f>IF(ISBLANK('Data Entry'!K638), "", 'Data Entry'!K638)</f>
      </c>
      <c r="L638">
        <f>IF(ISBLANK('Data Entry'!L638), "", 'Data Entry'!L638)</f>
      </c>
      <c r="M638">
        <f>IF(ISBLANK('Data Entry'!M638), "", 'Data Entry'!M638)</f>
      </c>
      <c r="N638">
        <f>IF(ISBLANK('Data Entry'!N638), "", 'Data Entry'!N638)</f>
      </c>
      <c r="O638">
        <f>IF(ISBLANK('Data Entry'!O638), "", 'Data Entry'!O638)</f>
      </c>
      <c r="P638">
        <f>IF(ISBLANK('Data Entry'!P638), "", 'Data Entry'!P638)</f>
      </c>
      <c r="Q638">
        <f>IF(ISBLANK('Data Entry'!Q638), "", 'Data Entry'!Q638)</f>
      </c>
      <c r="R638">
        <f>IF(ISBLANK('Data Entry'!R638), "", 'Data Entry'!R638)</f>
      </c>
      <c r="S638">
        <f>IF(ISBLANK('Data Entry'!S638), "", 'Data Entry'!S638)</f>
      </c>
      <c r="T638">
        <f>IF(ISBLANK('Data Entry'!T638), "", 'Data Entry'!T638)</f>
      </c>
      <c r="U638">
        <f>IF(ISBLANK('Data Entry'!U638), "", 'Data Entry'!U638)</f>
      </c>
      <c r="V638">
        <f>IF(ISBLANK('Data Entry'!V638), "", 'Data Entry'!V638)</f>
      </c>
      <c r="W638">
        <f>IF(ISBLANK('Data Entry'!W638), "", 'Data Entry'!W638)</f>
      </c>
      <c r="X638">
        <f>IF(ISBLANK('Data Entry'!X638), "", 'Data Entry'!X638)</f>
      </c>
      <c r="Y638">
        <f>IF(ISBLANK('Data Entry'!Y638), "", 'Data Entry'!Y638)</f>
      </c>
      <c r="Z638">
        <f>IF(ISBLANK('Data Entry'!Z638), "", 'Data Entry'!Z638)</f>
      </c>
      <c r="AA638">
        <f>IF(ISBLANK('Data Entry'![638), "", 'Data Entry'![638)</f>
      </c>
      <c r="AB638">
        <f>IF(ISBLANK('Data Entry'!\638), "", 'Data Entry'!\638)</f>
      </c>
      <c r="AC638">
        <f>IF(ISBLANK('Data Entry'!]638), "", 'Data Entry'!]638)</f>
      </c>
      <c r="AD638">
        <f>IF(ISBLANK('Data Entry'!^638), "", 'Data Entry'!^638)</f>
      </c>
      <c r="AE638">
        <f>IF(ISBLANK('Data Entry'!_638), "", 'Data Entry'!_638)</f>
      </c>
      <c r="AF638">
        <f>IF(ISBLANK('Data Entry'!`638), "", 'Data Entry'!`638)</f>
      </c>
      <c r="AG638">
        <f>IF(ISBLANK('Data Entry'!a638), "", 'Data Entry'!a638)</f>
      </c>
      <c r="AH638">
        <f>IF(ISBLANK('Data Entry'!b638), "", 'Data Entry'!b638)</f>
      </c>
      <c r="AI638">
        <f>IF(ISBLANK('Data Entry'!c638), "", 'Data Entry'!c638)</f>
      </c>
      <c r="AJ638">
        <f>IF(ISBLANK('Data Entry'!d638), "", 'Data Entry'!d638)</f>
      </c>
      <c r="AK638">
        <f>IF(ISBLANK('Data Entry'!e638), "", 'Data Entry'!e638)</f>
      </c>
      <c r="AL638">
        <f>IF(ISBLANK('Data Entry'!f638), "", 'Data Entry'!f638)</f>
      </c>
      <c r="AM638">
        <f>IF(ISBLANK('Data Entry'!g638), "", 'Data Entry'!g638)</f>
      </c>
      <c r="AN638">
        <f>IF(ISBLANK('Data Entry'!h638), "", 'Data Entry'!h638)</f>
      </c>
    </row>
    <row r="639" spans="1:40" x14ac:dyDescent="0.25">
      <c r="A639">
        <f>IF(ISBLANK('Data Entry'!A639), "", 'Data Entry'!A639)</f>
      </c>
      <c r="B639">
        <f>IF(ISBLANK('Data Entry'!B639), "", 'Data Entry'!B639)</f>
      </c>
      <c r="C639">
        <f>IF(ISBLANK('Data Entry'!C639), "", 'Data Entry'!C639)</f>
      </c>
      <c r="D639">
        <f>IF(ISBLANK('Data Entry'!D639), "", 'Data Entry'!D639)</f>
      </c>
      <c r="E639">
        <f>IF(ISBLANK('Data Entry'!E639), "", 'Data Entry'!E639)</f>
      </c>
      <c r="F639">
        <f>IF(ISBLANK('Data Entry'!F639), "", 'Data Entry'!F639)</f>
      </c>
      <c r="G639">
        <f>IF(ISBLANK('Data Entry'!G639), "", 'Data Entry'!G639)</f>
      </c>
      <c r="H639">
        <f>IF(ISBLANK('Data Entry'!H639), "", 'Data Entry'!H639)</f>
      </c>
      <c r="I639">
        <f>IF(ISBLANK('Data Entry'!I639), "", 'Data Entry'!I639)</f>
      </c>
      <c r="J639">
        <f>IF(ISBLANK('Data Entry'!J639), "", 'Data Entry'!J639)</f>
      </c>
      <c r="K639">
        <f>IF(ISBLANK('Data Entry'!K639), "", 'Data Entry'!K639)</f>
      </c>
      <c r="L639">
        <f>IF(ISBLANK('Data Entry'!L639), "", 'Data Entry'!L639)</f>
      </c>
      <c r="M639">
        <f>IF(ISBLANK('Data Entry'!M639), "", 'Data Entry'!M639)</f>
      </c>
      <c r="N639">
        <f>IF(ISBLANK('Data Entry'!N639), "", 'Data Entry'!N639)</f>
      </c>
      <c r="O639">
        <f>IF(ISBLANK('Data Entry'!O639), "", 'Data Entry'!O639)</f>
      </c>
      <c r="P639">
        <f>IF(ISBLANK('Data Entry'!P639), "", 'Data Entry'!P639)</f>
      </c>
      <c r="Q639">
        <f>IF(ISBLANK('Data Entry'!Q639), "", 'Data Entry'!Q639)</f>
      </c>
      <c r="R639">
        <f>IF(ISBLANK('Data Entry'!R639), "", 'Data Entry'!R639)</f>
      </c>
      <c r="S639">
        <f>IF(ISBLANK('Data Entry'!S639), "", 'Data Entry'!S639)</f>
      </c>
      <c r="T639">
        <f>IF(ISBLANK('Data Entry'!T639), "", 'Data Entry'!T639)</f>
      </c>
      <c r="U639">
        <f>IF(ISBLANK('Data Entry'!U639), "", 'Data Entry'!U639)</f>
      </c>
      <c r="V639">
        <f>IF(ISBLANK('Data Entry'!V639), "", 'Data Entry'!V639)</f>
      </c>
      <c r="W639">
        <f>IF(ISBLANK('Data Entry'!W639), "", 'Data Entry'!W639)</f>
      </c>
      <c r="X639">
        <f>IF(ISBLANK('Data Entry'!X639), "", 'Data Entry'!X639)</f>
      </c>
      <c r="Y639">
        <f>IF(ISBLANK('Data Entry'!Y639), "", 'Data Entry'!Y639)</f>
      </c>
      <c r="Z639">
        <f>IF(ISBLANK('Data Entry'!Z639), "", 'Data Entry'!Z639)</f>
      </c>
      <c r="AA639">
        <f>IF(ISBLANK('Data Entry'![639), "", 'Data Entry'![639)</f>
      </c>
      <c r="AB639">
        <f>IF(ISBLANK('Data Entry'!\639), "", 'Data Entry'!\639)</f>
      </c>
      <c r="AC639">
        <f>IF(ISBLANK('Data Entry'!]639), "", 'Data Entry'!]639)</f>
      </c>
      <c r="AD639">
        <f>IF(ISBLANK('Data Entry'!^639), "", 'Data Entry'!^639)</f>
      </c>
      <c r="AE639">
        <f>IF(ISBLANK('Data Entry'!_639), "", 'Data Entry'!_639)</f>
      </c>
      <c r="AF639">
        <f>IF(ISBLANK('Data Entry'!`639), "", 'Data Entry'!`639)</f>
      </c>
      <c r="AG639">
        <f>IF(ISBLANK('Data Entry'!a639), "", 'Data Entry'!a639)</f>
      </c>
      <c r="AH639">
        <f>IF(ISBLANK('Data Entry'!b639), "", 'Data Entry'!b639)</f>
      </c>
      <c r="AI639">
        <f>IF(ISBLANK('Data Entry'!c639), "", 'Data Entry'!c639)</f>
      </c>
      <c r="AJ639">
        <f>IF(ISBLANK('Data Entry'!d639), "", 'Data Entry'!d639)</f>
      </c>
      <c r="AK639">
        <f>IF(ISBLANK('Data Entry'!e639), "", 'Data Entry'!e639)</f>
      </c>
      <c r="AL639">
        <f>IF(ISBLANK('Data Entry'!f639), "", 'Data Entry'!f639)</f>
      </c>
      <c r="AM639">
        <f>IF(ISBLANK('Data Entry'!g639), "", 'Data Entry'!g639)</f>
      </c>
      <c r="AN639">
        <f>IF(ISBLANK('Data Entry'!h639), "", 'Data Entry'!h639)</f>
      </c>
    </row>
    <row r="640" spans="1:40" x14ac:dyDescent="0.25">
      <c r="A640">
        <f>IF(ISBLANK('Data Entry'!A640), "", 'Data Entry'!A640)</f>
      </c>
      <c r="B640">
        <f>IF(ISBLANK('Data Entry'!B640), "", 'Data Entry'!B640)</f>
      </c>
      <c r="C640">
        <f>IF(ISBLANK('Data Entry'!C640), "", 'Data Entry'!C640)</f>
      </c>
      <c r="D640">
        <f>IF(ISBLANK('Data Entry'!D640), "", 'Data Entry'!D640)</f>
      </c>
      <c r="E640">
        <f>IF(ISBLANK('Data Entry'!E640), "", 'Data Entry'!E640)</f>
      </c>
      <c r="F640">
        <f>IF(ISBLANK('Data Entry'!F640), "", 'Data Entry'!F640)</f>
      </c>
      <c r="G640">
        <f>IF(ISBLANK('Data Entry'!G640), "", 'Data Entry'!G640)</f>
      </c>
      <c r="H640">
        <f>IF(ISBLANK('Data Entry'!H640), "", 'Data Entry'!H640)</f>
      </c>
      <c r="I640">
        <f>IF(ISBLANK('Data Entry'!I640), "", 'Data Entry'!I640)</f>
      </c>
      <c r="J640">
        <f>IF(ISBLANK('Data Entry'!J640), "", 'Data Entry'!J640)</f>
      </c>
      <c r="K640">
        <f>IF(ISBLANK('Data Entry'!K640), "", 'Data Entry'!K640)</f>
      </c>
      <c r="L640">
        <f>IF(ISBLANK('Data Entry'!L640), "", 'Data Entry'!L640)</f>
      </c>
      <c r="M640">
        <f>IF(ISBLANK('Data Entry'!M640), "", 'Data Entry'!M640)</f>
      </c>
      <c r="N640">
        <f>IF(ISBLANK('Data Entry'!N640), "", 'Data Entry'!N640)</f>
      </c>
      <c r="O640">
        <f>IF(ISBLANK('Data Entry'!O640), "", 'Data Entry'!O640)</f>
      </c>
      <c r="P640">
        <f>IF(ISBLANK('Data Entry'!P640), "", 'Data Entry'!P640)</f>
      </c>
      <c r="Q640">
        <f>IF(ISBLANK('Data Entry'!Q640), "", 'Data Entry'!Q640)</f>
      </c>
      <c r="R640">
        <f>IF(ISBLANK('Data Entry'!R640), "", 'Data Entry'!R640)</f>
      </c>
      <c r="S640">
        <f>IF(ISBLANK('Data Entry'!S640), "", 'Data Entry'!S640)</f>
      </c>
      <c r="T640">
        <f>IF(ISBLANK('Data Entry'!T640), "", 'Data Entry'!T640)</f>
      </c>
      <c r="U640">
        <f>IF(ISBLANK('Data Entry'!U640), "", 'Data Entry'!U640)</f>
      </c>
      <c r="V640">
        <f>IF(ISBLANK('Data Entry'!V640), "", 'Data Entry'!V640)</f>
      </c>
      <c r="W640">
        <f>IF(ISBLANK('Data Entry'!W640), "", 'Data Entry'!W640)</f>
      </c>
      <c r="X640">
        <f>IF(ISBLANK('Data Entry'!X640), "", 'Data Entry'!X640)</f>
      </c>
      <c r="Y640">
        <f>IF(ISBLANK('Data Entry'!Y640), "", 'Data Entry'!Y640)</f>
      </c>
      <c r="Z640">
        <f>IF(ISBLANK('Data Entry'!Z640), "", 'Data Entry'!Z640)</f>
      </c>
      <c r="AA640">
        <f>IF(ISBLANK('Data Entry'![640), "", 'Data Entry'![640)</f>
      </c>
      <c r="AB640">
        <f>IF(ISBLANK('Data Entry'!\640), "", 'Data Entry'!\640)</f>
      </c>
      <c r="AC640">
        <f>IF(ISBLANK('Data Entry'!]640), "", 'Data Entry'!]640)</f>
      </c>
      <c r="AD640">
        <f>IF(ISBLANK('Data Entry'!^640), "", 'Data Entry'!^640)</f>
      </c>
      <c r="AE640">
        <f>IF(ISBLANK('Data Entry'!_640), "", 'Data Entry'!_640)</f>
      </c>
      <c r="AF640">
        <f>IF(ISBLANK('Data Entry'!`640), "", 'Data Entry'!`640)</f>
      </c>
      <c r="AG640">
        <f>IF(ISBLANK('Data Entry'!a640), "", 'Data Entry'!a640)</f>
      </c>
      <c r="AH640">
        <f>IF(ISBLANK('Data Entry'!b640), "", 'Data Entry'!b640)</f>
      </c>
      <c r="AI640">
        <f>IF(ISBLANK('Data Entry'!c640), "", 'Data Entry'!c640)</f>
      </c>
      <c r="AJ640">
        <f>IF(ISBLANK('Data Entry'!d640), "", 'Data Entry'!d640)</f>
      </c>
      <c r="AK640">
        <f>IF(ISBLANK('Data Entry'!e640), "", 'Data Entry'!e640)</f>
      </c>
      <c r="AL640">
        <f>IF(ISBLANK('Data Entry'!f640), "", 'Data Entry'!f640)</f>
      </c>
      <c r="AM640">
        <f>IF(ISBLANK('Data Entry'!g640), "", 'Data Entry'!g640)</f>
      </c>
      <c r="AN640">
        <f>IF(ISBLANK('Data Entry'!h640), "", 'Data Entry'!h640)</f>
      </c>
    </row>
    <row r="641" spans="1:40" x14ac:dyDescent="0.25">
      <c r="A641">
        <f>IF(ISBLANK('Data Entry'!A641), "", 'Data Entry'!A641)</f>
      </c>
      <c r="B641">
        <f>IF(ISBLANK('Data Entry'!B641), "", 'Data Entry'!B641)</f>
      </c>
      <c r="C641">
        <f>IF(ISBLANK('Data Entry'!C641), "", 'Data Entry'!C641)</f>
      </c>
      <c r="D641">
        <f>IF(ISBLANK('Data Entry'!D641), "", 'Data Entry'!D641)</f>
      </c>
      <c r="E641">
        <f>IF(ISBLANK('Data Entry'!E641), "", 'Data Entry'!E641)</f>
      </c>
      <c r="F641">
        <f>IF(ISBLANK('Data Entry'!F641), "", 'Data Entry'!F641)</f>
      </c>
      <c r="G641">
        <f>IF(ISBLANK('Data Entry'!G641), "", 'Data Entry'!G641)</f>
      </c>
      <c r="H641">
        <f>IF(ISBLANK('Data Entry'!H641), "", 'Data Entry'!H641)</f>
      </c>
      <c r="I641">
        <f>IF(ISBLANK('Data Entry'!I641), "", 'Data Entry'!I641)</f>
      </c>
      <c r="J641">
        <f>IF(ISBLANK('Data Entry'!J641), "", 'Data Entry'!J641)</f>
      </c>
      <c r="K641">
        <f>IF(ISBLANK('Data Entry'!K641), "", 'Data Entry'!K641)</f>
      </c>
      <c r="L641">
        <f>IF(ISBLANK('Data Entry'!L641), "", 'Data Entry'!L641)</f>
      </c>
      <c r="M641">
        <f>IF(ISBLANK('Data Entry'!M641), "", 'Data Entry'!M641)</f>
      </c>
      <c r="N641">
        <f>IF(ISBLANK('Data Entry'!N641), "", 'Data Entry'!N641)</f>
      </c>
      <c r="O641">
        <f>IF(ISBLANK('Data Entry'!O641), "", 'Data Entry'!O641)</f>
      </c>
      <c r="P641">
        <f>IF(ISBLANK('Data Entry'!P641), "", 'Data Entry'!P641)</f>
      </c>
      <c r="Q641">
        <f>IF(ISBLANK('Data Entry'!Q641), "", 'Data Entry'!Q641)</f>
      </c>
      <c r="R641">
        <f>IF(ISBLANK('Data Entry'!R641), "", 'Data Entry'!R641)</f>
      </c>
      <c r="S641">
        <f>IF(ISBLANK('Data Entry'!S641), "", 'Data Entry'!S641)</f>
      </c>
      <c r="T641">
        <f>IF(ISBLANK('Data Entry'!T641), "", 'Data Entry'!T641)</f>
      </c>
      <c r="U641">
        <f>IF(ISBLANK('Data Entry'!U641), "", 'Data Entry'!U641)</f>
      </c>
      <c r="V641">
        <f>IF(ISBLANK('Data Entry'!V641), "", 'Data Entry'!V641)</f>
      </c>
      <c r="W641">
        <f>IF(ISBLANK('Data Entry'!W641), "", 'Data Entry'!W641)</f>
      </c>
      <c r="X641">
        <f>IF(ISBLANK('Data Entry'!X641), "", 'Data Entry'!X641)</f>
      </c>
      <c r="Y641">
        <f>IF(ISBLANK('Data Entry'!Y641), "", 'Data Entry'!Y641)</f>
      </c>
      <c r="Z641">
        <f>IF(ISBLANK('Data Entry'!Z641), "", 'Data Entry'!Z641)</f>
      </c>
      <c r="AA641">
        <f>IF(ISBLANK('Data Entry'![641), "", 'Data Entry'![641)</f>
      </c>
      <c r="AB641">
        <f>IF(ISBLANK('Data Entry'!\641), "", 'Data Entry'!\641)</f>
      </c>
      <c r="AC641">
        <f>IF(ISBLANK('Data Entry'!]641), "", 'Data Entry'!]641)</f>
      </c>
      <c r="AD641">
        <f>IF(ISBLANK('Data Entry'!^641), "", 'Data Entry'!^641)</f>
      </c>
      <c r="AE641">
        <f>IF(ISBLANK('Data Entry'!_641), "", 'Data Entry'!_641)</f>
      </c>
      <c r="AF641">
        <f>IF(ISBLANK('Data Entry'!`641), "", 'Data Entry'!`641)</f>
      </c>
      <c r="AG641">
        <f>IF(ISBLANK('Data Entry'!a641), "", 'Data Entry'!a641)</f>
      </c>
      <c r="AH641">
        <f>IF(ISBLANK('Data Entry'!b641), "", 'Data Entry'!b641)</f>
      </c>
      <c r="AI641">
        <f>IF(ISBLANK('Data Entry'!c641), "", 'Data Entry'!c641)</f>
      </c>
      <c r="AJ641">
        <f>IF(ISBLANK('Data Entry'!d641), "", 'Data Entry'!d641)</f>
      </c>
      <c r="AK641">
        <f>IF(ISBLANK('Data Entry'!e641), "", 'Data Entry'!e641)</f>
      </c>
      <c r="AL641">
        <f>IF(ISBLANK('Data Entry'!f641), "", 'Data Entry'!f641)</f>
      </c>
      <c r="AM641">
        <f>IF(ISBLANK('Data Entry'!g641), "", 'Data Entry'!g641)</f>
      </c>
      <c r="AN641">
        <f>IF(ISBLANK('Data Entry'!h641), "", 'Data Entry'!h641)</f>
      </c>
    </row>
    <row r="642" spans="1:40" x14ac:dyDescent="0.25">
      <c r="A642">
        <f>IF(ISBLANK('Data Entry'!A642), "", 'Data Entry'!A642)</f>
      </c>
      <c r="B642">
        <f>IF(ISBLANK('Data Entry'!B642), "", 'Data Entry'!B642)</f>
      </c>
      <c r="C642">
        <f>IF(ISBLANK('Data Entry'!C642), "", 'Data Entry'!C642)</f>
      </c>
      <c r="D642">
        <f>IF(ISBLANK('Data Entry'!D642), "", 'Data Entry'!D642)</f>
      </c>
      <c r="E642">
        <f>IF(ISBLANK('Data Entry'!E642), "", 'Data Entry'!E642)</f>
      </c>
      <c r="F642">
        <f>IF(ISBLANK('Data Entry'!F642), "", 'Data Entry'!F642)</f>
      </c>
      <c r="G642">
        <f>IF(ISBLANK('Data Entry'!G642), "", 'Data Entry'!G642)</f>
      </c>
      <c r="H642">
        <f>IF(ISBLANK('Data Entry'!H642), "", 'Data Entry'!H642)</f>
      </c>
      <c r="I642">
        <f>IF(ISBLANK('Data Entry'!I642), "", 'Data Entry'!I642)</f>
      </c>
      <c r="J642">
        <f>IF(ISBLANK('Data Entry'!J642), "", 'Data Entry'!J642)</f>
      </c>
      <c r="K642">
        <f>IF(ISBLANK('Data Entry'!K642), "", 'Data Entry'!K642)</f>
      </c>
      <c r="L642">
        <f>IF(ISBLANK('Data Entry'!L642), "", 'Data Entry'!L642)</f>
      </c>
      <c r="M642">
        <f>IF(ISBLANK('Data Entry'!M642), "", 'Data Entry'!M642)</f>
      </c>
      <c r="N642">
        <f>IF(ISBLANK('Data Entry'!N642), "", 'Data Entry'!N642)</f>
      </c>
      <c r="O642">
        <f>IF(ISBLANK('Data Entry'!O642), "", 'Data Entry'!O642)</f>
      </c>
      <c r="P642">
        <f>IF(ISBLANK('Data Entry'!P642), "", 'Data Entry'!P642)</f>
      </c>
      <c r="Q642">
        <f>IF(ISBLANK('Data Entry'!Q642), "", 'Data Entry'!Q642)</f>
      </c>
      <c r="R642">
        <f>IF(ISBLANK('Data Entry'!R642), "", 'Data Entry'!R642)</f>
      </c>
      <c r="S642">
        <f>IF(ISBLANK('Data Entry'!S642), "", 'Data Entry'!S642)</f>
      </c>
      <c r="T642">
        <f>IF(ISBLANK('Data Entry'!T642), "", 'Data Entry'!T642)</f>
      </c>
      <c r="U642">
        <f>IF(ISBLANK('Data Entry'!U642), "", 'Data Entry'!U642)</f>
      </c>
      <c r="V642">
        <f>IF(ISBLANK('Data Entry'!V642), "", 'Data Entry'!V642)</f>
      </c>
      <c r="W642">
        <f>IF(ISBLANK('Data Entry'!W642), "", 'Data Entry'!W642)</f>
      </c>
      <c r="X642">
        <f>IF(ISBLANK('Data Entry'!X642), "", 'Data Entry'!X642)</f>
      </c>
      <c r="Y642">
        <f>IF(ISBLANK('Data Entry'!Y642), "", 'Data Entry'!Y642)</f>
      </c>
      <c r="Z642">
        <f>IF(ISBLANK('Data Entry'!Z642), "", 'Data Entry'!Z642)</f>
      </c>
      <c r="AA642">
        <f>IF(ISBLANK('Data Entry'![642), "", 'Data Entry'![642)</f>
      </c>
      <c r="AB642">
        <f>IF(ISBLANK('Data Entry'!\642), "", 'Data Entry'!\642)</f>
      </c>
      <c r="AC642">
        <f>IF(ISBLANK('Data Entry'!]642), "", 'Data Entry'!]642)</f>
      </c>
      <c r="AD642">
        <f>IF(ISBLANK('Data Entry'!^642), "", 'Data Entry'!^642)</f>
      </c>
      <c r="AE642">
        <f>IF(ISBLANK('Data Entry'!_642), "", 'Data Entry'!_642)</f>
      </c>
      <c r="AF642">
        <f>IF(ISBLANK('Data Entry'!`642), "", 'Data Entry'!`642)</f>
      </c>
      <c r="AG642">
        <f>IF(ISBLANK('Data Entry'!a642), "", 'Data Entry'!a642)</f>
      </c>
      <c r="AH642">
        <f>IF(ISBLANK('Data Entry'!b642), "", 'Data Entry'!b642)</f>
      </c>
      <c r="AI642">
        <f>IF(ISBLANK('Data Entry'!c642), "", 'Data Entry'!c642)</f>
      </c>
      <c r="AJ642">
        <f>IF(ISBLANK('Data Entry'!d642), "", 'Data Entry'!d642)</f>
      </c>
      <c r="AK642">
        <f>IF(ISBLANK('Data Entry'!e642), "", 'Data Entry'!e642)</f>
      </c>
      <c r="AL642">
        <f>IF(ISBLANK('Data Entry'!f642), "", 'Data Entry'!f642)</f>
      </c>
      <c r="AM642">
        <f>IF(ISBLANK('Data Entry'!g642), "", 'Data Entry'!g642)</f>
      </c>
      <c r="AN642">
        <f>IF(ISBLANK('Data Entry'!h642), "", 'Data Entry'!h642)</f>
      </c>
    </row>
    <row r="643" spans="1:40" x14ac:dyDescent="0.25">
      <c r="A643">
        <f>IF(ISBLANK('Data Entry'!A643), "", 'Data Entry'!A643)</f>
      </c>
      <c r="B643">
        <f>IF(ISBLANK('Data Entry'!B643), "", 'Data Entry'!B643)</f>
      </c>
      <c r="C643">
        <f>IF(ISBLANK('Data Entry'!C643), "", 'Data Entry'!C643)</f>
      </c>
      <c r="D643">
        <f>IF(ISBLANK('Data Entry'!D643), "", 'Data Entry'!D643)</f>
      </c>
      <c r="E643">
        <f>IF(ISBLANK('Data Entry'!E643), "", 'Data Entry'!E643)</f>
      </c>
      <c r="F643">
        <f>IF(ISBLANK('Data Entry'!F643), "", 'Data Entry'!F643)</f>
      </c>
      <c r="G643">
        <f>IF(ISBLANK('Data Entry'!G643), "", 'Data Entry'!G643)</f>
      </c>
      <c r="H643">
        <f>IF(ISBLANK('Data Entry'!H643), "", 'Data Entry'!H643)</f>
      </c>
      <c r="I643">
        <f>IF(ISBLANK('Data Entry'!I643), "", 'Data Entry'!I643)</f>
      </c>
      <c r="J643">
        <f>IF(ISBLANK('Data Entry'!J643), "", 'Data Entry'!J643)</f>
      </c>
      <c r="K643">
        <f>IF(ISBLANK('Data Entry'!K643), "", 'Data Entry'!K643)</f>
      </c>
      <c r="L643">
        <f>IF(ISBLANK('Data Entry'!L643), "", 'Data Entry'!L643)</f>
      </c>
      <c r="M643">
        <f>IF(ISBLANK('Data Entry'!M643), "", 'Data Entry'!M643)</f>
      </c>
      <c r="N643">
        <f>IF(ISBLANK('Data Entry'!N643), "", 'Data Entry'!N643)</f>
      </c>
      <c r="O643">
        <f>IF(ISBLANK('Data Entry'!O643), "", 'Data Entry'!O643)</f>
      </c>
      <c r="P643">
        <f>IF(ISBLANK('Data Entry'!P643), "", 'Data Entry'!P643)</f>
      </c>
      <c r="Q643">
        <f>IF(ISBLANK('Data Entry'!Q643), "", 'Data Entry'!Q643)</f>
      </c>
      <c r="R643">
        <f>IF(ISBLANK('Data Entry'!R643), "", 'Data Entry'!R643)</f>
      </c>
      <c r="S643">
        <f>IF(ISBLANK('Data Entry'!S643), "", 'Data Entry'!S643)</f>
      </c>
      <c r="T643">
        <f>IF(ISBLANK('Data Entry'!T643), "", 'Data Entry'!T643)</f>
      </c>
      <c r="U643">
        <f>IF(ISBLANK('Data Entry'!U643), "", 'Data Entry'!U643)</f>
      </c>
      <c r="V643">
        <f>IF(ISBLANK('Data Entry'!V643), "", 'Data Entry'!V643)</f>
      </c>
      <c r="W643">
        <f>IF(ISBLANK('Data Entry'!W643), "", 'Data Entry'!W643)</f>
      </c>
      <c r="X643">
        <f>IF(ISBLANK('Data Entry'!X643), "", 'Data Entry'!X643)</f>
      </c>
      <c r="Y643">
        <f>IF(ISBLANK('Data Entry'!Y643), "", 'Data Entry'!Y643)</f>
      </c>
      <c r="Z643">
        <f>IF(ISBLANK('Data Entry'!Z643), "", 'Data Entry'!Z643)</f>
      </c>
      <c r="AA643">
        <f>IF(ISBLANK('Data Entry'![643), "", 'Data Entry'![643)</f>
      </c>
      <c r="AB643">
        <f>IF(ISBLANK('Data Entry'!\643), "", 'Data Entry'!\643)</f>
      </c>
      <c r="AC643">
        <f>IF(ISBLANK('Data Entry'!]643), "", 'Data Entry'!]643)</f>
      </c>
      <c r="AD643">
        <f>IF(ISBLANK('Data Entry'!^643), "", 'Data Entry'!^643)</f>
      </c>
      <c r="AE643">
        <f>IF(ISBLANK('Data Entry'!_643), "", 'Data Entry'!_643)</f>
      </c>
      <c r="AF643">
        <f>IF(ISBLANK('Data Entry'!`643), "", 'Data Entry'!`643)</f>
      </c>
      <c r="AG643">
        <f>IF(ISBLANK('Data Entry'!a643), "", 'Data Entry'!a643)</f>
      </c>
      <c r="AH643">
        <f>IF(ISBLANK('Data Entry'!b643), "", 'Data Entry'!b643)</f>
      </c>
      <c r="AI643">
        <f>IF(ISBLANK('Data Entry'!c643), "", 'Data Entry'!c643)</f>
      </c>
      <c r="AJ643">
        <f>IF(ISBLANK('Data Entry'!d643), "", 'Data Entry'!d643)</f>
      </c>
      <c r="AK643">
        <f>IF(ISBLANK('Data Entry'!e643), "", 'Data Entry'!e643)</f>
      </c>
      <c r="AL643">
        <f>IF(ISBLANK('Data Entry'!f643), "", 'Data Entry'!f643)</f>
      </c>
      <c r="AM643">
        <f>IF(ISBLANK('Data Entry'!g643), "", 'Data Entry'!g643)</f>
      </c>
      <c r="AN643">
        <f>IF(ISBLANK('Data Entry'!h643), "", 'Data Entry'!h643)</f>
      </c>
    </row>
    <row r="644" spans="1:40" x14ac:dyDescent="0.25">
      <c r="A644">
        <f>IF(ISBLANK('Data Entry'!A644), "", 'Data Entry'!A644)</f>
      </c>
      <c r="B644">
        <f>IF(ISBLANK('Data Entry'!B644), "", 'Data Entry'!B644)</f>
      </c>
      <c r="C644">
        <f>IF(ISBLANK('Data Entry'!C644), "", 'Data Entry'!C644)</f>
      </c>
      <c r="D644">
        <f>IF(ISBLANK('Data Entry'!D644), "", 'Data Entry'!D644)</f>
      </c>
      <c r="E644">
        <f>IF(ISBLANK('Data Entry'!E644), "", 'Data Entry'!E644)</f>
      </c>
      <c r="F644">
        <f>IF(ISBLANK('Data Entry'!F644), "", 'Data Entry'!F644)</f>
      </c>
      <c r="G644">
        <f>IF(ISBLANK('Data Entry'!G644), "", 'Data Entry'!G644)</f>
      </c>
      <c r="H644">
        <f>IF(ISBLANK('Data Entry'!H644), "", 'Data Entry'!H644)</f>
      </c>
      <c r="I644">
        <f>IF(ISBLANK('Data Entry'!I644), "", 'Data Entry'!I644)</f>
      </c>
      <c r="J644">
        <f>IF(ISBLANK('Data Entry'!J644), "", 'Data Entry'!J644)</f>
      </c>
      <c r="K644">
        <f>IF(ISBLANK('Data Entry'!K644), "", 'Data Entry'!K644)</f>
      </c>
      <c r="L644">
        <f>IF(ISBLANK('Data Entry'!L644), "", 'Data Entry'!L644)</f>
      </c>
      <c r="M644">
        <f>IF(ISBLANK('Data Entry'!M644), "", 'Data Entry'!M644)</f>
      </c>
      <c r="N644">
        <f>IF(ISBLANK('Data Entry'!N644), "", 'Data Entry'!N644)</f>
      </c>
      <c r="O644">
        <f>IF(ISBLANK('Data Entry'!O644), "", 'Data Entry'!O644)</f>
      </c>
      <c r="P644">
        <f>IF(ISBLANK('Data Entry'!P644), "", 'Data Entry'!P644)</f>
      </c>
      <c r="Q644">
        <f>IF(ISBLANK('Data Entry'!Q644), "", 'Data Entry'!Q644)</f>
      </c>
      <c r="R644">
        <f>IF(ISBLANK('Data Entry'!R644), "", 'Data Entry'!R644)</f>
      </c>
      <c r="S644">
        <f>IF(ISBLANK('Data Entry'!S644), "", 'Data Entry'!S644)</f>
      </c>
      <c r="T644">
        <f>IF(ISBLANK('Data Entry'!T644), "", 'Data Entry'!T644)</f>
      </c>
      <c r="U644">
        <f>IF(ISBLANK('Data Entry'!U644), "", 'Data Entry'!U644)</f>
      </c>
      <c r="V644">
        <f>IF(ISBLANK('Data Entry'!V644), "", 'Data Entry'!V644)</f>
      </c>
      <c r="W644">
        <f>IF(ISBLANK('Data Entry'!W644), "", 'Data Entry'!W644)</f>
      </c>
      <c r="X644">
        <f>IF(ISBLANK('Data Entry'!X644), "", 'Data Entry'!X644)</f>
      </c>
      <c r="Y644">
        <f>IF(ISBLANK('Data Entry'!Y644), "", 'Data Entry'!Y644)</f>
      </c>
      <c r="Z644">
        <f>IF(ISBLANK('Data Entry'!Z644), "", 'Data Entry'!Z644)</f>
      </c>
      <c r="AA644">
        <f>IF(ISBLANK('Data Entry'![644), "", 'Data Entry'![644)</f>
      </c>
      <c r="AB644">
        <f>IF(ISBLANK('Data Entry'!\644), "", 'Data Entry'!\644)</f>
      </c>
      <c r="AC644">
        <f>IF(ISBLANK('Data Entry'!]644), "", 'Data Entry'!]644)</f>
      </c>
      <c r="AD644">
        <f>IF(ISBLANK('Data Entry'!^644), "", 'Data Entry'!^644)</f>
      </c>
      <c r="AE644">
        <f>IF(ISBLANK('Data Entry'!_644), "", 'Data Entry'!_644)</f>
      </c>
      <c r="AF644">
        <f>IF(ISBLANK('Data Entry'!`644), "", 'Data Entry'!`644)</f>
      </c>
      <c r="AG644">
        <f>IF(ISBLANK('Data Entry'!a644), "", 'Data Entry'!a644)</f>
      </c>
      <c r="AH644">
        <f>IF(ISBLANK('Data Entry'!b644), "", 'Data Entry'!b644)</f>
      </c>
      <c r="AI644">
        <f>IF(ISBLANK('Data Entry'!c644), "", 'Data Entry'!c644)</f>
      </c>
      <c r="AJ644">
        <f>IF(ISBLANK('Data Entry'!d644), "", 'Data Entry'!d644)</f>
      </c>
      <c r="AK644">
        <f>IF(ISBLANK('Data Entry'!e644), "", 'Data Entry'!e644)</f>
      </c>
      <c r="AL644">
        <f>IF(ISBLANK('Data Entry'!f644), "", 'Data Entry'!f644)</f>
      </c>
      <c r="AM644">
        <f>IF(ISBLANK('Data Entry'!g644), "", 'Data Entry'!g644)</f>
      </c>
      <c r="AN644">
        <f>IF(ISBLANK('Data Entry'!h644), "", 'Data Entry'!h644)</f>
      </c>
    </row>
    <row r="645" spans="1:40" x14ac:dyDescent="0.25">
      <c r="A645">
        <f>IF(ISBLANK('Data Entry'!A645), "", 'Data Entry'!A645)</f>
      </c>
      <c r="B645">
        <f>IF(ISBLANK('Data Entry'!B645), "", 'Data Entry'!B645)</f>
      </c>
      <c r="C645">
        <f>IF(ISBLANK('Data Entry'!C645), "", 'Data Entry'!C645)</f>
      </c>
      <c r="D645">
        <f>IF(ISBLANK('Data Entry'!D645), "", 'Data Entry'!D645)</f>
      </c>
      <c r="E645">
        <f>IF(ISBLANK('Data Entry'!E645), "", 'Data Entry'!E645)</f>
      </c>
      <c r="F645">
        <f>IF(ISBLANK('Data Entry'!F645), "", 'Data Entry'!F645)</f>
      </c>
      <c r="G645">
        <f>IF(ISBLANK('Data Entry'!G645), "", 'Data Entry'!G645)</f>
      </c>
      <c r="H645">
        <f>IF(ISBLANK('Data Entry'!H645), "", 'Data Entry'!H645)</f>
      </c>
      <c r="I645">
        <f>IF(ISBLANK('Data Entry'!I645), "", 'Data Entry'!I645)</f>
      </c>
      <c r="J645">
        <f>IF(ISBLANK('Data Entry'!J645), "", 'Data Entry'!J645)</f>
      </c>
      <c r="K645">
        <f>IF(ISBLANK('Data Entry'!K645), "", 'Data Entry'!K645)</f>
      </c>
      <c r="L645">
        <f>IF(ISBLANK('Data Entry'!L645), "", 'Data Entry'!L645)</f>
      </c>
      <c r="M645">
        <f>IF(ISBLANK('Data Entry'!M645), "", 'Data Entry'!M645)</f>
      </c>
      <c r="N645">
        <f>IF(ISBLANK('Data Entry'!N645), "", 'Data Entry'!N645)</f>
      </c>
      <c r="O645">
        <f>IF(ISBLANK('Data Entry'!O645), "", 'Data Entry'!O645)</f>
      </c>
      <c r="P645">
        <f>IF(ISBLANK('Data Entry'!P645), "", 'Data Entry'!P645)</f>
      </c>
      <c r="Q645">
        <f>IF(ISBLANK('Data Entry'!Q645), "", 'Data Entry'!Q645)</f>
      </c>
      <c r="R645">
        <f>IF(ISBLANK('Data Entry'!R645), "", 'Data Entry'!R645)</f>
      </c>
      <c r="S645">
        <f>IF(ISBLANK('Data Entry'!S645), "", 'Data Entry'!S645)</f>
      </c>
      <c r="T645">
        <f>IF(ISBLANK('Data Entry'!T645), "", 'Data Entry'!T645)</f>
      </c>
      <c r="U645">
        <f>IF(ISBLANK('Data Entry'!U645), "", 'Data Entry'!U645)</f>
      </c>
      <c r="V645">
        <f>IF(ISBLANK('Data Entry'!V645), "", 'Data Entry'!V645)</f>
      </c>
      <c r="W645">
        <f>IF(ISBLANK('Data Entry'!W645), "", 'Data Entry'!W645)</f>
      </c>
      <c r="X645">
        <f>IF(ISBLANK('Data Entry'!X645), "", 'Data Entry'!X645)</f>
      </c>
      <c r="Y645">
        <f>IF(ISBLANK('Data Entry'!Y645), "", 'Data Entry'!Y645)</f>
      </c>
      <c r="Z645">
        <f>IF(ISBLANK('Data Entry'!Z645), "", 'Data Entry'!Z645)</f>
      </c>
      <c r="AA645">
        <f>IF(ISBLANK('Data Entry'![645), "", 'Data Entry'![645)</f>
      </c>
      <c r="AB645">
        <f>IF(ISBLANK('Data Entry'!\645), "", 'Data Entry'!\645)</f>
      </c>
      <c r="AC645">
        <f>IF(ISBLANK('Data Entry'!]645), "", 'Data Entry'!]645)</f>
      </c>
      <c r="AD645">
        <f>IF(ISBLANK('Data Entry'!^645), "", 'Data Entry'!^645)</f>
      </c>
      <c r="AE645">
        <f>IF(ISBLANK('Data Entry'!_645), "", 'Data Entry'!_645)</f>
      </c>
      <c r="AF645">
        <f>IF(ISBLANK('Data Entry'!`645), "", 'Data Entry'!`645)</f>
      </c>
      <c r="AG645">
        <f>IF(ISBLANK('Data Entry'!a645), "", 'Data Entry'!a645)</f>
      </c>
      <c r="AH645">
        <f>IF(ISBLANK('Data Entry'!b645), "", 'Data Entry'!b645)</f>
      </c>
      <c r="AI645">
        <f>IF(ISBLANK('Data Entry'!c645), "", 'Data Entry'!c645)</f>
      </c>
      <c r="AJ645">
        <f>IF(ISBLANK('Data Entry'!d645), "", 'Data Entry'!d645)</f>
      </c>
      <c r="AK645">
        <f>IF(ISBLANK('Data Entry'!e645), "", 'Data Entry'!e645)</f>
      </c>
      <c r="AL645">
        <f>IF(ISBLANK('Data Entry'!f645), "", 'Data Entry'!f645)</f>
      </c>
      <c r="AM645">
        <f>IF(ISBLANK('Data Entry'!g645), "", 'Data Entry'!g645)</f>
      </c>
      <c r="AN645">
        <f>IF(ISBLANK('Data Entry'!h645), "", 'Data Entry'!h645)</f>
      </c>
    </row>
    <row r="646" spans="1:40" x14ac:dyDescent="0.25">
      <c r="A646">
        <f>IF(ISBLANK('Data Entry'!A646), "", 'Data Entry'!A646)</f>
      </c>
      <c r="B646">
        <f>IF(ISBLANK('Data Entry'!B646), "", 'Data Entry'!B646)</f>
      </c>
      <c r="C646">
        <f>IF(ISBLANK('Data Entry'!C646), "", 'Data Entry'!C646)</f>
      </c>
      <c r="D646">
        <f>IF(ISBLANK('Data Entry'!D646), "", 'Data Entry'!D646)</f>
      </c>
      <c r="E646">
        <f>IF(ISBLANK('Data Entry'!E646), "", 'Data Entry'!E646)</f>
      </c>
      <c r="F646">
        <f>IF(ISBLANK('Data Entry'!F646), "", 'Data Entry'!F646)</f>
      </c>
      <c r="G646">
        <f>IF(ISBLANK('Data Entry'!G646), "", 'Data Entry'!G646)</f>
      </c>
      <c r="H646">
        <f>IF(ISBLANK('Data Entry'!H646), "", 'Data Entry'!H646)</f>
      </c>
      <c r="I646">
        <f>IF(ISBLANK('Data Entry'!I646), "", 'Data Entry'!I646)</f>
      </c>
      <c r="J646">
        <f>IF(ISBLANK('Data Entry'!J646), "", 'Data Entry'!J646)</f>
      </c>
      <c r="K646">
        <f>IF(ISBLANK('Data Entry'!K646), "", 'Data Entry'!K646)</f>
      </c>
      <c r="L646">
        <f>IF(ISBLANK('Data Entry'!L646), "", 'Data Entry'!L646)</f>
      </c>
      <c r="M646">
        <f>IF(ISBLANK('Data Entry'!M646), "", 'Data Entry'!M646)</f>
      </c>
      <c r="N646">
        <f>IF(ISBLANK('Data Entry'!N646), "", 'Data Entry'!N646)</f>
      </c>
      <c r="O646">
        <f>IF(ISBLANK('Data Entry'!O646), "", 'Data Entry'!O646)</f>
      </c>
      <c r="P646">
        <f>IF(ISBLANK('Data Entry'!P646), "", 'Data Entry'!P646)</f>
      </c>
      <c r="Q646">
        <f>IF(ISBLANK('Data Entry'!Q646), "", 'Data Entry'!Q646)</f>
      </c>
      <c r="R646">
        <f>IF(ISBLANK('Data Entry'!R646), "", 'Data Entry'!R646)</f>
      </c>
      <c r="S646">
        <f>IF(ISBLANK('Data Entry'!S646), "", 'Data Entry'!S646)</f>
      </c>
      <c r="T646">
        <f>IF(ISBLANK('Data Entry'!T646), "", 'Data Entry'!T646)</f>
      </c>
      <c r="U646">
        <f>IF(ISBLANK('Data Entry'!U646), "", 'Data Entry'!U646)</f>
      </c>
      <c r="V646">
        <f>IF(ISBLANK('Data Entry'!V646), "", 'Data Entry'!V646)</f>
      </c>
      <c r="W646">
        <f>IF(ISBLANK('Data Entry'!W646), "", 'Data Entry'!W646)</f>
      </c>
      <c r="X646">
        <f>IF(ISBLANK('Data Entry'!X646), "", 'Data Entry'!X646)</f>
      </c>
      <c r="Y646">
        <f>IF(ISBLANK('Data Entry'!Y646), "", 'Data Entry'!Y646)</f>
      </c>
      <c r="Z646">
        <f>IF(ISBLANK('Data Entry'!Z646), "", 'Data Entry'!Z646)</f>
      </c>
      <c r="AA646">
        <f>IF(ISBLANK('Data Entry'![646), "", 'Data Entry'![646)</f>
      </c>
      <c r="AB646">
        <f>IF(ISBLANK('Data Entry'!\646), "", 'Data Entry'!\646)</f>
      </c>
      <c r="AC646">
        <f>IF(ISBLANK('Data Entry'!]646), "", 'Data Entry'!]646)</f>
      </c>
      <c r="AD646">
        <f>IF(ISBLANK('Data Entry'!^646), "", 'Data Entry'!^646)</f>
      </c>
      <c r="AE646">
        <f>IF(ISBLANK('Data Entry'!_646), "", 'Data Entry'!_646)</f>
      </c>
      <c r="AF646">
        <f>IF(ISBLANK('Data Entry'!`646), "", 'Data Entry'!`646)</f>
      </c>
      <c r="AG646">
        <f>IF(ISBLANK('Data Entry'!a646), "", 'Data Entry'!a646)</f>
      </c>
      <c r="AH646">
        <f>IF(ISBLANK('Data Entry'!b646), "", 'Data Entry'!b646)</f>
      </c>
      <c r="AI646">
        <f>IF(ISBLANK('Data Entry'!c646), "", 'Data Entry'!c646)</f>
      </c>
      <c r="AJ646">
        <f>IF(ISBLANK('Data Entry'!d646), "", 'Data Entry'!d646)</f>
      </c>
      <c r="AK646">
        <f>IF(ISBLANK('Data Entry'!e646), "", 'Data Entry'!e646)</f>
      </c>
      <c r="AL646">
        <f>IF(ISBLANK('Data Entry'!f646), "", 'Data Entry'!f646)</f>
      </c>
      <c r="AM646">
        <f>IF(ISBLANK('Data Entry'!g646), "", 'Data Entry'!g646)</f>
      </c>
      <c r="AN646">
        <f>IF(ISBLANK('Data Entry'!h646), "", 'Data Entry'!h646)</f>
      </c>
    </row>
    <row r="647" spans="1:40" x14ac:dyDescent="0.25">
      <c r="A647">
        <f>IF(ISBLANK('Data Entry'!A647), "", 'Data Entry'!A647)</f>
      </c>
      <c r="B647">
        <f>IF(ISBLANK('Data Entry'!B647), "", 'Data Entry'!B647)</f>
      </c>
      <c r="C647">
        <f>IF(ISBLANK('Data Entry'!C647), "", 'Data Entry'!C647)</f>
      </c>
      <c r="D647">
        <f>IF(ISBLANK('Data Entry'!D647), "", 'Data Entry'!D647)</f>
      </c>
      <c r="E647">
        <f>IF(ISBLANK('Data Entry'!E647), "", 'Data Entry'!E647)</f>
      </c>
      <c r="F647">
        <f>IF(ISBLANK('Data Entry'!F647), "", 'Data Entry'!F647)</f>
      </c>
      <c r="G647">
        <f>IF(ISBLANK('Data Entry'!G647), "", 'Data Entry'!G647)</f>
      </c>
      <c r="H647">
        <f>IF(ISBLANK('Data Entry'!H647), "", 'Data Entry'!H647)</f>
      </c>
      <c r="I647">
        <f>IF(ISBLANK('Data Entry'!I647), "", 'Data Entry'!I647)</f>
      </c>
      <c r="J647">
        <f>IF(ISBLANK('Data Entry'!J647), "", 'Data Entry'!J647)</f>
      </c>
      <c r="K647">
        <f>IF(ISBLANK('Data Entry'!K647), "", 'Data Entry'!K647)</f>
      </c>
      <c r="L647">
        <f>IF(ISBLANK('Data Entry'!L647), "", 'Data Entry'!L647)</f>
      </c>
      <c r="M647">
        <f>IF(ISBLANK('Data Entry'!M647), "", 'Data Entry'!M647)</f>
      </c>
      <c r="N647">
        <f>IF(ISBLANK('Data Entry'!N647), "", 'Data Entry'!N647)</f>
      </c>
      <c r="O647">
        <f>IF(ISBLANK('Data Entry'!O647), "", 'Data Entry'!O647)</f>
      </c>
      <c r="P647">
        <f>IF(ISBLANK('Data Entry'!P647), "", 'Data Entry'!P647)</f>
      </c>
      <c r="Q647">
        <f>IF(ISBLANK('Data Entry'!Q647), "", 'Data Entry'!Q647)</f>
      </c>
      <c r="R647">
        <f>IF(ISBLANK('Data Entry'!R647), "", 'Data Entry'!R647)</f>
      </c>
      <c r="S647">
        <f>IF(ISBLANK('Data Entry'!S647), "", 'Data Entry'!S647)</f>
      </c>
      <c r="T647">
        <f>IF(ISBLANK('Data Entry'!T647), "", 'Data Entry'!T647)</f>
      </c>
      <c r="U647">
        <f>IF(ISBLANK('Data Entry'!U647), "", 'Data Entry'!U647)</f>
      </c>
      <c r="V647">
        <f>IF(ISBLANK('Data Entry'!V647), "", 'Data Entry'!V647)</f>
      </c>
      <c r="W647">
        <f>IF(ISBLANK('Data Entry'!W647), "", 'Data Entry'!W647)</f>
      </c>
      <c r="X647">
        <f>IF(ISBLANK('Data Entry'!X647), "", 'Data Entry'!X647)</f>
      </c>
      <c r="Y647">
        <f>IF(ISBLANK('Data Entry'!Y647), "", 'Data Entry'!Y647)</f>
      </c>
      <c r="Z647">
        <f>IF(ISBLANK('Data Entry'!Z647), "", 'Data Entry'!Z647)</f>
      </c>
      <c r="AA647">
        <f>IF(ISBLANK('Data Entry'![647), "", 'Data Entry'![647)</f>
      </c>
      <c r="AB647">
        <f>IF(ISBLANK('Data Entry'!\647), "", 'Data Entry'!\647)</f>
      </c>
      <c r="AC647">
        <f>IF(ISBLANK('Data Entry'!]647), "", 'Data Entry'!]647)</f>
      </c>
      <c r="AD647">
        <f>IF(ISBLANK('Data Entry'!^647), "", 'Data Entry'!^647)</f>
      </c>
      <c r="AE647">
        <f>IF(ISBLANK('Data Entry'!_647), "", 'Data Entry'!_647)</f>
      </c>
      <c r="AF647">
        <f>IF(ISBLANK('Data Entry'!`647), "", 'Data Entry'!`647)</f>
      </c>
      <c r="AG647">
        <f>IF(ISBLANK('Data Entry'!a647), "", 'Data Entry'!a647)</f>
      </c>
      <c r="AH647">
        <f>IF(ISBLANK('Data Entry'!b647), "", 'Data Entry'!b647)</f>
      </c>
      <c r="AI647">
        <f>IF(ISBLANK('Data Entry'!c647), "", 'Data Entry'!c647)</f>
      </c>
      <c r="AJ647">
        <f>IF(ISBLANK('Data Entry'!d647), "", 'Data Entry'!d647)</f>
      </c>
      <c r="AK647">
        <f>IF(ISBLANK('Data Entry'!e647), "", 'Data Entry'!e647)</f>
      </c>
      <c r="AL647">
        <f>IF(ISBLANK('Data Entry'!f647), "", 'Data Entry'!f647)</f>
      </c>
      <c r="AM647">
        <f>IF(ISBLANK('Data Entry'!g647), "", 'Data Entry'!g647)</f>
      </c>
      <c r="AN647">
        <f>IF(ISBLANK('Data Entry'!h647), "", 'Data Entry'!h647)</f>
      </c>
    </row>
    <row r="648" spans="1:40" x14ac:dyDescent="0.25">
      <c r="A648">
        <f>IF(ISBLANK('Data Entry'!A648), "", 'Data Entry'!A648)</f>
      </c>
      <c r="B648">
        <f>IF(ISBLANK('Data Entry'!B648), "", 'Data Entry'!B648)</f>
      </c>
      <c r="C648">
        <f>IF(ISBLANK('Data Entry'!C648), "", 'Data Entry'!C648)</f>
      </c>
      <c r="D648">
        <f>IF(ISBLANK('Data Entry'!D648), "", 'Data Entry'!D648)</f>
      </c>
      <c r="E648">
        <f>IF(ISBLANK('Data Entry'!E648), "", 'Data Entry'!E648)</f>
      </c>
      <c r="F648">
        <f>IF(ISBLANK('Data Entry'!F648), "", 'Data Entry'!F648)</f>
      </c>
      <c r="G648">
        <f>IF(ISBLANK('Data Entry'!G648), "", 'Data Entry'!G648)</f>
      </c>
      <c r="H648">
        <f>IF(ISBLANK('Data Entry'!H648), "", 'Data Entry'!H648)</f>
      </c>
      <c r="I648">
        <f>IF(ISBLANK('Data Entry'!I648), "", 'Data Entry'!I648)</f>
      </c>
      <c r="J648">
        <f>IF(ISBLANK('Data Entry'!J648), "", 'Data Entry'!J648)</f>
      </c>
      <c r="K648">
        <f>IF(ISBLANK('Data Entry'!K648), "", 'Data Entry'!K648)</f>
      </c>
      <c r="L648">
        <f>IF(ISBLANK('Data Entry'!L648), "", 'Data Entry'!L648)</f>
      </c>
      <c r="M648">
        <f>IF(ISBLANK('Data Entry'!M648), "", 'Data Entry'!M648)</f>
      </c>
      <c r="N648">
        <f>IF(ISBLANK('Data Entry'!N648), "", 'Data Entry'!N648)</f>
      </c>
      <c r="O648">
        <f>IF(ISBLANK('Data Entry'!O648), "", 'Data Entry'!O648)</f>
      </c>
      <c r="P648">
        <f>IF(ISBLANK('Data Entry'!P648), "", 'Data Entry'!P648)</f>
      </c>
      <c r="Q648">
        <f>IF(ISBLANK('Data Entry'!Q648), "", 'Data Entry'!Q648)</f>
      </c>
      <c r="R648">
        <f>IF(ISBLANK('Data Entry'!R648), "", 'Data Entry'!R648)</f>
      </c>
      <c r="S648">
        <f>IF(ISBLANK('Data Entry'!S648), "", 'Data Entry'!S648)</f>
      </c>
      <c r="T648">
        <f>IF(ISBLANK('Data Entry'!T648), "", 'Data Entry'!T648)</f>
      </c>
      <c r="U648">
        <f>IF(ISBLANK('Data Entry'!U648), "", 'Data Entry'!U648)</f>
      </c>
      <c r="V648">
        <f>IF(ISBLANK('Data Entry'!V648), "", 'Data Entry'!V648)</f>
      </c>
      <c r="W648">
        <f>IF(ISBLANK('Data Entry'!W648), "", 'Data Entry'!W648)</f>
      </c>
      <c r="X648">
        <f>IF(ISBLANK('Data Entry'!X648), "", 'Data Entry'!X648)</f>
      </c>
      <c r="Y648">
        <f>IF(ISBLANK('Data Entry'!Y648), "", 'Data Entry'!Y648)</f>
      </c>
      <c r="Z648">
        <f>IF(ISBLANK('Data Entry'!Z648), "", 'Data Entry'!Z648)</f>
      </c>
      <c r="AA648">
        <f>IF(ISBLANK('Data Entry'![648), "", 'Data Entry'![648)</f>
      </c>
      <c r="AB648">
        <f>IF(ISBLANK('Data Entry'!\648), "", 'Data Entry'!\648)</f>
      </c>
      <c r="AC648">
        <f>IF(ISBLANK('Data Entry'!]648), "", 'Data Entry'!]648)</f>
      </c>
      <c r="AD648">
        <f>IF(ISBLANK('Data Entry'!^648), "", 'Data Entry'!^648)</f>
      </c>
      <c r="AE648">
        <f>IF(ISBLANK('Data Entry'!_648), "", 'Data Entry'!_648)</f>
      </c>
      <c r="AF648">
        <f>IF(ISBLANK('Data Entry'!`648), "", 'Data Entry'!`648)</f>
      </c>
      <c r="AG648">
        <f>IF(ISBLANK('Data Entry'!a648), "", 'Data Entry'!a648)</f>
      </c>
      <c r="AH648">
        <f>IF(ISBLANK('Data Entry'!b648), "", 'Data Entry'!b648)</f>
      </c>
      <c r="AI648">
        <f>IF(ISBLANK('Data Entry'!c648), "", 'Data Entry'!c648)</f>
      </c>
      <c r="AJ648">
        <f>IF(ISBLANK('Data Entry'!d648), "", 'Data Entry'!d648)</f>
      </c>
      <c r="AK648">
        <f>IF(ISBLANK('Data Entry'!e648), "", 'Data Entry'!e648)</f>
      </c>
      <c r="AL648">
        <f>IF(ISBLANK('Data Entry'!f648), "", 'Data Entry'!f648)</f>
      </c>
      <c r="AM648">
        <f>IF(ISBLANK('Data Entry'!g648), "", 'Data Entry'!g648)</f>
      </c>
      <c r="AN648">
        <f>IF(ISBLANK('Data Entry'!h648), "", 'Data Entry'!h648)</f>
      </c>
    </row>
    <row r="649" spans="1:40" x14ac:dyDescent="0.25">
      <c r="A649">
        <f>IF(ISBLANK('Data Entry'!A649), "", 'Data Entry'!A649)</f>
      </c>
      <c r="B649">
        <f>IF(ISBLANK('Data Entry'!B649), "", 'Data Entry'!B649)</f>
      </c>
      <c r="C649">
        <f>IF(ISBLANK('Data Entry'!C649), "", 'Data Entry'!C649)</f>
      </c>
      <c r="D649">
        <f>IF(ISBLANK('Data Entry'!D649), "", 'Data Entry'!D649)</f>
      </c>
      <c r="E649">
        <f>IF(ISBLANK('Data Entry'!E649), "", 'Data Entry'!E649)</f>
      </c>
      <c r="F649">
        <f>IF(ISBLANK('Data Entry'!F649), "", 'Data Entry'!F649)</f>
      </c>
      <c r="G649">
        <f>IF(ISBLANK('Data Entry'!G649), "", 'Data Entry'!G649)</f>
      </c>
      <c r="H649">
        <f>IF(ISBLANK('Data Entry'!H649), "", 'Data Entry'!H649)</f>
      </c>
      <c r="I649">
        <f>IF(ISBLANK('Data Entry'!I649), "", 'Data Entry'!I649)</f>
      </c>
      <c r="J649">
        <f>IF(ISBLANK('Data Entry'!J649), "", 'Data Entry'!J649)</f>
      </c>
      <c r="K649">
        <f>IF(ISBLANK('Data Entry'!K649), "", 'Data Entry'!K649)</f>
      </c>
      <c r="L649">
        <f>IF(ISBLANK('Data Entry'!L649), "", 'Data Entry'!L649)</f>
      </c>
      <c r="M649">
        <f>IF(ISBLANK('Data Entry'!M649), "", 'Data Entry'!M649)</f>
      </c>
      <c r="N649">
        <f>IF(ISBLANK('Data Entry'!N649), "", 'Data Entry'!N649)</f>
      </c>
      <c r="O649">
        <f>IF(ISBLANK('Data Entry'!O649), "", 'Data Entry'!O649)</f>
      </c>
      <c r="P649">
        <f>IF(ISBLANK('Data Entry'!P649), "", 'Data Entry'!P649)</f>
      </c>
      <c r="Q649">
        <f>IF(ISBLANK('Data Entry'!Q649), "", 'Data Entry'!Q649)</f>
      </c>
      <c r="R649">
        <f>IF(ISBLANK('Data Entry'!R649), "", 'Data Entry'!R649)</f>
      </c>
      <c r="S649">
        <f>IF(ISBLANK('Data Entry'!S649), "", 'Data Entry'!S649)</f>
      </c>
      <c r="T649">
        <f>IF(ISBLANK('Data Entry'!T649), "", 'Data Entry'!T649)</f>
      </c>
      <c r="U649">
        <f>IF(ISBLANK('Data Entry'!U649), "", 'Data Entry'!U649)</f>
      </c>
      <c r="V649">
        <f>IF(ISBLANK('Data Entry'!V649), "", 'Data Entry'!V649)</f>
      </c>
      <c r="W649">
        <f>IF(ISBLANK('Data Entry'!W649), "", 'Data Entry'!W649)</f>
      </c>
      <c r="X649">
        <f>IF(ISBLANK('Data Entry'!X649), "", 'Data Entry'!X649)</f>
      </c>
      <c r="Y649">
        <f>IF(ISBLANK('Data Entry'!Y649), "", 'Data Entry'!Y649)</f>
      </c>
      <c r="Z649">
        <f>IF(ISBLANK('Data Entry'!Z649), "", 'Data Entry'!Z649)</f>
      </c>
      <c r="AA649">
        <f>IF(ISBLANK('Data Entry'![649), "", 'Data Entry'![649)</f>
      </c>
      <c r="AB649">
        <f>IF(ISBLANK('Data Entry'!\649), "", 'Data Entry'!\649)</f>
      </c>
      <c r="AC649">
        <f>IF(ISBLANK('Data Entry'!]649), "", 'Data Entry'!]649)</f>
      </c>
      <c r="AD649">
        <f>IF(ISBLANK('Data Entry'!^649), "", 'Data Entry'!^649)</f>
      </c>
      <c r="AE649">
        <f>IF(ISBLANK('Data Entry'!_649), "", 'Data Entry'!_649)</f>
      </c>
      <c r="AF649">
        <f>IF(ISBLANK('Data Entry'!`649), "", 'Data Entry'!`649)</f>
      </c>
      <c r="AG649">
        <f>IF(ISBLANK('Data Entry'!a649), "", 'Data Entry'!a649)</f>
      </c>
      <c r="AH649">
        <f>IF(ISBLANK('Data Entry'!b649), "", 'Data Entry'!b649)</f>
      </c>
      <c r="AI649">
        <f>IF(ISBLANK('Data Entry'!c649), "", 'Data Entry'!c649)</f>
      </c>
      <c r="AJ649">
        <f>IF(ISBLANK('Data Entry'!d649), "", 'Data Entry'!d649)</f>
      </c>
      <c r="AK649">
        <f>IF(ISBLANK('Data Entry'!e649), "", 'Data Entry'!e649)</f>
      </c>
      <c r="AL649">
        <f>IF(ISBLANK('Data Entry'!f649), "", 'Data Entry'!f649)</f>
      </c>
      <c r="AM649">
        <f>IF(ISBLANK('Data Entry'!g649), "", 'Data Entry'!g649)</f>
      </c>
      <c r="AN649">
        <f>IF(ISBLANK('Data Entry'!h649), "", 'Data Entry'!h649)</f>
      </c>
    </row>
    <row r="650" spans="1:40" x14ac:dyDescent="0.25">
      <c r="A650">
        <f>IF(ISBLANK('Data Entry'!A650), "", 'Data Entry'!A650)</f>
      </c>
      <c r="B650">
        <f>IF(ISBLANK('Data Entry'!B650), "", 'Data Entry'!B650)</f>
      </c>
      <c r="C650">
        <f>IF(ISBLANK('Data Entry'!C650), "", 'Data Entry'!C650)</f>
      </c>
      <c r="D650">
        <f>IF(ISBLANK('Data Entry'!D650), "", 'Data Entry'!D650)</f>
      </c>
      <c r="E650">
        <f>IF(ISBLANK('Data Entry'!E650), "", 'Data Entry'!E650)</f>
      </c>
      <c r="F650">
        <f>IF(ISBLANK('Data Entry'!F650), "", 'Data Entry'!F650)</f>
      </c>
      <c r="G650">
        <f>IF(ISBLANK('Data Entry'!G650), "", 'Data Entry'!G650)</f>
      </c>
      <c r="H650">
        <f>IF(ISBLANK('Data Entry'!H650), "", 'Data Entry'!H650)</f>
      </c>
      <c r="I650">
        <f>IF(ISBLANK('Data Entry'!I650), "", 'Data Entry'!I650)</f>
      </c>
      <c r="J650">
        <f>IF(ISBLANK('Data Entry'!J650), "", 'Data Entry'!J650)</f>
      </c>
      <c r="K650">
        <f>IF(ISBLANK('Data Entry'!K650), "", 'Data Entry'!K650)</f>
      </c>
      <c r="L650">
        <f>IF(ISBLANK('Data Entry'!L650), "", 'Data Entry'!L650)</f>
      </c>
      <c r="M650">
        <f>IF(ISBLANK('Data Entry'!M650), "", 'Data Entry'!M650)</f>
      </c>
      <c r="N650">
        <f>IF(ISBLANK('Data Entry'!N650), "", 'Data Entry'!N650)</f>
      </c>
      <c r="O650">
        <f>IF(ISBLANK('Data Entry'!O650), "", 'Data Entry'!O650)</f>
      </c>
      <c r="P650">
        <f>IF(ISBLANK('Data Entry'!P650), "", 'Data Entry'!P650)</f>
      </c>
      <c r="Q650">
        <f>IF(ISBLANK('Data Entry'!Q650), "", 'Data Entry'!Q650)</f>
      </c>
      <c r="R650">
        <f>IF(ISBLANK('Data Entry'!R650), "", 'Data Entry'!R650)</f>
      </c>
      <c r="S650">
        <f>IF(ISBLANK('Data Entry'!S650), "", 'Data Entry'!S650)</f>
      </c>
      <c r="T650">
        <f>IF(ISBLANK('Data Entry'!T650), "", 'Data Entry'!T650)</f>
      </c>
      <c r="U650">
        <f>IF(ISBLANK('Data Entry'!U650), "", 'Data Entry'!U650)</f>
      </c>
      <c r="V650">
        <f>IF(ISBLANK('Data Entry'!V650), "", 'Data Entry'!V650)</f>
      </c>
      <c r="W650">
        <f>IF(ISBLANK('Data Entry'!W650), "", 'Data Entry'!W650)</f>
      </c>
      <c r="X650">
        <f>IF(ISBLANK('Data Entry'!X650), "", 'Data Entry'!X650)</f>
      </c>
      <c r="Y650">
        <f>IF(ISBLANK('Data Entry'!Y650), "", 'Data Entry'!Y650)</f>
      </c>
      <c r="Z650">
        <f>IF(ISBLANK('Data Entry'!Z650), "", 'Data Entry'!Z650)</f>
      </c>
      <c r="AA650">
        <f>IF(ISBLANK('Data Entry'![650), "", 'Data Entry'![650)</f>
      </c>
      <c r="AB650">
        <f>IF(ISBLANK('Data Entry'!\650), "", 'Data Entry'!\650)</f>
      </c>
      <c r="AC650">
        <f>IF(ISBLANK('Data Entry'!]650), "", 'Data Entry'!]650)</f>
      </c>
      <c r="AD650">
        <f>IF(ISBLANK('Data Entry'!^650), "", 'Data Entry'!^650)</f>
      </c>
      <c r="AE650">
        <f>IF(ISBLANK('Data Entry'!_650), "", 'Data Entry'!_650)</f>
      </c>
      <c r="AF650">
        <f>IF(ISBLANK('Data Entry'!`650), "", 'Data Entry'!`650)</f>
      </c>
      <c r="AG650">
        <f>IF(ISBLANK('Data Entry'!a650), "", 'Data Entry'!a650)</f>
      </c>
      <c r="AH650">
        <f>IF(ISBLANK('Data Entry'!b650), "", 'Data Entry'!b650)</f>
      </c>
      <c r="AI650">
        <f>IF(ISBLANK('Data Entry'!c650), "", 'Data Entry'!c650)</f>
      </c>
      <c r="AJ650">
        <f>IF(ISBLANK('Data Entry'!d650), "", 'Data Entry'!d650)</f>
      </c>
      <c r="AK650">
        <f>IF(ISBLANK('Data Entry'!e650), "", 'Data Entry'!e650)</f>
      </c>
      <c r="AL650">
        <f>IF(ISBLANK('Data Entry'!f650), "", 'Data Entry'!f650)</f>
      </c>
      <c r="AM650">
        <f>IF(ISBLANK('Data Entry'!g650), "", 'Data Entry'!g650)</f>
      </c>
      <c r="AN650">
        <f>IF(ISBLANK('Data Entry'!h650), "", 'Data Entry'!h650)</f>
      </c>
    </row>
    <row r="651" spans="1:40" x14ac:dyDescent="0.25">
      <c r="A651">
        <f>IF(ISBLANK('Data Entry'!A651), "", 'Data Entry'!A651)</f>
      </c>
      <c r="B651">
        <f>IF(ISBLANK('Data Entry'!B651), "", 'Data Entry'!B651)</f>
      </c>
      <c r="C651">
        <f>IF(ISBLANK('Data Entry'!C651), "", 'Data Entry'!C651)</f>
      </c>
      <c r="D651">
        <f>IF(ISBLANK('Data Entry'!D651), "", 'Data Entry'!D651)</f>
      </c>
      <c r="E651">
        <f>IF(ISBLANK('Data Entry'!E651), "", 'Data Entry'!E651)</f>
      </c>
      <c r="F651">
        <f>IF(ISBLANK('Data Entry'!F651), "", 'Data Entry'!F651)</f>
      </c>
      <c r="G651">
        <f>IF(ISBLANK('Data Entry'!G651), "", 'Data Entry'!G651)</f>
      </c>
      <c r="H651">
        <f>IF(ISBLANK('Data Entry'!H651), "", 'Data Entry'!H651)</f>
      </c>
      <c r="I651">
        <f>IF(ISBLANK('Data Entry'!I651), "", 'Data Entry'!I651)</f>
      </c>
      <c r="J651">
        <f>IF(ISBLANK('Data Entry'!J651), "", 'Data Entry'!J651)</f>
      </c>
      <c r="K651">
        <f>IF(ISBLANK('Data Entry'!K651), "", 'Data Entry'!K651)</f>
      </c>
      <c r="L651">
        <f>IF(ISBLANK('Data Entry'!L651), "", 'Data Entry'!L651)</f>
      </c>
      <c r="M651">
        <f>IF(ISBLANK('Data Entry'!M651), "", 'Data Entry'!M651)</f>
      </c>
      <c r="N651">
        <f>IF(ISBLANK('Data Entry'!N651), "", 'Data Entry'!N651)</f>
      </c>
      <c r="O651">
        <f>IF(ISBLANK('Data Entry'!O651), "", 'Data Entry'!O651)</f>
      </c>
      <c r="P651">
        <f>IF(ISBLANK('Data Entry'!P651), "", 'Data Entry'!P651)</f>
      </c>
      <c r="Q651">
        <f>IF(ISBLANK('Data Entry'!Q651), "", 'Data Entry'!Q651)</f>
      </c>
      <c r="R651">
        <f>IF(ISBLANK('Data Entry'!R651), "", 'Data Entry'!R651)</f>
      </c>
      <c r="S651">
        <f>IF(ISBLANK('Data Entry'!S651), "", 'Data Entry'!S651)</f>
      </c>
      <c r="T651">
        <f>IF(ISBLANK('Data Entry'!T651), "", 'Data Entry'!T651)</f>
      </c>
      <c r="U651">
        <f>IF(ISBLANK('Data Entry'!U651), "", 'Data Entry'!U651)</f>
      </c>
      <c r="V651">
        <f>IF(ISBLANK('Data Entry'!V651), "", 'Data Entry'!V651)</f>
      </c>
      <c r="W651">
        <f>IF(ISBLANK('Data Entry'!W651), "", 'Data Entry'!W651)</f>
      </c>
      <c r="X651">
        <f>IF(ISBLANK('Data Entry'!X651), "", 'Data Entry'!X651)</f>
      </c>
      <c r="Y651">
        <f>IF(ISBLANK('Data Entry'!Y651), "", 'Data Entry'!Y651)</f>
      </c>
      <c r="Z651">
        <f>IF(ISBLANK('Data Entry'!Z651), "", 'Data Entry'!Z651)</f>
      </c>
      <c r="AA651">
        <f>IF(ISBLANK('Data Entry'![651), "", 'Data Entry'![651)</f>
      </c>
      <c r="AB651">
        <f>IF(ISBLANK('Data Entry'!\651), "", 'Data Entry'!\651)</f>
      </c>
      <c r="AC651">
        <f>IF(ISBLANK('Data Entry'!]651), "", 'Data Entry'!]651)</f>
      </c>
      <c r="AD651">
        <f>IF(ISBLANK('Data Entry'!^651), "", 'Data Entry'!^651)</f>
      </c>
      <c r="AE651">
        <f>IF(ISBLANK('Data Entry'!_651), "", 'Data Entry'!_651)</f>
      </c>
      <c r="AF651">
        <f>IF(ISBLANK('Data Entry'!`651), "", 'Data Entry'!`651)</f>
      </c>
      <c r="AG651">
        <f>IF(ISBLANK('Data Entry'!a651), "", 'Data Entry'!a651)</f>
      </c>
      <c r="AH651">
        <f>IF(ISBLANK('Data Entry'!b651), "", 'Data Entry'!b651)</f>
      </c>
      <c r="AI651">
        <f>IF(ISBLANK('Data Entry'!c651), "", 'Data Entry'!c651)</f>
      </c>
      <c r="AJ651">
        <f>IF(ISBLANK('Data Entry'!d651), "", 'Data Entry'!d651)</f>
      </c>
      <c r="AK651">
        <f>IF(ISBLANK('Data Entry'!e651), "", 'Data Entry'!e651)</f>
      </c>
      <c r="AL651">
        <f>IF(ISBLANK('Data Entry'!f651), "", 'Data Entry'!f651)</f>
      </c>
      <c r="AM651">
        <f>IF(ISBLANK('Data Entry'!g651), "", 'Data Entry'!g651)</f>
      </c>
      <c r="AN651">
        <f>IF(ISBLANK('Data Entry'!h651), "", 'Data Entry'!h651)</f>
      </c>
    </row>
    <row r="652" spans="1:40" x14ac:dyDescent="0.25">
      <c r="A652">
        <f>IF(ISBLANK('Data Entry'!A652), "", 'Data Entry'!A652)</f>
      </c>
      <c r="B652">
        <f>IF(ISBLANK('Data Entry'!B652), "", 'Data Entry'!B652)</f>
      </c>
      <c r="C652">
        <f>IF(ISBLANK('Data Entry'!C652), "", 'Data Entry'!C652)</f>
      </c>
      <c r="D652">
        <f>IF(ISBLANK('Data Entry'!D652), "", 'Data Entry'!D652)</f>
      </c>
      <c r="E652">
        <f>IF(ISBLANK('Data Entry'!E652), "", 'Data Entry'!E652)</f>
      </c>
      <c r="F652">
        <f>IF(ISBLANK('Data Entry'!F652), "", 'Data Entry'!F652)</f>
      </c>
      <c r="G652">
        <f>IF(ISBLANK('Data Entry'!G652), "", 'Data Entry'!G652)</f>
      </c>
      <c r="H652">
        <f>IF(ISBLANK('Data Entry'!H652), "", 'Data Entry'!H652)</f>
      </c>
      <c r="I652">
        <f>IF(ISBLANK('Data Entry'!I652), "", 'Data Entry'!I652)</f>
      </c>
      <c r="J652">
        <f>IF(ISBLANK('Data Entry'!J652), "", 'Data Entry'!J652)</f>
      </c>
      <c r="K652">
        <f>IF(ISBLANK('Data Entry'!K652), "", 'Data Entry'!K652)</f>
      </c>
      <c r="L652">
        <f>IF(ISBLANK('Data Entry'!L652), "", 'Data Entry'!L652)</f>
      </c>
      <c r="M652">
        <f>IF(ISBLANK('Data Entry'!M652), "", 'Data Entry'!M652)</f>
      </c>
      <c r="N652">
        <f>IF(ISBLANK('Data Entry'!N652), "", 'Data Entry'!N652)</f>
      </c>
      <c r="O652">
        <f>IF(ISBLANK('Data Entry'!O652), "", 'Data Entry'!O652)</f>
      </c>
      <c r="P652">
        <f>IF(ISBLANK('Data Entry'!P652), "", 'Data Entry'!P652)</f>
      </c>
      <c r="Q652">
        <f>IF(ISBLANK('Data Entry'!Q652), "", 'Data Entry'!Q652)</f>
      </c>
      <c r="R652">
        <f>IF(ISBLANK('Data Entry'!R652), "", 'Data Entry'!R652)</f>
      </c>
      <c r="S652">
        <f>IF(ISBLANK('Data Entry'!S652), "", 'Data Entry'!S652)</f>
      </c>
      <c r="T652">
        <f>IF(ISBLANK('Data Entry'!T652), "", 'Data Entry'!T652)</f>
      </c>
      <c r="U652">
        <f>IF(ISBLANK('Data Entry'!U652), "", 'Data Entry'!U652)</f>
      </c>
      <c r="V652">
        <f>IF(ISBLANK('Data Entry'!V652), "", 'Data Entry'!V652)</f>
      </c>
      <c r="W652">
        <f>IF(ISBLANK('Data Entry'!W652), "", 'Data Entry'!W652)</f>
      </c>
      <c r="X652">
        <f>IF(ISBLANK('Data Entry'!X652), "", 'Data Entry'!X652)</f>
      </c>
      <c r="Y652">
        <f>IF(ISBLANK('Data Entry'!Y652), "", 'Data Entry'!Y652)</f>
      </c>
      <c r="Z652">
        <f>IF(ISBLANK('Data Entry'!Z652), "", 'Data Entry'!Z652)</f>
      </c>
      <c r="AA652">
        <f>IF(ISBLANK('Data Entry'![652), "", 'Data Entry'![652)</f>
      </c>
      <c r="AB652">
        <f>IF(ISBLANK('Data Entry'!\652), "", 'Data Entry'!\652)</f>
      </c>
      <c r="AC652">
        <f>IF(ISBLANK('Data Entry'!]652), "", 'Data Entry'!]652)</f>
      </c>
      <c r="AD652">
        <f>IF(ISBLANK('Data Entry'!^652), "", 'Data Entry'!^652)</f>
      </c>
      <c r="AE652">
        <f>IF(ISBLANK('Data Entry'!_652), "", 'Data Entry'!_652)</f>
      </c>
      <c r="AF652">
        <f>IF(ISBLANK('Data Entry'!`652), "", 'Data Entry'!`652)</f>
      </c>
      <c r="AG652">
        <f>IF(ISBLANK('Data Entry'!a652), "", 'Data Entry'!a652)</f>
      </c>
      <c r="AH652">
        <f>IF(ISBLANK('Data Entry'!b652), "", 'Data Entry'!b652)</f>
      </c>
      <c r="AI652">
        <f>IF(ISBLANK('Data Entry'!c652), "", 'Data Entry'!c652)</f>
      </c>
      <c r="AJ652">
        <f>IF(ISBLANK('Data Entry'!d652), "", 'Data Entry'!d652)</f>
      </c>
      <c r="AK652">
        <f>IF(ISBLANK('Data Entry'!e652), "", 'Data Entry'!e652)</f>
      </c>
      <c r="AL652">
        <f>IF(ISBLANK('Data Entry'!f652), "", 'Data Entry'!f652)</f>
      </c>
      <c r="AM652">
        <f>IF(ISBLANK('Data Entry'!g652), "", 'Data Entry'!g652)</f>
      </c>
      <c r="AN652">
        <f>IF(ISBLANK('Data Entry'!h652), "", 'Data Entry'!h652)</f>
      </c>
    </row>
    <row r="653" spans="1:40" x14ac:dyDescent="0.25">
      <c r="A653">
        <f>IF(ISBLANK('Data Entry'!A653), "", 'Data Entry'!A653)</f>
      </c>
      <c r="B653">
        <f>IF(ISBLANK('Data Entry'!B653), "", 'Data Entry'!B653)</f>
      </c>
      <c r="C653">
        <f>IF(ISBLANK('Data Entry'!C653), "", 'Data Entry'!C653)</f>
      </c>
      <c r="D653">
        <f>IF(ISBLANK('Data Entry'!D653), "", 'Data Entry'!D653)</f>
      </c>
      <c r="E653">
        <f>IF(ISBLANK('Data Entry'!E653), "", 'Data Entry'!E653)</f>
      </c>
      <c r="F653">
        <f>IF(ISBLANK('Data Entry'!F653), "", 'Data Entry'!F653)</f>
      </c>
      <c r="G653">
        <f>IF(ISBLANK('Data Entry'!G653), "", 'Data Entry'!G653)</f>
      </c>
      <c r="H653">
        <f>IF(ISBLANK('Data Entry'!H653), "", 'Data Entry'!H653)</f>
      </c>
      <c r="I653">
        <f>IF(ISBLANK('Data Entry'!I653), "", 'Data Entry'!I653)</f>
      </c>
      <c r="J653">
        <f>IF(ISBLANK('Data Entry'!J653), "", 'Data Entry'!J653)</f>
      </c>
      <c r="K653">
        <f>IF(ISBLANK('Data Entry'!K653), "", 'Data Entry'!K653)</f>
      </c>
      <c r="L653">
        <f>IF(ISBLANK('Data Entry'!L653), "", 'Data Entry'!L653)</f>
      </c>
      <c r="M653">
        <f>IF(ISBLANK('Data Entry'!M653), "", 'Data Entry'!M653)</f>
      </c>
      <c r="N653">
        <f>IF(ISBLANK('Data Entry'!N653), "", 'Data Entry'!N653)</f>
      </c>
      <c r="O653">
        <f>IF(ISBLANK('Data Entry'!O653), "", 'Data Entry'!O653)</f>
      </c>
      <c r="P653">
        <f>IF(ISBLANK('Data Entry'!P653), "", 'Data Entry'!P653)</f>
      </c>
      <c r="Q653">
        <f>IF(ISBLANK('Data Entry'!Q653), "", 'Data Entry'!Q653)</f>
      </c>
      <c r="R653">
        <f>IF(ISBLANK('Data Entry'!R653), "", 'Data Entry'!R653)</f>
      </c>
      <c r="S653">
        <f>IF(ISBLANK('Data Entry'!S653), "", 'Data Entry'!S653)</f>
      </c>
      <c r="T653">
        <f>IF(ISBLANK('Data Entry'!T653), "", 'Data Entry'!T653)</f>
      </c>
      <c r="U653">
        <f>IF(ISBLANK('Data Entry'!U653), "", 'Data Entry'!U653)</f>
      </c>
      <c r="V653">
        <f>IF(ISBLANK('Data Entry'!V653), "", 'Data Entry'!V653)</f>
      </c>
      <c r="W653">
        <f>IF(ISBLANK('Data Entry'!W653), "", 'Data Entry'!W653)</f>
      </c>
      <c r="X653">
        <f>IF(ISBLANK('Data Entry'!X653), "", 'Data Entry'!X653)</f>
      </c>
      <c r="Y653">
        <f>IF(ISBLANK('Data Entry'!Y653), "", 'Data Entry'!Y653)</f>
      </c>
      <c r="Z653">
        <f>IF(ISBLANK('Data Entry'!Z653), "", 'Data Entry'!Z653)</f>
      </c>
      <c r="AA653">
        <f>IF(ISBLANK('Data Entry'![653), "", 'Data Entry'![653)</f>
      </c>
      <c r="AB653">
        <f>IF(ISBLANK('Data Entry'!\653), "", 'Data Entry'!\653)</f>
      </c>
      <c r="AC653">
        <f>IF(ISBLANK('Data Entry'!]653), "", 'Data Entry'!]653)</f>
      </c>
      <c r="AD653">
        <f>IF(ISBLANK('Data Entry'!^653), "", 'Data Entry'!^653)</f>
      </c>
      <c r="AE653">
        <f>IF(ISBLANK('Data Entry'!_653), "", 'Data Entry'!_653)</f>
      </c>
      <c r="AF653">
        <f>IF(ISBLANK('Data Entry'!`653), "", 'Data Entry'!`653)</f>
      </c>
      <c r="AG653">
        <f>IF(ISBLANK('Data Entry'!a653), "", 'Data Entry'!a653)</f>
      </c>
      <c r="AH653">
        <f>IF(ISBLANK('Data Entry'!b653), "", 'Data Entry'!b653)</f>
      </c>
      <c r="AI653">
        <f>IF(ISBLANK('Data Entry'!c653), "", 'Data Entry'!c653)</f>
      </c>
      <c r="AJ653">
        <f>IF(ISBLANK('Data Entry'!d653), "", 'Data Entry'!d653)</f>
      </c>
      <c r="AK653">
        <f>IF(ISBLANK('Data Entry'!e653), "", 'Data Entry'!e653)</f>
      </c>
      <c r="AL653">
        <f>IF(ISBLANK('Data Entry'!f653), "", 'Data Entry'!f653)</f>
      </c>
      <c r="AM653">
        <f>IF(ISBLANK('Data Entry'!g653), "", 'Data Entry'!g653)</f>
      </c>
      <c r="AN653">
        <f>IF(ISBLANK('Data Entry'!h653), "", 'Data Entry'!h653)</f>
      </c>
    </row>
    <row r="654" spans="1:40" x14ac:dyDescent="0.25">
      <c r="A654">
        <f>IF(ISBLANK('Data Entry'!A654), "", 'Data Entry'!A654)</f>
      </c>
      <c r="B654">
        <f>IF(ISBLANK('Data Entry'!B654), "", 'Data Entry'!B654)</f>
      </c>
      <c r="C654">
        <f>IF(ISBLANK('Data Entry'!C654), "", 'Data Entry'!C654)</f>
      </c>
      <c r="D654">
        <f>IF(ISBLANK('Data Entry'!D654), "", 'Data Entry'!D654)</f>
      </c>
      <c r="E654">
        <f>IF(ISBLANK('Data Entry'!E654), "", 'Data Entry'!E654)</f>
      </c>
      <c r="F654">
        <f>IF(ISBLANK('Data Entry'!F654), "", 'Data Entry'!F654)</f>
      </c>
      <c r="G654">
        <f>IF(ISBLANK('Data Entry'!G654), "", 'Data Entry'!G654)</f>
      </c>
      <c r="H654">
        <f>IF(ISBLANK('Data Entry'!H654), "", 'Data Entry'!H654)</f>
      </c>
      <c r="I654">
        <f>IF(ISBLANK('Data Entry'!I654), "", 'Data Entry'!I654)</f>
      </c>
      <c r="J654">
        <f>IF(ISBLANK('Data Entry'!J654), "", 'Data Entry'!J654)</f>
      </c>
      <c r="K654">
        <f>IF(ISBLANK('Data Entry'!K654), "", 'Data Entry'!K654)</f>
      </c>
      <c r="L654">
        <f>IF(ISBLANK('Data Entry'!L654), "", 'Data Entry'!L654)</f>
      </c>
      <c r="M654">
        <f>IF(ISBLANK('Data Entry'!M654), "", 'Data Entry'!M654)</f>
      </c>
      <c r="N654">
        <f>IF(ISBLANK('Data Entry'!N654), "", 'Data Entry'!N654)</f>
      </c>
      <c r="O654">
        <f>IF(ISBLANK('Data Entry'!O654), "", 'Data Entry'!O654)</f>
      </c>
      <c r="P654">
        <f>IF(ISBLANK('Data Entry'!P654), "", 'Data Entry'!P654)</f>
      </c>
      <c r="Q654">
        <f>IF(ISBLANK('Data Entry'!Q654), "", 'Data Entry'!Q654)</f>
      </c>
      <c r="R654">
        <f>IF(ISBLANK('Data Entry'!R654), "", 'Data Entry'!R654)</f>
      </c>
      <c r="S654">
        <f>IF(ISBLANK('Data Entry'!S654), "", 'Data Entry'!S654)</f>
      </c>
      <c r="T654">
        <f>IF(ISBLANK('Data Entry'!T654), "", 'Data Entry'!T654)</f>
      </c>
      <c r="U654">
        <f>IF(ISBLANK('Data Entry'!U654), "", 'Data Entry'!U654)</f>
      </c>
      <c r="V654">
        <f>IF(ISBLANK('Data Entry'!V654), "", 'Data Entry'!V654)</f>
      </c>
      <c r="W654">
        <f>IF(ISBLANK('Data Entry'!W654), "", 'Data Entry'!W654)</f>
      </c>
      <c r="X654">
        <f>IF(ISBLANK('Data Entry'!X654), "", 'Data Entry'!X654)</f>
      </c>
      <c r="Y654">
        <f>IF(ISBLANK('Data Entry'!Y654), "", 'Data Entry'!Y654)</f>
      </c>
      <c r="Z654">
        <f>IF(ISBLANK('Data Entry'!Z654), "", 'Data Entry'!Z654)</f>
      </c>
      <c r="AA654">
        <f>IF(ISBLANK('Data Entry'![654), "", 'Data Entry'![654)</f>
      </c>
      <c r="AB654">
        <f>IF(ISBLANK('Data Entry'!\654), "", 'Data Entry'!\654)</f>
      </c>
      <c r="AC654">
        <f>IF(ISBLANK('Data Entry'!]654), "", 'Data Entry'!]654)</f>
      </c>
      <c r="AD654">
        <f>IF(ISBLANK('Data Entry'!^654), "", 'Data Entry'!^654)</f>
      </c>
      <c r="AE654">
        <f>IF(ISBLANK('Data Entry'!_654), "", 'Data Entry'!_654)</f>
      </c>
      <c r="AF654">
        <f>IF(ISBLANK('Data Entry'!`654), "", 'Data Entry'!`654)</f>
      </c>
      <c r="AG654">
        <f>IF(ISBLANK('Data Entry'!a654), "", 'Data Entry'!a654)</f>
      </c>
      <c r="AH654">
        <f>IF(ISBLANK('Data Entry'!b654), "", 'Data Entry'!b654)</f>
      </c>
      <c r="AI654">
        <f>IF(ISBLANK('Data Entry'!c654), "", 'Data Entry'!c654)</f>
      </c>
      <c r="AJ654">
        <f>IF(ISBLANK('Data Entry'!d654), "", 'Data Entry'!d654)</f>
      </c>
      <c r="AK654">
        <f>IF(ISBLANK('Data Entry'!e654), "", 'Data Entry'!e654)</f>
      </c>
      <c r="AL654">
        <f>IF(ISBLANK('Data Entry'!f654), "", 'Data Entry'!f654)</f>
      </c>
      <c r="AM654">
        <f>IF(ISBLANK('Data Entry'!g654), "", 'Data Entry'!g654)</f>
      </c>
      <c r="AN654">
        <f>IF(ISBLANK('Data Entry'!h654), "", 'Data Entry'!h654)</f>
      </c>
    </row>
    <row r="655" spans="1:40" x14ac:dyDescent="0.25">
      <c r="A655">
        <f>IF(ISBLANK('Data Entry'!A655), "", 'Data Entry'!A655)</f>
      </c>
      <c r="B655">
        <f>IF(ISBLANK('Data Entry'!B655), "", 'Data Entry'!B655)</f>
      </c>
      <c r="C655">
        <f>IF(ISBLANK('Data Entry'!C655), "", 'Data Entry'!C655)</f>
      </c>
      <c r="D655">
        <f>IF(ISBLANK('Data Entry'!D655), "", 'Data Entry'!D655)</f>
      </c>
      <c r="E655">
        <f>IF(ISBLANK('Data Entry'!E655), "", 'Data Entry'!E655)</f>
      </c>
      <c r="F655">
        <f>IF(ISBLANK('Data Entry'!F655), "", 'Data Entry'!F655)</f>
      </c>
      <c r="G655">
        <f>IF(ISBLANK('Data Entry'!G655), "", 'Data Entry'!G655)</f>
      </c>
      <c r="H655">
        <f>IF(ISBLANK('Data Entry'!H655), "", 'Data Entry'!H655)</f>
      </c>
      <c r="I655">
        <f>IF(ISBLANK('Data Entry'!I655), "", 'Data Entry'!I655)</f>
      </c>
      <c r="J655">
        <f>IF(ISBLANK('Data Entry'!J655), "", 'Data Entry'!J655)</f>
      </c>
      <c r="K655">
        <f>IF(ISBLANK('Data Entry'!K655), "", 'Data Entry'!K655)</f>
      </c>
      <c r="L655">
        <f>IF(ISBLANK('Data Entry'!L655), "", 'Data Entry'!L655)</f>
      </c>
      <c r="M655">
        <f>IF(ISBLANK('Data Entry'!M655), "", 'Data Entry'!M655)</f>
      </c>
      <c r="N655">
        <f>IF(ISBLANK('Data Entry'!N655), "", 'Data Entry'!N655)</f>
      </c>
      <c r="O655">
        <f>IF(ISBLANK('Data Entry'!O655), "", 'Data Entry'!O655)</f>
      </c>
      <c r="P655">
        <f>IF(ISBLANK('Data Entry'!P655), "", 'Data Entry'!P655)</f>
      </c>
      <c r="Q655">
        <f>IF(ISBLANK('Data Entry'!Q655), "", 'Data Entry'!Q655)</f>
      </c>
      <c r="R655">
        <f>IF(ISBLANK('Data Entry'!R655), "", 'Data Entry'!R655)</f>
      </c>
      <c r="S655">
        <f>IF(ISBLANK('Data Entry'!S655), "", 'Data Entry'!S655)</f>
      </c>
      <c r="T655">
        <f>IF(ISBLANK('Data Entry'!T655), "", 'Data Entry'!T655)</f>
      </c>
      <c r="U655">
        <f>IF(ISBLANK('Data Entry'!U655), "", 'Data Entry'!U655)</f>
      </c>
      <c r="V655">
        <f>IF(ISBLANK('Data Entry'!V655), "", 'Data Entry'!V655)</f>
      </c>
      <c r="W655">
        <f>IF(ISBLANK('Data Entry'!W655), "", 'Data Entry'!W655)</f>
      </c>
      <c r="X655">
        <f>IF(ISBLANK('Data Entry'!X655), "", 'Data Entry'!X655)</f>
      </c>
      <c r="Y655">
        <f>IF(ISBLANK('Data Entry'!Y655), "", 'Data Entry'!Y655)</f>
      </c>
      <c r="Z655">
        <f>IF(ISBLANK('Data Entry'!Z655), "", 'Data Entry'!Z655)</f>
      </c>
      <c r="AA655">
        <f>IF(ISBLANK('Data Entry'![655), "", 'Data Entry'![655)</f>
      </c>
      <c r="AB655">
        <f>IF(ISBLANK('Data Entry'!\655), "", 'Data Entry'!\655)</f>
      </c>
      <c r="AC655">
        <f>IF(ISBLANK('Data Entry'!]655), "", 'Data Entry'!]655)</f>
      </c>
      <c r="AD655">
        <f>IF(ISBLANK('Data Entry'!^655), "", 'Data Entry'!^655)</f>
      </c>
      <c r="AE655">
        <f>IF(ISBLANK('Data Entry'!_655), "", 'Data Entry'!_655)</f>
      </c>
      <c r="AF655">
        <f>IF(ISBLANK('Data Entry'!`655), "", 'Data Entry'!`655)</f>
      </c>
      <c r="AG655">
        <f>IF(ISBLANK('Data Entry'!a655), "", 'Data Entry'!a655)</f>
      </c>
      <c r="AH655">
        <f>IF(ISBLANK('Data Entry'!b655), "", 'Data Entry'!b655)</f>
      </c>
      <c r="AI655">
        <f>IF(ISBLANK('Data Entry'!c655), "", 'Data Entry'!c655)</f>
      </c>
      <c r="AJ655">
        <f>IF(ISBLANK('Data Entry'!d655), "", 'Data Entry'!d655)</f>
      </c>
      <c r="AK655">
        <f>IF(ISBLANK('Data Entry'!e655), "", 'Data Entry'!e655)</f>
      </c>
      <c r="AL655">
        <f>IF(ISBLANK('Data Entry'!f655), "", 'Data Entry'!f655)</f>
      </c>
      <c r="AM655">
        <f>IF(ISBLANK('Data Entry'!g655), "", 'Data Entry'!g655)</f>
      </c>
      <c r="AN655">
        <f>IF(ISBLANK('Data Entry'!h655), "", 'Data Entry'!h655)</f>
      </c>
    </row>
    <row r="656" spans="1:40" x14ac:dyDescent="0.25">
      <c r="A656">
        <f>IF(ISBLANK('Data Entry'!A656), "", 'Data Entry'!A656)</f>
      </c>
      <c r="B656">
        <f>IF(ISBLANK('Data Entry'!B656), "", 'Data Entry'!B656)</f>
      </c>
      <c r="C656">
        <f>IF(ISBLANK('Data Entry'!C656), "", 'Data Entry'!C656)</f>
      </c>
      <c r="D656">
        <f>IF(ISBLANK('Data Entry'!D656), "", 'Data Entry'!D656)</f>
      </c>
      <c r="E656">
        <f>IF(ISBLANK('Data Entry'!E656), "", 'Data Entry'!E656)</f>
      </c>
      <c r="F656">
        <f>IF(ISBLANK('Data Entry'!F656), "", 'Data Entry'!F656)</f>
      </c>
      <c r="G656">
        <f>IF(ISBLANK('Data Entry'!G656), "", 'Data Entry'!G656)</f>
      </c>
      <c r="H656">
        <f>IF(ISBLANK('Data Entry'!H656), "", 'Data Entry'!H656)</f>
      </c>
      <c r="I656">
        <f>IF(ISBLANK('Data Entry'!I656), "", 'Data Entry'!I656)</f>
      </c>
      <c r="J656">
        <f>IF(ISBLANK('Data Entry'!J656), "", 'Data Entry'!J656)</f>
      </c>
      <c r="K656">
        <f>IF(ISBLANK('Data Entry'!K656), "", 'Data Entry'!K656)</f>
      </c>
      <c r="L656">
        <f>IF(ISBLANK('Data Entry'!L656), "", 'Data Entry'!L656)</f>
      </c>
      <c r="M656">
        <f>IF(ISBLANK('Data Entry'!M656), "", 'Data Entry'!M656)</f>
      </c>
      <c r="N656">
        <f>IF(ISBLANK('Data Entry'!N656), "", 'Data Entry'!N656)</f>
      </c>
      <c r="O656">
        <f>IF(ISBLANK('Data Entry'!O656), "", 'Data Entry'!O656)</f>
      </c>
      <c r="P656">
        <f>IF(ISBLANK('Data Entry'!P656), "", 'Data Entry'!P656)</f>
      </c>
      <c r="Q656">
        <f>IF(ISBLANK('Data Entry'!Q656), "", 'Data Entry'!Q656)</f>
      </c>
      <c r="R656">
        <f>IF(ISBLANK('Data Entry'!R656), "", 'Data Entry'!R656)</f>
      </c>
      <c r="S656">
        <f>IF(ISBLANK('Data Entry'!S656), "", 'Data Entry'!S656)</f>
      </c>
      <c r="T656">
        <f>IF(ISBLANK('Data Entry'!T656), "", 'Data Entry'!T656)</f>
      </c>
      <c r="U656">
        <f>IF(ISBLANK('Data Entry'!U656), "", 'Data Entry'!U656)</f>
      </c>
      <c r="V656">
        <f>IF(ISBLANK('Data Entry'!V656), "", 'Data Entry'!V656)</f>
      </c>
      <c r="W656">
        <f>IF(ISBLANK('Data Entry'!W656), "", 'Data Entry'!W656)</f>
      </c>
      <c r="X656">
        <f>IF(ISBLANK('Data Entry'!X656), "", 'Data Entry'!X656)</f>
      </c>
      <c r="Y656">
        <f>IF(ISBLANK('Data Entry'!Y656), "", 'Data Entry'!Y656)</f>
      </c>
      <c r="Z656">
        <f>IF(ISBLANK('Data Entry'!Z656), "", 'Data Entry'!Z656)</f>
      </c>
      <c r="AA656">
        <f>IF(ISBLANK('Data Entry'![656), "", 'Data Entry'![656)</f>
      </c>
      <c r="AB656">
        <f>IF(ISBLANK('Data Entry'!\656), "", 'Data Entry'!\656)</f>
      </c>
      <c r="AC656">
        <f>IF(ISBLANK('Data Entry'!]656), "", 'Data Entry'!]656)</f>
      </c>
      <c r="AD656">
        <f>IF(ISBLANK('Data Entry'!^656), "", 'Data Entry'!^656)</f>
      </c>
      <c r="AE656">
        <f>IF(ISBLANK('Data Entry'!_656), "", 'Data Entry'!_656)</f>
      </c>
      <c r="AF656">
        <f>IF(ISBLANK('Data Entry'!`656), "", 'Data Entry'!`656)</f>
      </c>
      <c r="AG656">
        <f>IF(ISBLANK('Data Entry'!a656), "", 'Data Entry'!a656)</f>
      </c>
      <c r="AH656">
        <f>IF(ISBLANK('Data Entry'!b656), "", 'Data Entry'!b656)</f>
      </c>
      <c r="AI656">
        <f>IF(ISBLANK('Data Entry'!c656), "", 'Data Entry'!c656)</f>
      </c>
      <c r="AJ656">
        <f>IF(ISBLANK('Data Entry'!d656), "", 'Data Entry'!d656)</f>
      </c>
      <c r="AK656">
        <f>IF(ISBLANK('Data Entry'!e656), "", 'Data Entry'!e656)</f>
      </c>
      <c r="AL656">
        <f>IF(ISBLANK('Data Entry'!f656), "", 'Data Entry'!f656)</f>
      </c>
      <c r="AM656">
        <f>IF(ISBLANK('Data Entry'!g656), "", 'Data Entry'!g656)</f>
      </c>
      <c r="AN656">
        <f>IF(ISBLANK('Data Entry'!h656), "", 'Data Entry'!h656)</f>
      </c>
    </row>
    <row r="657" spans="1:40" x14ac:dyDescent="0.25">
      <c r="A657">
        <f>IF(ISBLANK('Data Entry'!A657), "", 'Data Entry'!A657)</f>
      </c>
      <c r="B657">
        <f>IF(ISBLANK('Data Entry'!B657), "", 'Data Entry'!B657)</f>
      </c>
      <c r="C657">
        <f>IF(ISBLANK('Data Entry'!C657), "", 'Data Entry'!C657)</f>
      </c>
      <c r="D657">
        <f>IF(ISBLANK('Data Entry'!D657), "", 'Data Entry'!D657)</f>
      </c>
      <c r="E657">
        <f>IF(ISBLANK('Data Entry'!E657), "", 'Data Entry'!E657)</f>
      </c>
      <c r="F657">
        <f>IF(ISBLANK('Data Entry'!F657), "", 'Data Entry'!F657)</f>
      </c>
      <c r="G657">
        <f>IF(ISBLANK('Data Entry'!G657), "", 'Data Entry'!G657)</f>
      </c>
      <c r="H657">
        <f>IF(ISBLANK('Data Entry'!H657), "", 'Data Entry'!H657)</f>
      </c>
      <c r="I657">
        <f>IF(ISBLANK('Data Entry'!I657), "", 'Data Entry'!I657)</f>
      </c>
      <c r="J657">
        <f>IF(ISBLANK('Data Entry'!J657), "", 'Data Entry'!J657)</f>
      </c>
      <c r="K657">
        <f>IF(ISBLANK('Data Entry'!K657), "", 'Data Entry'!K657)</f>
      </c>
      <c r="L657">
        <f>IF(ISBLANK('Data Entry'!L657), "", 'Data Entry'!L657)</f>
      </c>
      <c r="M657">
        <f>IF(ISBLANK('Data Entry'!M657), "", 'Data Entry'!M657)</f>
      </c>
      <c r="N657">
        <f>IF(ISBLANK('Data Entry'!N657), "", 'Data Entry'!N657)</f>
      </c>
      <c r="O657">
        <f>IF(ISBLANK('Data Entry'!O657), "", 'Data Entry'!O657)</f>
      </c>
      <c r="P657">
        <f>IF(ISBLANK('Data Entry'!P657), "", 'Data Entry'!P657)</f>
      </c>
      <c r="Q657">
        <f>IF(ISBLANK('Data Entry'!Q657), "", 'Data Entry'!Q657)</f>
      </c>
      <c r="R657">
        <f>IF(ISBLANK('Data Entry'!R657), "", 'Data Entry'!R657)</f>
      </c>
      <c r="S657">
        <f>IF(ISBLANK('Data Entry'!S657), "", 'Data Entry'!S657)</f>
      </c>
      <c r="T657">
        <f>IF(ISBLANK('Data Entry'!T657), "", 'Data Entry'!T657)</f>
      </c>
      <c r="U657">
        <f>IF(ISBLANK('Data Entry'!U657), "", 'Data Entry'!U657)</f>
      </c>
      <c r="V657">
        <f>IF(ISBLANK('Data Entry'!V657), "", 'Data Entry'!V657)</f>
      </c>
      <c r="W657">
        <f>IF(ISBLANK('Data Entry'!W657), "", 'Data Entry'!W657)</f>
      </c>
      <c r="X657">
        <f>IF(ISBLANK('Data Entry'!X657), "", 'Data Entry'!X657)</f>
      </c>
      <c r="Y657">
        <f>IF(ISBLANK('Data Entry'!Y657), "", 'Data Entry'!Y657)</f>
      </c>
      <c r="Z657">
        <f>IF(ISBLANK('Data Entry'!Z657), "", 'Data Entry'!Z657)</f>
      </c>
      <c r="AA657">
        <f>IF(ISBLANK('Data Entry'![657), "", 'Data Entry'![657)</f>
      </c>
      <c r="AB657">
        <f>IF(ISBLANK('Data Entry'!\657), "", 'Data Entry'!\657)</f>
      </c>
      <c r="AC657">
        <f>IF(ISBLANK('Data Entry'!]657), "", 'Data Entry'!]657)</f>
      </c>
      <c r="AD657">
        <f>IF(ISBLANK('Data Entry'!^657), "", 'Data Entry'!^657)</f>
      </c>
      <c r="AE657">
        <f>IF(ISBLANK('Data Entry'!_657), "", 'Data Entry'!_657)</f>
      </c>
      <c r="AF657">
        <f>IF(ISBLANK('Data Entry'!`657), "", 'Data Entry'!`657)</f>
      </c>
      <c r="AG657">
        <f>IF(ISBLANK('Data Entry'!a657), "", 'Data Entry'!a657)</f>
      </c>
      <c r="AH657">
        <f>IF(ISBLANK('Data Entry'!b657), "", 'Data Entry'!b657)</f>
      </c>
      <c r="AI657">
        <f>IF(ISBLANK('Data Entry'!c657), "", 'Data Entry'!c657)</f>
      </c>
      <c r="AJ657">
        <f>IF(ISBLANK('Data Entry'!d657), "", 'Data Entry'!d657)</f>
      </c>
      <c r="AK657">
        <f>IF(ISBLANK('Data Entry'!e657), "", 'Data Entry'!e657)</f>
      </c>
      <c r="AL657">
        <f>IF(ISBLANK('Data Entry'!f657), "", 'Data Entry'!f657)</f>
      </c>
      <c r="AM657">
        <f>IF(ISBLANK('Data Entry'!g657), "", 'Data Entry'!g657)</f>
      </c>
      <c r="AN657">
        <f>IF(ISBLANK('Data Entry'!h657), "", 'Data Entry'!h657)</f>
      </c>
    </row>
    <row r="658" spans="1:40" x14ac:dyDescent="0.25">
      <c r="A658">
        <f>IF(ISBLANK('Data Entry'!A658), "", 'Data Entry'!A658)</f>
      </c>
      <c r="B658">
        <f>IF(ISBLANK('Data Entry'!B658), "", 'Data Entry'!B658)</f>
      </c>
      <c r="C658">
        <f>IF(ISBLANK('Data Entry'!C658), "", 'Data Entry'!C658)</f>
      </c>
      <c r="D658">
        <f>IF(ISBLANK('Data Entry'!D658), "", 'Data Entry'!D658)</f>
      </c>
      <c r="E658">
        <f>IF(ISBLANK('Data Entry'!E658), "", 'Data Entry'!E658)</f>
      </c>
      <c r="F658">
        <f>IF(ISBLANK('Data Entry'!F658), "", 'Data Entry'!F658)</f>
      </c>
      <c r="G658">
        <f>IF(ISBLANK('Data Entry'!G658), "", 'Data Entry'!G658)</f>
      </c>
      <c r="H658">
        <f>IF(ISBLANK('Data Entry'!H658), "", 'Data Entry'!H658)</f>
      </c>
      <c r="I658">
        <f>IF(ISBLANK('Data Entry'!I658), "", 'Data Entry'!I658)</f>
      </c>
      <c r="J658">
        <f>IF(ISBLANK('Data Entry'!J658), "", 'Data Entry'!J658)</f>
      </c>
      <c r="K658">
        <f>IF(ISBLANK('Data Entry'!K658), "", 'Data Entry'!K658)</f>
      </c>
      <c r="L658">
        <f>IF(ISBLANK('Data Entry'!L658), "", 'Data Entry'!L658)</f>
      </c>
      <c r="M658">
        <f>IF(ISBLANK('Data Entry'!M658), "", 'Data Entry'!M658)</f>
      </c>
      <c r="N658">
        <f>IF(ISBLANK('Data Entry'!N658), "", 'Data Entry'!N658)</f>
      </c>
      <c r="O658">
        <f>IF(ISBLANK('Data Entry'!O658), "", 'Data Entry'!O658)</f>
      </c>
      <c r="P658">
        <f>IF(ISBLANK('Data Entry'!P658), "", 'Data Entry'!P658)</f>
      </c>
      <c r="Q658">
        <f>IF(ISBLANK('Data Entry'!Q658), "", 'Data Entry'!Q658)</f>
      </c>
      <c r="R658">
        <f>IF(ISBLANK('Data Entry'!R658), "", 'Data Entry'!R658)</f>
      </c>
      <c r="S658">
        <f>IF(ISBLANK('Data Entry'!S658), "", 'Data Entry'!S658)</f>
      </c>
      <c r="T658">
        <f>IF(ISBLANK('Data Entry'!T658), "", 'Data Entry'!T658)</f>
      </c>
      <c r="U658">
        <f>IF(ISBLANK('Data Entry'!U658), "", 'Data Entry'!U658)</f>
      </c>
      <c r="V658">
        <f>IF(ISBLANK('Data Entry'!V658), "", 'Data Entry'!V658)</f>
      </c>
      <c r="W658">
        <f>IF(ISBLANK('Data Entry'!W658), "", 'Data Entry'!W658)</f>
      </c>
      <c r="X658">
        <f>IF(ISBLANK('Data Entry'!X658), "", 'Data Entry'!X658)</f>
      </c>
      <c r="Y658">
        <f>IF(ISBLANK('Data Entry'!Y658), "", 'Data Entry'!Y658)</f>
      </c>
      <c r="Z658">
        <f>IF(ISBLANK('Data Entry'!Z658), "", 'Data Entry'!Z658)</f>
      </c>
      <c r="AA658">
        <f>IF(ISBLANK('Data Entry'![658), "", 'Data Entry'![658)</f>
      </c>
      <c r="AB658">
        <f>IF(ISBLANK('Data Entry'!\658), "", 'Data Entry'!\658)</f>
      </c>
      <c r="AC658">
        <f>IF(ISBLANK('Data Entry'!]658), "", 'Data Entry'!]658)</f>
      </c>
      <c r="AD658">
        <f>IF(ISBLANK('Data Entry'!^658), "", 'Data Entry'!^658)</f>
      </c>
      <c r="AE658">
        <f>IF(ISBLANK('Data Entry'!_658), "", 'Data Entry'!_658)</f>
      </c>
      <c r="AF658">
        <f>IF(ISBLANK('Data Entry'!`658), "", 'Data Entry'!`658)</f>
      </c>
      <c r="AG658">
        <f>IF(ISBLANK('Data Entry'!a658), "", 'Data Entry'!a658)</f>
      </c>
      <c r="AH658">
        <f>IF(ISBLANK('Data Entry'!b658), "", 'Data Entry'!b658)</f>
      </c>
      <c r="AI658">
        <f>IF(ISBLANK('Data Entry'!c658), "", 'Data Entry'!c658)</f>
      </c>
      <c r="AJ658">
        <f>IF(ISBLANK('Data Entry'!d658), "", 'Data Entry'!d658)</f>
      </c>
      <c r="AK658">
        <f>IF(ISBLANK('Data Entry'!e658), "", 'Data Entry'!e658)</f>
      </c>
      <c r="AL658">
        <f>IF(ISBLANK('Data Entry'!f658), "", 'Data Entry'!f658)</f>
      </c>
      <c r="AM658">
        <f>IF(ISBLANK('Data Entry'!g658), "", 'Data Entry'!g658)</f>
      </c>
      <c r="AN658">
        <f>IF(ISBLANK('Data Entry'!h658), "", 'Data Entry'!h658)</f>
      </c>
    </row>
    <row r="659" spans="1:40" x14ac:dyDescent="0.25">
      <c r="A659">
        <f>IF(ISBLANK('Data Entry'!A659), "", 'Data Entry'!A659)</f>
      </c>
      <c r="B659">
        <f>IF(ISBLANK('Data Entry'!B659), "", 'Data Entry'!B659)</f>
      </c>
      <c r="C659">
        <f>IF(ISBLANK('Data Entry'!C659), "", 'Data Entry'!C659)</f>
      </c>
      <c r="D659">
        <f>IF(ISBLANK('Data Entry'!D659), "", 'Data Entry'!D659)</f>
      </c>
      <c r="E659">
        <f>IF(ISBLANK('Data Entry'!E659), "", 'Data Entry'!E659)</f>
      </c>
      <c r="F659">
        <f>IF(ISBLANK('Data Entry'!F659), "", 'Data Entry'!F659)</f>
      </c>
      <c r="G659">
        <f>IF(ISBLANK('Data Entry'!G659), "", 'Data Entry'!G659)</f>
      </c>
      <c r="H659">
        <f>IF(ISBLANK('Data Entry'!H659), "", 'Data Entry'!H659)</f>
      </c>
      <c r="I659">
        <f>IF(ISBLANK('Data Entry'!I659), "", 'Data Entry'!I659)</f>
      </c>
      <c r="J659">
        <f>IF(ISBLANK('Data Entry'!J659), "", 'Data Entry'!J659)</f>
      </c>
      <c r="K659">
        <f>IF(ISBLANK('Data Entry'!K659), "", 'Data Entry'!K659)</f>
      </c>
      <c r="L659">
        <f>IF(ISBLANK('Data Entry'!L659), "", 'Data Entry'!L659)</f>
      </c>
      <c r="M659">
        <f>IF(ISBLANK('Data Entry'!M659), "", 'Data Entry'!M659)</f>
      </c>
      <c r="N659">
        <f>IF(ISBLANK('Data Entry'!N659), "", 'Data Entry'!N659)</f>
      </c>
      <c r="O659">
        <f>IF(ISBLANK('Data Entry'!O659), "", 'Data Entry'!O659)</f>
      </c>
      <c r="P659">
        <f>IF(ISBLANK('Data Entry'!P659), "", 'Data Entry'!P659)</f>
      </c>
      <c r="Q659">
        <f>IF(ISBLANK('Data Entry'!Q659), "", 'Data Entry'!Q659)</f>
      </c>
      <c r="R659">
        <f>IF(ISBLANK('Data Entry'!R659), "", 'Data Entry'!R659)</f>
      </c>
      <c r="S659">
        <f>IF(ISBLANK('Data Entry'!S659), "", 'Data Entry'!S659)</f>
      </c>
      <c r="T659">
        <f>IF(ISBLANK('Data Entry'!T659), "", 'Data Entry'!T659)</f>
      </c>
      <c r="U659">
        <f>IF(ISBLANK('Data Entry'!U659), "", 'Data Entry'!U659)</f>
      </c>
      <c r="V659">
        <f>IF(ISBLANK('Data Entry'!V659), "", 'Data Entry'!V659)</f>
      </c>
      <c r="W659">
        <f>IF(ISBLANK('Data Entry'!W659), "", 'Data Entry'!W659)</f>
      </c>
      <c r="X659">
        <f>IF(ISBLANK('Data Entry'!X659), "", 'Data Entry'!X659)</f>
      </c>
      <c r="Y659">
        <f>IF(ISBLANK('Data Entry'!Y659), "", 'Data Entry'!Y659)</f>
      </c>
      <c r="Z659">
        <f>IF(ISBLANK('Data Entry'!Z659), "", 'Data Entry'!Z659)</f>
      </c>
      <c r="AA659">
        <f>IF(ISBLANK('Data Entry'![659), "", 'Data Entry'![659)</f>
      </c>
      <c r="AB659">
        <f>IF(ISBLANK('Data Entry'!\659), "", 'Data Entry'!\659)</f>
      </c>
      <c r="AC659">
        <f>IF(ISBLANK('Data Entry'!]659), "", 'Data Entry'!]659)</f>
      </c>
      <c r="AD659">
        <f>IF(ISBLANK('Data Entry'!^659), "", 'Data Entry'!^659)</f>
      </c>
      <c r="AE659">
        <f>IF(ISBLANK('Data Entry'!_659), "", 'Data Entry'!_659)</f>
      </c>
      <c r="AF659">
        <f>IF(ISBLANK('Data Entry'!`659), "", 'Data Entry'!`659)</f>
      </c>
      <c r="AG659">
        <f>IF(ISBLANK('Data Entry'!a659), "", 'Data Entry'!a659)</f>
      </c>
      <c r="AH659">
        <f>IF(ISBLANK('Data Entry'!b659), "", 'Data Entry'!b659)</f>
      </c>
      <c r="AI659">
        <f>IF(ISBLANK('Data Entry'!c659), "", 'Data Entry'!c659)</f>
      </c>
      <c r="AJ659">
        <f>IF(ISBLANK('Data Entry'!d659), "", 'Data Entry'!d659)</f>
      </c>
      <c r="AK659">
        <f>IF(ISBLANK('Data Entry'!e659), "", 'Data Entry'!e659)</f>
      </c>
      <c r="AL659">
        <f>IF(ISBLANK('Data Entry'!f659), "", 'Data Entry'!f659)</f>
      </c>
      <c r="AM659">
        <f>IF(ISBLANK('Data Entry'!g659), "", 'Data Entry'!g659)</f>
      </c>
      <c r="AN659">
        <f>IF(ISBLANK('Data Entry'!h659), "", 'Data Entry'!h659)</f>
      </c>
    </row>
    <row r="660" spans="1:40" x14ac:dyDescent="0.25">
      <c r="A660">
        <f>IF(ISBLANK('Data Entry'!A660), "", 'Data Entry'!A660)</f>
      </c>
      <c r="B660">
        <f>IF(ISBLANK('Data Entry'!B660), "", 'Data Entry'!B660)</f>
      </c>
      <c r="C660">
        <f>IF(ISBLANK('Data Entry'!C660), "", 'Data Entry'!C660)</f>
      </c>
      <c r="D660">
        <f>IF(ISBLANK('Data Entry'!D660), "", 'Data Entry'!D660)</f>
      </c>
      <c r="E660">
        <f>IF(ISBLANK('Data Entry'!E660), "", 'Data Entry'!E660)</f>
      </c>
      <c r="F660">
        <f>IF(ISBLANK('Data Entry'!F660), "", 'Data Entry'!F660)</f>
      </c>
      <c r="G660">
        <f>IF(ISBLANK('Data Entry'!G660), "", 'Data Entry'!G660)</f>
      </c>
      <c r="H660">
        <f>IF(ISBLANK('Data Entry'!H660), "", 'Data Entry'!H660)</f>
      </c>
      <c r="I660">
        <f>IF(ISBLANK('Data Entry'!I660), "", 'Data Entry'!I660)</f>
      </c>
      <c r="J660">
        <f>IF(ISBLANK('Data Entry'!J660), "", 'Data Entry'!J660)</f>
      </c>
      <c r="K660">
        <f>IF(ISBLANK('Data Entry'!K660), "", 'Data Entry'!K660)</f>
      </c>
      <c r="L660">
        <f>IF(ISBLANK('Data Entry'!L660), "", 'Data Entry'!L660)</f>
      </c>
      <c r="M660">
        <f>IF(ISBLANK('Data Entry'!M660), "", 'Data Entry'!M660)</f>
      </c>
      <c r="N660">
        <f>IF(ISBLANK('Data Entry'!N660), "", 'Data Entry'!N660)</f>
      </c>
      <c r="O660">
        <f>IF(ISBLANK('Data Entry'!O660), "", 'Data Entry'!O660)</f>
      </c>
      <c r="P660">
        <f>IF(ISBLANK('Data Entry'!P660), "", 'Data Entry'!P660)</f>
      </c>
      <c r="Q660">
        <f>IF(ISBLANK('Data Entry'!Q660), "", 'Data Entry'!Q660)</f>
      </c>
      <c r="R660">
        <f>IF(ISBLANK('Data Entry'!R660), "", 'Data Entry'!R660)</f>
      </c>
      <c r="S660">
        <f>IF(ISBLANK('Data Entry'!S660), "", 'Data Entry'!S660)</f>
      </c>
      <c r="T660">
        <f>IF(ISBLANK('Data Entry'!T660), "", 'Data Entry'!T660)</f>
      </c>
      <c r="U660">
        <f>IF(ISBLANK('Data Entry'!U660), "", 'Data Entry'!U660)</f>
      </c>
      <c r="V660">
        <f>IF(ISBLANK('Data Entry'!V660), "", 'Data Entry'!V660)</f>
      </c>
      <c r="W660">
        <f>IF(ISBLANK('Data Entry'!W660), "", 'Data Entry'!W660)</f>
      </c>
      <c r="X660">
        <f>IF(ISBLANK('Data Entry'!X660), "", 'Data Entry'!X660)</f>
      </c>
      <c r="Y660">
        <f>IF(ISBLANK('Data Entry'!Y660), "", 'Data Entry'!Y660)</f>
      </c>
      <c r="Z660">
        <f>IF(ISBLANK('Data Entry'!Z660), "", 'Data Entry'!Z660)</f>
      </c>
      <c r="AA660">
        <f>IF(ISBLANK('Data Entry'![660), "", 'Data Entry'![660)</f>
      </c>
      <c r="AB660">
        <f>IF(ISBLANK('Data Entry'!\660), "", 'Data Entry'!\660)</f>
      </c>
      <c r="AC660">
        <f>IF(ISBLANK('Data Entry'!]660), "", 'Data Entry'!]660)</f>
      </c>
      <c r="AD660">
        <f>IF(ISBLANK('Data Entry'!^660), "", 'Data Entry'!^660)</f>
      </c>
      <c r="AE660">
        <f>IF(ISBLANK('Data Entry'!_660), "", 'Data Entry'!_660)</f>
      </c>
      <c r="AF660">
        <f>IF(ISBLANK('Data Entry'!`660), "", 'Data Entry'!`660)</f>
      </c>
      <c r="AG660">
        <f>IF(ISBLANK('Data Entry'!a660), "", 'Data Entry'!a660)</f>
      </c>
      <c r="AH660">
        <f>IF(ISBLANK('Data Entry'!b660), "", 'Data Entry'!b660)</f>
      </c>
      <c r="AI660">
        <f>IF(ISBLANK('Data Entry'!c660), "", 'Data Entry'!c660)</f>
      </c>
      <c r="AJ660">
        <f>IF(ISBLANK('Data Entry'!d660), "", 'Data Entry'!d660)</f>
      </c>
      <c r="AK660">
        <f>IF(ISBLANK('Data Entry'!e660), "", 'Data Entry'!e660)</f>
      </c>
      <c r="AL660">
        <f>IF(ISBLANK('Data Entry'!f660), "", 'Data Entry'!f660)</f>
      </c>
      <c r="AM660">
        <f>IF(ISBLANK('Data Entry'!g660), "", 'Data Entry'!g660)</f>
      </c>
      <c r="AN660">
        <f>IF(ISBLANK('Data Entry'!h660), "", 'Data Entry'!h660)</f>
      </c>
    </row>
    <row r="661" spans="1:40" x14ac:dyDescent="0.25">
      <c r="A661">
        <f>IF(ISBLANK('Data Entry'!A661), "", 'Data Entry'!A661)</f>
      </c>
      <c r="B661">
        <f>IF(ISBLANK('Data Entry'!B661), "", 'Data Entry'!B661)</f>
      </c>
      <c r="C661">
        <f>IF(ISBLANK('Data Entry'!C661), "", 'Data Entry'!C661)</f>
      </c>
      <c r="D661">
        <f>IF(ISBLANK('Data Entry'!D661), "", 'Data Entry'!D661)</f>
      </c>
      <c r="E661">
        <f>IF(ISBLANK('Data Entry'!E661), "", 'Data Entry'!E661)</f>
      </c>
      <c r="F661">
        <f>IF(ISBLANK('Data Entry'!F661), "", 'Data Entry'!F661)</f>
      </c>
      <c r="G661">
        <f>IF(ISBLANK('Data Entry'!G661), "", 'Data Entry'!G661)</f>
      </c>
      <c r="H661">
        <f>IF(ISBLANK('Data Entry'!H661), "", 'Data Entry'!H661)</f>
      </c>
      <c r="I661">
        <f>IF(ISBLANK('Data Entry'!I661), "", 'Data Entry'!I661)</f>
      </c>
      <c r="J661">
        <f>IF(ISBLANK('Data Entry'!J661), "", 'Data Entry'!J661)</f>
      </c>
      <c r="K661">
        <f>IF(ISBLANK('Data Entry'!K661), "", 'Data Entry'!K661)</f>
      </c>
      <c r="L661">
        <f>IF(ISBLANK('Data Entry'!L661), "", 'Data Entry'!L661)</f>
      </c>
      <c r="M661">
        <f>IF(ISBLANK('Data Entry'!M661), "", 'Data Entry'!M661)</f>
      </c>
      <c r="N661">
        <f>IF(ISBLANK('Data Entry'!N661), "", 'Data Entry'!N661)</f>
      </c>
      <c r="O661">
        <f>IF(ISBLANK('Data Entry'!O661), "", 'Data Entry'!O661)</f>
      </c>
      <c r="P661">
        <f>IF(ISBLANK('Data Entry'!P661), "", 'Data Entry'!P661)</f>
      </c>
      <c r="Q661">
        <f>IF(ISBLANK('Data Entry'!Q661), "", 'Data Entry'!Q661)</f>
      </c>
      <c r="R661">
        <f>IF(ISBLANK('Data Entry'!R661), "", 'Data Entry'!R661)</f>
      </c>
      <c r="S661">
        <f>IF(ISBLANK('Data Entry'!S661), "", 'Data Entry'!S661)</f>
      </c>
      <c r="T661">
        <f>IF(ISBLANK('Data Entry'!T661), "", 'Data Entry'!T661)</f>
      </c>
      <c r="U661">
        <f>IF(ISBLANK('Data Entry'!U661), "", 'Data Entry'!U661)</f>
      </c>
      <c r="V661">
        <f>IF(ISBLANK('Data Entry'!V661), "", 'Data Entry'!V661)</f>
      </c>
      <c r="W661">
        <f>IF(ISBLANK('Data Entry'!W661), "", 'Data Entry'!W661)</f>
      </c>
      <c r="X661">
        <f>IF(ISBLANK('Data Entry'!X661), "", 'Data Entry'!X661)</f>
      </c>
      <c r="Y661">
        <f>IF(ISBLANK('Data Entry'!Y661), "", 'Data Entry'!Y661)</f>
      </c>
      <c r="Z661">
        <f>IF(ISBLANK('Data Entry'!Z661), "", 'Data Entry'!Z661)</f>
      </c>
      <c r="AA661">
        <f>IF(ISBLANK('Data Entry'![661), "", 'Data Entry'![661)</f>
      </c>
      <c r="AB661">
        <f>IF(ISBLANK('Data Entry'!\661), "", 'Data Entry'!\661)</f>
      </c>
      <c r="AC661">
        <f>IF(ISBLANK('Data Entry'!]661), "", 'Data Entry'!]661)</f>
      </c>
      <c r="AD661">
        <f>IF(ISBLANK('Data Entry'!^661), "", 'Data Entry'!^661)</f>
      </c>
      <c r="AE661">
        <f>IF(ISBLANK('Data Entry'!_661), "", 'Data Entry'!_661)</f>
      </c>
      <c r="AF661">
        <f>IF(ISBLANK('Data Entry'!`661), "", 'Data Entry'!`661)</f>
      </c>
      <c r="AG661">
        <f>IF(ISBLANK('Data Entry'!a661), "", 'Data Entry'!a661)</f>
      </c>
      <c r="AH661">
        <f>IF(ISBLANK('Data Entry'!b661), "", 'Data Entry'!b661)</f>
      </c>
      <c r="AI661">
        <f>IF(ISBLANK('Data Entry'!c661), "", 'Data Entry'!c661)</f>
      </c>
      <c r="AJ661">
        <f>IF(ISBLANK('Data Entry'!d661), "", 'Data Entry'!d661)</f>
      </c>
      <c r="AK661">
        <f>IF(ISBLANK('Data Entry'!e661), "", 'Data Entry'!e661)</f>
      </c>
      <c r="AL661">
        <f>IF(ISBLANK('Data Entry'!f661), "", 'Data Entry'!f661)</f>
      </c>
      <c r="AM661">
        <f>IF(ISBLANK('Data Entry'!g661), "", 'Data Entry'!g661)</f>
      </c>
      <c r="AN661">
        <f>IF(ISBLANK('Data Entry'!h661), "", 'Data Entry'!h661)</f>
      </c>
    </row>
    <row r="662" spans="1:40" x14ac:dyDescent="0.25">
      <c r="A662">
        <f>IF(ISBLANK('Data Entry'!A662), "", 'Data Entry'!A662)</f>
      </c>
      <c r="B662">
        <f>IF(ISBLANK('Data Entry'!B662), "", 'Data Entry'!B662)</f>
      </c>
      <c r="C662">
        <f>IF(ISBLANK('Data Entry'!C662), "", 'Data Entry'!C662)</f>
      </c>
      <c r="D662">
        <f>IF(ISBLANK('Data Entry'!D662), "", 'Data Entry'!D662)</f>
      </c>
      <c r="E662">
        <f>IF(ISBLANK('Data Entry'!E662), "", 'Data Entry'!E662)</f>
      </c>
      <c r="F662">
        <f>IF(ISBLANK('Data Entry'!F662), "", 'Data Entry'!F662)</f>
      </c>
      <c r="G662">
        <f>IF(ISBLANK('Data Entry'!G662), "", 'Data Entry'!G662)</f>
      </c>
      <c r="H662">
        <f>IF(ISBLANK('Data Entry'!H662), "", 'Data Entry'!H662)</f>
      </c>
      <c r="I662">
        <f>IF(ISBLANK('Data Entry'!I662), "", 'Data Entry'!I662)</f>
      </c>
      <c r="J662">
        <f>IF(ISBLANK('Data Entry'!J662), "", 'Data Entry'!J662)</f>
      </c>
      <c r="K662">
        <f>IF(ISBLANK('Data Entry'!K662), "", 'Data Entry'!K662)</f>
      </c>
      <c r="L662">
        <f>IF(ISBLANK('Data Entry'!L662), "", 'Data Entry'!L662)</f>
      </c>
      <c r="M662">
        <f>IF(ISBLANK('Data Entry'!M662), "", 'Data Entry'!M662)</f>
      </c>
      <c r="N662">
        <f>IF(ISBLANK('Data Entry'!N662), "", 'Data Entry'!N662)</f>
      </c>
      <c r="O662">
        <f>IF(ISBLANK('Data Entry'!O662), "", 'Data Entry'!O662)</f>
      </c>
      <c r="P662">
        <f>IF(ISBLANK('Data Entry'!P662), "", 'Data Entry'!P662)</f>
      </c>
      <c r="Q662">
        <f>IF(ISBLANK('Data Entry'!Q662), "", 'Data Entry'!Q662)</f>
      </c>
      <c r="R662">
        <f>IF(ISBLANK('Data Entry'!R662), "", 'Data Entry'!R662)</f>
      </c>
      <c r="S662">
        <f>IF(ISBLANK('Data Entry'!S662), "", 'Data Entry'!S662)</f>
      </c>
      <c r="T662">
        <f>IF(ISBLANK('Data Entry'!T662), "", 'Data Entry'!T662)</f>
      </c>
      <c r="U662">
        <f>IF(ISBLANK('Data Entry'!U662), "", 'Data Entry'!U662)</f>
      </c>
      <c r="V662">
        <f>IF(ISBLANK('Data Entry'!V662), "", 'Data Entry'!V662)</f>
      </c>
      <c r="W662">
        <f>IF(ISBLANK('Data Entry'!W662), "", 'Data Entry'!W662)</f>
      </c>
      <c r="X662">
        <f>IF(ISBLANK('Data Entry'!X662), "", 'Data Entry'!X662)</f>
      </c>
      <c r="Y662">
        <f>IF(ISBLANK('Data Entry'!Y662), "", 'Data Entry'!Y662)</f>
      </c>
      <c r="Z662">
        <f>IF(ISBLANK('Data Entry'!Z662), "", 'Data Entry'!Z662)</f>
      </c>
      <c r="AA662">
        <f>IF(ISBLANK('Data Entry'![662), "", 'Data Entry'![662)</f>
      </c>
      <c r="AB662">
        <f>IF(ISBLANK('Data Entry'!\662), "", 'Data Entry'!\662)</f>
      </c>
      <c r="AC662">
        <f>IF(ISBLANK('Data Entry'!]662), "", 'Data Entry'!]662)</f>
      </c>
      <c r="AD662">
        <f>IF(ISBLANK('Data Entry'!^662), "", 'Data Entry'!^662)</f>
      </c>
      <c r="AE662">
        <f>IF(ISBLANK('Data Entry'!_662), "", 'Data Entry'!_662)</f>
      </c>
      <c r="AF662">
        <f>IF(ISBLANK('Data Entry'!`662), "", 'Data Entry'!`662)</f>
      </c>
      <c r="AG662">
        <f>IF(ISBLANK('Data Entry'!a662), "", 'Data Entry'!a662)</f>
      </c>
      <c r="AH662">
        <f>IF(ISBLANK('Data Entry'!b662), "", 'Data Entry'!b662)</f>
      </c>
      <c r="AI662">
        <f>IF(ISBLANK('Data Entry'!c662), "", 'Data Entry'!c662)</f>
      </c>
      <c r="AJ662">
        <f>IF(ISBLANK('Data Entry'!d662), "", 'Data Entry'!d662)</f>
      </c>
      <c r="AK662">
        <f>IF(ISBLANK('Data Entry'!e662), "", 'Data Entry'!e662)</f>
      </c>
      <c r="AL662">
        <f>IF(ISBLANK('Data Entry'!f662), "", 'Data Entry'!f662)</f>
      </c>
      <c r="AM662">
        <f>IF(ISBLANK('Data Entry'!g662), "", 'Data Entry'!g662)</f>
      </c>
      <c r="AN662">
        <f>IF(ISBLANK('Data Entry'!h662), "", 'Data Entry'!h662)</f>
      </c>
    </row>
    <row r="663" spans="1:40" x14ac:dyDescent="0.25">
      <c r="A663">
        <f>IF(ISBLANK('Data Entry'!A663), "", 'Data Entry'!A663)</f>
      </c>
      <c r="B663">
        <f>IF(ISBLANK('Data Entry'!B663), "", 'Data Entry'!B663)</f>
      </c>
      <c r="C663">
        <f>IF(ISBLANK('Data Entry'!C663), "", 'Data Entry'!C663)</f>
      </c>
      <c r="D663">
        <f>IF(ISBLANK('Data Entry'!D663), "", 'Data Entry'!D663)</f>
      </c>
      <c r="E663">
        <f>IF(ISBLANK('Data Entry'!E663), "", 'Data Entry'!E663)</f>
      </c>
      <c r="F663">
        <f>IF(ISBLANK('Data Entry'!F663), "", 'Data Entry'!F663)</f>
      </c>
      <c r="G663">
        <f>IF(ISBLANK('Data Entry'!G663), "", 'Data Entry'!G663)</f>
      </c>
      <c r="H663">
        <f>IF(ISBLANK('Data Entry'!H663), "", 'Data Entry'!H663)</f>
      </c>
      <c r="I663">
        <f>IF(ISBLANK('Data Entry'!I663), "", 'Data Entry'!I663)</f>
      </c>
      <c r="J663">
        <f>IF(ISBLANK('Data Entry'!J663), "", 'Data Entry'!J663)</f>
      </c>
      <c r="K663">
        <f>IF(ISBLANK('Data Entry'!K663), "", 'Data Entry'!K663)</f>
      </c>
      <c r="L663">
        <f>IF(ISBLANK('Data Entry'!L663), "", 'Data Entry'!L663)</f>
      </c>
      <c r="M663">
        <f>IF(ISBLANK('Data Entry'!M663), "", 'Data Entry'!M663)</f>
      </c>
      <c r="N663">
        <f>IF(ISBLANK('Data Entry'!N663), "", 'Data Entry'!N663)</f>
      </c>
      <c r="O663">
        <f>IF(ISBLANK('Data Entry'!O663), "", 'Data Entry'!O663)</f>
      </c>
      <c r="P663">
        <f>IF(ISBLANK('Data Entry'!P663), "", 'Data Entry'!P663)</f>
      </c>
      <c r="Q663">
        <f>IF(ISBLANK('Data Entry'!Q663), "", 'Data Entry'!Q663)</f>
      </c>
      <c r="R663">
        <f>IF(ISBLANK('Data Entry'!R663), "", 'Data Entry'!R663)</f>
      </c>
      <c r="S663">
        <f>IF(ISBLANK('Data Entry'!S663), "", 'Data Entry'!S663)</f>
      </c>
      <c r="T663">
        <f>IF(ISBLANK('Data Entry'!T663), "", 'Data Entry'!T663)</f>
      </c>
      <c r="U663">
        <f>IF(ISBLANK('Data Entry'!U663), "", 'Data Entry'!U663)</f>
      </c>
      <c r="V663">
        <f>IF(ISBLANK('Data Entry'!V663), "", 'Data Entry'!V663)</f>
      </c>
      <c r="W663">
        <f>IF(ISBLANK('Data Entry'!W663), "", 'Data Entry'!W663)</f>
      </c>
      <c r="X663">
        <f>IF(ISBLANK('Data Entry'!X663), "", 'Data Entry'!X663)</f>
      </c>
      <c r="Y663">
        <f>IF(ISBLANK('Data Entry'!Y663), "", 'Data Entry'!Y663)</f>
      </c>
      <c r="Z663">
        <f>IF(ISBLANK('Data Entry'!Z663), "", 'Data Entry'!Z663)</f>
      </c>
      <c r="AA663">
        <f>IF(ISBLANK('Data Entry'![663), "", 'Data Entry'![663)</f>
      </c>
      <c r="AB663">
        <f>IF(ISBLANK('Data Entry'!\663), "", 'Data Entry'!\663)</f>
      </c>
      <c r="AC663">
        <f>IF(ISBLANK('Data Entry'!]663), "", 'Data Entry'!]663)</f>
      </c>
      <c r="AD663">
        <f>IF(ISBLANK('Data Entry'!^663), "", 'Data Entry'!^663)</f>
      </c>
      <c r="AE663">
        <f>IF(ISBLANK('Data Entry'!_663), "", 'Data Entry'!_663)</f>
      </c>
      <c r="AF663">
        <f>IF(ISBLANK('Data Entry'!`663), "", 'Data Entry'!`663)</f>
      </c>
      <c r="AG663">
        <f>IF(ISBLANK('Data Entry'!a663), "", 'Data Entry'!a663)</f>
      </c>
      <c r="AH663">
        <f>IF(ISBLANK('Data Entry'!b663), "", 'Data Entry'!b663)</f>
      </c>
      <c r="AI663">
        <f>IF(ISBLANK('Data Entry'!c663), "", 'Data Entry'!c663)</f>
      </c>
      <c r="AJ663">
        <f>IF(ISBLANK('Data Entry'!d663), "", 'Data Entry'!d663)</f>
      </c>
      <c r="AK663">
        <f>IF(ISBLANK('Data Entry'!e663), "", 'Data Entry'!e663)</f>
      </c>
      <c r="AL663">
        <f>IF(ISBLANK('Data Entry'!f663), "", 'Data Entry'!f663)</f>
      </c>
      <c r="AM663">
        <f>IF(ISBLANK('Data Entry'!g663), "", 'Data Entry'!g663)</f>
      </c>
      <c r="AN663">
        <f>IF(ISBLANK('Data Entry'!h663), "", 'Data Entry'!h663)</f>
      </c>
    </row>
    <row r="664" spans="1:40" x14ac:dyDescent="0.25">
      <c r="A664">
        <f>IF(ISBLANK('Data Entry'!A664), "", 'Data Entry'!A664)</f>
      </c>
      <c r="B664">
        <f>IF(ISBLANK('Data Entry'!B664), "", 'Data Entry'!B664)</f>
      </c>
      <c r="C664">
        <f>IF(ISBLANK('Data Entry'!C664), "", 'Data Entry'!C664)</f>
      </c>
      <c r="D664">
        <f>IF(ISBLANK('Data Entry'!D664), "", 'Data Entry'!D664)</f>
      </c>
      <c r="E664">
        <f>IF(ISBLANK('Data Entry'!E664), "", 'Data Entry'!E664)</f>
      </c>
      <c r="F664">
        <f>IF(ISBLANK('Data Entry'!F664), "", 'Data Entry'!F664)</f>
      </c>
      <c r="G664">
        <f>IF(ISBLANK('Data Entry'!G664), "", 'Data Entry'!G664)</f>
      </c>
      <c r="H664">
        <f>IF(ISBLANK('Data Entry'!H664), "", 'Data Entry'!H664)</f>
      </c>
      <c r="I664">
        <f>IF(ISBLANK('Data Entry'!I664), "", 'Data Entry'!I664)</f>
      </c>
      <c r="J664">
        <f>IF(ISBLANK('Data Entry'!J664), "", 'Data Entry'!J664)</f>
      </c>
      <c r="K664">
        <f>IF(ISBLANK('Data Entry'!K664), "", 'Data Entry'!K664)</f>
      </c>
      <c r="L664">
        <f>IF(ISBLANK('Data Entry'!L664), "", 'Data Entry'!L664)</f>
      </c>
      <c r="M664">
        <f>IF(ISBLANK('Data Entry'!M664), "", 'Data Entry'!M664)</f>
      </c>
      <c r="N664">
        <f>IF(ISBLANK('Data Entry'!N664), "", 'Data Entry'!N664)</f>
      </c>
      <c r="O664">
        <f>IF(ISBLANK('Data Entry'!O664), "", 'Data Entry'!O664)</f>
      </c>
      <c r="P664">
        <f>IF(ISBLANK('Data Entry'!P664), "", 'Data Entry'!P664)</f>
      </c>
      <c r="Q664">
        <f>IF(ISBLANK('Data Entry'!Q664), "", 'Data Entry'!Q664)</f>
      </c>
      <c r="R664">
        <f>IF(ISBLANK('Data Entry'!R664), "", 'Data Entry'!R664)</f>
      </c>
      <c r="S664">
        <f>IF(ISBLANK('Data Entry'!S664), "", 'Data Entry'!S664)</f>
      </c>
      <c r="T664">
        <f>IF(ISBLANK('Data Entry'!T664), "", 'Data Entry'!T664)</f>
      </c>
      <c r="U664">
        <f>IF(ISBLANK('Data Entry'!U664), "", 'Data Entry'!U664)</f>
      </c>
      <c r="V664">
        <f>IF(ISBLANK('Data Entry'!V664), "", 'Data Entry'!V664)</f>
      </c>
      <c r="W664">
        <f>IF(ISBLANK('Data Entry'!W664), "", 'Data Entry'!W664)</f>
      </c>
      <c r="X664">
        <f>IF(ISBLANK('Data Entry'!X664), "", 'Data Entry'!X664)</f>
      </c>
      <c r="Y664">
        <f>IF(ISBLANK('Data Entry'!Y664), "", 'Data Entry'!Y664)</f>
      </c>
      <c r="Z664">
        <f>IF(ISBLANK('Data Entry'!Z664), "", 'Data Entry'!Z664)</f>
      </c>
      <c r="AA664">
        <f>IF(ISBLANK('Data Entry'![664), "", 'Data Entry'![664)</f>
      </c>
      <c r="AB664">
        <f>IF(ISBLANK('Data Entry'!\664), "", 'Data Entry'!\664)</f>
      </c>
      <c r="AC664">
        <f>IF(ISBLANK('Data Entry'!]664), "", 'Data Entry'!]664)</f>
      </c>
      <c r="AD664">
        <f>IF(ISBLANK('Data Entry'!^664), "", 'Data Entry'!^664)</f>
      </c>
      <c r="AE664">
        <f>IF(ISBLANK('Data Entry'!_664), "", 'Data Entry'!_664)</f>
      </c>
      <c r="AF664">
        <f>IF(ISBLANK('Data Entry'!`664), "", 'Data Entry'!`664)</f>
      </c>
      <c r="AG664">
        <f>IF(ISBLANK('Data Entry'!a664), "", 'Data Entry'!a664)</f>
      </c>
      <c r="AH664">
        <f>IF(ISBLANK('Data Entry'!b664), "", 'Data Entry'!b664)</f>
      </c>
      <c r="AI664">
        <f>IF(ISBLANK('Data Entry'!c664), "", 'Data Entry'!c664)</f>
      </c>
      <c r="AJ664">
        <f>IF(ISBLANK('Data Entry'!d664), "", 'Data Entry'!d664)</f>
      </c>
      <c r="AK664">
        <f>IF(ISBLANK('Data Entry'!e664), "", 'Data Entry'!e664)</f>
      </c>
      <c r="AL664">
        <f>IF(ISBLANK('Data Entry'!f664), "", 'Data Entry'!f664)</f>
      </c>
      <c r="AM664">
        <f>IF(ISBLANK('Data Entry'!g664), "", 'Data Entry'!g664)</f>
      </c>
      <c r="AN664">
        <f>IF(ISBLANK('Data Entry'!h664), "", 'Data Entry'!h664)</f>
      </c>
    </row>
    <row r="665" spans="1:40" x14ac:dyDescent="0.25">
      <c r="A665">
        <f>IF(ISBLANK('Data Entry'!A665), "", 'Data Entry'!A665)</f>
      </c>
      <c r="B665">
        <f>IF(ISBLANK('Data Entry'!B665), "", 'Data Entry'!B665)</f>
      </c>
      <c r="C665">
        <f>IF(ISBLANK('Data Entry'!C665), "", 'Data Entry'!C665)</f>
      </c>
      <c r="D665">
        <f>IF(ISBLANK('Data Entry'!D665), "", 'Data Entry'!D665)</f>
      </c>
      <c r="E665">
        <f>IF(ISBLANK('Data Entry'!E665), "", 'Data Entry'!E665)</f>
      </c>
      <c r="F665">
        <f>IF(ISBLANK('Data Entry'!F665), "", 'Data Entry'!F665)</f>
      </c>
      <c r="G665">
        <f>IF(ISBLANK('Data Entry'!G665), "", 'Data Entry'!G665)</f>
      </c>
      <c r="H665">
        <f>IF(ISBLANK('Data Entry'!H665), "", 'Data Entry'!H665)</f>
      </c>
      <c r="I665">
        <f>IF(ISBLANK('Data Entry'!I665), "", 'Data Entry'!I665)</f>
      </c>
      <c r="J665">
        <f>IF(ISBLANK('Data Entry'!J665), "", 'Data Entry'!J665)</f>
      </c>
      <c r="K665">
        <f>IF(ISBLANK('Data Entry'!K665), "", 'Data Entry'!K665)</f>
      </c>
      <c r="L665">
        <f>IF(ISBLANK('Data Entry'!L665), "", 'Data Entry'!L665)</f>
      </c>
      <c r="M665">
        <f>IF(ISBLANK('Data Entry'!M665), "", 'Data Entry'!M665)</f>
      </c>
      <c r="N665">
        <f>IF(ISBLANK('Data Entry'!N665), "", 'Data Entry'!N665)</f>
      </c>
      <c r="O665">
        <f>IF(ISBLANK('Data Entry'!O665), "", 'Data Entry'!O665)</f>
      </c>
      <c r="P665">
        <f>IF(ISBLANK('Data Entry'!P665), "", 'Data Entry'!P665)</f>
      </c>
      <c r="Q665">
        <f>IF(ISBLANK('Data Entry'!Q665), "", 'Data Entry'!Q665)</f>
      </c>
      <c r="R665">
        <f>IF(ISBLANK('Data Entry'!R665), "", 'Data Entry'!R665)</f>
      </c>
      <c r="S665">
        <f>IF(ISBLANK('Data Entry'!S665), "", 'Data Entry'!S665)</f>
      </c>
      <c r="T665">
        <f>IF(ISBLANK('Data Entry'!T665), "", 'Data Entry'!T665)</f>
      </c>
      <c r="U665">
        <f>IF(ISBLANK('Data Entry'!U665), "", 'Data Entry'!U665)</f>
      </c>
      <c r="V665">
        <f>IF(ISBLANK('Data Entry'!V665), "", 'Data Entry'!V665)</f>
      </c>
      <c r="W665">
        <f>IF(ISBLANK('Data Entry'!W665), "", 'Data Entry'!W665)</f>
      </c>
      <c r="X665">
        <f>IF(ISBLANK('Data Entry'!X665), "", 'Data Entry'!X665)</f>
      </c>
      <c r="Y665">
        <f>IF(ISBLANK('Data Entry'!Y665), "", 'Data Entry'!Y665)</f>
      </c>
      <c r="Z665">
        <f>IF(ISBLANK('Data Entry'!Z665), "", 'Data Entry'!Z665)</f>
      </c>
      <c r="AA665">
        <f>IF(ISBLANK('Data Entry'![665), "", 'Data Entry'![665)</f>
      </c>
      <c r="AB665">
        <f>IF(ISBLANK('Data Entry'!\665), "", 'Data Entry'!\665)</f>
      </c>
      <c r="AC665">
        <f>IF(ISBLANK('Data Entry'!]665), "", 'Data Entry'!]665)</f>
      </c>
      <c r="AD665">
        <f>IF(ISBLANK('Data Entry'!^665), "", 'Data Entry'!^665)</f>
      </c>
      <c r="AE665">
        <f>IF(ISBLANK('Data Entry'!_665), "", 'Data Entry'!_665)</f>
      </c>
      <c r="AF665">
        <f>IF(ISBLANK('Data Entry'!`665), "", 'Data Entry'!`665)</f>
      </c>
      <c r="AG665">
        <f>IF(ISBLANK('Data Entry'!a665), "", 'Data Entry'!a665)</f>
      </c>
      <c r="AH665">
        <f>IF(ISBLANK('Data Entry'!b665), "", 'Data Entry'!b665)</f>
      </c>
      <c r="AI665">
        <f>IF(ISBLANK('Data Entry'!c665), "", 'Data Entry'!c665)</f>
      </c>
      <c r="AJ665">
        <f>IF(ISBLANK('Data Entry'!d665), "", 'Data Entry'!d665)</f>
      </c>
      <c r="AK665">
        <f>IF(ISBLANK('Data Entry'!e665), "", 'Data Entry'!e665)</f>
      </c>
      <c r="AL665">
        <f>IF(ISBLANK('Data Entry'!f665), "", 'Data Entry'!f665)</f>
      </c>
      <c r="AM665">
        <f>IF(ISBLANK('Data Entry'!g665), "", 'Data Entry'!g665)</f>
      </c>
      <c r="AN665">
        <f>IF(ISBLANK('Data Entry'!h665), "", 'Data Entry'!h665)</f>
      </c>
    </row>
    <row r="666" spans="1:40" x14ac:dyDescent="0.25">
      <c r="A666">
        <f>IF(ISBLANK('Data Entry'!A666), "", 'Data Entry'!A666)</f>
      </c>
      <c r="B666">
        <f>IF(ISBLANK('Data Entry'!B666), "", 'Data Entry'!B666)</f>
      </c>
      <c r="C666">
        <f>IF(ISBLANK('Data Entry'!C666), "", 'Data Entry'!C666)</f>
      </c>
      <c r="D666">
        <f>IF(ISBLANK('Data Entry'!D666), "", 'Data Entry'!D666)</f>
      </c>
      <c r="E666">
        <f>IF(ISBLANK('Data Entry'!E666), "", 'Data Entry'!E666)</f>
      </c>
      <c r="F666">
        <f>IF(ISBLANK('Data Entry'!F666), "", 'Data Entry'!F666)</f>
      </c>
      <c r="G666">
        <f>IF(ISBLANK('Data Entry'!G666), "", 'Data Entry'!G666)</f>
      </c>
      <c r="H666">
        <f>IF(ISBLANK('Data Entry'!H666), "", 'Data Entry'!H666)</f>
      </c>
      <c r="I666">
        <f>IF(ISBLANK('Data Entry'!I666), "", 'Data Entry'!I666)</f>
      </c>
      <c r="J666">
        <f>IF(ISBLANK('Data Entry'!J666), "", 'Data Entry'!J666)</f>
      </c>
      <c r="K666">
        <f>IF(ISBLANK('Data Entry'!K666), "", 'Data Entry'!K666)</f>
      </c>
      <c r="L666">
        <f>IF(ISBLANK('Data Entry'!L666), "", 'Data Entry'!L666)</f>
      </c>
      <c r="M666">
        <f>IF(ISBLANK('Data Entry'!M666), "", 'Data Entry'!M666)</f>
      </c>
      <c r="N666">
        <f>IF(ISBLANK('Data Entry'!N666), "", 'Data Entry'!N666)</f>
      </c>
      <c r="O666">
        <f>IF(ISBLANK('Data Entry'!O666), "", 'Data Entry'!O666)</f>
      </c>
      <c r="P666">
        <f>IF(ISBLANK('Data Entry'!P666), "", 'Data Entry'!P666)</f>
      </c>
      <c r="Q666">
        <f>IF(ISBLANK('Data Entry'!Q666), "", 'Data Entry'!Q666)</f>
      </c>
      <c r="R666">
        <f>IF(ISBLANK('Data Entry'!R666), "", 'Data Entry'!R666)</f>
      </c>
      <c r="S666">
        <f>IF(ISBLANK('Data Entry'!S666), "", 'Data Entry'!S666)</f>
      </c>
      <c r="T666">
        <f>IF(ISBLANK('Data Entry'!T666), "", 'Data Entry'!T666)</f>
      </c>
      <c r="U666">
        <f>IF(ISBLANK('Data Entry'!U666), "", 'Data Entry'!U666)</f>
      </c>
      <c r="V666">
        <f>IF(ISBLANK('Data Entry'!V666), "", 'Data Entry'!V666)</f>
      </c>
      <c r="W666">
        <f>IF(ISBLANK('Data Entry'!W666), "", 'Data Entry'!W666)</f>
      </c>
      <c r="X666">
        <f>IF(ISBLANK('Data Entry'!X666), "", 'Data Entry'!X666)</f>
      </c>
      <c r="Y666">
        <f>IF(ISBLANK('Data Entry'!Y666), "", 'Data Entry'!Y666)</f>
      </c>
      <c r="Z666">
        <f>IF(ISBLANK('Data Entry'!Z666), "", 'Data Entry'!Z666)</f>
      </c>
      <c r="AA666">
        <f>IF(ISBLANK('Data Entry'![666), "", 'Data Entry'![666)</f>
      </c>
      <c r="AB666">
        <f>IF(ISBLANK('Data Entry'!\666), "", 'Data Entry'!\666)</f>
      </c>
      <c r="AC666">
        <f>IF(ISBLANK('Data Entry'!]666), "", 'Data Entry'!]666)</f>
      </c>
      <c r="AD666">
        <f>IF(ISBLANK('Data Entry'!^666), "", 'Data Entry'!^666)</f>
      </c>
      <c r="AE666">
        <f>IF(ISBLANK('Data Entry'!_666), "", 'Data Entry'!_666)</f>
      </c>
      <c r="AF666">
        <f>IF(ISBLANK('Data Entry'!`666), "", 'Data Entry'!`666)</f>
      </c>
      <c r="AG666">
        <f>IF(ISBLANK('Data Entry'!a666), "", 'Data Entry'!a666)</f>
      </c>
      <c r="AH666">
        <f>IF(ISBLANK('Data Entry'!b666), "", 'Data Entry'!b666)</f>
      </c>
      <c r="AI666">
        <f>IF(ISBLANK('Data Entry'!c666), "", 'Data Entry'!c666)</f>
      </c>
      <c r="AJ666">
        <f>IF(ISBLANK('Data Entry'!d666), "", 'Data Entry'!d666)</f>
      </c>
      <c r="AK666">
        <f>IF(ISBLANK('Data Entry'!e666), "", 'Data Entry'!e666)</f>
      </c>
      <c r="AL666">
        <f>IF(ISBLANK('Data Entry'!f666), "", 'Data Entry'!f666)</f>
      </c>
      <c r="AM666">
        <f>IF(ISBLANK('Data Entry'!g666), "", 'Data Entry'!g666)</f>
      </c>
      <c r="AN666">
        <f>IF(ISBLANK('Data Entry'!h666), "", 'Data Entry'!h666)</f>
      </c>
    </row>
    <row r="667" spans="1:40" x14ac:dyDescent="0.25">
      <c r="A667">
        <f>IF(ISBLANK('Data Entry'!A667), "", 'Data Entry'!A667)</f>
      </c>
      <c r="B667">
        <f>IF(ISBLANK('Data Entry'!B667), "", 'Data Entry'!B667)</f>
      </c>
      <c r="C667">
        <f>IF(ISBLANK('Data Entry'!C667), "", 'Data Entry'!C667)</f>
      </c>
      <c r="D667">
        <f>IF(ISBLANK('Data Entry'!D667), "", 'Data Entry'!D667)</f>
      </c>
      <c r="E667">
        <f>IF(ISBLANK('Data Entry'!E667), "", 'Data Entry'!E667)</f>
      </c>
      <c r="F667">
        <f>IF(ISBLANK('Data Entry'!F667), "", 'Data Entry'!F667)</f>
      </c>
      <c r="G667">
        <f>IF(ISBLANK('Data Entry'!G667), "", 'Data Entry'!G667)</f>
      </c>
      <c r="H667">
        <f>IF(ISBLANK('Data Entry'!H667), "", 'Data Entry'!H667)</f>
      </c>
      <c r="I667">
        <f>IF(ISBLANK('Data Entry'!I667), "", 'Data Entry'!I667)</f>
      </c>
      <c r="J667">
        <f>IF(ISBLANK('Data Entry'!J667), "", 'Data Entry'!J667)</f>
      </c>
      <c r="K667">
        <f>IF(ISBLANK('Data Entry'!K667), "", 'Data Entry'!K667)</f>
      </c>
      <c r="L667">
        <f>IF(ISBLANK('Data Entry'!L667), "", 'Data Entry'!L667)</f>
      </c>
      <c r="M667">
        <f>IF(ISBLANK('Data Entry'!M667), "", 'Data Entry'!M667)</f>
      </c>
      <c r="N667">
        <f>IF(ISBLANK('Data Entry'!N667), "", 'Data Entry'!N667)</f>
      </c>
      <c r="O667">
        <f>IF(ISBLANK('Data Entry'!O667), "", 'Data Entry'!O667)</f>
      </c>
      <c r="P667">
        <f>IF(ISBLANK('Data Entry'!P667), "", 'Data Entry'!P667)</f>
      </c>
      <c r="Q667">
        <f>IF(ISBLANK('Data Entry'!Q667), "", 'Data Entry'!Q667)</f>
      </c>
      <c r="R667">
        <f>IF(ISBLANK('Data Entry'!R667), "", 'Data Entry'!R667)</f>
      </c>
      <c r="S667">
        <f>IF(ISBLANK('Data Entry'!S667), "", 'Data Entry'!S667)</f>
      </c>
      <c r="T667">
        <f>IF(ISBLANK('Data Entry'!T667), "", 'Data Entry'!T667)</f>
      </c>
      <c r="U667">
        <f>IF(ISBLANK('Data Entry'!U667), "", 'Data Entry'!U667)</f>
      </c>
      <c r="V667">
        <f>IF(ISBLANK('Data Entry'!V667), "", 'Data Entry'!V667)</f>
      </c>
      <c r="W667">
        <f>IF(ISBLANK('Data Entry'!W667), "", 'Data Entry'!W667)</f>
      </c>
      <c r="X667">
        <f>IF(ISBLANK('Data Entry'!X667), "", 'Data Entry'!X667)</f>
      </c>
      <c r="Y667">
        <f>IF(ISBLANK('Data Entry'!Y667), "", 'Data Entry'!Y667)</f>
      </c>
      <c r="Z667">
        <f>IF(ISBLANK('Data Entry'!Z667), "", 'Data Entry'!Z667)</f>
      </c>
      <c r="AA667">
        <f>IF(ISBLANK('Data Entry'![667), "", 'Data Entry'![667)</f>
      </c>
      <c r="AB667">
        <f>IF(ISBLANK('Data Entry'!\667), "", 'Data Entry'!\667)</f>
      </c>
      <c r="AC667">
        <f>IF(ISBLANK('Data Entry'!]667), "", 'Data Entry'!]667)</f>
      </c>
      <c r="AD667">
        <f>IF(ISBLANK('Data Entry'!^667), "", 'Data Entry'!^667)</f>
      </c>
      <c r="AE667">
        <f>IF(ISBLANK('Data Entry'!_667), "", 'Data Entry'!_667)</f>
      </c>
      <c r="AF667">
        <f>IF(ISBLANK('Data Entry'!`667), "", 'Data Entry'!`667)</f>
      </c>
      <c r="AG667">
        <f>IF(ISBLANK('Data Entry'!a667), "", 'Data Entry'!a667)</f>
      </c>
      <c r="AH667">
        <f>IF(ISBLANK('Data Entry'!b667), "", 'Data Entry'!b667)</f>
      </c>
      <c r="AI667">
        <f>IF(ISBLANK('Data Entry'!c667), "", 'Data Entry'!c667)</f>
      </c>
      <c r="AJ667">
        <f>IF(ISBLANK('Data Entry'!d667), "", 'Data Entry'!d667)</f>
      </c>
      <c r="AK667">
        <f>IF(ISBLANK('Data Entry'!e667), "", 'Data Entry'!e667)</f>
      </c>
      <c r="AL667">
        <f>IF(ISBLANK('Data Entry'!f667), "", 'Data Entry'!f667)</f>
      </c>
      <c r="AM667">
        <f>IF(ISBLANK('Data Entry'!g667), "", 'Data Entry'!g667)</f>
      </c>
      <c r="AN667">
        <f>IF(ISBLANK('Data Entry'!h667), "", 'Data Entry'!h667)</f>
      </c>
    </row>
    <row r="668" spans="1:40" x14ac:dyDescent="0.25">
      <c r="A668">
        <f>IF(ISBLANK('Data Entry'!A668), "", 'Data Entry'!A668)</f>
      </c>
      <c r="B668">
        <f>IF(ISBLANK('Data Entry'!B668), "", 'Data Entry'!B668)</f>
      </c>
      <c r="C668">
        <f>IF(ISBLANK('Data Entry'!C668), "", 'Data Entry'!C668)</f>
      </c>
      <c r="D668">
        <f>IF(ISBLANK('Data Entry'!D668), "", 'Data Entry'!D668)</f>
      </c>
      <c r="E668">
        <f>IF(ISBLANK('Data Entry'!E668), "", 'Data Entry'!E668)</f>
      </c>
      <c r="F668">
        <f>IF(ISBLANK('Data Entry'!F668), "", 'Data Entry'!F668)</f>
      </c>
      <c r="G668">
        <f>IF(ISBLANK('Data Entry'!G668), "", 'Data Entry'!G668)</f>
      </c>
      <c r="H668">
        <f>IF(ISBLANK('Data Entry'!H668), "", 'Data Entry'!H668)</f>
      </c>
      <c r="I668">
        <f>IF(ISBLANK('Data Entry'!I668), "", 'Data Entry'!I668)</f>
      </c>
      <c r="J668">
        <f>IF(ISBLANK('Data Entry'!J668), "", 'Data Entry'!J668)</f>
      </c>
      <c r="K668">
        <f>IF(ISBLANK('Data Entry'!K668), "", 'Data Entry'!K668)</f>
      </c>
      <c r="L668">
        <f>IF(ISBLANK('Data Entry'!L668), "", 'Data Entry'!L668)</f>
      </c>
      <c r="M668">
        <f>IF(ISBLANK('Data Entry'!M668), "", 'Data Entry'!M668)</f>
      </c>
      <c r="N668">
        <f>IF(ISBLANK('Data Entry'!N668), "", 'Data Entry'!N668)</f>
      </c>
      <c r="O668">
        <f>IF(ISBLANK('Data Entry'!O668), "", 'Data Entry'!O668)</f>
      </c>
      <c r="P668">
        <f>IF(ISBLANK('Data Entry'!P668), "", 'Data Entry'!P668)</f>
      </c>
      <c r="Q668">
        <f>IF(ISBLANK('Data Entry'!Q668), "", 'Data Entry'!Q668)</f>
      </c>
      <c r="R668">
        <f>IF(ISBLANK('Data Entry'!R668), "", 'Data Entry'!R668)</f>
      </c>
      <c r="S668">
        <f>IF(ISBLANK('Data Entry'!S668), "", 'Data Entry'!S668)</f>
      </c>
      <c r="T668">
        <f>IF(ISBLANK('Data Entry'!T668), "", 'Data Entry'!T668)</f>
      </c>
      <c r="U668">
        <f>IF(ISBLANK('Data Entry'!U668), "", 'Data Entry'!U668)</f>
      </c>
      <c r="V668">
        <f>IF(ISBLANK('Data Entry'!V668), "", 'Data Entry'!V668)</f>
      </c>
      <c r="W668">
        <f>IF(ISBLANK('Data Entry'!W668), "", 'Data Entry'!W668)</f>
      </c>
      <c r="X668">
        <f>IF(ISBLANK('Data Entry'!X668), "", 'Data Entry'!X668)</f>
      </c>
      <c r="Y668">
        <f>IF(ISBLANK('Data Entry'!Y668), "", 'Data Entry'!Y668)</f>
      </c>
      <c r="Z668">
        <f>IF(ISBLANK('Data Entry'!Z668), "", 'Data Entry'!Z668)</f>
      </c>
      <c r="AA668">
        <f>IF(ISBLANK('Data Entry'![668), "", 'Data Entry'![668)</f>
      </c>
      <c r="AB668">
        <f>IF(ISBLANK('Data Entry'!\668), "", 'Data Entry'!\668)</f>
      </c>
      <c r="AC668">
        <f>IF(ISBLANK('Data Entry'!]668), "", 'Data Entry'!]668)</f>
      </c>
      <c r="AD668">
        <f>IF(ISBLANK('Data Entry'!^668), "", 'Data Entry'!^668)</f>
      </c>
      <c r="AE668">
        <f>IF(ISBLANK('Data Entry'!_668), "", 'Data Entry'!_668)</f>
      </c>
      <c r="AF668">
        <f>IF(ISBLANK('Data Entry'!`668), "", 'Data Entry'!`668)</f>
      </c>
      <c r="AG668">
        <f>IF(ISBLANK('Data Entry'!a668), "", 'Data Entry'!a668)</f>
      </c>
      <c r="AH668">
        <f>IF(ISBLANK('Data Entry'!b668), "", 'Data Entry'!b668)</f>
      </c>
      <c r="AI668">
        <f>IF(ISBLANK('Data Entry'!c668), "", 'Data Entry'!c668)</f>
      </c>
      <c r="AJ668">
        <f>IF(ISBLANK('Data Entry'!d668), "", 'Data Entry'!d668)</f>
      </c>
      <c r="AK668">
        <f>IF(ISBLANK('Data Entry'!e668), "", 'Data Entry'!e668)</f>
      </c>
      <c r="AL668">
        <f>IF(ISBLANK('Data Entry'!f668), "", 'Data Entry'!f668)</f>
      </c>
      <c r="AM668">
        <f>IF(ISBLANK('Data Entry'!g668), "", 'Data Entry'!g668)</f>
      </c>
      <c r="AN668">
        <f>IF(ISBLANK('Data Entry'!h668), "", 'Data Entry'!h668)</f>
      </c>
    </row>
    <row r="669" spans="1:40" x14ac:dyDescent="0.25">
      <c r="A669">
        <f>IF(ISBLANK('Data Entry'!A669), "", 'Data Entry'!A669)</f>
      </c>
      <c r="B669">
        <f>IF(ISBLANK('Data Entry'!B669), "", 'Data Entry'!B669)</f>
      </c>
      <c r="C669">
        <f>IF(ISBLANK('Data Entry'!C669), "", 'Data Entry'!C669)</f>
      </c>
      <c r="D669">
        <f>IF(ISBLANK('Data Entry'!D669), "", 'Data Entry'!D669)</f>
      </c>
      <c r="E669">
        <f>IF(ISBLANK('Data Entry'!E669), "", 'Data Entry'!E669)</f>
      </c>
      <c r="F669">
        <f>IF(ISBLANK('Data Entry'!F669), "", 'Data Entry'!F669)</f>
      </c>
      <c r="G669">
        <f>IF(ISBLANK('Data Entry'!G669), "", 'Data Entry'!G669)</f>
      </c>
      <c r="H669">
        <f>IF(ISBLANK('Data Entry'!H669), "", 'Data Entry'!H669)</f>
      </c>
      <c r="I669">
        <f>IF(ISBLANK('Data Entry'!I669), "", 'Data Entry'!I669)</f>
      </c>
      <c r="J669">
        <f>IF(ISBLANK('Data Entry'!J669), "", 'Data Entry'!J669)</f>
      </c>
      <c r="K669">
        <f>IF(ISBLANK('Data Entry'!K669), "", 'Data Entry'!K669)</f>
      </c>
      <c r="L669">
        <f>IF(ISBLANK('Data Entry'!L669), "", 'Data Entry'!L669)</f>
      </c>
      <c r="M669">
        <f>IF(ISBLANK('Data Entry'!M669), "", 'Data Entry'!M669)</f>
      </c>
      <c r="N669">
        <f>IF(ISBLANK('Data Entry'!N669), "", 'Data Entry'!N669)</f>
      </c>
      <c r="O669">
        <f>IF(ISBLANK('Data Entry'!O669), "", 'Data Entry'!O669)</f>
      </c>
      <c r="P669">
        <f>IF(ISBLANK('Data Entry'!P669), "", 'Data Entry'!P669)</f>
      </c>
      <c r="Q669">
        <f>IF(ISBLANK('Data Entry'!Q669), "", 'Data Entry'!Q669)</f>
      </c>
      <c r="R669">
        <f>IF(ISBLANK('Data Entry'!R669), "", 'Data Entry'!R669)</f>
      </c>
      <c r="S669">
        <f>IF(ISBLANK('Data Entry'!S669), "", 'Data Entry'!S669)</f>
      </c>
      <c r="T669">
        <f>IF(ISBLANK('Data Entry'!T669), "", 'Data Entry'!T669)</f>
      </c>
      <c r="U669">
        <f>IF(ISBLANK('Data Entry'!U669), "", 'Data Entry'!U669)</f>
      </c>
      <c r="V669">
        <f>IF(ISBLANK('Data Entry'!V669), "", 'Data Entry'!V669)</f>
      </c>
      <c r="W669">
        <f>IF(ISBLANK('Data Entry'!W669), "", 'Data Entry'!W669)</f>
      </c>
      <c r="X669">
        <f>IF(ISBLANK('Data Entry'!X669), "", 'Data Entry'!X669)</f>
      </c>
      <c r="Y669">
        <f>IF(ISBLANK('Data Entry'!Y669), "", 'Data Entry'!Y669)</f>
      </c>
      <c r="Z669">
        <f>IF(ISBLANK('Data Entry'!Z669), "", 'Data Entry'!Z669)</f>
      </c>
      <c r="AA669">
        <f>IF(ISBLANK('Data Entry'![669), "", 'Data Entry'![669)</f>
      </c>
      <c r="AB669">
        <f>IF(ISBLANK('Data Entry'!\669), "", 'Data Entry'!\669)</f>
      </c>
      <c r="AC669">
        <f>IF(ISBLANK('Data Entry'!]669), "", 'Data Entry'!]669)</f>
      </c>
      <c r="AD669">
        <f>IF(ISBLANK('Data Entry'!^669), "", 'Data Entry'!^669)</f>
      </c>
      <c r="AE669">
        <f>IF(ISBLANK('Data Entry'!_669), "", 'Data Entry'!_669)</f>
      </c>
      <c r="AF669">
        <f>IF(ISBLANK('Data Entry'!`669), "", 'Data Entry'!`669)</f>
      </c>
      <c r="AG669">
        <f>IF(ISBLANK('Data Entry'!a669), "", 'Data Entry'!a669)</f>
      </c>
      <c r="AH669">
        <f>IF(ISBLANK('Data Entry'!b669), "", 'Data Entry'!b669)</f>
      </c>
      <c r="AI669">
        <f>IF(ISBLANK('Data Entry'!c669), "", 'Data Entry'!c669)</f>
      </c>
      <c r="AJ669">
        <f>IF(ISBLANK('Data Entry'!d669), "", 'Data Entry'!d669)</f>
      </c>
      <c r="AK669">
        <f>IF(ISBLANK('Data Entry'!e669), "", 'Data Entry'!e669)</f>
      </c>
      <c r="AL669">
        <f>IF(ISBLANK('Data Entry'!f669), "", 'Data Entry'!f669)</f>
      </c>
      <c r="AM669">
        <f>IF(ISBLANK('Data Entry'!g669), "", 'Data Entry'!g669)</f>
      </c>
      <c r="AN669">
        <f>IF(ISBLANK('Data Entry'!h669), "", 'Data Entry'!h669)</f>
      </c>
    </row>
    <row r="670" spans="1:40" x14ac:dyDescent="0.25">
      <c r="A670">
        <f>IF(ISBLANK('Data Entry'!A670), "", 'Data Entry'!A670)</f>
      </c>
      <c r="B670">
        <f>IF(ISBLANK('Data Entry'!B670), "", 'Data Entry'!B670)</f>
      </c>
      <c r="C670">
        <f>IF(ISBLANK('Data Entry'!C670), "", 'Data Entry'!C670)</f>
      </c>
      <c r="D670">
        <f>IF(ISBLANK('Data Entry'!D670), "", 'Data Entry'!D670)</f>
      </c>
      <c r="E670">
        <f>IF(ISBLANK('Data Entry'!E670), "", 'Data Entry'!E670)</f>
      </c>
      <c r="F670">
        <f>IF(ISBLANK('Data Entry'!F670), "", 'Data Entry'!F670)</f>
      </c>
      <c r="G670">
        <f>IF(ISBLANK('Data Entry'!G670), "", 'Data Entry'!G670)</f>
      </c>
      <c r="H670">
        <f>IF(ISBLANK('Data Entry'!H670), "", 'Data Entry'!H670)</f>
      </c>
      <c r="I670">
        <f>IF(ISBLANK('Data Entry'!I670), "", 'Data Entry'!I670)</f>
      </c>
      <c r="J670">
        <f>IF(ISBLANK('Data Entry'!J670), "", 'Data Entry'!J670)</f>
      </c>
      <c r="K670">
        <f>IF(ISBLANK('Data Entry'!K670), "", 'Data Entry'!K670)</f>
      </c>
      <c r="L670">
        <f>IF(ISBLANK('Data Entry'!L670), "", 'Data Entry'!L670)</f>
      </c>
      <c r="M670">
        <f>IF(ISBLANK('Data Entry'!M670), "", 'Data Entry'!M670)</f>
      </c>
      <c r="N670">
        <f>IF(ISBLANK('Data Entry'!N670), "", 'Data Entry'!N670)</f>
      </c>
      <c r="O670">
        <f>IF(ISBLANK('Data Entry'!O670), "", 'Data Entry'!O670)</f>
      </c>
      <c r="P670">
        <f>IF(ISBLANK('Data Entry'!P670), "", 'Data Entry'!P670)</f>
      </c>
      <c r="Q670">
        <f>IF(ISBLANK('Data Entry'!Q670), "", 'Data Entry'!Q670)</f>
      </c>
      <c r="R670">
        <f>IF(ISBLANK('Data Entry'!R670), "", 'Data Entry'!R670)</f>
      </c>
      <c r="S670">
        <f>IF(ISBLANK('Data Entry'!S670), "", 'Data Entry'!S670)</f>
      </c>
      <c r="T670">
        <f>IF(ISBLANK('Data Entry'!T670), "", 'Data Entry'!T670)</f>
      </c>
      <c r="U670">
        <f>IF(ISBLANK('Data Entry'!U670), "", 'Data Entry'!U670)</f>
      </c>
      <c r="V670">
        <f>IF(ISBLANK('Data Entry'!V670), "", 'Data Entry'!V670)</f>
      </c>
      <c r="W670">
        <f>IF(ISBLANK('Data Entry'!W670), "", 'Data Entry'!W670)</f>
      </c>
      <c r="X670">
        <f>IF(ISBLANK('Data Entry'!X670), "", 'Data Entry'!X670)</f>
      </c>
      <c r="Y670">
        <f>IF(ISBLANK('Data Entry'!Y670), "", 'Data Entry'!Y670)</f>
      </c>
      <c r="Z670">
        <f>IF(ISBLANK('Data Entry'!Z670), "", 'Data Entry'!Z670)</f>
      </c>
      <c r="AA670">
        <f>IF(ISBLANK('Data Entry'![670), "", 'Data Entry'![670)</f>
      </c>
      <c r="AB670">
        <f>IF(ISBLANK('Data Entry'!\670), "", 'Data Entry'!\670)</f>
      </c>
      <c r="AC670">
        <f>IF(ISBLANK('Data Entry'!]670), "", 'Data Entry'!]670)</f>
      </c>
      <c r="AD670">
        <f>IF(ISBLANK('Data Entry'!^670), "", 'Data Entry'!^670)</f>
      </c>
      <c r="AE670">
        <f>IF(ISBLANK('Data Entry'!_670), "", 'Data Entry'!_670)</f>
      </c>
      <c r="AF670">
        <f>IF(ISBLANK('Data Entry'!`670), "", 'Data Entry'!`670)</f>
      </c>
      <c r="AG670">
        <f>IF(ISBLANK('Data Entry'!a670), "", 'Data Entry'!a670)</f>
      </c>
      <c r="AH670">
        <f>IF(ISBLANK('Data Entry'!b670), "", 'Data Entry'!b670)</f>
      </c>
      <c r="AI670">
        <f>IF(ISBLANK('Data Entry'!c670), "", 'Data Entry'!c670)</f>
      </c>
      <c r="AJ670">
        <f>IF(ISBLANK('Data Entry'!d670), "", 'Data Entry'!d670)</f>
      </c>
      <c r="AK670">
        <f>IF(ISBLANK('Data Entry'!e670), "", 'Data Entry'!e670)</f>
      </c>
      <c r="AL670">
        <f>IF(ISBLANK('Data Entry'!f670), "", 'Data Entry'!f670)</f>
      </c>
      <c r="AM670">
        <f>IF(ISBLANK('Data Entry'!g670), "", 'Data Entry'!g670)</f>
      </c>
      <c r="AN670">
        <f>IF(ISBLANK('Data Entry'!h670), "", 'Data Entry'!h670)</f>
      </c>
    </row>
    <row r="671" spans="1:40" x14ac:dyDescent="0.25">
      <c r="A671">
        <f>IF(ISBLANK('Data Entry'!A671), "", 'Data Entry'!A671)</f>
      </c>
      <c r="B671">
        <f>IF(ISBLANK('Data Entry'!B671), "", 'Data Entry'!B671)</f>
      </c>
      <c r="C671">
        <f>IF(ISBLANK('Data Entry'!C671), "", 'Data Entry'!C671)</f>
      </c>
      <c r="D671">
        <f>IF(ISBLANK('Data Entry'!D671), "", 'Data Entry'!D671)</f>
      </c>
      <c r="E671">
        <f>IF(ISBLANK('Data Entry'!E671), "", 'Data Entry'!E671)</f>
      </c>
      <c r="F671">
        <f>IF(ISBLANK('Data Entry'!F671), "", 'Data Entry'!F671)</f>
      </c>
      <c r="G671">
        <f>IF(ISBLANK('Data Entry'!G671), "", 'Data Entry'!G671)</f>
      </c>
      <c r="H671">
        <f>IF(ISBLANK('Data Entry'!H671), "", 'Data Entry'!H671)</f>
      </c>
      <c r="I671">
        <f>IF(ISBLANK('Data Entry'!I671), "", 'Data Entry'!I671)</f>
      </c>
      <c r="J671">
        <f>IF(ISBLANK('Data Entry'!J671), "", 'Data Entry'!J671)</f>
      </c>
      <c r="K671">
        <f>IF(ISBLANK('Data Entry'!K671), "", 'Data Entry'!K671)</f>
      </c>
      <c r="L671">
        <f>IF(ISBLANK('Data Entry'!L671), "", 'Data Entry'!L671)</f>
      </c>
      <c r="M671">
        <f>IF(ISBLANK('Data Entry'!M671), "", 'Data Entry'!M671)</f>
      </c>
      <c r="N671">
        <f>IF(ISBLANK('Data Entry'!N671), "", 'Data Entry'!N671)</f>
      </c>
      <c r="O671">
        <f>IF(ISBLANK('Data Entry'!O671), "", 'Data Entry'!O671)</f>
      </c>
      <c r="P671">
        <f>IF(ISBLANK('Data Entry'!P671), "", 'Data Entry'!P671)</f>
      </c>
      <c r="Q671">
        <f>IF(ISBLANK('Data Entry'!Q671), "", 'Data Entry'!Q671)</f>
      </c>
      <c r="R671">
        <f>IF(ISBLANK('Data Entry'!R671), "", 'Data Entry'!R671)</f>
      </c>
      <c r="S671">
        <f>IF(ISBLANK('Data Entry'!S671), "", 'Data Entry'!S671)</f>
      </c>
      <c r="T671">
        <f>IF(ISBLANK('Data Entry'!T671), "", 'Data Entry'!T671)</f>
      </c>
      <c r="U671">
        <f>IF(ISBLANK('Data Entry'!U671), "", 'Data Entry'!U671)</f>
      </c>
      <c r="V671">
        <f>IF(ISBLANK('Data Entry'!V671), "", 'Data Entry'!V671)</f>
      </c>
      <c r="W671">
        <f>IF(ISBLANK('Data Entry'!W671), "", 'Data Entry'!W671)</f>
      </c>
      <c r="X671">
        <f>IF(ISBLANK('Data Entry'!X671), "", 'Data Entry'!X671)</f>
      </c>
      <c r="Y671">
        <f>IF(ISBLANK('Data Entry'!Y671), "", 'Data Entry'!Y671)</f>
      </c>
      <c r="Z671">
        <f>IF(ISBLANK('Data Entry'!Z671), "", 'Data Entry'!Z671)</f>
      </c>
      <c r="AA671">
        <f>IF(ISBLANK('Data Entry'![671), "", 'Data Entry'![671)</f>
      </c>
      <c r="AB671">
        <f>IF(ISBLANK('Data Entry'!\671), "", 'Data Entry'!\671)</f>
      </c>
      <c r="AC671">
        <f>IF(ISBLANK('Data Entry'!]671), "", 'Data Entry'!]671)</f>
      </c>
      <c r="AD671">
        <f>IF(ISBLANK('Data Entry'!^671), "", 'Data Entry'!^671)</f>
      </c>
      <c r="AE671">
        <f>IF(ISBLANK('Data Entry'!_671), "", 'Data Entry'!_671)</f>
      </c>
      <c r="AF671">
        <f>IF(ISBLANK('Data Entry'!`671), "", 'Data Entry'!`671)</f>
      </c>
      <c r="AG671">
        <f>IF(ISBLANK('Data Entry'!a671), "", 'Data Entry'!a671)</f>
      </c>
      <c r="AH671">
        <f>IF(ISBLANK('Data Entry'!b671), "", 'Data Entry'!b671)</f>
      </c>
      <c r="AI671">
        <f>IF(ISBLANK('Data Entry'!c671), "", 'Data Entry'!c671)</f>
      </c>
      <c r="AJ671">
        <f>IF(ISBLANK('Data Entry'!d671), "", 'Data Entry'!d671)</f>
      </c>
      <c r="AK671">
        <f>IF(ISBLANK('Data Entry'!e671), "", 'Data Entry'!e671)</f>
      </c>
      <c r="AL671">
        <f>IF(ISBLANK('Data Entry'!f671), "", 'Data Entry'!f671)</f>
      </c>
      <c r="AM671">
        <f>IF(ISBLANK('Data Entry'!g671), "", 'Data Entry'!g671)</f>
      </c>
      <c r="AN671">
        <f>IF(ISBLANK('Data Entry'!h671), "", 'Data Entry'!h671)</f>
      </c>
    </row>
    <row r="672" spans="1:40" x14ac:dyDescent="0.25">
      <c r="A672">
        <f>IF(ISBLANK('Data Entry'!A672), "", 'Data Entry'!A672)</f>
      </c>
      <c r="B672">
        <f>IF(ISBLANK('Data Entry'!B672), "", 'Data Entry'!B672)</f>
      </c>
      <c r="C672">
        <f>IF(ISBLANK('Data Entry'!C672), "", 'Data Entry'!C672)</f>
      </c>
      <c r="D672">
        <f>IF(ISBLANK('Data Entry'!D672), "", 'Data Entry'!D672)</f>
      </c>
      <c r="E672">
        <f>IF(ISBLANK('Data Entry'!E672), "", 'Data Entry'!E672)</f>
      </c>
      <c r="F672">
        <f>IF(ISBLANK('Data Entry'!F672), "", 'Data Entry'!F672)</f>
      </c>
      <c r="G672">
        <f>IF(ISBLANK('Data Entry'!G672), "", 'Data Entry'!G672)</f>
      </c>
      <c r="H672">
        <f>IF(ISBLANK('Data Entry'!H672), "", 'Data Entry'!H672)</f>
      </c>
      <c r="I672">
        <f>IF(ISBLANK('Data Entry'!I672), "", 'Data Entry'!I672)</f>
      </c>
      <c r="J672">
        <f>IF(ISBLANK('Data Entry'!J672), "", 'Data Entry'!J672)</f>
      </c>
      <c r="K672">
        <f>IF(ISBLANK('Data Entry'!K672), "", 'Data Entry'!K672)</f>
      </c>
      <c r="L672">
        <f>IF(ISBLANK('Data Entry'!L672), "", 'Data Entry'!L672)</f>
      </c>
      <c r="M672">
        <f>IF(ISBLANK('Data Entry'!M672), "", 'Data Entry'!M672)</f>
      </c>
      <c r="N672">
        <f>IF(ISBLANK('Data Entry'!N672), "", 'Data Entry'!N672)</f>
      </c>
      <c r="O672">
        <f>IF(ISBLANK('Data Entry'!O672), "", 'Data Entry'!O672)</f>
      </c>
      <c r="P672">
        <f>IF(ISBLANK('Data Entry'!P672), "", 'Data Entry'!P672)</f>
      </c>
      <c r="Q672">
        <f>IF(ISBLANK('Data Entry'!Q672), "", 'Data Entry'!Q672)</f>
      </c>
      <c r="R672">
        <f>IF(ISBLANK('Data Entry'!R672), "", 'Data Entry'!R672)</f>
      </c>
      <c r="S672">
        <f>IF(ISBLANK('Data Entry'!S672), "", 'Data Entry'!S672)</f>
      </c>
      <c r="T672">
        <f>IF(ISBLANK('Data Entry'!T672), "", 'Data Entry'!T672)</f>
      </c>
      <c r="U672">
        <f>IF(ISBLANK('Data Entry'!U672), "", 'Data Entry'!U672)</f>
      </c>
      <c r="V672">
        <f>IF(ISBLANK('Data Entry'!V672), "", 'Data Entry'!V672)</f>
      </c>
      <c r="W672">
        <f>IF(ISBLANK('Data Entry'!W672), "", 'Data Entry'!W672)</f>
      </c>
      <c r="X672">
        <f>IF(ISBLANK('Data Entry'!X672), "", 'Data Entry'!X672)</f>
      </c>
      <c r="Y672">
        <f>IF(ISBLANK('Data Entry'!Y672), "", 'Data Entry'!Y672)</f>
      </c>
      <c r="Z672">
        <f>IF(ISBLANK('Data Entry'!Z672), "", 'Data Entry'!Z672)</f>
      </c>
      <c r="AA672">
        <f>IF(ISBLANK('Data Entry'![672), "", 'Data Entry'![672)</f>
      </c>
      <c r="AB672">
        <f>IF(ISBLANK('Data Entry'!\672), "", 'Data Entry'!\672)</f>
      </c>
      <c r="AC672">
        <f>IF(ISBLANK('Data Entry'!]672), "", 'Data Entry'!]672)</f>
      </c>
      <c r="AD672">
        <f>IF(ISBLANK('Data Entry'!^672), "", 'Data Entry'!^672)</f>
      </c>
      <c r="AE672">
        <f>IF(ISBLANK('Data Entry'!_672), "", 'Data Entry'!_672)</f>
      </c>
      <c r="AF672">
        <f>IF(ISBLANK('Data Entry'!`672), "", 'Data Entry'!`672)</f>
      </c>
      <c r="AG672">
        <f>IF(ISBLANK('Data Entry'!a672), "", 'Data Entry'!a672)</f>
      </c>
      <c r="AH672">
        <f>IF(ISBLANK('Data Entry'!b672), "", 'Data Entry'!b672)</f>
      </c>
      <c r="AI672">
        <f>IF(ISBLANK('Data Entry'!c672), "", 'Data Entry'!c672)</f>
      </c>
      <c r="AJ672">
        <f>IF(ISBLANK('Data Entry'!d672), "", 'Data Entry'!d672)</f>
      </c>
      <c r="AK672">
        <f>IF(ISBLANK('Data Entry'!e672), "", 'Data Entry'!e672)</f>
      </c>
      <c r="AL672">
        <f>IF(ISBLANK('Data Entry'!f672), "", 'Data Entry'!f672)</f>
      </c>
      <c r="AM672">
        <f>IF(ISBLANK('Data Entry'!g672), "", 'Data Entry'!g672)</f>
      </c>
      <c r="AN672">
        <f>IF(ISBLANK('Data Entry'!h672), "", 'Data Entry'!h672)</f>
      </c>
    </row>
    <row r="673" spans="1:40" x14ac:dyDescent="0.25">
      <c r="A673">
        <f>IF(ISBLANK('Data Entry'!A673), "", 'Data Entry'!A673)</f>
      </c>
      <c r="B673">
        <f>IF(ISBLANK('Data Entry'!B673), "", 'Data Entry'!B673)</f>
      </c>
      <c r="C673">
        <f>IF(ISBLANK('Data Entry'!C673), "", 'Data Entry'!C673)</f>
      </c>
      <c r="D673">
        <f>IF(ISBLANK('Data Entry'!D673), "", 'Data Entry'!D673)</f>
      </c>
      <c r="E673">
        <f>IF(ISBLANK('Data Entry'!E673), "", 'Data Entry'!E673)</f>
      </c>
      <c r="F673">
        <f>IF(ISBLANK('Data Entry'!F673), "", 'Data Entry'!F673)</f>
      </c>
      <c r="G673">
        <f>IF(ISBLANK('Data Entry'!G673), "", 'Data Entry'!G673)</f>
      </c>
      <c r="H673">
        <f>IF(ISBLANK('Data Entry'!H673), "", 'Data Entry'!H673)</f>
      </c>
      <c r="I673">
        <f>IF(ISBLANK('Data Entry'!I673), "", 'Data Entry'!I673)</f>
      </c>
      <c r="J673">
        <f>IF(ISBLANK('Data Entry'!J673), "", 'Data Entry'!J673)</f>
      </c>
      <c r="K673">
        <f>IF(ISBLANK('Data Entry'!K673), "", 'Data Entry'!K673)</f>
      </c>
      <c r="L673">
        <f>IF(ISBLANK('Data Entry'!L673), "", 'Data Entry'!L673)</f>
      </c>
      <c r="M673">
        <f>IF(ISBLANK('Data Entry'!M673), "", 'Data Entry'!M673)</f>
      </c>
      <c r="N673">
        <f>IF(ISBLANK('Data Entry'!N673), "", 'Data Entry'!N673)</f>
      </c>
      <c r="O673">
        <f>IF(ISBLANK('Data Entry'!O673), "", 'Data Entry'!O673)</f>
      </c>
      <c r="P673">
        <f>IF(ISBLANK('Data Entry'!P673), "", 'Data Entry'!P673)</f>
      </c>
      <c r="Q673">
        <f>IF(ISBLANK('Data Entry'!Q673), "", 'Data Entry'!Q673)</f>
      </c>
      <c r="R673">
        <f>IF(ISBLANK('Data Entry'!R673), "", 'Data Entry'!R673)</f>
      </c>
      <c r="S673">
        <f>IF(ISBLANK('Data Entry'!S673), "", 'Data Entry'!S673)</f>
      </c>
      <c r="T673">
        <f>IF(ISBLANK('Data Entry'!T673), "", 'Data Entry'!T673)</f>
      </c>
      <c r="U673">
        <f>IF(ISBLANK('Data Entry'!U673), "", 'Data Entry'!U673)</f>
      </c>
      <c r="V673">
        <f>IF(ISBLANK('Data Entry'!V673), "", 'Data Entry'!V673)</f>
      </c>
      <c r="W673">
        <f>IF(ISBLANK('Data Entry'!W673), "", 'Data Entry'!W673)</f>
      </c>
      <c r="X673">
        <f>IF(ISBLANK('Data Entry'!X673), "", 'Data Entry'!X673)</f>
      </c>
      <c r="Y673">
        <f>IF(ISBLANK('Data Entry'!Y673), "", 'Data Entry'!Y673)</f>
      </c>
      <c r="Z673">
        <f>IF(ISBLANK('Data Entry'!Z673), "", 'Data Entry'!Z673)</f>
      </c>
      <c r="AA673">
        <f>IF(ISBLANK('Data Entry'![673), "", 'Data Entry'![673)</f>
      </c>
      <c r="AB673">
        <f>IF(ISBLANK('Data Entry'!\673), "", 'Data Entry'!\673)</f>
      </c>
      <c r="AC673">
        <f>IF(ISBLANK('Data Entry'!]673), "", 'Data Entry'!]673)</f>
      </c>
      <c r="AD673">
        <f>IF(ISBLANK('Data Entry'!^673), "", 'Data Entry'!^673)</f>
      </c>
      <c r="AE673">
        <f>IF(ISBLANK('Data Entry'!_673), "", 'Data Entry'!_673)</f>
      </c>
      <c r="AF673">
        <f>IF(ISBLANK('Data Entry'!`673), "", 'Data Entry'!`673)</f>
      </c>
      <c r="AG673">
        <f>IF(ISBLANK('Data Entry'!a673), "", 'Data Entry'!a673)</f>
      </c>
      <c r="AH673">
        <f>IF(ISBLANK('Data Entry'!b673), "", 'Data Entry'!b673)</f>
      </c>
      <c r="AI673">
        <f>IF(ISBLANK('Data Entry'!c673), "", 'Data Entry'!c673)</f>
      </c>
      <c r="AJ673">
        <f>IF(ISBLANK('Data Entry'!d673), "", 'Data Entry'!d673)</f>
      </c>
      <c r="AK673">
        <f>IF(ISBLANK('Data Entry'!e673), "", 'Data Entry'!e673)</f>
      </c>
      <c r="AL673">
        <f>IF(ISBLANK('Data Entry'!f673), "", 'Data Entry'!f673)</f>
      </c>
      <c r="AM673">
        <f>IF(ISBLANK('Data Entry'!g673), "", 'Data Entry'!g673)</f>
      </c>
      <c r="AN673">
        <f>IF(ISBLANK('Data Entry'!h673), "", 'Data Entry'!h673)</f>
      </c>
    </row>
    <row r="674" spans="1:40" x14ac:dyDescent="0.25">
      <c r="A674">
        <f>IF(ISBLANK('Data Entry'!A674), "", 'Data Entry'!A674)</f>
      </c>
      <c r="B674">
        <f>IF(ISBLANK('Data Entry'!B674), "", 'Data Entry'!B674)</f>
      </c>
      <c r="C674">
        <f>IF(ISBLANK('Data Entry'!C674), "", 'Data Entry'!C674)</f>
      </c>
      <c r="D674">
        <f>IF(ISBLANK('Data Entry'!D674), "", 'Data Entry'!D674)</f>
      </c>
      <c r="E674">
        <f>IF(ISBLANK('Data Entry'!E674), "", 'Data Entry'!E674)</f>
      </c>
      <c r="F674">
        <f>IF(ISBLANK('Data Entry'!F674), "", 'Data Entry'!F674)</f>
      </c>
      <c r="G674">
        <f>IF(ISBLANK('Data Entry'!G674), "", 'Data Entry'!G674)</f>
      </c>
      <c r="H674">
        <f>IF(ISBLANK('Data Entry'!H674), "", 'Data Entry'!H674)</f>
      </c>
      <c r="I674">
        <f>IF(ISBLANK('Data Entry'!I674), "", 'Data Entry'!I674)</f>
      </c>
      <c r="J674">
        <f>IF(ISBLANK('Data Entry'!J674), "", 'Data Entry'!J674)</f>
      </c>
      <c r="K674">
        <f>IF(ISBLANK('Data Entry'!K674), "", 'Data Entry'!K674)</f>
      </c>
      <c r="L674">
        <f>IF(ISBLANK('Data Entry'!L674), "", 'Data Entry'!L674)</f>
      </c>
      <c r="M674">
        <f>IF(ISBLANK('Data Entry'!M674), "", 'Data Entry'!M674)</f>
      </c>
      <c r="N674">
        <f>IF(ISBLANK('Data Entry'!N674), "", 'Data Entry'!N674)</f>
      </c>
      <c r="O674">
        <f>IF(ISBLANK('Data Entry'!O674), "", 'Data Entry'!O674)</f>
      </c>
      <c r="P674">
        <f>IF(ISBLANK('Data Entry'!P674), "", 'Data Entry'!P674)</f>
      </c>
      <c r="Q674">
        <f>IF(ISBLANK('Data Entry'!Q674), "", 'Data Entry'!Q674)</f>
      </c>
      <c r="R674">
        <f>IF(ISBLANK('Data Entry'!R674), "", 'Data Entry'!R674)</f>
      </c>
      <c r="S674">
        <f>IF(ISBLANK('Data Entry'!S674), "", 'Data Entry'!S674)</f>
      </c>
      <c r="T674">
        <f>IF(ISBLANK('Data Entry'!T674), "", 'Data Entry'!T674)</f>
      </c>
      <c r="U674">
        <f>IF(ISBLANK('Data Entry'!U674), "", 'Data Entry'!U674)</f>
      </c>
      <c r="V674">
        <f>IF(ISBLANK('Data Entry'!V674), "", 'Data Entry'!V674)</f>
      </c>
      <c r="W674">
        <f>IF(ISBLANK('Data Entry'!W674), "", 'Data Entry'!W674)</f>
      </c>
      <c r="X674">
        <f>IF(ISBLANK('Data Entry'!X674), "", 'Data Entry'!X674)</f>
      </c>
      <c r="Y674">
        <f>IF(ISBLANK('Data Entry'!Y674), "", 'Data Entry'!Y674)</f>
      </c>
      <c r="Z674">
        <f>IF(ISBLANK('Data Entry'!Z674), "", 'Data Entry'!Z674)</f>
      </c>
      <c r="AA674">
        <f>IF(ISBLANK('Data Entry'![674), "", 'Data Entry'![674)</f>
      </c>
      <c r="AB674">
        <f>IF(ISBLANK('Data Entry'!\674), "", 'Data Entry'!\674)</f>
      </c>
      <c r="AC674">
        <f>IF(ISBLANK('Data Entry'!]674), "", 'Data Entry'!]674)</f>
      </c>
      <c r="AD674">
        <f>IF(ISBLANK('Data Entry'!^674), "", 'Data Entry'!^674)</f>
      </c>
      <c r="AE674">
        <f>IF(ISBLANK('Data Entry'!_674), "", 'Data Entry'!_674)</f>
      </c>
      <c r="AF674">
        <f>IF(ISBLANK('Data Entry'!`674), "", 'Data Entry'!`674)</f>
      </c>
      <c r="AG674">
        <f>IF(ISBLANK('Data Entry'!a674), "", 'Data Entry'!a674)</f>
      </c>
      <c r="AH674">
        <f>IF(ISBLANK('Data Entry'!b674), "", 'Data Entry'!b674)</f>
      </c>
      <c r="AI674">
        <f>IF(ISBLANK('Data Entry'!c674), "", 'Data Entry'!c674)</f>
      </c>
      <c r="AJ674">
        <f>IF(ISBLANK('Data Entry'!d674), "", 'Data Entry'!d674)</f>
      </c>
      <c r="AK674">
        <f>IF(ISBLANK('Data Entry'!e674), "", 'Data Entry'!e674)</f>
      </c>
      <c r="AL674">
        <f>IF(ISBLANK('Data Entry'!f674), "", 'Data Entry'!f674)</f>
      </c>
      <c r="AM674">
        <f>IF(ISBLANK('Data Entry'!g674), "", 'Data Entry'!g674)</f>
      </c>
      <c r="AN674">
        <f>IF(ISBLANK('Data Entry'!h674), "", 'Data Entry'!h674)</f>
      </c>
    </row>
    <row r="675" spans="1:40" x14ac:dyDescent="0.25">
      <c r="A675">
        <f>IF(ISBLANK('Data Entry'!A675), "", 'Data Entry'!A675)</f>
      </c>
      <c r="B675">
        <f>IF(ISBLANK('Data Entry'!B675), "", 'Data Entry'!B675)</f>
      </c>
      <c r="C675">
        <f>IF(ISBLANK('Data Entry'!C675), "", 'Data Entry'!C675)</f>
      </c>
      <c r="D675">
        <f>IF(ISBLANK('Data Entry'!D675), "", 'Data Entry'!D675)</f>
      </c>
      <c r="E675">
        <f>IF(ISBLANK('Data Entry'!E675), "", 'Data Entry'!E675)</f>
      </c>
      <c r="F675">
        <f>IF(ISBLANK('Data Entry'!F675), "", 'Data Entry'!F675)</f>
      </c>
      <c r="G675">
        <f>IF(ISBLANK('Data Entry'!G675), "", 'Data Entry'!G675)</f>
      </c>
      <c r="H675">
        <f>IF(ISBLANK('Data Entry'!H675), "", 'Data Entry'!H675)</f>
      </c>
      <c r="I675">
        <f>IF(ISBLANK('Data Entry'!I675), "", 'Data Entry'!I675)</f>
      </c>
      <c r="J675">
        <f>IF(ISBLANK('Data Entry'!J675), "", 'Data Entry'!J675)</f>
      </c>
      <c r="K675">
        <f>IF(ISBLANK('Data Entry'!K675), "", 'Data Entry'!K675)</f>
      </c>
      <c r="L675">
        <f>IF(ISBLANK('Data Entry'!L675), "", 'Data Entry'!L675)</f>
      </c>
      <c r="M675">
        <f>IF(ISBLANK('Data Entry'!M675), "", 'Data Entry'!M675)</f>
      </c>
      <c r="N675">
        <f>IF(ISBLANK('Data Entry'!N675), "", 'Data Entry'!N675)</f>
      </c>
      <c r="O675">
        <f>IF(ISBLANK('Data Entry'!O675), "", 'Data Entry'!O675)</f>
      </c>
      <c r="P675">
        <f>IF(ISBLANK('Data Entry'!P675), "", 'Data Entry'!P675)</f>
      </c>
      <c r="Q675">
        <f>IF(ISBLANK('Data Entry'!Q675), "", 'Data Entry'!Q675)</f>
      </c>
      <c r="R675">
        <f>IF(ISBLANK('Data Entry'!R675), "", 'Data Entry'!R675)</f>
      </c>
      <c r="S675">
        <f>IF(ISBLANK('Data Entry'!S675), "", 'Data Entry'!S675)</f>
      </c>
      <c r="T675">
        <f>IF(ISBLANK('Data Entry'!T675), "", 'Data Entry'!T675)</f>
      </c>
      <c r="U675">
        <f>IF(ISBLANK('Data Entry'!U675), "", 'Data Entry'!U675)</f>
      </c>
      <c r="V675">
        <f>IF(ISBLANK('Data Entry'!V675), "", 'Data Entry'!V675)</f>
      </c>
      <c r="W675">
        <f>IF(ISBLANK('Data Entry'!W675), "", 'Data Entry'!W675)</f>
      </c>
      <c r="X675">
        <f>IF(ISBLANK('Data Entry'!X675), "", 'Data Entry'!X675)</f>
      </c>
      <c r="Y675">
        <f>IF(ISBLANK('Data Entry'!Y675), "", 'Data Entry'!Y675)</f>
      </c>
      <c r="Z675">
        <f>IF(ISBLANK('Data Entry'!Z675), "", 'Data Entry'!Z675)</f>
      </c>
      <c r="AA675">
        <f>IF(ISBLANK('Data Entry'![675), "", 'Data Entry'![675)</f>
      </c>
      <c r="AB675">
        <f>IF(ISBLANK('Data Entry'!\675), "", 'Data Entry'!\675)</f>
      </c>
      <c r="AC675">
        <f>IF(ISBLANK('Data Entry'!]675), "", 'Data Entry'!]675)</f>
      </c>
      <c r="AD675">
        <f>IF(ISBLANK('Data Entry'!^675), "", 'Data Entry'!^675)</f>
      </c>
      <c r="AE675">
        <f>IF(ISBLANK('Data Entry'!_675), "", 'Data Entry'!_675)</f>
      </c>
      <c r="AF675">
        <f>IF(ISBLANK('Data Entry'!`675), "", 'Data Entry'!`675)</f>
      </c>
      <c r="AG675">
        <f>IF(ISBLANK('Data Entry'!a675), "", 'Data Entry'!a675)</f>
      </c>
      <c r="AH675">
        <f>IF(ISBLANK('Data Entry'!b675), "", 'Data Entry'!b675)</f>
      </c>
      <c r="AI675">
        <f>IF(ISBLANK('Data Entry'!c675), "", 'Data Entry'!c675)</f>
      </c>
      <c r="AJ675">
        <f>IF(ISBLANK('Data Entry'!d675), "", 'Data Entry'!d675)</f>
      </c>
      <c r="AK675">
        <f>IF(ISBLANK('Data Entry'!e675), "", 'Data Entry'!e675)</f>
      </c>
      <c r="AL675">
        <f>IF(ISBLANK('Data Entry'!f675), "", 'Data Entry'!f675)</f>
      </c>
      <c r="AM675">
        <f>IF(ISBLANK('Data Entry'!g675), "", 'Data Entry'!g675)</f>
      </c>
      <c r="AN675">
        <f>IF(ISBLANK('Data Entry'!h675), "", 'Data Entry'!h675)</f>
      </c>
    </row>
    <row r="676" spans="1:40" x14ac:dyDescent="0.25">
      <c r="A676">
        <f>IF(ISBLANK('Data Entry'!A676), "", 'Data Entry'!A676)</f>
      </c>
      <c r="B676">
        <f>IF(ISBLANK('Data Entry'!B676), "", 'Data Entry'!B676)</f>
      </c>
      <c r="C676">
        <f>IF(ISBLANK('Data Entry'!C676), "", 'Data Entry'!C676)</f>
      </c>
      <c r="D676">
        <f>IF(ISBLANK('Data Entry'!D676), "", 'Data Entry'!D676)</f>
      </c>
      <c r="E676">
        <f>IF(ISBLANK('Data Entry'!E676), "", 'Data Entry'!E676)</f>
      </c>
      <c r="F676">
        <f>IF(ISBLANK('Data Entry'!F676), "", 'Data Entry'!F676)</f>
      </c>
      <c r="G676">
        <f>IF(ISBLANK('Data Entry'!G676), "", 'Data Entry'!G676)</f>
      </c>
      <c r="H676">
        <f>IF(ISBLANK('Data Entry'!H676), "", 'Data Entry'!H676)</f>
      </c>
      <c r="I676">
        <f>IF(ISBLANK('Data Entry'!I676), "", 'Data Entry'!I676)</f>
      </c>
      <c r="J676">
        <f>IF(ISBLANK('Data Entry'!J676), "", 'Data Entry'!J676)</f>
      </c>
      <c r="K676">
        <f>IF(ISBLANK('Data Entry'!K676), "", 'Data Entry'!K676)</f>
      </c>
      <c r="L676">
        <f>IF(ISBLANK('Data Entry'!L676), "", 'Data Entry'!L676)</f>
      </c>
      <c r="M676">
        <f>IF(ISBLANK('Data Entry'!M676), "", 'Data Entry'!M676)</f>
      </c>
      <c r="N676">
        <f>IF(ISBLANK('Data Entry'!N676), "", 'Data Entry'!N676)</f>
      </c>
      <c r="O676">
        <f>IF(ISBLANK('Data Entry'!O676), "", 'Data Entry'!O676)</f>
      </c>
      <c r="P676">
        <f>IF(ISBLANK('Data Entry'!P676), "", 'Data Entry'!P676)</f>
      </c>
      <c r="Q676">
        <f>IF(ISBLANK('Data Entry'!Q676), "", 'Data Entry'!Q676)</f>
      </c>
      <c r="R676">
        <f>IF(ISBLANK('Data Entry'!R676), "", 'Data Entry'!R676)</f>
      </c>
      <c r="S676">
        <f>IF(ISBLANK('Data Entry'!S676), "", 'Data Entry'!S676)</f>
      </c>
      <c r="T676">
        <f>IF(ISBLANK('Data Entry'!T676), "", 'Data Entry'!T676)</f>
      </c>
      <c r="U676">
        <f>IF(ISBLANK('Data Entry'!U676), "", 'Data Entry'!U676)</f>
      </c>
      <c r="V676">
        <f>IF(ISBLANK('Data Entry'!V676), "", 'Data Entry'!V676)</f>
      </c>
      <c r="W676">
        <f>IF(ISBLANK('Data Entry'!W676), "", 'Data Entry'!W676)</f>
      </c>
      <c r="X676">
        <f>IF(ISBLANK('Data Entry'!X676), "", 'Data Entry'!X676)</f>
      </c>
      <c r="Y676">
        <f>IF(ISBLANK('Data Entry'!Y676), "", 'Data Entry'!Y676)</f>
      </c>
      <c r="Z676">
        <f>IF(ISBLANK('Data Entry'!Z676), "", 'Data Entry'!Z676)</f>
      </c>
      <c r="AA676">
        <f>IF(ISBLANK('Data Entry'![676), "", 'Data Entry'![676)</f>
      </c>
      <c r="AB676">
        <f>IF(ISBLANK('Data Entry'!\676), "", 'Data Entry'!\676)</f>
      </c>
      <c r="AC676">
        <f>IF(ISBLANK('Data Entry'!]676), "", 'Data Entry'!]676)</f>
      </c>
      <c r="AD676">
        <f>IF(ISBLANK('Data Entry'!^676), "", 'Data Entry'!^676)</f>
      </c>
      <c r="AE676">
        <f>IF(ISBLANK('Data Entry'!_676), "", 'Data Entry'!_676)</f>
      </c>
      <c r="AF676">
        <f>IF(ISBLANK('Data Entry'!`676), "", 'Data Entry'!`676)</f>
      </c>
      <c r="AG676">
        <f>IF(ISBLANK('Data Entry'!a676), "", 'Data Entry'!a676)</f>
      </c>
      <c r="AH676">
        <f>IF(ISBLANK('Data Entry'!b676), "", 'Data Entry'!b676)</f>
      </c>
      <c r="AI676">
        <f>IF(ISBLANK('Data Entry'!c676), "", 'Data Entry'!c676)</f>
      </c>
      <c r="AJ676">
        <f>IF(ISBLANK('Data Entry'!d676), "", 'Data Entry'!d676)</f>
      </c>
      <c r="AK676">
        <f>IF(ISBLANK('Data Entry'!e676), "", 'Data Entry'!e676)</f>
      </c>
      <c r="AL676">
        <f>IF(ISBLANK('Data Entry'!f676), "", 'Data Entry'!f676)</f>
      </c>
      <c r="AM676">
        <f>IF(ISBLANK('Data Entry'!g676), "", 'Data Entry'!g676)</f>
      </c>
      <c r="AN676">
        <f>IF(ISBLANK('Data Entry'!h676), "", 'Data Entry'!h676)</f>
      </c>
    </row>
    <row r="677" spans="1:40" x14ac:dyDescent="0.25">
      <c r="A677">
        <f>IF(ISBLANK('Data Entry'!A677), "", 'Data Entry'!A677)</f>
      </c>
      <c r="B677">
        <f>IF(ISBLANK('Data Entry'!B677), "", 'Data Entry'!B677)</f>
      </c>
      <c r="C677">
        <f>IF(ISBLANK('Data Entry'!C677), "", 'Data Entry'!C677)</f>
      </c>
      <c r="D677">
        <f>IF(ISBLANK('Data Entry'!D677), "", 'Data Entry'!D677)</f>
      </c>
      <c r="E677">
        <f>IF(ISBLANK('Data Entry'!E677), "", 'Data Entry'!E677)</f>
      </c>
      <c r="F677">
        <f>IF(ISBLANK('Data Entry'!F677), "", 'Data Entry'!F677)</f>
      </c>
      <c r="G677">
        <f>IF(ISBLANK('Data Entry'!G677), "", 'Data Entry'!G677)</f>
      </c>
      <c r="H677">
        <f>IF(ISBLANK('Data Entry'!H677), "", 'Data Entry'!H677)</f>
      </c>
      <c r="I677">
        <f>IF(ISBLANK('Data Entry'!I677), "", 'Data Entry'!I677)</f>
      </c>
      <c r="J677">
        <f>IF(ISBLANK('Data Entry'!J677), "", 'Data Entry'!J677)</f>
      </c>
      <c r="K677">
        <f>IF(ISBLANK('Data Entry'!K677), "", 'Data Entry'!K677)</f>
      </c>
      <c r="L677">
        <f>IF(ISBLANK('Data Entry'!L677), "", 'Data Entry'!L677)</f>
      </c>
      <c r="M677">
        <f>IF(ISBLANK('Data Entry'!M677), "", 'Data Entry'!M677)</f>
      </c>
      <c r="N677">
        <f>IF(ISBLANK('Data Entry'!N677), "", 'Data Entry'!N677)</f>
      </c>
      <c r="O677">
        <f>IF(ISBLANK('Data Entry'!O677), "", 'Data Entry'!O677)</f>
      </c>
      <c r="P677">
        <f>IF(ISBLANK('Data Entry'!P677), "", 'Data Entry'!P677)</f>
      </c>
      <c r="Q677">
        <f>IF(ISBLANK('Data Entry'!Q677), "", 'Data Entry'!Q677)</f>
      </c>
      <c r="R677">
        <f>IF(ISBLANK('Data Entry'!R677), "", 'Data Entry'!R677)</f>
      </c>
      <c r="S677">
        <f>IF(ISBLANK('Data Entry'!S677), "", 'Data Entry'!S677)</f>
      </c>
      <c r="T677">
        <f>IF(ISBLANK('Data Entry'!T677), "", 'Data Entry'!T677)</f>
      </c>
      <c r="U677">
        <f>IF(ISBLANK('Data Entry'!U677), "", 'Data Entry'!U677)</f>
      </c>
      <c r="V677">
        <f>IF(ISBLANK('Data Entry'!V677), "", 'Data Entry'!V677)</f>
      </c>
      <c r="W677">
        <f>IF(ISBLANK('Data Entry'!W677), "", 'Data Entry'!W677)</f>
      </c>
      <c r="X677">
        <f>IF(ISBLANK('Data Entry'!X677), "", 'Data Entry'!X677)</f>
      </c>
      <c r="Y677">
        <f>IF(ISBLANK('Data Entry'!Y677), "", 'Data Entry'!Y677)</f>
      </c>
      <c r="Z677">
        <f>IF(ISBLANK('Data Entry'!Z677), "", 'Data Entry'!Z677)</f>
      </c>
      <c r="AA677">
        <f>IF(ISBLANK('Data Entry'![677), "", 'Data Entry'![677)</f>
      </c>
      <c r="AB677">
        <f>IF(ISBLANK('Data Entry'!\677), "", 'Data Entry'!\677)</f>
      </c>
      <c r="AC677">
        <f>IF(ISBLANK('Data Entry'!]677), "", 'Data Entry'!]677)</f>
      </c>
      <c r="AD677">
        <f>IF(ISBLANK('Data Entry'!^677), "", 'Data Entry'!^677)</f>
      </c>
      <c r="AE677">
        <f>IF(ISBLANK('Data Entry'!_677), "", 'Data Entry'!_677)</f>
      </c>
      <c r="AF677">
        <f>IF(ISBLANK('Data Entry'!`677), "", 'Data Entry'!`677)</f>
      </c>
      <c r="AG677">
        <f>IF(ISBLANK('Data Entry'!a677), "", 'Data Entry'!a677)</f>
      </c>
      <c r="AH677">
        <f>IF(ISBLANK('Data Entry'!b677), "", 'Data Entry'!b677)</f>
      </c>
      <c r="AI677">
        <f>IF(ISBLANK('Data Entry'!c677), "", 'Data Entry'!c677)</f>
      </c>
      <c r="AJ677">
        <f>IF(ISBLANK('Data Entry'!d677), "", 'Data Entry'!d677)</f>
      </c>
      <c r="AK677">
        <f>IF(ISBLANK('Data Entry'!e677), "", 'Data Entry'!e677)</f>
      </c>
      <c r="AL677">
        <f>IF(ISBLANK('Data Entry'!f677), "", 'Data Entry'!f677)</f>
      </c>
      <c r="AM677">
        <f>IF(ISBLANK('Data Entry'!g677), "", 'Data Entry'!g677)</f>
      </c>
      <c r="AN677">
        <f>IF(ISBLANK('Data Entry'!h677), "", 'Data Entry'!h677)</f>
      </c>
    </row>
    <row r="678" spans="1:40" x14ac:dyDescent="0.25">
      <c r="A678">
        <f>IF(ISBLANK('Data Entry'!A678), "", 'Data Entry'!A678)</f>
      </c>
      <c r="B678">
        <f>IF(ISBLANK('Data Entry'!B678), "", 'Data Entry'!B678)</f>
      </c>
      <c r="C678">
        <f>IF(ISBLANK('Data Entry'!C678), "", 'Data Entry'!C678)</f>
      </c>
      <c r="D678">
        <f>IF(ISBLANK('Data Entry'!D678), "", 'Data Entry'!D678)</f>
      </c>
      <c r="E678">
        <f>IF(ISBLANK('Data Entry'!E678), "", 'Data Entry'!E678)</f>
      </c>
      <c r="F678">
        <f>IF(ISBLANK('Data Entry'!F678), "", 'Data Entry'!F678)</f>
      </c>
      <c r="G678">
        <f>IF(ISBLANK('Data Entry'!G678), "", 'Data Entry'!G678)</f>
      </c>
      <c r="H678">
        <f>IF(ISBLANK('Data Entry'!H678), "", 'Data Entry'!H678)</f>
      </c>
      <c r="I678">
        <f>IF(ISBLANK('Data Entry'!I678), "", 'Data Entry'!I678)</f>
      </c>
      <c r="J678">
        <f>IF(ISBLANK('Data Entry'!J678), "", 'Data Entry'!J678)</f>
      </c>
      <c r="K678">
        <f>IF(ISBLANK('Data Entry'!K678), "", 'Data Entry'!K678)</f>
      </c>
      <c r="L678">
        <f>IF(ISBLANK('Data Entry'!L678), "", 'Data Entry'!L678)</f>
      </c>
      <c r="M678">
        <f>IF(ISBLANK('Data Entry'!M678), "", 'Data Entry'!M678)</f>
      </c>
      <c r="N678">
        <f>IF(ISBLANK('Data Entry'!N678), "", 'Data Entry'!N678)</f>
      </c>
      <c r="O678">
        <f>IF(ISBLANK('Data Entry'!O678), "", 'Data Entry'!O678)</f>
      </c>
      <c r="P678">
        <f>IF(ISBLANK('Data Entry'!P678), "", 'Data Entry'!P678)</f>
      </c>
      <c r="Q678">
        <f>IF(ISBLANK('Data Entry'!Q678), "", 'Data Entry'!Q678)</f>
      </c>
      <c r="R678">
        <f>IF(ISBLANK('Data Entry'!R678), "", 'Data Entry'!R678)</f>
      </c>
      <c r="S678">
        <f>IF(ISBLANK('Data Entry'!S678), "", 'Data Entry'!S678)</f>
      </c>
      <c r="T678">
        <f>IF(ISBLANK('Data Entry'!T678), "", 'Data Entry'!T678)</f>
      </c>
      <c r="U678">
        <f>IF(ISBLANK('Data Entry'!U678), "", 'Data Entry'!U678)</f>
      </c>
      <c r="V678">
        <f>IF(ISBLANK('Data Entry'!V678), "", 'Data Entry'!V678)</f>
      </c>
      <c r="W678">
        <f>IF(ISBLANK('Data Entry'!W678), "", 'Data Entry'!W678)</f>
      </c>
      <c r="X678">
        <f>IF(ISBLANK('Data Entry'!X678), "", 'Data Entry'!X678)</f>
      </c>
      <c r="Y678">
        <f>IF(ISBLANK('Data Entry'!Y678), "", 'Data Entry'!Y678)</f>
      </c>
      <c r="Z678">
        <f>IF(ISBLANK('Data Entry'!Z678), "", 'Data Entry'!Z678)</f>
      </c>
      <c r="AA678">
        <f>IF(ISBLANK('Data Entry'![678), "", 'Data Entry'![678)</f>
      </c>
      <c r="AB678">
        <f>IF(ISBLANK('Data Entry'!\678), "", 'Data Entry'!\678)</f>
      </c>
      <c r="AC678">
        <f>IF(ISBLANK('Data Entry'!]678), "", 'Data Entry'!]678)</f>
      </c>
      <c r="AD678">
        <f>IF(ISBLANK('Data Entry'!^678), "", 'Data Entry'!^678)</f>
      </c>
      <c r="AE678">
        <f>IF(ISBLANK('Data Entry'!_678), "", 'Data Entry'!_678)</f>
      </c>
      <c r="AF678">
        <f>IF(ISBLANK('Data Entry'!`678), "", 'Data Entry'!`678)</f>
      </c>
      <c r="AG678">
        <f>IF(ISBLANK('Data Entry'!a678), "", 'Data Entry'!a678)</f>
      </c>
      <c r="AH678">
        <f>IF(ISBLANK('Data Entry'!b678), "", 'Data Entry'!b678)</f>
      </c>
      <c r="AI678">
        <f>IF(ISBLANK('Data Entry'!c678), "", 'Data Entry'!c678)</f>
      </c>
      <c r="AJ678">
        <f>IF(ISBLANK('Data Entry'!d678), "", 'Data Entry'!d678)</f>
      </c>
      <c r="AK678">
        <f>IF(ISBLANK('Data Entry'!e678), "", 'Data Entry'!e678)</f>
      </c>
      <c r="AL678">
        <f>IF(ISBLANK('Data Entry'!f678), "", 'Data Entry'!f678)</f>
      </c>
      <c r="AM678">
        <f>IF(ISBLANK('Data Entry'!g678), "", 'Data Entry'!g678)</f>
      </c>
      <c r="AN678">
        <f>IF(ISBLANK('Data Entry'!h678), "", 'Data Entry'!h678)</f>
      </c>
    </row>
    <row r="679" spans="1:40" x14ac:dyDescent="0.25">
      <c r="A679">
        <f>IF(ISBLANK('Data Entry'!A679), "", 'Data Entry'!A679)</f>
      </c>
      <c r="B679">
        <f>IF(ISBLANK('Data Entry'!B679), "", 'Data Entry'!B679)</f>
      </c>
      <c r="C679">
        <f>IF(ISBLANK('Data Entry'!C679), "", 'Data Entry'!C679)</f>
      </c>
      <c r="D679">
        <f>IF(ISBLANK('Data Entry'!D679), "", 'Data Entry'!D679)</f>
      </c>
      <c r="E679">
        <f>IF(ISBLANK('Data Entry'!E679), "", 'Data Entry'!E679)</f>
      </c>
      <c r="F679">
        <f>IF(ISBLANK('Data Entry'!F679), "", 'Data Entry'!F679)</f>
      </c>
      <c r="G679">
        <f>IF(ISBLANK('Data Entry'!G679), "", 'Data Entry'!G679)</f>
      </c>
      <c r="H679">
        <f>IF(ISBLANK('Data Entry'!H679), "", 'Data Entry'!H679)</f>
      </c>
      <c r="I679">
        <f>IF(ISBLANK('Data Entry'!I679), "", 'Data Entry'!I679)</f>
      </c>
      <c r="J679">
        <f>IF(ISBLANK('Data Entry'!J679), "", 'Data Entry'!J679)</f>
      </c>
      <c r="K679">
        <f>IF(ISBLANK('Data Entry'!K679), "", 'Data Entry'!K679)</f>
      </c>
      <c r="L679">
        <f>IF(ISBLANK('Data Entry'!L679), "", 'Data Entry'!L679)</f>
      </c>
      <c r="M679">
        <f>IF(ISBLANK('Data Entry'!M679), "", 'Data Entry'!M679)</f>
      </c>
      <c r="N679">
        <f>IF(ISBLANK('Data Entry'!N679), "", 'Data Entry'!N679)</f>
      </c>
      <c r="O679">
        <f>IF(ISBLANK('Data Entry'!O679), "", 'Data Entry'!O679)</f>
      </c>
      <c r="P679">
        <f>IF(ISBLANK('Data Entry'!P679), "", 'Data Entry'!P679)</f>
      </c>
      <c r="Q679">
        <f>IF(ISBLANK('Data Entry'!Q679), "", 'Data Entry'!Q679)</f>
      </c>
      <c r="R679">
        <f>IF(ISBLANK('Data Entry'!R679), "", 'Data Entry'!R679)</f>
      </c>
      <c r="S679">
        <f>IF(ISBLANK('Data Entry'!S679), "", 'Data Entry'!S679)</f>
      </c>
      <c r="T679">
        <f>IF(ISBLANK('Data Entry'!T679), "", 'Data Entry'!T679)</f>
      </c>
      <c r="U679">
        <f>IF(ISBLANK('Data Entry'!U679), "", 'Data Entry'!U679)</f>
      </c>
      <c r="V679">
        <f>IF(ISBLANK('Data Entry'!V679), "", 'Data Entry'!V679)</f>
      </c>
      <c r="W679">
        <f>IF(ISBLANK('Data Entry'!W679), "", 'Data Entry'!W679)</f>
      </c>
      <c r="X679">
        <f>IF(ISBLANK('Data Entry'!X679), "", 'Data Entry'!X679)</f>
      </c>
      <c r="Y679">
        <f>IF(ISBLANK('Data Entry'!Y679), "", 'Data Entry'!Y679)</f>
      </c>
      <c r="Z679">
        <f>IF(ISBLANK('Data Entry'!Z679), "", 'Data Entry'!Z679)</f>
      </c>
      <c r="AA679">
        <f>IF(ISBLANK('Data Entry'![679), "", 'Data Entry'![679)</f>
      </c>
      <c r="AB679">
        <f>IF(ISBLANK('Data Entry'!\679), "", 'Data Entry'!\679)</f>
      </c>
      <c r="AC679">
        <f>IF(ISBLANK('Data Entry'!]679), "", 'Data Entry'!]679)</f>
      </c>
      <c r="AD679">
        <f>IF(ISBLANK('Data Entry'!^679), "", 'Data Entry'!^679)</f>
      </c>
      <c r="AE679">
        <f>IF(ISBLANK('Data Entry'!_679), "", 'Data Entry'!_679)</f>
      </c>
      <c r="AF679">
        <f>IF(ISBLANK('Data Entry'!`679), "", 'Data Entry'!`679)</f>
      </c>
      <c r="AG679">
        <f>IF(ISBLANK('Data Entry'!a679), "", 'Data Entry'!a679)</f>
      </c>
      <c r="AH679">
        <f>IF(ISBLANK('Data Entry'!b679), "", 'Data Entry'!b679)</f>
      </c>
      <c r="AI679">
        <f>IF(ISBLANK('Data Entry'!c679), "", 'Data Entry'!c679)</f>
      </c>
      <c r="AJ679">
        <f>IF(ISBLANK('Data Entry'!d679), "", 'Data Entry'!d679)</f>
      </c>
      <c r="AK679">
        <f>IF(ISBLANK('Data Entry'!e679), "", 'Data Entry'!e679)</f>
      </c>
      <c r="AL679">
        <f>IF(ISBLANK('Data Entry'!f679), "", 'Data Entry'!f679)</f>
      </c>
      <c r="AM679">
        <f>IF(ISBLANK('Data Entry'!g679), "", 'Data Entry'!g679)</f>
      </c>
      <c r="AN679">
        <f>IF(ISBLANK('Data Entry'!h679), "", 'Data Entry'!h679)</f>
      </c>
    </row>
    <row r="680" spans="1:40" x14ac:dyDescent="0.25">
      <c r="A680">
        <f>IF(ISBLANK('Data Entry'!A680), "", 'Data Entry'!A680)</f>
      </c>
      <c r="B680">
        <f>IF(ISBLANK('Data Entry'!B680), "", 'Data Entry'!B680)</f>
      </c>
      <c r="C680">
        <f>IF(ISBLANK('Data Entry'!C680), "", 'Data Entry'!C680)</f>
      </c>
      <c r="D680">
        <f>IF(ISBLANK('Data Entry'!D680), "", 'Data Entry'!D680)</f>
      </c>
      <c r="E680">
        <f>IF(ISBLANK('Data Entry'!E680), "", 'Data Entry'!E680)</f>
      </c>
      <c r="F680">
        <f>IF(ISBLANK('Data Entry'!F680), "", 'Data Entry'!F680)</f>
      </c>
      <c r="G680">
        <f>IF(ISBLANK('Data Entry'!G680), "", 'Data Entry'!G680)</f>
      </c>
      <c r="H680">
        <f>IF(ISBLANK('Data Entry'!H680), "", 'Data Entry'!H680)</f>
      </c>
      <c r="I680">
        <f>IF(ISBLANK('Data Entry'!I680), "", 'Data Entry'!I680)</f>
      </c>
      <c r="J680">
        <f>IF(ISBLANK('Data Entry'!J680), "", 'Data Entry'!J680)</f>
      </c>
      <c r="K680">
        <f>IF(ISBLANK('Data Entry'!K680), "", 'Data Entry'!K680)</f>
      </c>
      <c r="L680">
        <f>IF(ISBLANK('Data Entry'!L680), "", 'Data Entry'!L680)</f>
      </c>
      <c r="M680">
        <f>IF(ISBLANK('Data Entry'!M680), "", 'Data Entry'!M680)</f>
      </c>
      <c r="N680">
        <f>IF(ISBLANK('Data Entry'!N680), "", 'Data Entry'!N680)</f>
      </c>
      <c r="O680">
        <f>IF(ISBLANK('Data Entry'!O680), "", 'Data Entry'!O680)</f>
      </c>
      <c r="P680">
        <f>IF(ISBLANK('Data Entry'!P680), "", 'Data Entry'!P680)</f>
      </c>
      <c r="Q680">
        <f>IF(ISBLANK('Data Entry'!Q680), "", 'Data Entry'!Q680)</f>
      </c>
      <c r="R680">
        <f>IF(ISBLANK('Data Entry'!R680), "", 'Data Entry'!R680)</f>
      </c>
      <c r="S680">
        <f>IF(ISBLANK('Data Entry'!S680), "", 'Data Entry'!S680)</f>
      </c>
      <c r="T680">
        <f>IF(ISBLANK('Data Entry'!T680), "", 'Data Entry'!T680)</f>
      </c>
      <c r="U680">
        <f>IF(ISBLANK('Data Entry'!U680), "", 'Data Entry'!U680)</f>
      </c>
      <c r="V680">
        <f>IF(ISBLANK('Data Entry'!V680), "", 'Data Entry'!V680)</f>
      </c>
      <c r="W680">
        <f>IF(ISBLANK('Data Entry'!W680), "", 'Data Entry'!W680)</f>
      </c>
      <c r="X680">
        <f>IF(ISBLANK('Data Entry'!X680), "", 'Data Entry'!X680)</f>
      </c>
      <c r="Y680">
        <f>IF(ISBLANK('Data Entry'!Y680), "", 'Data Entry'!Y680)</f>
      </c>
      <c r="Z680">
        <f>IF(ISBLANK('Data Entry'!Z680), "", 'Data Entry'!Z680)</f>
      </c>
      <c r="AA680">
        <f>IF(ISBLANK('Data Entry'![680), "", 'Data Entry'![680)</f>
      </c>
      <c r="AB680">
        <f>IF(ISBLANK('Data Entry'!\680), "", 'Data Entry'!\680)</f>
      </c>
      <c r="AC680">
        <f>IF(ISBLANK('Data Entry'!]680), "", 'Data Entry'!]680)</f>
      </c>
      <c r="AD680">
        <f>IF(ISBLANK('Data Entry'!^680), "", 'Data Entry'!^680)</f>
      </c>
      <c r="AE680">
        <f>IF(ISBLANK('Data Entry'!_680), "", 'Data Entry'!_680)</f>
      </c>
      <c r="AF680">
        <f>IF(ISBLANK('Data Entry'!`680), "", 'Data Entry'!`680)</f>
      </c>
      <c r="AG680">
        <f>IF(ISBLANK('Data Entry'!a680), "", 'Data Entry'!a680)</f>
      </c>
      <c r="AH680">
        <f>IF(ISBLANK('Data Entry'!b680), "", 'Data Entry'!b680)</f>
      </c>
      <c r="AI680">
        <f>IF(ISBLANK('Data Entry'!c680), "", 'Data Entry'!c680)</f>
      </c>
      <c r="AJ680">
        <f>IF(ISBLANK('Data Entry'!d680), "", 'Data Entry'!d680)</f>
      </c>
      <c r="AK680">
        <f>IF(ISBLANK('Data Entry'!e680), "", 'Data Entry'!e680)</f>
      </c>
      <c r="AL680">
        <f>IF(ISBLANK('Data Entry'!f680), "", 'Data Entry'!f680)</f>
      </c>
      <c r="AM680">
        <f>IF(ISBLANK('Data Entry'!g680), "", 'Data Entry'!g680)</f>
      </c>
      <c r="AN680">
        <f>IF(ISBLANK('Data Entry'!h680), "", 'Data Entry'!h680)</f>
      </c>
    </row>
    <row r="681" spans="1:40" x14ac:dyDescent="0.25">
      <c r="A681">
        <f>IF(ISBLANK('Data Entry'!A681), "", 'Data Entry'!A681)</f>
      </c>
      <c r="B681">
        <f>IF(ISBLANK('Data Entry'!B681), "", 'Data Entry'!B681)</f>
      </c>
      <c r="C681">
        <f>IF(ISBLANK('Data Entry'!C681), "", 'Data Entry'!C681)</f>
      </c>
      <c r="D681">
        <f>IF(ISBLANK('Data Entry'!D681), "", 'Data Entry'!D681)</f>
      </c>
      <c r="E681">
        <f>IF(ISBLANK('Data Entry'!E681), "", 'Data Entry'!E681)</f>
      </c>
      <c r="F681">
        <f>IF(ISBLANK('Data Entry'!F681), "", 'Data Entry'!F681)</f>
      </c>
      <c r="G681">
        <f>IF(ISBLANK('Data Entry'!G681), "", 'Data Entry'!G681)</f>
      </c>
      <c r="H681">
        <f>IF(ISBLANK('Data Entry'!H681), "", 'Data Entry'!H681)</f>
      </c>
      <c r="I681">
        <f>IF(ISBLANK('Data Entry'!I681), "", 'Data Entry'!I681)</f>
      </c>
      <c r="J681">
        <f>IF(ISBLANK('Data Entry'!J681), "", 'Data Entry'!J681)</f>
      </c>
      <c r="K681">
        <f>IF(ISBLANK('Data Entry'!K681), "", 'Data Entry'!K681)</f>
      </c>
      <c r="L681">
        <f>IF(ISBLANK('Data Entry'!L681), "", 'Data Entry'!L681)</f>
      </c>
      <c r="M681">
        <f>IF(ISBLANK('Data Entry'!M681), "", 'Data Entry'!M681)</f>
      </c>
      <c r="N681">
        <f>IF(ISBLANK('Data Entry'!N681), "", 'Data Entry'!N681)</f>
      </c>
      <c r="O681">
        <f>IF(ISBLANK('Data Entry'!O681), "", 'Data Entry'!O681)</f>
      </c>
      <c r="P681">
        <f>IF(ISBLANK('Data Entry'!P681), "", 'Data Entry'!P681)</f>
      </c>
      <c r="Q681">
        <f>IF(ISBLANK('Data Entry'!Q681), "", 'Data Entry'!Q681)</f>
      </c>
      <c r="R681">
        <f>IF(ISBLANK('Data Entry'!R681), "", 'Data Entry'!R681)</f>
      </c>
      <c r="S681">
        <f>IF(ISBLANK('Data Entry'!S681), "", 'Data Entry'!S681)</f>
      </c>
      <c r="T681">
        <f>IF(ISBLANK('Data Entry'!T681), "", 'Data Entry'!T681)</f>
      </c>
      <c r="U681">
        <f>IF(ISBLANK('Data Entry'!U681), "", 'Data Entry'!U681)</f>
      </c>
      <c r="V681">
        <f>IF(ISBLANK('Data Entry'!V681), "", 'Data Entry'!V681)</f>
      </c>
      <c r="W681">
        <f>IF(ISBLANK('Data Entry'!W681), "", 'Data Entry'!W681)</f>
      </c>
      <c r="X681">
        <f>IF(ISBLANK('Data Entry'!X681), "", 'Data Entry'!X681)</f>
      </c>
      <c r="Y681">
        <f>IF(ISBLANK('Data Entry'!Y681), "", 'Data Entry'!Y681)</f>
      </c>
      <c r="Z681">
        <f>IF(ISBLANK('Data Entry'!Z681), "", 'Data Entry'!Z681)</f>
      </c>
      <c r="AA681">
        <f>IF(ISBLANK('Data Entry'![681), "", 'Data Entry'![681)</f>
      </c>
      <c r="AB681">
        <f>IF(ISBLANK('Data Entry'!\681), "", 'Data Entry'!\681)</f>
      </c>
      <c r="AC681">
        <f>IF(ISBLANK('Data Entry'!]681), "", 'Data Entry'!]681)</f>
      </c>
      <c r="AD681">
        <f>IF(ISBLANK('Data Entry'!^681), "", 'Data Entry'!^681)</f>
      </c>
      <c r="AE681">
        <f>IF(ISBLANK('Data Entry'!_681), "", 'Data Entry'!_681)</f>
      </c>
      <c r="AF681">
        <f>IF(ISBLANK('Data Entry'!`681), "", 'Data Entry'!`681)</f>
      </c>
      <c r="AG681">
        <f>IF(ISBLANK('Data Entry'!a681), "", 'Data Entry'!a681)</f>
      </c>
      <c r="AH681">
        <f>IF(ISBLANK('Data Entry'!b681), "", 'Data Entry'!b681)</f>
      </c>
      <c r="AI681">
        <f>IF(ISBLANK('Data Entry'!c681), "", 'Data Entry'!c681)</f>
      </c>
      <c r="AJ681">
        <f>IF(ISBLANK('Data Entry'!d681), "", 'Data Entry'!d681)</f>
      </c>
      <c r="AK681">
        <f>IF(ISBLANK('Data Entry'!e681), "", 'Data Entry'!e681)</f>
      </c>
      <c r="AL681">
        <f>IF(ISBLANK('Data Entry'!f681), "", 'Data Entry'!f681)</f>
      </c>
      <c r="AM681">
        <f>IF(ISBLANK('Data Entry'!g681), "", 'Data Entry'!g681)</f>
      </c>
      <c r="AN681">
        <f>IF(ISBLANK('Data Entry'!h681), "", 'Data Entry'!h681)</f>
      </c>
    </row>
    <row r="682" spans="1:40" x14ac:dyDescent="0.25">
      <c r="A682">
        <f>IF(ISBLANK('Data Entry'!A682), "", 'Data Entry'!A682)</f>
      </c>
      <c r="B682">
        <f>IF(ISBLANK('Data Entry'!B682), "", 'Data Entry'!B682)</f>
      </c>
      <c r="C682">
        <f>IF(ISBLANK('Data Entry'!C682), "", 'Data Entry'!C682)</f>
      </c>
      <c r="D682">
        <f>IF(ISBLANK('Data Entry'!D682), "", 'Data Entry'!D682)</f>
      </c>
      <c r="E682">
        <f>IF(ISBLANK('Data Entry'!E682), "", 'Data Entry'!E682)</f>
      </c>
      <c r="F682">
        <f>IF(ISBLANK('Data Entry'!F682), "", 'Data Entry'!F682)</f>
      </c>
      <c r="G682">
        <f>IF(ISBLANK('Data Entry'!G682), "", 'Data Entry'!G682)</f>
      </c>
      <c r="H682">
        <f>IF(ISBLANK('Data Entry'!H682), "", 'Data Entry'!H682)</f>
      </c>
      <c r="I682">
        <f>IF(ISBLANK('Data Entry'!I682), "", 'Data Entry'!I682)</f>
      </c>
      <c r="J682">
        <f>IF(ISBLANK('Data Entry'!J682), "", 'Data Entry'!J682)</f>
      </c>
      <c r="K682">
        <f>IF(ISBLANK('Data Entry'!K682), "", 'Data Entry'!K682)</f>
      </c>
      <c r="L682">
        <f>IF(ISBLANK('Data Entry'!L682), "", 'Data Entry'!L682)</f>
      </c>
      <c r="M682">
        <f>IF(ISBLANK('Data Entry'!M682), "", 'Data Entry'!M682)</f>
      </c>
      <c r="N682">
        <f>IF(ISBLANK('Data Entry'!N682), "", 'Data Entry'!N682)</f>
      </c>
      <c r="O682">
        <f>IF(ISBLANK('Data Entry'!O682), "", 'Data Entry'!O682)</f>
      </c>
      <c r="P682">
        <f>IF(ISBLANK('Data Entry'!P682), "", 'Data Entry'!P682)</f>
      </c>
      <c r="Q682">
        <f>IF(ISBLANK('Data Entry'!Q682), "", 'Data Entry'!Q682)</f>
      </c>
      <c r="R682">
        <f>IF(ISBLANK('Data Entry'!R682), "", 'Data Entry'!R682)</f>
      </c>
      <c r="S682">
        <f>IF(ISBLANK('Data Entry'!S682), "", 'Data Entry'!S682)</f>
      </c>
      <c r="T682">
        <f>IF(ISBLANK('Data Entry'!T682), "", 'Data Entry'!T682)</f>
      </c>
      <c r="U682">
        <f>IF(ISBLANK('Data Entry'!U682), "", 'Data Entry'!U682)</f>
      </c>
      <c r="V682">
        <f>IF(ISBLANK('Data Entry'!V682), "", 'Data Entry'!V682)</f>
      </c>
      <c r="W682">
        <f>IF(ISBLANK('Data Entry'!W682), "", 'Data Entry'!W682)</f>
      </c>
      <c r="X682">
        <f>IF(ISBLANK('Data Entry'!X682), "", 'Data Entry'!X682)</f>
      </c>
      <c r="Y682">
        <f>IF(ISBLANK('Data Entry'!Y682), "", 'Data Entry'!Y682)</f>
      </c>
      <c r="Z682">
        <f>IF(ISBLANK('Data Entry'!Z682), "", 'Data Entry'!Z682)</f>
      </c>
      <c r="AA682">
        <f>IF(ISBLANK('Data Entry'![682), "", 'Data Entry'![682)</f>
      </c>
      <c r="AB682">
        <f>IF(ISBLANK('Data Entry'!\682), "", 'Data Entry'!\682)</f>
      </c>
      <c r="AC682">
        <f>IF(ISBLANK('Data Entry'!]682), "", 'Data Entry'!]682)</f>
      </c>
      <c r="AD682">
        <f>IF(ISBLANK('Data Entry'!^682), "", 'Data Entry'!^682)</f>
      </c>
      <c r="AE682">
        <f>IF(ISBLANK('Data Entry'!_682), "", 'Data Entry'!_682)</f>
      </c>
      <c r="AF682">
        <f>IF(ISBLANK('Data Entry'!`682), "", 'Data Entry'!`682)</f>
      </c>
      <c r="AG682">
        <f>IF(ISBLANK('Data Entry'!a682), "", 'Data Entry'!a682)</f>
      </c>
      <c r="AH682">
        <f>IF(ISBLANK('Data Entry'!b682), "", 'Data Entry'!b682)</f>
      </c>
      <c r="AI682">
        <f>IF(ISBLANK('Data Entry'!c682), "", 'Data Entry'!c682)</f>
      </c>
      <c r="AJ682">
        <f>IF(ISBLANK('Data Entry'!d682), "", 'Data Entry'!d682)</f>
      </c>
      <c r="AK682">
        <f>IF(ISBLANK('Data Entry'!e682), "", 'Data Entry'!e682)</f>
      </c>
      <c r="AL682">
        <f>IF(ISBLANK('Data Entry'!f682), "", 'Data Entry'!f682)</f>
      </c>
      <c r="AM682">
        <f>IF(ISBLANK('Data Entry'!g682), "", 'Data Entry'!g682)</f>
      </c>
      <c r="AN682">
        <f>IF(ISBLANK('Data Entry'!h682), "", 'Data Entry'!h682)</f>
      </c>
    </row>
    <row r="683" spans="1:40" x14ac:dyDescent="0.25">
      <c r="A683">
        <f>IF(ISBLANK('Data Entry'!A683), "", 'Data Entry'!A683)</f>
      </c>
      <c r="B683">
        <f>IF(ISBLANK('Data Entry'!B683), "", 'Data Entry'!B683)</f>
      </c>
      <c r="C683">
        <f>IF(ISBLANK('Data Entry'!C683), "", 'Data Entry'!C683)</f>
      </c>
      <c r="D683">
        <f>IF(ISBLANK('Data Entry'!D683), "", 'Data Entry'!D683)</f>
      </c>
      <c r="E683">
        <f>IF(ISBLANK('Data Entry'!E683), "", 'Data Entry'!E683)</f>
      </c>
      <c r="F683">
        <f>IF(ISBLANK('Data Entry'!F683), "", 'Data Entry'!F683)</f>
      </c>
      <c r="G683">
        <f>IF(ISBLANK('Data Entry'!G683), "", 'Data Entry'!G683)</f>
      </c>
      <c r="H683">
        <f>IF(ISBLANK('Data Entry'!H683), "", 'Data Entry'!H683)</f>
      </c>
      <c r="I683">
        <f>IF(ISBLANK('Data Entry'!I683), "", 'Data Entry'!I683)</f>
      </c>
      <c r="J683">
        <f>IF(ISBLANK('Data Entry'!J683), "", 'Data Entry'!J683)</f>
      </c>
      <c r="K683">
        <f>IF(ISBLANK('Data Entry'!K683), "", 'Data Entry'!K683)</f>
      </c>
      <c r="L683">
        <f>IF(ISBLANK('Data Entry'!L683), "", 'Data Entry'!L683)</f>
      </c>
      <c r="M683">
        <f>IF(ISBLANK('Data Entry'!M683), "", 'Data Entry'!M683)</f>
      </c>
      <c r="N683">
        <f>IF(ISBLANK('Data Entry'!N683), "", 'Data Entry'!N683)</f>
      </c>
      <c r="O683">
        <f>IF(ISBLANK('Data Entry'!O683), "", 'Data Entry'!O683)</f>
      </c>
      <c r="P683">
        <f>IF(ISBLANK('Data Entry'!P683), "", 'Data Entry'!P683)</f>
      </c>
      <c r="Q683">
        <f>IF(ISBLANK('Data Entry'!Q683), "", 'Data Entry'!Q683)</f>
      </c>
      <c r="R683">
        <f>IF(ISBLANK('Data Entry'!R683), "", 'Data Entry'!R683)</f>
      </c>
      <c r="S683">
        <f>IF(ISBLANK('Data Entry'!S683), "", 'Data Entry'!S683)</f>
      </c>
      <c r="T683">
        <f>IF(ISBLANK('Data Entry'!T683), "", 'Data Entry'!T683)</f>
      </c>
      <c r="U683">
        <f>IF(ISBLANK('Data Entry'!U683), "", 'Data Entry'!U683)</f>
      </c>
      <c r="V683">
        <f>IF(ISBLANK('Data Entry'!V683), "", 'Data Entry'!V683)</f>
      </c>
      <c r="W683">
        <f>IF(ISBLANK('Data Entry'!W683), "", 'Data Entry'!W683)</f>
      </c>
      <c r="X683">
        <f>IF(ISBLANK('Data Entry'!X683), "", 'Data Entry'!X683)</f>
      </c>
      <c r="Y683">
        <f>IF(ISBLANK('Data Entry'!Y683), "", 'Data Entry'!Y683)</f>
      </c>
      <c r="Z683">
        <f>IF(ISBLANK('Data Entry'!Z683), "", 'Data Entry'!Z683)</f>
      </c>
      <c r="AA683">
        <f>IF(ISBLANK('Data Entry'![683), "", 'Data Entry'![683)</f>
      </c>
      <c r="AB683">
        <f>IF(ISBLANK('Data Entry'!\683), "", 'Data Entry'!\683)</f>
      </c>
      <c r="AC683">
        <f>IF(ISBLANK('Data Entry'!]683), "", 'Data Entry'!]683)</f>
      </c>
      <c r="AD683">
        <f>IF(ISBLANK('Data Entry'!^683), "", 'Data Entry'!^683)</f>
      </c>
      <c r="AE683">
        <f>IF(ISBLANK('Data Entry'!_683), "", 'Data Entry'!_683)</f>
      </c>
      <c r="AF683">
        <f>IF(ISBLANK('Data Entry'!`683), "", 'Data Entry'!`683)</f>
      </c>
      <c r="AG683">
        <f>IF(ISBLANK('Data Entry'!a683), "", 'Data Entry'!a683)</f>
      </c>
      <c r="AH683">
        <f>IF(ISBLANK('Data Entry'!b683), "", 'Data Entry'!b683)</f>
      </c>
      <c r="AI683">
        <f>IF(ISBLANK('Data Entry'!c683), "", 'Data Entry'!c683)</f>
      </c>
      <c r="AJ683">
        <f>IF(ISBLANK('Data Entry'!d683), "", 'Data Entry'!d683)</f>
      </c>
      <c r="AK683">
        <f>IF(ISBLANK('Data Entry'!e683), "", 'Data Entry'!e683)</f>
      </c>
      <c r="AL683">
        <f>IF(ISBLANK('Data Entry'!f683), "", 'Data Entry'!f683)</f>
      </c>
      <c r="AM683">
        <f>IF(ISBLANK('Data Entry'!g683), "", 'Data Entry'!g683)</f>
      </c>
      <c r="AN683">
        <f>IF(ISBLANK('Data Entry'!h683), "", 'Data Entry'!h683)</f>
      </c>
    </row>
    <row r="684" spans="1:40" x14ac:dyDescent="0.25">
      <c r="A684">
        <f>IF(ISBLANK('Data Entry'!A684), "", 'Data Entry'!A684)</f>
      </c>
      <c r="B684">
        <f>IF(ISBLANK('Data Entry'!B684), "", 'Data Entry'!B684)</f>
      </c>
      <c r="C684">
        <f>IF(ISBLANK('Data Entry'!C684), "", 'Data Entry'!C684)</f>
      </c>
      <c r="D684">
        <f>IF(ISBLANK('Data Entry'!D684), "", 'Data Entry'!D684)</f>
      </c>
      <c r="E684">
        <f>IF(ISBLANK('Data Entry'!E684), "", 'Data Entry'!E684)</f>
      </c>
      <c r="F684">
        <f>IF(ISBLANK('Data Entry'!F684), "", 'Data Entry'!F684)</f>
      </c>
      <c r="G684">
        <f>IF(ISBLANK('Data Entry'!G684), "", 'Data Entry'!G684)</f>
      </c>
      <c r="H684">
        <f>IF(ISBLANK('Data Entry'!H684), "", 'Data Entry'!H684)</f>
      </c>
      <c r="I684">
        <f>IF(ISBLANK('Data Entry'!I684), "", 'Data Entry'!I684)</f>
      </c>
      <c r="J684">
        <f>IF(ISBLANK('Data Entry'!J684), "", 'Data Entry'!J684)</f>
      </c>
      <c r="K684">
        <f>IF(ISBLANK('Data Entry'!K684), "", 'Data Entry'!K684)</f>
      </c>
      <c r="L684">
        <f>IF(ISBLANK('Data Entry'!L684), "", 'Data Entry'!L684)</f>
      </c>
      <c r="M684">
        <f>IF(ISBLANK('Data Entry'!M684), "", 'Data Entry'!M684)</f>
      </c>
      <c r="N684">
        <f>IF(ISBLANK('Data Entry'!N684), "", 'Data Entry'!N684)</f>
      </c>
      <c r="O684">
        <f>IF(ISBLANK('Data Entry'!O684), "", 'Data Entry'!O684)</f>
      </c>
      <c r="P684">
        <f>IF(ISBLANK('Data Entry'!P684), "", 'Data Entry'!P684)</f>
      </c>
      <c r="Q684">
        <f>IF(ISBLANK('Data Entry'!Q684), "", 'Data Entry'!Q684)</f>
      </c>
      <c r="R684">
        <f>IF(ISBLANK('Data Entry'!R684), "", 'Data Entry'!R684)</f>
      </c>
      <c r="S684">
        <f>IF(ISBLANK('Data Entry'!S684), "", 'Data Entry'!S684)</f>
      </c>
      <c r="T684">
        <f>IF(ISBLANK('Data Entry'!T684), "", 'Data Entry'!T684)</f>
      </c>
      <c r="U684">
        <f>IF(ISBLANK('Data Entry'!U684), "", 'Data Entry'!U684)</f>
      </c>
      <c r="V684">
        <f>IF(ISBLANK('Data Entry'!V684), "", 'Data Entry'!V684)</f>
      </c>
      <c r="W684">
        <f>IF(ISBLANK('Data Entry'!W684), "", 'Data Entry'!W684)</f>
      </c>
      <c r="X684">
        <f>IF(ISBLANK('Data Entry'!X684), "", 'Data Entry'!X684)</f>
      </c>
      <c r="Y684">
        <f>IF(ISBLANK('Data Entry'!Y684), "", 'Data Entry'!Y684)</f>
      </c>
      <c r="Z684">
        <f>IF(ISBLANK('Data Entry'!Z684), "", 'Data Entry'!Z684)</f>
      </c>
      <c r="AA684">
        <f>IF(ISBLANK('Data Entry'![684), "", 'Data Entry'![684)</f>
      </c>
      <c r="AB684">
        <f>IF(ISBLANK('Data Entry'!\684), "", 'Data Entry'!\684)</f>
      </c>
      <c r="AC684">
        <f>IF(ISBLANK('Data Entry'!]684), "", 'Data Entry'!]684)</f>
      </c>
      <c r="AD684">
        <f>IF(ISBLANK('Data Entry'!^684), "", 'Data Entry'!^684)</f>
      </c>
      <c r="AE684">
        <f>IF(ISBLANK('Data Entry'!_684), "", 'Data Entry'!_684)</f>
      </c>
      <c r="AF684">
        <f>IF(ISBLANK('Data Entry'!`684), "", 'Data Entry'!`684)</f>
      </c>
      <c r="AG684">
        <f>IF(ISBLANK('Data Entry'!a684), "", 'Data Entry'!a684)</f>
      </c>
      <c r="AH684">
        <f>IF(ISBLANK('Data Entry'!b684), "", 'Data Entry'!b684)</f>
      </c>
      <c r="AI684">
        <f>IF(ISBLANK('Data Entry'!c684), "", 'Data Entry'!c684)</f>
      </c>
      <c r="AJ684">
        <f>IF(ISBLANK('Data Entry'!d684), "", 'Data Entry'!d684)</f>
      </c>
      <c r="AK684">
        <f>IF(ISBLANK('Data Entry'!e684), "", 'Data Entry'!e684)</f>
      </c>
      <c r="AL684">
        <f>IF(ISBLANK('Data Entry'!f684), "", 'Data Entry'!f684)</f>
      </c>
      <c r="AM684">
        <f>IF(ISBLANK('Data Entry'!g684), "", 'Data Entry'!g684)</f>
      </c>
      <c r="AN684">
        <f>IF(ISBLANK('Data Entry'!h684), "", 'Data Entry'!h684)</f>
      </c>
    </row>
    <row r="685" spans="1:40" x14ac:dyDescent="0.25">
      <c r="A685">
        <f>IF(ISBLANK('Data Entry'!A685), "", 'Data Entry'!A685)</f>
      </c>
      <c r="B685">
        <f>IF(ISBLANK('Data Entry'!B685), "", 'Data Entry'!B685)</f>
      </c>
      <c r="C685">
        <f>IF(ISBLANK('Data Entry'!C685), "", 'Data Entry'!C685)</f>
      </c>
      <c r="D685">
        <f>IF(ISBLANK('Data Entry'!D685), "", 'Data Entry'!D685)</f>
      </c>
      <c r="E685">
        <f>IF(ISBLANK('Data Entry'!E685), "", 'Data Entry'!E685)</f>
      </c>
      <c r="F685">
        <f>IF(ISBLANK('Data Entry'!F685), "", 'Data Entry'!F685)</f>
      </c>
      <c r="G685">
        <f>IF(ISBLANK('Data Entry'!G685), "", 'Data Entry'!G685)</f>
      </c>
      <c r="H685">
        <f>IF(ISBLANK('Data Entry'!H685), "", 'Data Entry'!H685)</f>
      </c>
      <c r="I685">
        <f>IF(ISBLANK('Data Entry'!I685), "", 'Data Entry'!I685)</f>
      </c>
      <c r="J685">
        <f>IF(ISBLANK('Data Entry'!J685), "", 'Data Entry'!J685)</f>
      </c>
      <c r="K685">
        <f>IF(ISBLANK('Data Entry'!K685), "", 'Data Entry'!K685)</f>
      </c>
      <c r="L685">
        <f>IF(ISBLANK('Data Entry'!L685), "", 'Data Entry'!L685)</f>
      </c>
      <c r="M685">
        <f>IF(ISBLANK('Data Entry'!M685), "", 'Data Entry'!M685)</f>
      </c>
      <c r="N685">
        <f>IF(ISBLANK('Data Entry'!N685), "", 'Data Entry'!N685)</f>
      </c>
      <c r="O685">
        <f>IF(ISBLANK('Data Entry'!O685), "", 'Data Entry'!O685)</f>
      </c>
      <c r="P685">
        <f>IF(ISBLANK('Data Entry'!P685), "", 'Data Entry'!P685)</f>
      </c>
      <c r="Q685">
        <f>IF(ISBLANK('Data Entry'!Q685), "", 'Data Entry'!Q685)</f>
      </c>
      <c r="R685">
        <f>IF(ISBLANK('Data Entry'!R685), "", 'Data Entry'!R685)</f>
      </c>
      <c r="S685">
        <f>IF(ISBLANK('Data Entry'!S685), "", 'Data Entry'!S685)</f>
      </c>
      <c r="T685">
        <f>IF(ISBLANK('Data Entry'!T685), "", 'Data Entry'!T685)</f>
      </c>
      <c r="U685">
        <f>IF(ISBLANK('Data Entry'!U685), "", 'Data Entry'!U685)</f>
      </c>
      <c r="V685">
        <f>IF(ISBLANK('Data Entry'!V685), "", 'Data Entry'!V685)</f>
      </c>
      <c r="W685">
        <f>IF(ISBLANK('Data Entry'!W685), "", 'Data Entry'!W685)</f>
      </c>
      <c r="X685">
        <f>IF(ISBLANK('Data Entry'!X685), "", 'Data Entry'!X685)</f>
      </c>
      <c r="Y685">
        <f>IF(ISBLANK('Data Entry'!Y685), "", 'Data Entry'!Y685)</f>
      </c>
      <c r="Z685">
        <f>IF(ISBLANK('Data Entry'!Z685), "", 'Data Entry'!Z685)</f>
      </c>
      <c r="AA685">
        <f>IF(ISBLANK('Data Entry'![685), "", 'Data Entry'![685)</f>
      </c>
      <c r="AB685">
        <f>IF(ISBLANK('Data Entry'!\685), "", 'Data Entry'!\685)</f>
      </c>
      <c r="AC685">
        <f>IF(ISBLANK('Data Entry'!]685), "", 'Data Entry'!]685)</f>
      </c>
      <c r="AD685">
        <f>IF(ISBLANK('Data Entry'!^685), "", 'Data Entry'!^685)</f>
      </c>
      <c r="AE685">
        <f>IF(ISBLANK('Data Entry'!_685), "", 'Data Entry'!_685)</f>
      </c>
      <c r="AF685">
        <f>IF(ISBLANK('Data Entry'!`685), "", 'Data Entry'!`685)</f>
      </c>
      <c r="AG685">
        <f>IF(ISBLANK('Data Entry'!a685), "", 'Data Entry'!a685)</f>
      </c>
      <c r="AH685">
        <f>IF(ISBLANK('Data Entry'!b685), "", 'Data Entry'!b685)</f>
      </c>
      <c r="AI685">
        <f>IF(ISBLANK('Data Entry'!c685), "", 'Data Entry'!c685)</f>
      </c>
      <c r="AJ685">
        <f>IF(ISBLANK('Data Entry'!d685), "", 'Data Entry'!d685)</f>
      </c>
      <c r="AK685">
        <f>IF(ISBLANK('Data Entry'!e685), "", 'Data Entry'!e685)</f>
      </c>
      <c r="AL685">
        <f>IF(ISBLANK('Data Entry'!f685), "", 'Data Entry'!f685)</f>
      </c>
      <c r="AM685">
        <f>IF(ISBLANK('Data Entry'!g685), "", 'Data Entry'!g685)</f>
      </c>
      <c r="AN685">
        <f>IF(ISBLANK('Data Entry'!h685), "", 'Data Entry'!h685)</f>
      </c>
    </row>
    <row r="686" spans="1:40" x14ac:dyDescent="0.25">
      <c r="A686">
        <f>IF(ISBLANK('Data Entry'!A686), "", 'Data Entry'!A686)</f>
      </c>
      <c r="B686">
        <f>IF(ISBLANK('Data Entry'!B686), "", 'Data Entry'!B686)</f>
      </c>
      <c r="C686">
        <f>IF(ISBLANK('Data Entry'!C686), "", 'Data Entry'!C686)</f>
      </c>
      <c r="D686">
        <f>IF(ISBLANK('Data Entry'!D686), "", 'Data Entry'!D686)</f>
      </c>
      <c r="E686">
        <f>IF(ISBLANK('Data Entry'!E686), "", 'Data Entry'!E686)</f>
      </c>
      <c r="F686">
        <f>IF(ISBLANK('Data Entry'!F686), "", 'Data Entry'!F686)</f>
      </c>
      <c r="G686">
        <f>IF(ISBLANK('Data Entry'!G686), "", 'Data Entry'!G686)</f>
      </c>
      <c r="H686">
        <f>IF(ISBLANK('Data Entry'!H686), "", 'Data Entry'!H686)</f>
      </c>
      <c r="I686">
        <f>IF(ISBLANK('Data Entry'!I686), "", 'Data Entry'!I686)</f>
      </c>
      <c r="J686">
        <f>IF(ISBLANK('Data Entry'!J686), "", 'Data Entry'!J686)</f>
      </c>
      <c r="K686">
        <f>IF(ISBLANK('Data Entry'!K686), "", 'Data Entry'!K686)</f>
      </c>
      <c r="L686">
        <f>IF(ISBLANK('Data Entry'!L686), "", 'Data Entry'!L686)</f>
      </c>
      <c r="M686">
        <f>IF(ISBLANK('Data Entry'!M686), "", 'Data Entry'!M686)</f>
      </c>
      <c r="N686">
        <f>IF(ISBLANK('Data Entry'!N686), "", 'Data Entry'!N686)</f>
      </c>
      <c r="O686">
        <f>IF(ISBLANK('Data Entry'!O686), "", 'Data Entry'!O686)</f>
      </c>
      <c r="P686">
        <f>IF(ISBLANK('Data Entry'!P686), "", 'Data Entry'!P686)</f>
      </c>
      <c r="Q686">
        <f>IF(ISBLANK('Data Entry'!Q686), "", 'Data Entry'!Q686)</f>
      </c>
      <c r="R686">
        <f>IF(ISBLANK('Data Entry'!R686), "", 'Data Entry'!R686)</f>
      </c>
      <c r="S686">
        <f>IF(ISBLANK('Data Entry'!S686), "", 'Data Entry'!S686)</f>
      </c>
      <c r="T686">
        <f>IF(ISBLANK('Data Entry'!T686), "", 'Data Entry'!T686)</f>
      </c>
      <c r="U686">
        <f>IF(ISBLANK('Data Entry'!U686), "", 'Data Entry'!U686)</f>
      </c>
      <c r="V686">
        <f>IF(ISBLANK('Data Entry'!V686), "", 'Data Entry'!V686)</f>
      </c>
      <c r="W686">
        <f>IF(ISBLANK('Data Entry'!W686), "", 'Data Entry'!W686)</f>
      </c>
      <c r="X686">
        <f>IF(ISBLANK('Data Entry'!X686), "", 'Data Entry'!X686)</f>
      </c>
      <c r="Y686">
        <f>IF(ISBLANK('Data Entry'!Y686), "", 'Data Entry'!Y686)</f>
      </c>
      <c r="Z686">
        <f>IF(ISBLANK('Data Entry'!Z686), "", 'Data Entry'!Z686)</f>
      </c>
      <c r="AA686">
        <f>IF(ISBLANK('Data Entry'![686), "", 'Data Entry'![686)</f>
      </c>
      <c r="AB686">
        <f>IF(ISBLANK('Data Entry'!\686), "", 'Data Entry'!\686)</f>
      </c>
      <c r="AC686">
        <f>IF(ISBLANK('Data Entry'!]686), "", 'Data Entry'!]686)</f>
      </c>
      <c r="AD686">
        <f>IF(ISBLANK('Data Entry'!^686), "", 'Data Entry'!^686)</f>
      </c>
      <c r="AE686">
        <f>IF(ISBLANK('Data Entry'!_686), "", 'Data Entry'!_686)</f>
      </c>
      <c r="AF686">
        <f>IF(ISBLANK('Data Entry'!`686), "", 'Data Entry'!`686)</f>
      </c>
      <c r="AG686">
        <f>IF(ISBLANK('Data Entry'!a686), "", 'Data Entry'!a686)</f>
      </c>
      <c r="AH686">
        <f>IF(ISBLANK('Data Entry'!b686), "", 'Data Entry'!b686)</f>
      </c>
      <c r="AI686">
        <f>IF(ISBLANK('Data Entry'!c686), "", 'Data Entry'!c686)</f>
      </c>
      <c r="AJ686">
        <f>IF(ISBLANK('Data Entry'!d686), "", 'Data Entry'!d686)</f>
      </c>
      <c r="AK686">
        <f>IF(ISBLANK('Data Entry'!e686), "", 'Data Entry'!e686)</f>
      </c>
      <c r="AL686">
        <f>IF(ISBLANK('Data Entry'!f686), "", 'Data Entry'!f686)</f>
      </c>
      <c r="AM686">
        <f>IF(ISBLANK('Data Entry'!g686), "", 'Data Entry'!g686)</f>
      </c>
      <c r="AN686">
        <f>IF(ISBLANK('Data Entry'!h686), "", 'Data Entry'!h686)</f>
      </c>
    </row>
    <row r="687" spans="1:40" x14ac:dyDescent="0.25">
      <c r="A687">
        <f>IF(ISBLANK('Data Entry'!A687), "", 'Data Entry'!A687)</f>
      </c>
      <c r="B687">
        <f>IF(ISBLANK('Data Entry'!B687), "", 'Data Entry'!B687)</f>
      </c>
      <c r="C687">
        <f>IF(ISBLANK('Data Entry'!C687), "", 'Data Entry'!C687)</f>
      </c>
      <c r="D687">
        <f>IF(ISBLANK('Data Entry'!D687), "", 'Data Entry'!D687)</f>
      </c>
      <c r="E687">
        <f>IF(ISBLANK('Data Entry'!E687), "", 'Data Entry'!E687)</f>
      </c>
      <c r="F687">
        <f>IF(ISBLANK('Data Entry'!F687), "", 'Data Entry'!F687)</f>
      </c>
      <c r="G687">
        <f>IF(ISBLANK('Data Entry'!G687), "", 'Data Entry'!G687)</f>
      </c>
      <c r="H687">
        <f>IF(ISBLANK('Data Entry'!H687), "", 'Data Entry'!H687)</f>
      </c>
      <c r="I687">
        <f>IF(ISBLANK('Data Entry'!I687), "", 'Data Entry'!I687)</f>
      </c>
      <c r="J687">
        <f>IF(ISBLANK('Data Entry'!J687), "", 'Data Entry'!J687)</f>
      </c>
      <c r="K687">
        <f>IF(ISBLANK('Data Entry'!K687), "", 'Data Entry'!K687)</f>
      </c>
      <c r="L687">
        <f>IF(ISBLANK('Data Entry'!L687), "", 'Data Entry'!L687)</f>
      </c>
      <c r="M687">
        <f>IF(ISBLANK('Data Entry'!M687), "", 'Data Entry'!M687)</f>
      </c>
      <c r="N687">
        <f>IF(ISBLANK('Data Entry'!N687), "", 'Data Entry'!N687)</f>
      </c>
      <c r="O687">
        <f>IF(ISBLANK('Data Entry'!O687), "", 'Data Entry'!O687)</f>
      </c>
      <c r="P687">
        <f>IF(ISBLANK('Data Entry'!P687), "", 'Data Entry'!P687)</f>
      </c>
      <c r="Q687">
        <f>IF(ISBLANK('Data Entry'!Q687), "", 'Data Entry'!Q687)</f>
      </c>
      <c r="R687">
        <f>IF(ISBLANK('Data Entry'!R687), "", 'Data Entry'!R687)</f>
      </c>
      <c r="S687">
        <f>IF(ISBLANK('Data Entry'!S687), "", 'Data Entry'!S687)</f>
      </c>
      <c r="T687">
        <f>IF(ISBLANK('Data Entry'!T687), "", 'Data Entry'!T687)</f>
      </c>
      <c r="U687">
        <f>IF(ISBLANK('Data Entry'!U687), "", 'Data Entry'!U687)</f>
      </c>
      <c r="V687">
        <f>IF(ISBLANK('Data Entry'!V687), "", 'Data Entry'!V687)</f>
      </c>
      <c r="W687">
        <f>IF(ISBLANK('Data Entry'!W687), "", 'Data Entry'!W687)</f>
      </c>
      <c r="X687">
        <f>IF(ISBLANK('Data Entry'!X687), "", 'Data Entry'!X687)</f>
      </c>
      <c r="Y687">
        <f>IF(ISBLANK('Data Entry'!Y687), "", 'Data Entry'!Y687)</f>
      </c>
      <c r="Z687">
        <f>IF(ISBLANK('Data Entry'!Z687), "", 'Data Entry'!Z687)</f>
      </c>
      <c r="AA687">
        <f>IF(ISBLANK('Data Entry'![687), "", 'Data Entry'![687)</f>
      </c>
      <c r="AB687">
        <f>IF(ISBLANK('Data Entry'!\687), "", 'Data Entry'!\687)</f>
      </c>
      <c r="AC687">
        <f>IF(ISBLANK('Data Entry'!]687), "", 'Data Entry'!]687)</f>
      </c>
      <c r="AD687">
        <f>IF(ISBLANK('Data Entry'!^687), "", 'Data Entry'!^687)</f>
      </c>
      <c r="AE687">
        <f>IF(ISBLANK('Data Entry'!_687), "", 'Data Entry'!_687)</f>
      </c>
      <c r="AF687">
        <f>IF(ISBLANK('Data Entry'!`687), "", 'Data Entry'!`687)</f>
      </c>
      <c r="AG687">
        <f>IF(ISBLANK('Data Entry'!a687), "", 'Data Entry'!a687)</f>
      </c>
      <c r="AH687">
        <f>IF(ISBLANK('Data Entry'!b687), "", 'Data Entry'!b687)</f>
      </c>
      <c r="AI687">
        <f>IF(ISBLANK('Data Entry'!c687), "", 'Data Entry'!c687)</f>
      </c>
      <c r="AJ687">
        <f>IF(ISBLANK('Data Entry'!d687), "", 'Data Entry'!d687)</f>
      </c>
      <c r="AK687">
        <f>IF(ISBLANK('Data Entry'!e687), "", 'Data Entry'!e687)</f>
      </c>
      <c r="AL687">
        <f>IF(ISBLANK('Data Entry'!f687), "", 'Data Entry'!f687)</f>
      </c>
      <c r="AM687">
        <f>IF(ISBLANK('Data Entry'!g687), "", 'Data Entry'!g687)</f>
      </c>
      <c r="AN687">
        <f>IF(ISBLANK('Data Entry'!h687), "", 'Data Entry'!h687)</f>
      </c>
    </row>
    <row r="688" spans="1:40" x14ac:dyDescent="0.25">
      <c r="A688">
        <f>IF(ISBLANK('Data Entry'!A688), "", 'Data Entry'!A688)</f>
      </c>
      <c r="B688">
        <f>IF(ISBLANK('Data Entry'!B688), "", 'Data Entry'!B688)</f>
      </c>
      <c r="C688">
        <f>IF(ISBLANK('Data Entry'!C688), "", 'Data Entry'!C688)</f>
      </c>
      <c r="D688">
        <f>IF(ISBLANK('Data Entry'!D688), "", 'Data Entry'!D688)</f>
      </c>
      <c r="E688">
        <f>IF(ISBLANK('Data Entry'!E688), "", 'Data Entry'!E688)</f>
      </c>
      <c r="F688">
        <f>IF(ISBLANK('Data Entry'!F688), "", 'Data Entry'!F688)</f>
      </c>
      <c r="G688">
        <f>IF(ISBLANK('Data Entry'!G688), "", 'Data Entry'!G688)</f>
      </c>
      <c r="H688">
        <f>IF(ISBLANK('Data Entry'!H688), "", 'Data Entry'!H688)</f>
      </c>
      <c r="I688">
        <f>IF(ISBLANK('Data Entry'!I688), "", 'Data Entry'!I688)</f>
      </c>
      <c r="J688">
        <f>IF(ISBLANK('Data Entry'!J688), "", 'Data Entry'!J688)</f>
      </c>
      <c r="K688">
        <f>IF(ISBLANK('Data Entry'!K688), "", 'Data Entry'!K688)</f>
      </c>
      <c r="L688">
        <f>IF(ISBLANK('Data Entry'!L688), "", 'Data Entry'!L688)</f>
      </c>
      <c r="M688">
        <f>IF(ISBLANK('Data Entry'!M688), "", 'Data Entry'!M688)</f>
      </c>
      <c r="N688">
        <f>IF(ISBLANK('Data Entry'!N688), "", 'Data Entry'!N688)</f>
      </c>
      <c r="O688">
        <f>IF(ISBLANK('Data Entry'!O688), "", 'Data Entry'!O688)</f>
      </c>
      <c r="P688">
        <f>IF(ISBLANK('Data Entry'!P688), "", 'Data Entry'!P688)</f>
      </c>
      <c r="Q688">
        <f>IF(ISBLANK('Data Entry'!Q688), "", 'Data Entry'!Q688)</f>
      </c>
      <c r="R688">
        <f>IF(ISBLANK('Data Entry'!R688), "", 'Data Entry'!R688)</f>
      </c>
      <c r="S688">
        <f>IF(ISBLANK('Data Entry'!S688), "", 'Data Entry'!S688)</f>
      </c>
      <c r="T688">
        <f>IF(ISBLANK('Data Entry'!T688), "", 'Data Entry'!T688)</f>
      </c>
      <c r="U688">
        <f>IF(ISBLANK('Data Entry'!U688), "", 'Data Entry'!U688)</f>
      </c>
      <c r="V688">
        <f>IF(ISBLANK('Data Entry'!V688), "", 'Data Entry'!V688)</f>
      </c>
      <c r="W688">
        <f>IF(ISBLANK('Data Entry'!W688), "", 'Data Entry'!W688)</f>
      </c>
      <c r="X688">
        <f>IF(ISBLANK('Data Entry'!X688), "", 'Data Entry'!X688)</f>
      </c>
      <c r="Y688">
        <f>IF(ISBLANK('Data Entry'!Y688), "", 'Data Entry'!Y688)</f>
      </c>
      <c r="Z688">
        <f>IF(ISBLANK('Data Entry'!Z688), "", 'Data Entry'!Z688)</f>
      </c>
      <c r="AA688">
        <f>IF(ISBLANK('Data Entry'![688), "", 'Data Entry'![688)</f>
      </c>
      <c r="AB688">
        <f>IF(ISBLANK('Data Entry'!\688), "", 'Data Entry'!\688)</f>
      </c>
      <c r="AC688">
        <f>IF(ISBLANK('Data Entry'!]688), "", 'Data Entry'!]688)</f>
      </c>
      <c r="AD688">
        <f>IF(ISBLANK('Data Entry'!^688), "", 'Data Entry'!^688)</f>
      </c>
      <c r="AE688">
        <f>IF(ISBLANK('Data Entry'!_688), "", 'Data Entry'!_688)</f>
      </c>
      <c r="AF688">
        <f>IF(ISBLANK('Data Entry'!`688), "", 'Data Entry'!`688)</f>
      </c>
      <c r="AG688">
        <f>IF(ISBLANK('Data Entry'!a688), "", 'Data Entry'!a688)</f>
      </c>
      <c r="AH688">
        <f>IF(ISBLANK('Data Entry'!b688), "", 'Data Entry'!b688)</f>
      </c>
      <c r="AI688">
        <f>IF(ISBLANK('Data Entry'!c688), "", 'Data Entry'!c688)</f>
      </c>
      <c r="AJ688">
        <f>IF(ISBLANK('Data Entry'!d688), "", 'Data Entry'!d688)</f>
      </c>
      <c r="AK688">
        <f>IF(ISBLANK('Data Entry'!e688), "", 'Data Entry'!e688)</f>
      </c>
      <c r="AL688">
        <f>IF(ISBLANK('Data Entry'!f688), "", 'Data Entry'!f688)</f>
      </c>
      <c r="AM688">
        <f>IF(ISBLANK('Data Entry'!g688), "", 'Data Entry'!g688)</f>
      </c>
      <c r="AN688">
        <f>IF(ISBLANK('Data Entry'!h688), "", 'Data Entry'!h688)</f>
      </c>
    </row>
    <row r="689" spans="1:40" x14ac:dyDescent="0.25">
      <c r="A689">
        <f>IF(ISBLANK('Data Entry'!A689), "", 'Data Entry'!A689)</f>
      </c>
      <c r="B689">
        <f>IF(ISBLANK('Data Entry'!B689), "", 'Data Entry'!B689)</f>
      </c>
      <c r="C689">
        <f>IF(ISBLANK('Data Entry'!C689), "", 'Data Entry'!C689)</f>
      </c>
      <c r="D689">
        <f>IF(ISBLANK('Data Entry'!D689), "", 'Data Entry'!D689)</f>
      </c>
      <c r="E689">
        <f>IF(ISBLANK('Data Entry'!E689), "", 'Data Entry'!E689)</f>
      </c>
      <c r="F689">
        <f>IF(ISBLANK('Data Entry'!F689), "", 'Data Entry'!F689)</f>
      </c>
      <c r="G689">
        <f>IF(ISBLANK('Data Entry'!G689), "", 'Data Entry'!G689)</f>
      </c>
      <c r="H689">
        <f>IF(ISBLANK('Data Entry'!H689), "", 'Data Entry'!H689)</f>
      </c>
      <c r="I689">
        <f>IF(ISBLANK('Data Entry'!I689), "", 'Data Entry'!I689)</f>
      </c>
      <c r="J689">
        <f>IF(ISBLANK('Data Entry'!J689), "", 'Data Entry'!J689)</f>
      </c>
      <c r="K689">
        <f>IF(ISBLANK('Data Entry'!K689), "", 'Data Entry'!K689)</f>
      </c>
      <c r="L689">
        <f>IF(ISBLANK('Data Entry'!L689), "", 'Data Entry'!L689)</f>
      </c>
      <c r="M689">
        <f>IF(ISBLANK('Data Entry'!M689), "", 'Data Entry'!M689)</f>
      </c>
      <c r="N689">
        <f>IF(ISBLANK('Data Entry'!N689), "", 'Data Entry'!N689)</f>
      </c>
      <c r="O689">
        <f>IF(ISBLANK('Data Entry'!O689), "", 'Data Entry'!O689)</f>
      </c>
      <c r="P689">
        <f>IF(ISBLANK('Data Entry'!P689), "", 'Data Entry'!P689)</f>
      </c>
      <c r="Q689">
        <f>IF(ISBLANK('Data Entry'!Q689), "", 'Data Entry'!Q689)</f>
      </c>
      <c r="R689">
        <f>IF(ISBLANK('Data Entry'!R689), "", 'Data Entry'!R689)</f>
      </c>
      <c r="S689">
        <f>IF(ISBLANK('Data Entry'!S689), "", 'Data Entry'!S689)</f>
      </c>
      <c r="T689">
        <f>IF(ISBLANK('Data Entry'!T689), "", 'Data Entry'!T689)</f>
      </c>
      <c r="U689">
        <f>IF(ISBLANK('Data Entry'!U689), "", 'Data Entry'!U689)</f>
      </c>
      <c r="V689">
        <f>IF(ISBLANK('Data Entry'!V689), "", 'Data Entry'!V689)</f>
      </c>
      <c r="W689">
        <f>IF(ISBLANK('Data Entry'!W689), "", 'Data Entry'!W689)</f>
      </c>
      <c r="X689">
        <f>IF(ISBLANK('Data Entry'!X689), "", 'Data Entry'!X689)</f>
      </c>
      <c r="Y689">
        <f>IF(ISBLANK('Data Entry'!Y689), "", 'Data Entry'!Y689)</f>
      </c>
      <c r="Z689">
        <f>IF(ISBLANK('Data Entry'!Z689), "", 'Data Entry'!Z689)</f>
      </c>
      <c r="AA689">
        <f>IF(ISBLANK('Data Entry'![689), "", 'Data Entry'![689)</f>
      </c>
      <c r="AB689">
        <f>IF(ISBLANK('Data Entry'!\689), "", 'Data Entry'!\689)</f>
      </c>
      <c r="AC689">
        <f>IF(ISBLANK('Data Entry'!]689), "", 'Data Entry'!]689)</f>
      </c>
      <c r="AD689">
        <f>IF(ISBLANK('Data Entry'!^689), "", 'Data Entry'!^689)</f>
      </c>
      <c r="AE689">
        <f>IF(ISBLANK('Data Entry'!_689), "", 'Data Entry'!_689)</f>
      </c>
      <c r="AF689">
        <f>IF(ISBLANK('Data Entry'!`689), "", 'Data Entry'!`689)</f>
      </c>
      <c r="AG689">
        <f>IF(ISBLANK('Data Entry'!a689), "", 'Data Entry'!a689)</f>
      </c>
      <c r="AH689">
        <f>IF(ISBLANK('Data Entry'!b689), "", 'Data Entry'!b689)</f>
      </c>
      <c r="AI689">
        <f>IF(ISBLANK('Data Entry'!c689), "", 'Data Entry'!c689)</f>
      </c>
      <c r="AJ689">
        <f>IF(ISBLANK('Data Entry'!d689), "", 'Data Entry'!d689)</f>
      </c>
      <c r="AK689">
        <f>IF(ISBLANK('Data Entry'!e689), "", 'Data Entry'!e689)</f>
      </c>
      <c r="AL689">
        <f>IF(ISBLANK('Data Entry'!f689), "", 'Data Entry'!f689)</f>
      </c>
      <c r="AM689">
        <f>IF(ISBLANK('Data Entry'!g689), "", 'Data Entry'!g689)</f>
      </c>
      <c r="AN689">
        <f>IF(ISBLANK('Data Entry'!h689), "", 'Data Entry'!h689)</f>
      </c>
    </row>
    <row r="690" spans="1:40" x14ac:dyDescent="0.25">
      <c r="A690">
        <f>IF(ISBLANK('Data Entry'!A690), "", 'Data Entry'!A690)</f>
      </c>
      <c r="B690">
        <f>IF(ISBLANK('Data Entry'!B690), "", 'Data Entry'!B690)</f>
      </c>
      <c r="C690">
        <f>IF(ISBLANK('Data Entry'!C690), "", 'Data Entry'!C690)</f>
      </c>
      <c r="D690">
        <f>IF(ISBLANK('Data Entry'!D690), "", 'Data Entry'!D690)</f>
      </c>
      <c r="E690">
        <f>IF(ISBLANK('Data Entry'!E690), "", 'Data Entry'!E690)</f>
      </c>
      <c r="F690">
        <f>IF(ISBLANK('Data Entry'!F690), "", 'Data Entry'!F690)</f>
      </c>
      <c r="G690">
        <f>IF(ISBLANK('Data Entry'!G690), "", 'Data Entry'!G690)</f>
      </c>
      <c r="H690">
        <f>IF(ISBLANK('Data Entry'!H690), "", 'Data Entry'!H690)</f>
      </c>
      <c r="I690">
        <f>IF(ISBLANK('Data Entry'!I690), "", 'Data Entry'!I690)</f>
      </c>
      <c r="J690">
        <f>IF(ISBLANK('Data Entry'!J690), "", 'Data Entry'!J690)</f>
      </c>
      <c r="K690">
        <f>IF(ISBLANK('Data Entry'!K690), "", 'Data Entry'!K690)</f>
      </c>
      <c r="L690">
        <f>IF(ISBLANK('Data Entry'!L690), "", 'Data Entry'!L690)</f>
      </c>
      <c r="M690">
        <f>IF(ISBLANK('Data Entry'!M690), "", 'Data Entry'!M690)</f>
      </c>
      <c r="N690">
        <f>IF(ISBLANK('Data Entry'!N690), "", 'Data Entry'!N690)</f>
      </c>
      <c r="O690">
        <f>IF(ISBLANK('Data Entry'!O690), "", 'Data Entry'!O690)</f>
      </c>
      <c r="P690">
        <f>IF(ISBLANK('Data Entry'!P690), "", 'Data Entry'!P690)</f>
      </c>
      <c r="Q690">
        <f>IF(ISBLANK('Data Entry'!Q690), "", 'Data Entry'!Q690)</f>
      </c>
      <c r="R690">
        <f>IF(ISBLANK('Data Entry'!R690), "", 'Data Entry'!R690)</f>
      </c>
      <c r="S690">
        <f>IF(ISBLANK('Data Entry'!S690), "", 'Data Entry'!S690)</f>
      </c>
      <c r="T690">
        <f>IF(ISBLANK('Data Entry'!T690), "", 'Data Entry'!T690)</f>
      </c>
      <c r="U690">
        <f>IF(ISBLANK('Data Entry'!U690), "", 'Data Entry'!U690)</f>
      </c>
      <c r="V690">
        <f>IF(ISBLANK('Data Entry'!V690), "", 'Data Entry'!V690)</f>
      </c>
      <c r="W690">
        <f>IF(ISBLANK('Data Entry'!W690), "", 'Data Entry'!W690)</f>
      </c>
      <c r="X690">
        <f>IF(ISBLANK('Data Entry'!X690), "", 'Data Entry'!X690)</f>
      </c>
      <c r="Y690">
        <f>IF(ISBLANK('Data Entry'!Y690), "", 'Data Entry'!Y690)</f>
      </c>
      <c r="Z690">
        <f>IF(ISBLANK('Data Entry'!Z690), "", 'Data Entry'!Z690)</f>
      </c>
      <c r="AA690">
        <f>IF(ISBLANK('Data Entry'![690), "", 'Data Entry'![690)</f>
      </c>
      <c r="AB690">
        <f>IF(ISBLANK('Data Entry'!\690), "", 'Data Entry'!\690)</f>
      </c>
      <c r="AC690">
        <f>IF(ISBLANK('Data Entry'!]690), "", 'Data Entry'!]690)</f>
      </c>
      <c r="AD690">
        <f>IF(ISBLANK('Data Entry'!^690), "", 'Data Entry'!^690)</f>
      </c>
      <c r="AE690">
        <f>IF(ISBLANK('Data Entry'!_690), "", 'Data Entry'!_690)</f>
      </c>
      <c r="AF690">
        <f>IF(ISBLANK('Data Entry'!`690), "", 'Data Entry'!`690)</f>
      </c>
      <c r="AG690">
        <f>IF(ISBLANK('Data Entry'!a690), "", 'Data Entry'!a690)</f>
      </c>
      <c r="AH690">
        <f>IF(ISBLANK('Data Entry'!b690), "", 'Data Entry'!b690)</f>
      </c>
      <c r="AI690">
        <f>IF(ISBLANK('Data Entry'!c690), "", 'Data Entry'!c690)</f>
      </c>
      <c r="AJ690">
        <f>IF(ISBLANK('Data Entry'!d690), "", 'Data Entry'!d690)</f>
      </c>
      <c r="AK690">
        <f>IF(ISBLANK('Data Entry'!e690), "", 'Data Entry'!e690)</f>
      </c>
      <c r="AL690">
        <f>IF(ISBLANK('Data Entry'!f690), "", 'Data Entry'!f690)</f>
      </c>
      <c r="AM690">
        <f>IF(ISBLANK('Data Entry'!g690), "", 'Data Entry'!g690)</f>
      </c>
      <c r="AN690">
        <f>IF(ISBLANK('Data Entry'!h690), "", 'Data Entry'!h690)</f>
      </c>
    </row>
    <row r="691" spans="1:40" x14ac:dyDescent="0.25">
      <c r="A691">
        <f>IF(ISBLANK('Data Entry'!A691), "", 'Data Entry'!A691)</f>
      </c>
      <c r="B691">
        <f>IF(ISBLANK('Data Entry'!B691), "", 'Data Entry'!B691)</f>
      </c>
      <c r="C691">
        <f>IF(ISBLANK('Data Entry'!C691), "", 'Data Entry'!C691)</f>
      </c>
      <c r="D691">
        <f>IF(ISBLANK('Data Entry'!D691), "", 'Data Entry'!D691)</f>
      </c>
      <c r="E691">
        <f>IF(ISBLANK('Data Entry'!E691), "", 'Data Entry'!E691)</f>
      </c>
      <c r="F691">
        <f>IF(ISBLANK('Data Entry'!F691), "", 'Data Entry'!F691)</f>
      </c>
      <c r="G691">
        <f>IF(ISBLANK('Data Entry'!G691), "", 'Data Entry'!G691)</f>
      </c>
      <c r="H691">
        <f>IF(ISBLANK('Data Entry'!H691), "", 'Data Entry'!H691)</f>
      </c>
      <c r="I691">
        <f>IF(ISBLANK('Data Entry'!I691), "", 'Data Entry'!I691)</f>
      </c>
      <c r="J691">
        <f>IF(ISBLANK('Data Entry'!J691), "", 'Data Entry'!J691)</f>
      </c>
      <c r="K691">
        <f>IF(ISBLANK('Data Entry'!K691), "", 'Data Entry'!K691)</f>
      </c>
      <c r="L691">
        <f>IF(ISBLANK('Data Entry'!L691), "", 'Data Entry'!L691)</f>
      </c>
      <c r="M691">
        <f>IF(ISBLANK('Data Entry'!M691), "", 'Data Entry'!M691)</f>
      </c>
      <c r="N691">
        <f>IF(ISBLANK('Data Entry'!N691), "", 'Data Entry'!N691)</f>
      </c>
      <c r="O691">
        <f>IF(ISBLANK('Data Entry'!O691), "", 'Data Entry'!O691)</f>
      </c>
      <c r="P691">
        <f>IF(ISBLANK('Data Entry'!P691), "", 'Data Entry'!P691)</f>
      </c>
      <c r="Q691">
        <f>IF(ISBLANK('Data Entry'!Q691), "", 'Data Entry'!Q691)</f>
      </c>
      <c r="R691">
        <f>IF(ISBLANK('Data Entry'!R691), "", 'Data Entry'!R691)</f>
      </c>
      <c r="S691">
        <f>IF(ISBLANK('Data Entry'!S691), "", 'Data Entry'!S691)</f>
      </c>
      <c r="T691">
        <f>IF(ISBLANK('Data Entry'!T691), "", 'Data Entry'!T691)</f>
      </c>
      <c r="U691">
        <f>IF(ISBLANK('Data Entry'!U691), "", 'Data Entry'!U691)</f>
      </c>
      <c r="V691">
        <f>IF(ISBLANK('Data Entry'!V691), "", 'Data Entry'!V691)</f>
      </c>
      <c r="W691">
        <f>IF(ISBLANK('Data Entry'!W691), "", 'Data Entry'!W691)</f>
      </c>
      <c r="X691">
        <f>IF(ISBLANK('Data Entry'!X691), "", 'Data Entry'!X691)</f>
      </c>
      <c r="Y691">
        <f>IF(ISBLANK('Data Entry'!Y691), "", 'Data Entry'!Y691)</f>
      </c>
      <c r="Z691">
        <f>IF(ISBLANK('Data Entry'!Z691), "", 'Data Entry'!Z691)</f>
      </c>
      <c r="AA691">
        <f>IF(ISBLANK('Data Entry'![691), "", 'Data Entry'![691)</f>
      </c>
      <c r="AB691">
        <f>IF(ISBLANK('Data Entry'!\691), "", 'Data Entry'!\691)</f>
      </c>
      <c r="AC691">
        <f>IF(ISBLANK('Data Entry'!]691), "", 'Data Entry'!]691)</f>
      </c>
      <c r="AD691">
        <f>IF(ISBLANK('Data Entry'!^691), "", 'Data Entry'!^691)</f>
      </c>
      <c r="AE691">
        <f>IF(ISBLANK('Data Entry'!_691), "", 'Data Entry'!_691)</f>
      </c>
      <c r="AF691">
        <f>IF(ISBLANK('Data Entry'!`691), "", 'Data Entry'!`691)</f>
      </c>
      <c r="AG691">
        <f>IF(ISBLANK('Data Entry'!a691), "", 'Data Entry'!a691)</f>
      </c>
      <c r="AH691">
        <f>IF(ISBLANK('Data Entry'!b691), "", 'Data Entry'!b691)</f>
      </c>
      <c r="AI691">
        <f>IF(ISBLANK('Data Entry'!c691), "", 'Data Entry'!c691)</f>
      </c>
      <c r="AJ691">
        <f>IF(ISBLANK('Data Entry'!d691), "", 'Data Entry'!d691)</f>
      </c>
      <c r="AK691">
        <f>IF(ISBLANK('Data Entry'!e691), "", 'Data Entry'!e691)</f>
      </c>
      <c r="AL691">
        <f>IF(ISBLANK('Data Entry'!f691), "", 'Data Entry'!f691)</f>
      </c>
      <c r="AM691">
        <f>IF(ISBLANK('Data Entry'!g691), "", 'Data Entry'!g691)</f>
      </c>
      <c r="AN691">
        <f>IF(ISBLANK('Data Entry'!h691), "", 'Data Entry'!h691)</f>
      </c>
    </row>
    <row r="692" spans="1:40" x14ac:dyDescent="0.25">
      <c r="A692">
        <f>IF(ISBLANK('Data Entry'!A692), "", 'Data Entry'!A692)</f>
      </c>
      <c r="B692">
        <f>IF(ISBLANK('Data Entry'!B692), "", 'Data Entry'!B692)</f>
      </c>
      <c r="C692">
        <f>IF(ISBLANK('Data Entry'!C692), "", 'Data Entry'!C692)</f>
      </c>
      <c r="D692">
        <f>IF(ISBLANK('Data Entry'!D692), "", 'Data Entry'!D692)</f>
      </c>
      <c r="E692">
        <f>IF(ISBLANK('Data Entry'!E692), "", 'Data Entry'!E692)</f>
      </c>
      <c r="F692">
        <f>IF(ISBLANK('Data Entry'!F692), "", 'Data Entry'!F692)</f>
      </c>
      <c r="G692">
        <f>IF(ISBLANK('Data Entry'!G692), "", 'Data Entry'!G692)</f>
      </c>
      <c r="H692">
        <f>IF(ISBLANK('Data Entry'!H692), "", 'Data Entry'!H692)</f>
      </c>
      <c r="I692">
        <f>IF(ISBLANK('Data Entry'!I692), "", 'Data Entry'!I692)</f>
      </c>
      <c r="J692">
        <f>IF(ISBLANK('Data Entry'!J692), "", 'Data Entry'!J692)</f>
      </c>
      <c r="K692">
        <f>IF(ISBLANK('Data Entry'!K692), "", 'Data Entry'!K692)</f>
      </c>
      <c r="L692">
        <f>IF(ISBLANK('Data Entry'!L692), "", 'Data Entry'!L692)</f>
      </c>
      <c r="M692">
        <f>IF(ISBLANK('Data Entry'!M692), "", 'Data Entry'!M692)</f>
      </c>
      <c r="N692">
        <f>IF(ISBLANK('Data Entry'!N692), "", 'Data Entry'!N692)</f>
      </c>
      <c r="O692">
        <f>IF(ISBLANK('Data Entry'!O692), "", 'Data Entry'!O692)</f>
      </c>
      <c r="P692">
        <f>IF(ISBLANK('Data Entry'!P692), "", 'Data Entry'!P692)</f>
      </c>
      <c r="Q692">
        <f>IF(ISBLANK('Data Entry'!Q692), "", 'Data Entry'!Q692)</f>
      </c>
      <c r="R692">
        <f>IF(ISBLANK('Data Entry'!R692), "", 'Data Entry'!R692)</f>
      </c>
      <c r="S692">
        <f>IF(ISBLANK('Data Entry'!S692), "", 'Data Entry'!S692)</f>
      </c>
      <c r="T692">
        <f>IF(ISBLANK('Data Entry'!T692), "", 'Data Entry'!T692)</f>
      </c>
      <c r="U692">
        <f>IF(ISBLANK('Data Entry'!U692), "", 'Data Entry'!U692)</f>
      </c>
      <c r="V692">
        <f>IF(ISBLANK('Data Entry'!V692), "", 'Data Entry'!V692)</f>
      </c>
      <c r="W692">
        <f>IF(ISBLANK('Data Entry'!W692), "", 'Data Entry'!W692)</f>
      </c>
      <c r="X692">
        <f>IF(ISBLANK('Data Entry'!X692), "", 'Data Entry'!X692)</f>
      </c>
      <c r="Y692">
        <f>IF(ISBLANK('Data Entry'!Y692), "", 'Data Entry'!Y692)</f>
      </c>
      <c r="Z692">
        <f>IF(ISBLANK('Data Entry'!Z692), "", 'Data Entry'!Z692)</f>
      </c>
      <c r="AA692">
        <f>IF(ISBLANK('Data Entry'![692), "", 'Data Entry'![692)</f>
      </c>
      <c r="AB692">
        <f>IF(ISBLANK('Data Entry'!\692), "", 'Data Entry'!\692)</f>
      </c>
      <c r="AC692">
        <f>IF(ISBLANK('Data Entry'!]692), "", 'Data Entry'!]692)</f>
      </c>
      <c r="AD692">
        <f>IF(ISBLANK('Data Entry'!^692), "", 'Data Entry'!^692)</f>
      </c>
      <c r="AE692">
        <f>IF(ISBLANK('Data Entry'!_692), "", 'Data Entry'!_692)</f>
      </c>
      <c r="AF692">
        <f>IF(ISBLANK('Data Entry'!`692), "", 'Data Entry'!`692)</f>
      </c>
      <c r="AG692">
        <f>IF(ISBLANK('Data Entry'!a692), "", 'Data Entry'!a692)</f>
      </c>
      <c r="AH692">
        <f>IF(ISBLANK('Data Entry'!b692), "", 'Data Entry'!b692)</f>
      </c>
      <c r="AI692">
        <f>IF(ISBLANK('Data Entry'!c692), "", 'Data Entry'!c692)</f>
      </c>
      <c r="AJ692">
        <f>IF(ISBLANK('Data Entry'!d692), "", 'Data Entry'!d692)</f>
      </c>
      <c r="AK692">
        <f>IF(ISBLANK('Data Entry'!e692), "", 'Data Entry'!e692)</f>
      </c>
      <c r="AL692">
        <f>IF(ISBLANK('Data Entry'!f692), "", 'Data Entry'!f692)</f>
      </c>
      <c r="AM692">
        <f>IF(ISBLANK('Data Entry'!g692), "", 'Data Entry'!g692)</f>
      </c>
      <c r="AN692">
        <f>IF(ISBLANK('Data Entry'!h692), "", 'Data Entry'!h692)</f>
      </c>
    </row>
    <row r="693" spans="1:40" x14ac:dyDescent="0.25">
      <c r="A693">
        <f>IF(ISBLANK('Data Entry'!A693), "", 'Data Entry'!A693)</f>
      </c>
      <c r="B693">
        <f>IF(ISBLANK('Data Entry'!B693), "", 'Data Entry'!B693)</f>
      </c>
      <c r="C693">
        <f>IF(ISBLANK('Data Entry'!C693), "", 'Data Entry'!C693)</f>
      </c>
      <c r="D693">
        <f>IF(ISBLANK('Data Entry'!D693), "", 'Data Entry'!D693)</f>
      </c>
      <c r="E693">
        <f>IF(ISBLANK('Data Entry'!E693), "", 'Data Entry'!E693)</f>
      </c>
      <c r="F693">
        <f>IF(ISBLANK('Data Entry'!F693), "", 'Data Entry'!F693)</f>
      </c>
      <c r="G693">
        <f>IF(ISBLANK('Data Entry'!G693), "", 'Data Entry'!G693)</f>
      </c>
      <c r="H693">
        <f>IF(ISBLANK('Data Entry'!H693), "", 'Data Entry'!H693)</f>
      </c>
      <c r="I693">
        <f>IF(ISBLANK('Data Entry'!I693), "", 'Data Entry'!I693)</f>
      </c>
      <c r="J693">
        <f>IF(ISBLANK('Data Entry'!J693), "", 'Data Entry'!J693)</f>
      </c>
      <c r="K693">
        <f>IF(ISBLANK('Data Entry'!K693), "", 'Data Entry'!K693)</f>
      </c>
      <c r="L693">
        <f>IF(ISBLANK('Data Entry'!L693), "", 'Data Entry'!L693)</f>
      </c>
      <c r="M693">
        <f>IF(ISBLANK('Data Entry'!M693), "", 'Data Entry'!M693)</f>
      </c>
      <c r="N693">
        <f>IF(ISBLANK('Data Entry'!N693), "", 'Data Entry'!N693)</f>
      </c>
      <c r="O693">
        <f>IF(ISBLANK('Data Entry'!O693), "", 'Data Entry'!O693)</f>
      </c>
      <c r="P693">
        <f>IF(ISBLANK('Data Entry'!P693), "", 'Data Entry'!P693)</f>
      </c>
      <c r="Q693">
        <f>IF(ISBLANK('Data Entry'!Q693), "", 'Data Entry'!Q693)</f>
      </c>
      <c r="R693">
        <f>IF(ISBLANK('Data Entry'!R693), "", 'Data Entry'!R693)</f>
      </c>
      <c r="S693">
        <f>IF(ISBLANK('Data Entry'!S693), "", 'Data Entry'!S693)</f>
      </c>
      <c r="T693">
        <f>IF(ISBLANK('Data Entry'!T693), "", 'Data Entry'!T693)</f>
      </c>
      <c r="U693">
        <f>IF(ISBLANK('Data Entry'!U693), "", 'Data Entry'!U693)</f>
      </c>
      <c r="V693">
        <f>IF(ISBLANK('Data Entry'!V693), "", 'Data Entry'!V693)</f>
      </c>
      <c r="W693">
        <f>IF(ISBLANK('Data Entry'!W693), "", 'Data Entry'!W693)</f>
      </c>
      <c r="X693">
        <f>IF(ISBLANK('Data Entry'!X693), "", 'Data Entry'!X693)</f>
      </c>
      <c r="Y693">
        <f>IF(ISBLANK('Data Entry'!Y693), "", 'Data Entry'!Y693)</f>
      </c>
      <c r="Z693">
        <f>IF(ISBLANK('Data Entry'!Z693), "", 'Data Entry'!Z693)</f>
      </c>
      <c r="AA693">
        <f>IF(ISBLANK('Data Entry'![693), "", 'Data Entry'![693)</f>
      </c>
      <c r="AB693">
        <f>IF(ISBLANK('Data Entry'!\693), "", 'Data Entry'!\693)</f>
      </c>
      <c r="AC693">
        <f>IF(ISBLANK('Data Entry'!]693), "", 'Data Entry'!]693)</f>
      </c>
      <c r="AD693">
        <f>IF(ISBLANK('Data Entry'!^693), "", 'Data Entry'!^693)</f>
      </c>
      <c r="AE693">
        <f>IF(ISBLANK('Data Entry'!_693), "", 'Data Entry'!_693)</f>
      </c>
      <c r="AF693">
        <f>IF(ISBLANK('Data Entry'!`693), "", 'Data Entry'!`693)</f>
      </c>
      <c r="AG693">
        <f>IF(ISBLANK('Data Entry'!a693), "", 'Data Entry'!a693)</f>
      </c>
      <c r="AH693">
        <f>IF(ISBLANK('Data Entry'!b693), "", 'Data Entry'!b693)</f>
      </c>
      <c r="AI693">
        <f>IF(ISBLANK('Data Entry'!c693), "", 'Data Entry'!c693)</f>
      </c>
      <c r="AJ693">
        <f>IF(ISBLANK('Data Entry'!d693), "", 'Data Entry'!d693)</f>
      </c>
      <c r="AK693">
        <f>IF(ISBLANK('Data Entry'!e693), "", 'Data Entry'!e693)</f>
      </c>
      <c r="AL693">
        <f>IF(ISBLANK('Data Entry'!f693), "", 'Data Entry'!f693)</f>
      </c>
      <c r="AM693">
        <f>IF(ISBLANK('Data Entry'!g693), "", 'Data Entry'!g693)</f>
      </c>
      <c r="AN693">
        <f>IF(ISBLANK('Data Entry'!h693), "", 'Data Entry'!h693)</f>
      </c>
    </row>
    <row r="694" spans="1:40" x14ac:dyDescent="0.25">
      <c r="A694">
        <f>IF(ISBLANK('Data Entry'!A694), "", 'Data Entry'!A694)</f>
      </c>
      <c r="B694">
        <f>IF(ISBLANK('Data Entry'!B694), "", 'Data Entry'!B694)</f>
      </c>
      <c r="C694">
        <f>IF(ISBLANK('Data Entry'!C694), "", 'Data Entry'!C694)</f>
      </c>
      <c r="D694">
        <f>IF(ISBLANK('Data Entry'!D694), "", 'Data Entry'!D694)</f>
      </c>
      <c r="E694">
        <f>IF(ISBLANK('Data Entry'!E694), "", 'Data Entry'!E694)</f>
      </c>
      <c r="F694">
        <f>IF(ISBLANK('Data Entry'!F694), "", 'Data Entry'!F694)</f>
      </c>
      <c r="G694">
        <f>IF(ISBLANK('Data Entry'!G694), "", 'Data Entry'!G694)</f>
      </c>
      <c r="H694">
        <f>IF(ISBLANK('Data Entry'!H694), "", 'Data Entry'!H694)</f>
      </c>
      <c r="I694">
        <f>IF(ISBLANK('Data Entry'!I694), "", 'Data Entry'!I694)</f>
      </c>
      <c r="J694">
        <f>IF(ISBLANK('Data Entry'!J694), "", 'Data Entry'!J694)</f>
      </c>
      <c r="K694">
        <f>IF(ISBLANK('Data Entry'!K694), "", 'Data Entry'!K694)</f>
      </c>
      <c r="L694">
        <f>IF(ISBLANK('Data Entry'!L694), "", 'Data Entry'!L694)</f>
      </c>
      <c r="M694">
        <f>IF(ISBLANK('Data Entry'!M694), "", 'Data Entry'!M694)</f>
      </c>
      <c r="N694">
        <f>IF(ISBLANK('Data Entry'!N694), "", 'Data Entry'!N694)</f>
      </c>
      <c r="O694">
        <f>IF(ISBLANK('Data Entry'!O694), "", 'Data Entry'!O694)</f>
      </c>
      <c r="P694">
        <f>IF(ISBLANK('Data Entry'!P694), "", 'Data Entry'!P694)</f>
      </c>
      <c r="Q694">
        <f>IF(ISBLANK('Data Entry'!Q694), "", 'Data Entry'!Q694)</f>
      </c>
      <c r="R694">
        <f>IF(ISBLANK('Data Entry'!R694), "", 'Data Entry'!R694)</f>
      </c>
      <c r="S694">
        <f>IF(ISBLANK('Data Entry'!S694), "", 'Data Entry'!S694)</f>
      </c>
      <c r="T694">
        <f>IF(ISBLANK('Data Entry'!T694), "", 'Data Entry'!T694)</f>
      </c>
      <c r="U694">
        <f>IF(ISBLANK('Data Entry'!U694), "", 'Data Entry'!U694)</f>
      </c>
      <c r="V694">
        <f>IF(ISBLANK('Data Entry'!V694), "", 'Data Entry'!V694)</f>
      </c>
      <c r="W694">
        <f>IF(ISBLANK('Data Entry'!W694), "", 'Data Entry'!W694)</f>
      </c>
      <c r="X694">
        <f>IF(ISBLANK('Data Entry'!X694), "", 'Data Entry'!X694)</f>
      </c>
      <c r="Y694">
        <f>IF(ISBLANK('Data Entry'!Y694), "", 'Data Entry'!Y694)</f>
      </c>
      <c r="Z694">
        <f>IF(ISBLANK('Data Entry'!Z694), "", 'Data Entry'!Z694)</f>
      </c>
      <c r="AA694">
        <f>IF(ISBLANK('Data Entry'![694), "", 'Data Entry'![694)</f>
      </c>
      <c r="AB694">
        <f>IF(ISBLANK('Data Entry'!\694), "", 'Data Entry'!\694)</f>
      </c>
      <c r="AC694">
        <f>IF(ISBLANK('Data Entry'!]694), "", 'Data Entry'!]694)</f>
      </c>
      <c r="AD694">
        <f>IF(ISBLANK('Data Entry'!^694), "", 'Data Entry'!^694)</f>
      </c>
      <c r="AE694">
        <f>IF(ISBLANK('Data Entry'!_694), "", 'Data Entry'!_694)</f>
      </c>
      <c r="AF694">
        <f>IF(ISBLANK('Data Entry'!`694), "", 'Data Entry'!`694)</f>
      </c>
      <c r="AG694">
        <f>IF(ISBLANK('Data Entry'!a694), "", 'Data Entry'!a694)</f>
      </c>
      <c r="AH694">
        <f>IF(ISBLANK('Data Entry'!b694), "", 'Data Entry'!b694)</f>
      </c>
      <c r="AI694">
        <f>IF(ISBLANK('Data Entry'!c694), "", 'Data Entry'!c694)</f>
      </c>
      <c r="AJ694">
        <f>IF(ISBLANK('Data Entry'!d694), "", 'Data Entry'!d694)</f>
      </c>
      <c r="AK694">
        <f>IF(ISBLANK('Data Entry'!e694), "", 'Data Entry'!e694)</f>
      </c>
      <c r="AL694">
        <f>IF(ISBLANK('Data Entry'!f694), "", 'Data Entry'!f694)</f>
      </c>
      <c r="AM694">
        <f>IF(ISBLANK('Data Entry'!g694), "", 'Data Entry'!g694)</f>
      </c>
      <c r="AN694">
        <f>IF(ISBLANK('Data Entry'!h694), "", 'Data Entry'!h694)</f>
      </c>
    </row>
    <row r="695" spans="1:40" x14ac:dyDescent="0.25">
      <c r="A695">
        <f>IF(ISBLANK('Data Entry'!A695), "", 'Data Entry'!A695)</f>
      </c>
      <c r="B695">
        <f>IF(ISBLANK('Data Entry'!B695), "", 'Data Entry'!B695)</f>
      </c>
      <c r="C695">
        <f>IF(ISBLANK('Data Entry'!C695), "", 'Data Entry'!C695)</f>
      </c>
      <c r="D695">
        <f>IF(ISBLANK('Data Entry'!D695), "", 'Data Entry'!D695)</f>
      </c>
      <c r="E695">
        <f>IF(ISBLANK('Data Entry'!E695), "", 'Data Entry'!E695)</f>
      </c>
      <c r="F695">
        <f>IF(ISBLANK('Data Entry'!F695), "", 'Data Entry'!F695)</f>
      </c>
      <c r="G695">
        <f>IF(ISBLANK('Data Entry'!G695), "", 'Data Entry'!G695)</f>
      </c>
      <c r="H695">
        <f>IF(ISBLANK('Data Entry'!H695), "", 'Data Entry'!H695)</f>
      </c>
      <c r="I695">
        <f>IF(ISBLANK('Data Entry'!I695), "", 'Data Entry'!I695)</f>
      </c>
      <c r="J695">
        <f>IF(ISBLANK('Data Entry'!J695), "", 'Data Entry'!J695)</f>
      </c>
      <c r="K695">
        <f>IF(ISBLANK('Data Entry'!K695), "", 'Data Entry'!K695)</f>
      </c>
      <c r="L695">
        <f>IF(ISBLANK('Data Entry'!L695), "", 'Data Entry'!L695)</f>
      </c>
      <c r="M695">
        <f>IF(ISBLANK('Data Entry'!M695), "", 'Data Entry'!M695)</f>
      </c>
      <c r="N695">
        <f>IF(ISBLANK('Data Entry'!N695), "", 'Data Entry'!N695)</f>
      </c>
      <c r="O695">
        <f>IF(ISBLANK('Data Entry'!O695), "", 'Data Entry'!O695)</f>
      </c>
      <c r="P695">
        <f>IF(ISBLANK('Data Entry'!P695), "", 'Data Entry'!P695)</f>
      </c>
      <c r="Q695">
        <f>IF(ISBLANK('Data Entry'!Q695), "", 'Data Entry'!Q695)</f>
      </c>
      <c r="R695">
        <f>IF(ISBLANK('Data Entry'!R695), "", 'Data Entry'!R695)</f>
      </c>
      <c r="S695">
        <f>IF(ISBLANK('Data Entry'!S695), "", 'Data Entry'!S695)</f>
      </c>
      <c r="T695">
        <f>IF(ISBLANK('Data Entry'!T695), "", 'Data Entry'!T695)</f>
      </c>
      <c r="U695">
        <f>IF(ISBLANK('Data Entry'!U695), "", 'Data Entry'!U695)</f>
      </c>
      <c r="V695">
        <f>IF(ISBLANK('Data Entry'!V695), "", 'Data Entry'!V695)</f>
      </c>
      <c r="W695">
        <f>IF(ISBLANK('Data Entry'!W695), "", 'Data Entry'!W695)</f>
      </c>
      <c r="X695">
        <f>IF(ISBLANK('Data Entry'!X695), "", 'Data Entry'!X695)</f>
      </c>
      <c r="Y695">
        <f>IF(ISBLANK('Data Entry'!Y695), "", 'Data Entry'!Y695)</f>
      </c>
      <c r="Z695">
        <f>IF(ISBLANK('Data Entry'!Z695), "", 'Data Entry'!Z695)</f>
      </c>
      <c r="AA695">
        <f>IF(ISBLANK('Data Entry'![695), "", 'Data Entry'![695)</f>
      </c>
      <c r="AB695">
        <f>IF(ISBLANK('Data Entry'!\695), "", 'Data Entry'!\695)</f>
      </c>
      <c r="AC695">
        <f>IF(ISBLANK('Data Entry'!]695), "", 'Data Entry'!]695)</f>
      </c>
      <c r="AD695">
        <f>IF(ISBLANK('Data Entry'!^695), "", 'Data Entry'!^695)</f>
      </c>
      <c r="AE695">
        <f>IF(ISBLANK('Data Entry'!_695), "", 'Data Entry'!_695)</f>
      </c>
      <c r="AF695">
        <f>IF(ISBLANK('Data Entry'!`695), "", 'Data Entry'!`695)</f>
      </c>
      <c r="AG695">
        <f>IF(ISBLANK('Data Entry'!a695), "", 'Data Entry'!a695)</f>
      </c>
      <c r="AH695">
        <f>IF(ISBLANK('Data Entry'!b695), "", 'Data Entry'!b695)</f>
      </c>
      <c r="AI695">
        <f>IF(ISBLANK('Data Entry'!c695), "", 'Data Entry'!c695)</f>
      </c>
      <c r="AJ695">
        <f>IF(ISBLANK('Data Entry'!d695), "", 'Data Entry'!d695)</f>
      </c>
      <c r="AK695">
        <f>IF(ISBLANK('Data Entry'!e695), "", 'Data Entry'!e695)</f>
      </c>
      <c r="AL695">
        <f>IF(ISBLANK('Data Entry'!f695), "", 'Data Entry'!f695)</f>
      </c>
      <c r="AM695">
        <f>IF(ISBLANK('Data Entry'!g695), "", 'Data Entry'!g695)</f>
      </c>
      <c r="AN695">
        <f>IF(ISBLANK('Data Entry'!h695), "", 'Data Entry'!h695)</f>
      </c>
    </row>
    <row r="696" spans="1:40" x14ac:dyDescent="0.25">
      <c r="A696">
        <f>IF(ISBLANK('Data Entry'!A696), "", 'Data Entry'!A696)</f>
      </c>
      <c r="B696">
        <f>IF(ISBLANK('Data Entry'!B696), "", 'Data Entry'!B696)</f>
      </c>
      <c r="C696">
        <f>IF(ISBLANK('Data Entry'!C696), "", 'Data Entry'!C696)</f>
      </c>
      <c r="D696">
        <f>IF(ISBLANK('Data Entry'!D696), "", 'Data Entry'!D696)</f>
      </c>
      <c r="E696">
        <f>IF(ISBLANK('Data Entry'!E696), "", 'Data Entry'!E696)</f>
      </c>
      <c r="F696">
        <f>IF(ISBLANK('Data Entry'!F696), "", 'Data Entry'!F696)</f>
      </c>
      <c r="G696">
        <f>IF(ISBLANK('Data Entry'!G696), "", 'Data Entry'!G696)</f>
      </c>
      <c r="H696">
        <f>IF(ISBLANK('Data Entry'!H696), "", 'Data Entry'!H696)</f>
      </c>
      <c r="I696">
        <f>IF(ISBLANK('Data Entry'!I696), "", 'Data Entry'!I696)</f>
      </c>
      <c r="J696">
        <f>IF(ISBLANK('Data Entry'!J696), "", 'Data Entry'!J696)</f>
      </c>
      <c r="K696">
        <f>IF(ISBLANK('Data Entry'!K696), "", 'Data Entry'!K696)</f>
      </c>
      <c r="L696">
        <f>IF(ISBLANK('Data Entry'!L696), "", 'Data Entry'!L696)</f>
      </c>
      <c r="M696">
        <f>IF(ISBLANK('Data Entry'!M696), "", 'Data Entry'!M696)</f>
      </c>
      <c r="N696">
        <f>IF(ISBLANK('Data Entry'!N696), "", 'Data Entry'!N696)</f>
      </c>
      <c r="O696">
        <f>IF(ISBLANK('Data Entry'!O696), "", 'Data Entry'!O696)</f>
      </c>
      <c r="P696">
        <f>IF(ISBLANK('Data Entry'!P696), "", 'Data Entry'!P696)</f>
      </c>
      <c r="Q696">
        <f>IF(ISBLANK('Data Entry'!Q696), "", 'Data Entry'!Q696)</f>
      </c>
      <c r="R696">
        <f>IF(ISBLANK('Data Entry'!R696), "", 'Data Entry'!R696)</f>
      </c>
      <c r="S696">
        <f>IF(ISBLANK('Data Entry'!S696), "", 'Data Entry'!S696)</f>
      </c>
      <c r="T696">
        <f>IF(ISBLANK('Data Entry'!T696), "", 'Data Entry'!T696)</f>
      </c>
      <c r="U696">
        <f>IF(ISBLANK('Data Entry'!U696), "", 'Data Entry'!U696)</f>
      </c>
      <c r="V696">
        <f>IF(ISBLANK('Data Entry'!V696), "", 'Data Entry'!V696)</f>
      </c>
      <c r="W696">
        <f>IF(ISBLANK('Data Entry'!W696), "", 'Data Entry'!W696)</f>
      </c>
      <c r="X696">
        <f>IF(ISBLANK('Data Entry'!X696), "", 'Data Entry'!X696)</f>
      </c>
      <c r="Y696">
        <f>IF(ISBLANK('Data Entry'!Y696), "", 'Data Entry'!Y696)</f>
      </c>
      <c r="Z696">
        <f>IF(ISBLANK('Data Entry'!Z696), "", 'Data Entry'!Z696)</f>
      </c>
      <c r="AA696">
        <f>IF(ISBLANK('Data Entry'![696), "", 'Data Entry'![696)</f>
      </c>
      <c r="AB696">
        <f>IF(ISBLANK('Data Entry'!\696), "", 'Data Entry'!\696)</f>
      </c>
      <c r="AC696">
        <f>IF(ISBLANK('Data Entry'!]696), "", 'Data Entry'!]696)</f>
      </c>
      <c r="AD696">
        <f>IF(ISBLANK('Data Entry'!^696), "", 'Data Entry'!^696)</f>
      </c>
      <c r="AE696">
        <f>IF(ISBLANK('Data Entry'!_696), "", 'Data Entry'!_696)</f>
      </c>
      <c r="AF696">
        <f>IF(ISBLANK('Data Entry'!`696), "", 'Data Entry'!`696)</f>
      </c>
      <c r="AG696">
        <f>IF(ISBLANK('Data Entry'!a696), "", 'Data Entry'!a696)</f>
      </c>
      <c r="AH696">
        <f>IF(ISBLANK('Data Entry'!b696), "", 'Data Entry'!b696)</f>
      </c>
      <c r="AI696">
        <f>IF(ISBLANK('Data Entry'!c696), "", 'Data Entry'!c696)</f>
      </c>
      <c r="AJ696">
        <f>IF(ISBLANK('Data Entry'!d696), "", 'Data Entry'!d696)</f>
      </c>
      <c r="AK696">
        <f>IF(ISBLANK('Data Entry'!e696), "", 'Data Entry'!e696)</f>
      </c>
      <c r="AL696">
        <f>IF(ISBLANK('Data Entry'!f696), "", 'Data Entry'!f696)</f>
      </c>
      <c r="AM696">
        <f>IF(ISBLANK('Data Entry'!g696), "", 'Data Entry'!g696)</f>
      </c>
      <c r="AN696">
        <f>IF(ISBLANK('Data Entry'!h696), "", 'Data Entry'!h696)</f>
      </c>
    </row>
    <row r="697" spans="1:40" x14ac:dyDescent="0.25">
      <c r="A697">
        <f>IF(ISBLANK('Data Entry'!A697), "", 'Data Entry'!A697)</f>
      </c>
      <c r="B697">
        <f>IF(ISBLANK('Data Entry'!B697), "", 'Data Entry'!B697)</f>
      </c>
      <c r="C697">
        <f>IF(ISBLANK('Data Entry'!C697), "", 'Data Entry'!C697)</f>
      </c>
      <c r="D697">
        <f>IF(ISBLANK('Data Entry'!D697), "", 'Data Entry'!D697)</f>
      </c>
      <c r="E697">
        <f>IF(ISBLANK('Data Entry'!E697), "", 'Data Entry'!E697)</f>
      </c>
      <c r="F697">
        <f>IF(ISBLANK('Data Entry'!F697), "", 'Data Entry'!F697)</f>
      </c>
      <c r="G697">
        <f>IF(ISBLANK('Data Entry'!G697), "", 'Data Entry'!G697)</f>
      </c>
      <c r="H697">
        <f>IF(ISBLANK('Data Entry'!H697), "", 'Data Entry'!H697)</f>
      </c>
      <c r="I697">
        <f>IF(ISBLANK('Data Entry'!I697), "", 'Data Entry'!I697)</f>
      </c>
      <c r="J697">
        <f>IF(ISBLANK('Data Entry'!J697), "", 'Data Entry'!J697)</f>
      </c>
      <c r="K697">
        <f>IF(ISBLANK('Data Entry'!K697), "", 'Data Entry'!K697)</f>
      </c>
      <c r="L697">
        <f>IF(ISBLANK('Data Entry'!L697), "", 'Data Entry'!L697)</f>
      </c>
      <c r="M697">
        <f>IF(ISBLANK('Data Entry'!M697), "", 'Data Entry'!M697)</f>
      </c>
      <c r="N697">
        <f>IF(ISBLANK('Data Entry'!N697), "", 'Data Entry'!N697)</f>
      </c>
      <c r="O697">
        <f>IF(ISBLANK('Data Entry'!O697), "", 'Data Entry'!O697)</f>
      </c>
      <c r="P697">
        <f>IF(ISBLANK('Data Entry'!P697), "", 'Data Entry'!P697)</f>
      </c>
      <c r="Q697">
        <f>IF(ISBLANK('Data Entry'!Q697), "", 'Data Entry'!Q697)</f>
      </c>
      <c r="R697">
        <f>IF(ISBLANK('Data Entry'!R697), "", 'Data Entry'!R697)</f>
      </c>
      <c r="S697">
        <f>IF(ISBLANK('Data Entry'!S697), "", 'Data Entry'!S697)</f>
      </c>
      <c r="T697">
        <f>IF(ISBLANK('Data Entry'!T697), "", 'Data Entry'!T697)</f>
      </c>
      <c r="U697">
        <f>IF(ISBLANK('Data Entry'!U697), "", 'Data Entry'!U697)</f>
      </c>
      <c r="V697">
        <f>IF(ISBLANK('Data Entry'!V697), "", 'Data Entry'!V697)</f>
      </c>
      <c r="W697">
        <f>IF(ISBLANK('Data Entry'!W697), "", 'Data Entry'!W697)</f>
      </c>
      <c r="X697">
        <f>IF(ISBLANK('Data Entry'!X697), "", 'Data Entry'!X697)</f>
      </c>
      <c r="Y697">
        <f>IF(ISBLANK('Data Entry'!Y697), "", 'Data Entry'!Y697)</f>
      </c>
      <c r="Z697">
        <f>IF(ISBLANK('Data Entry'!Z697), "", 'Data Entry'!Z697)</f>
      </c>
      <c r="AA697">
        <f>IF(ISBLANK('Data Entry'![697), "", 'Data Entry'![697)</f>
      </c>
      <c r="AB697">
        <f>IF(ISBLANK('Data Entry'!\697), "", 'Data Entry'!\697)</f>
      </c>
      <c r="AC697">
        <f>IF(ISBLANK('Data Entry'!]697), "", 'Data Entry'!]697)</f>
      </c>
      <c r="AD697">
        <f>IF(ISBLANK('Data Entry'!^697), "", 'Data Entry'!^697)</f>
      </c>
      <c r="AE697">
        <f>IF(ISBLANK('Data Entry'!_697), "", 'Data Entry'!_697)</f>
      </c>
      <c r="AF697">
        <f>IF(ISBLANK('Data Entry'!`697), "", 'Data Entry'!`697)</f>
      </c>
      <c r="AG697">
        <f>IF(ISBLANK('Data Entry'!a697), "", 'Data Entry'!a697)</f>
      </c>
      <c r="AH697">
        <f>IF(ISBLANK('Data Entry'!b697), "", 'Data Entry'!b697)</f>
      </c>
      <c r="AI697">
        <f>IF(ISBLANK('Data Entry'!c697), "", 'Data Entry'!c697)</f>
      </c>
      <c r="AJ697">
        <f>IF(ISBLANK('Data Entry'!d697), "", 'Data Entry'!d697)</f>
      </c>
      <c r="AK697">
        <f>IF(ISBLANK('Data Entry'!e697), "", 'Data Entry'!e697)</f>
      </c>
      <c r="AL697">
        <f>IF(ISBLANK('Data Entry'!f697), "", 'Data Entry'!f697)</f>
      </c>
      <c r="AM697">
        <f>IF(ISBLANK('Data Entry'!g697), "", 'Data Entry'!g697)</f>
      </c>
      <c r="AN697">
        <f>IF(ISBLANK('Data Entry'!h697), "", 'Data Entry'!h697)</f>
      </c>
    </row>
    <row r="698" spans="1:40" x14ac:dyDescent="0.25">
      <c r="A698">
        <f>IF(ISBLANK('Data Entry'!A698), "", 'Data Entry'!A698)</f>
      </c>
      <c r="B698">
        <f>IF(ISBLANK('Data Entry'!B698), "", 'Data Entry'!B698)</f>
      </c>
      <c r="C698">
        <f>IF(ISBLANK('Data Entry'!C698), "", 'Data Entry'!C698)</f>
      </c>
      <c r="D698">
        <f>IF(ISBLANK('Data Entry'!D698), "", 'Data Entry'!D698)</f>
      </c>
      <c r="E698">
        <f>IF(ISBLANK('Data Entry'!E698), "", 'Data Entry'!E698)</f>
      </c>
      <c r="F698">
        <f>IF(ISBLANK('Data Entry'!F698), "", 'Data Entry'!F698)</f>
      </c>
      <c r="G698">
        <f>IF(ISBLANK('Data Entry'!G698), "", 'Data Entry'!G698)</f>
      </c>
      <c r="H698">
        <f>IF(ISBLANK('Data Entry'!H698), "", 'Data Entry'!H698)</f>
      </c>
      <c r="I698">
        <f>IF(ISBLANK('Data Entry'!I698), "", 'Data Entry'!I698)</f>
      </c>
      <c r="J698">
        <f>IF(ISBLANK('Data Entry'!J698), "", 'Data Entry'!J698)</f>
      </c>
      <c r="K698">
        <f>IF(ISBLANK('Data Entry'!K698), "", 'Data Entry'!K698)</f>
      </c>
      <c r="L698">
        <f>IF(ISBLANK('Data Entry'!L698), "", 'Data Entry'!L698)</f>
      </c>
      <c r="M698">
        <f>IF(ISBLANK('Data Entry'!M698), "", 'Data Entry'!M698)</f>
      </c>
      <c r="N698">
        <f>IF(ISBLANK('Data Entry'!N698), "", 'Data Entry'!N698)</f>
      </c>
      <c r="O698">
        <f>IF(ISBLANK('Data Entry'!O698), "", 'Data Entry'!O698)</f>
      </c>
      <c r="P698">
        <f>IF(ISBLANK('Data Entry'!P698), "", 'Data Entry'!P698)</f>
      </c>
      <c r="Q698">
        <f>IF(ISBLANK('Data Entry'!Q698), "", 'Data Entry'!Q698)</f>
      </c>
      <c r="R698">
        <f>IF(ISBLANK('Data Entry'!R698), "", 'Data Entry'!R698)</f>
      </c>
      <c r="S698">
        <f>IF(ISBLANK('Data Entry'!S698), "", 'Data Entry'!S698)</f>
      </c>
      <c r="T698">
        <f>IF(ISBLANK('Data Entry'!T698), "", 'Data Entry'!T698)</f>
      </c>
      <c r="U698">
        <f>IF(ISBLANK('Data Entry'!U698), "", 'Data Entry'!U698)</f>
      </c>
      <c r="V698">
        <f>IF(ISBLANK('Data Entry'!V698), "", 'Data Entry'!V698)</f>
      </c>
      <c r="W698">
        <f>IF(ISBLANK('Data Entry'!W698), "", 'Data Entry'!W698)</f>
      </c>
      <c r="X698">
        <f>IF(ISBLANK('Data Entry'!X698), "", 'Data Entry'!X698)</f>
      </c>
      <c r="Y698">
        <f>IF(ISBLANK('Data Entry'!Y698), "", 'Data Entry'!Y698)</f>
      </c>
      <c r="Z698">
        <f>IF(ISBLANK('Data Entry'!Z698), "", 'Data Entry'!Z698)</f>
      </c>
      <c r="AA698">
        <f>IF(ISBLANK('Data Entry'![698), "", 'Data Entry'![698)</f>
      </c>
      <c r="AB698">
        <f>IF(ISBLANK('Data Entry'!\698), "", 'Data Entry'!\698)</f>
      </c>
      <c r="AC698">
        <f>IF(ISBLANK('Data Entry'!]698), "", 'Data Entry'!]698)</f>
      </c>
      <c r="AD698">
        <f>IF(ISBLANK('Data Entry'!^698), "", 'Data Entry'!^698)</f>
      </c>
      <c r="AE698">
        <f>IF(ISBLANK('Data Entry'!_698), "", 'Data Entry'!_698)</f>
      </c>
      <c r="AF698">
        <f>IF(ISBLANK('Data Entry'!`698), "", 'Data Entry'!`698)</f>
      </c>
      <c r="AG698">
        <f>IF(ISBLANK('Data Entry'!a698), "", 'Data Entry'!a698)</f>
      </c>
      <c r="AH698">
        <f>IF(ISBLANK('Data Entry'!b698), "", 'Data Entry'!b698)</f>
      </c>
      <c r="AI698">
        <f>IF(ISBLANK('Data Entry'!c698), "", 'Data Entry'!c698)</f>
      </c>
      <c r="AJ698">
        <f>IF(ISBLANK('Data Entry'!d698), "", 'Data Entry'!d698)</f>
      </c>
      <c r="AK698">
        <f>IF(ISBLANK('Data Entry'!e698), "", 'Data Entry'!e698)</f>
      </c>
      <c r="AL698">
        <f>IF(ISBLANK('Data Entry'!f698), "", 'Data Entry'!f698)</f>
      </c>
      <c r="AM698">
        <f>IF(ISBLANK('Data Entry'!g698), "", 'Data Entry'!g698)</f>
      </c>
      <c r="AN698">
        <f>IF(ISBLANK('Data Entry'!h698), "", 'Data Entry'!h698)</f>
      </c>
    </row>
    <row r="699" spans="1:40" x14ac:dyDescent="0.25">
      <c r="A699">
        <f>IF(ISBLANK('Data Entry'!A699), "", 'Data Entry'!A699)</f>
      </c>
      <c r="B699">
        <f>IF(ISBLANK('Data Entry'!B699), "", 'Data Entry'!B699)</f>
      </c>
      <c r="C699">
        <f>IF(ISBLANK('Data Entry'!C699), "", 'Data Entry'!C699)</f>
      </c>
      <c r="D699">
        <f>IF(ISBLANK('Data Entry'!D699), "", 'Data Entry'!D699)</f>
      </c>
      <c r="E699">
        <f>IF(ISBLANK('Data Entry'!E699), "", 'Data Entry'!E699)</f>
      </c>
      <c r="F699">
        <f>IF(ISBLANK('Data Entry'!F699), "", 'Data Entry'!F699)</f>
      </c>
      <c r="G699">
        <f>IF(ISBLANK('Data Entry'!G699), "", 'Data Entry'!G699)</f>
      </c>
      <c r="H699">
        <f>IF(ISBLANK('Data Entry'!H699), "", 'Data Entry'!H699)</f>
      </c>
      <c r="I699">
        <f>IF(ISBLANK('Data Entry'!I699), "", 'Data Entry'!I699)</f>
      </c>
      <c r="J699">
        <f>IF(ISBLANK('Data Entry'!J699), "", 'Data Entry'!J699)</f>
      </c>
      <c r="K699">
        <f>IF(ISBLANK('Data Entry'!K699), "", 'Data Entry'!K699)</f>
      </c>
      <c r="L699">
        <f>IF(ISBLANK('Data Entry'!L699), "", 'Data Entry'!L699)</f>
      </c>
      <c r="M699">
        <f>IF(ISBLANK('Data Entry'!M699), "", 'Data Entry'!M699)</f>
      </c>
      <c r="N699">
        <f>IF(ISBLANK('Data Entry'!N699), "", 'Data Entry'!N699)</f>
      </c>
      <c r="O699">
        <f>IF(ISBLANK('Data Entry'!O699), "", 'Data Entry'!O699)</f>
      </c>
      <c r="P699">
        <f>IF(ISBLANK('Data Entry'!P699), "", 'Data Entry'!P699)</f>
      </c>
      <c r="Q699">
        <f>IF(ISBLANK('Data Entry'!Q699), "", 'Data Entry'!Q699)</f>
      </c>
      <c r="R699">
        <f>IF(ISBLANK('Data Entry'!R699), "", 'Data Entry'!R699)</f>
      </c>
      <c r="S699">
        <f>IF(ISBLANK('Data Entry'!S699), "", 'Data Entry'!S699)</f>
      </c>
      <c r="T699">
        <f>IF(ISBLANK('Data Entry'!T699), "", 'Data Entry'!T699)</f>
      </c>
      <c r="U699">
        <f>IF(ISBLANK('Data Entry'!U699), "", 'Data Entry'!U699)</f>
      </c>
      <c r="V699">
        <f>IF(ISBLANK('Data Entry'!V699), "", 'Data Entry'!V699)</f>
      </c>
      <c r="W699">
        <f>IF(ISBLANK('Data Entry'!W699), "", 'Data Entry'!W699)</f>
      </c>
      <c r="X699">
        <f>IF(ISBLANK('Data Entry'!X699), "", 'Data Entry'!X699)</f>
      </c>
      <c r="Y699">
        <f>IF(ISBLANK('Data Entry'!Y699), "", 'Data Entry'!Y699)</f>
      </c>
      <c r="Z699">
        <f>IF(ISBLANK('Data Entry'!Z699), "", 'Data Entry'!Z699)</f>
      </c>
      <c r="AA699">
        <f>IF(ISBLANK('Data Entry'![699), "", 'Data Entry'![699)</f>
      </c>
      <c r="AB699">
        <f>IF(ISBLANK('Data Entry'!\699), "", 'Data Entry'!\699)</f>
      </c>
      <c r="AC699">
        <f>IF(ISBLANK('Data Entry'!]699), "", 'Data Entry'!]699)</f>
      </c>
      <c r="AD699">
        <f>IF(ISBLANK('Data Entry'!^699), "", 'Data Entry'!^699)</f>
      </c>
      <c r="AE699">
        <f>IF(ISBLANK('Data Entry'!_699), "", 'Data Entry'!_699)</f>
      </c>
      <c r="AF699">
        <f>IF(ISBLANK('Data Entry'!`699), "", 'Data Entry'!`699)</f>
      </c>
      <c r="AG699">
        <f>IF(ISBLANK('Data Entry'!a699), "", 'Data Entry'!a699)</f>
      </c>
      <c r="AH699">
        <f>IF(ISBLANK('Data Entry'!b699), "", 'Data Entry'!b699)</f>
      </c>
      <c r="AI699">
        <f>IF(ISBLANK('Data Entry'!c699), "", 'Data Entry'!c699)</f>
      </c>
      <c r="AJ699">
        <f>IF(ISBLANK('Data Entry'!d699), "", 'Data Entry'!d699)</f>
      </c>
      <c r="AK699">
        <f>IF(ISBLANK('Data Entry'!e699), "", 'Data Entry'!e699)</f>
      </c>
      <c r="AL699">
        <f>IF(ISBLANK('Data Entry'!f699), "", 'Data Entry'!f699)</f>
      </c>
      <c r="AM699">
        <f>IF(ISBLANK('Data Entry'!g699), "", 'Data Entry'!g699)</f>
      </c>
      <c r="AN699">
        <f>IF(ISBLANK('Data Entry'!h699), "", 'Data Entry'!h699)</f>
      </c>
    </row>
    <row r="700" spans="1:40" x14ac:dyDescent="0.25">
      <c r="A700">
        <f>IF(ISBLANK('Data Entry'!A700), "", 'Data Entry'!A700)</f>
      </c>
      <c r="B700">
        <f>IF(ISBLANK('Data Entry'!B700), "", 'Data Entry'!B700)</f>
      </c>
      <c r="C700">
        <f>IF(ISBLANK('Data Entry'!C700), "", 'Data Entry'!C700)</f>
      </c>
      <c r="D700">
        <f>IF(ISBLANK('Data Entry'!D700), "", 'Data Entry'!D700)</f>
      </c>
      <c r="E700">
        <f>IF(ISBLANK('Data Entry'!E700), "", 'Data Entry'!E700)</f>
      </c>
      <c r="F700">
        <f>IF(ISBLANK('Data Entry'!F700), "", 'Data Entry'!F700)</f>
      </c>
      <c r="G700">
        <f>IF(ISBLANK('Data Entry'!G700), "", 'Data Entry'!G700)</f>
      </c>
      <c r="H700">
        <f>IF(ISBLANK('Data Entry'!H700), "", 'Data Entry'!H700)</f>
      </c>
      <c r="I700">
        <f>IF(ISBLANK('Data Entry'!I700), "", 'Data Entry'!I700)</f>
      </c>
      <c r="J700">
        <f>IF(ISBLANK('Data Entry'!J700), "", 'Data Entry'!J700)</f>
      </c>
      <c r="K700">
        <f>IF(ISBLANK('Data Entry'!K700), "", 'Data Entry'!K700)</f>
      </c>
      <c r="L700">
        <f>IF(ISBLANK('Data Entry'!L700), "", 'Data Entry'!L700)</f>
      </c>
      <c r="M700">
        <f>IF(ISBLANK('Data Entry'!M700), "", 'Data Entry'!M700)</f>
      </c>
      <c r="N700">
        <f>IF(ISBLANK('Data Entry'!N700), "", 'Data Entry'!N700)</f>
      </c>
      <c r="O700">
        <f>IF(ISBLANK('Data Entry'!O700), "", 'Data Entry'!O700)</f>
      </c>
      <c r="P700">
        <f>IF(ISBLANK('Data Entry'!P700), "", 'Data Entry'!P700)</f>
      </c>
      <c r="Q700">
        <f>IF(ISBLANK('Data Entry'!Q700), "", 'Data Entry'!Q700)</f>
      </c>
      <c r="R700">
        <f>IF(ISBLANK('Data Entry'!R700), "", 'Data Entry'!R700)</f>
      </c>
      <c r="S700">
        <f>IF(ISBLANK('Data Entry'!S700), "", 'Data Entry'!S700)</f>
      </c>
      <c r="T700">
        <f>IF(ISBLANK('Data Entry'!T700), "", 'Data Entry'!T700)</f>
      </c>
      <c r="U700">
        <f>IF(ISBLANK('Data Entry'!U700), "", 'Data Entry'!U700)</f>
      </c>
      <c r="V700">
        <f>IF(ISBLANK('Data Entry'!V700), "", 'Data Entry'!V700)</f>
      </c>
      <c r="W700">
        <f>IF(ISBLANK('Data Entry'!W700), "", 'Data Entry'!W700)</f>
      </c>
      <c r="X700">
        <f>IF(ISBLANK('Data Entry'!X700), "", 'Data Entry'!X700)</f>
      </c>
      <c r="Y700">
        <f>IF(ISBLANK('Data Entry'!Y700), "", 'Data Entry'!Y700)</f>
      </c>
      <c r="Z700">
        <f>IF(ISBLANK('Data Entry'!Z700), "", 'Data Entry'!Z700)</f>
      </c>
      <c r="AA700">
        <f>IF(ISBLANK('Data Entry'![700), "", 'Data Entry'![700)</f>
      </c>
      <c r="AB700">
        <f>IF(ISBLANK('Data Entry'!\700), "", 'Data Entry'!\700)</f>
      </c>
      <c r="AC700">
        <f>IF(ISBLANK('Data Entry'!]700), "", 'Data Entry'!]700)</f>
      </c>
      <c r="AD700">
        <f>IF(ISBLANK('Data Entry'!^700), "", 'Data Entry'!^700)</f>
      </c>
      <c r="AE700">
        <f>IF(ISBLANK('Data Entry'!_700), "", 'Data Entry'!_700)</f>
      </c>
      <c r="AF700">
        <f>IF(ISBLANK('Data Entry'!`700), "", 'Data Entry'!`700)</f>
      </c>
      <c r="AG700">
        <f>IF(ISBLANK('Data Entry'!a700), "", 'Data Entry'!a700)</f>
      </c>
      <c r="AH700">
        <f>IF(ISBLANK('Data Entry'!b700), "", 'Data Entry'!b700)</f>
      </c>
      <c r="AI700">
        <f>IF(ISBLANK('Data Entry'!c700), "", 'Data Entry'!c700)</f>
      </c>
      <c r="AJ700">
        <f>IF(ISBLANK('Data Entry'!d700), "", 'Data Entry'!d700)</f>
      </c>
      <c r="AK700">
        <f>IF(ISBLANK('Data Entry'!e700), "", 'Data Entry'!e700)</f>
      </c>
      <c r="AL700">
        <f>IF(ISBLANK('Data Entry'!f700), "", 'Data Entry'!f700)</f>
      </c>
      <c r="AM700">
        <f>IF(ISBLANK('Data Entry'!g700), "", 'Data Entry'!g700)</f>
      </c>
      <c r="AN700">
        <f>IF(ISBLANK('Data Entry'!h700), "", 'Data Entry'!h700)</f>
      </c>
    </row>
    <row r="701" spans="1:40" x14ac:dyDescent="0.25">
      <c r="A701">
        <f>IF(ISBLANK('Data Entry'!A701), "", 'Data Entry'!A701)</f>
      </c>
      <c r="B701">
        <f>IF(ISBLANK('Data Entry'!B701), "", 'Data Entry'!B701)</f>
      </c>
      <c r="C701">
        <f>IF(ISBLANK('Data Entry'!C701), "", 'Data Entry'!C701)</f>
      </c>
      <c r="D701">
        <f>IF(ISBLANK('Data Entry'!D701), "", 'Data Entry'!D701)</f>
      </c>
      <c r="E701">
        <f>IF(ISBLANK('Data Entry'!E701), "", 'Data Entry'!E701)</f>
      </c>
      <c r="F701">
        <f>IF(ISBLANK('Data Entry'!F701), "", 'Data Entry'!F701)</f>
      </c>
      <c r="G701">
        <f>IF(ISBLANK('Data Entry'!G701), "", 'Data Entry'!G701)</f>
      </c>
      <c r="H701">
        <f>IF(ISBLANK('Data Entry'!H701), "", 'Data Entry'!H701)</f>
      </c>
      <c r="I701">
        <f>IF(ISBLANK('Data Entry'!I701), "", 'Data Entry'!I701)</f>
      </c>
      <c r="J701">
        <f>IF(ISBLANK('Data Entry'!J701), "", 'Data Entry'!J701)</f>
      </c>
      <c r="K701">
        <f>IF(ISBLANK('Data Entry'!K701), "", 'Data Entry'!K701)</f>
      </c>
      <c r="L701">
        <f>IF(ISBLANK('Data Entry'!L701), "", 'Data Entry'!L701)</f>
      </c>
      <c r="M701">
        <f>IF(ISBLANK('Data Entry'!M701), "", 'Data Entry'!M701)</f>
      </c>
      <c r="N701">
        <f>IF(ISBLANK('Data Entry'!N701), "", 'Data Entry'!N701)</f>
      </c>
      <c r="O701">
        <f>IF(ISBLANK('Data Entry'!O701), "", 'Data Entry'!O701)</f>
      </c>
      <c r="P701">
        <f>IF(ISBLANK('Data Entry'!P701), "", 'Data Entry'!P701)</f>
      </c>
      <c r="Q701">
        <f>IF(ISBLANK('Data Entry'!Q701), "", 'Data Entry'!Q701)</f>
      </c>
      <c r="R701">
        <f>IF(ISBLANK('Data Entry'!R701), "", 'Data Entry'!R701)</f>
      </c>
      <c r="S701">
        <f>IF(ISBLANK('Data Entry'!S701), "", 'Data Entry'!S701)</f>
      </c>
      <c r="T701">
        <f>IF(ISBLANK('Data Entry'!T701), "", 'Data Entry'!T701)</f>
      </c>
      <c r="U701">
        <f>IF(ISBLANK('Data Entry'!U701), "", 'Data Entry'!U701)</f>
      </c>
      <c r="V701">
        <f>IF(ISBLANK('Data Entry'!V701), "", 'Data Entry'!V701)</f>
      </c>
      <c r="W701">
        <f>IF(ISBLANK('Data Entry'!W701), "", 'Data Entry'!W701)</f>
      </c>
      <c r="X701">
        <f>IF(ISBLANK('Data Entry'!X701), "", 'Data Entry'!X701)</f>
      </c>
      <c r="Y701">
        <f>IF(ISBLANK('Data Entry'!Y701), "", 'Data Entry'!Y701)</f>
      </c>
      <c r="Z701">
        <f>IF(ISBLANK('Data Entry'!Z701), "", 'Data Entry'!Z701)</f>
      </c>
      <c r="AA701">
        <f>IF(ISBLANK('Data Entry'![701), "", 'Data Entry'![701)</f>
      </c>
      <c r="AB701">
        <f>IF(ISBLANK('Data Entry'!\701), "", 'Data Entry'!\701)</f>
      </c>
      <c r="AC701">
        <f>IF(ISBLANK('Data Entry'!]701), "", 'Data Entry'!]701)</f>
      </c>
      <c r="AD701">
        <f>IF(ISBLANK('Data Entry'!^701), "", 'Data Entry'!^701)</f>
      </c>
      <c r="AE701">
        <f>IF(ISBLANK('Data Entry'!_701), "", 'Data Entry'!_701)</f>
      </c>
      <c r="AF701">
        <f>IF(ISBLANK('Data Entry'!`701), "", 'Data Entry'!`701)</f>
      </c>
      <c r="AG701">
        <f>IF(ISBLANK('Data Entry'!a701), "", 'Data Entry'!a701)</f>
      </c>
      <c r="AH701">
        <f>IF(ISBLANK('Data Entry'!b701), "", 'Data Entry'!b701)</f>
      </c>
      <c r="AI701">
        <f>IF(ISBLANK('Data Entry'!c701), "", 'Data Entry'!c701)</f>
      </c>
      <c r="AJ701">
        <f>IF(ISBLANK('Data Entry'!d701), "", 'Data Entry'!d701)</f>
      </c>
      <c r="AK701">
        <f>IF(ISBLANK('Data Entry'!e701), "", 'Data Entry'!e701)</f>
      </c>
      <c r="AL701">
        <f>IF(ISBLANK('Data Entry'!f701), "", 'Data Entry'!f701)</f>
      </c>
      <c r="AM701">
        <f>IF(ISBLANK('Data Entry'!g701), "", 'Data Entry'!g701)</f>
      </c>
      <c r="AN701">
        <f>IF(ISBLANK('Data Entry'!h701), "", 'Data Entry'!h701)</f>
      </c>
    </row>
    <row r="702" spans="1:40" x14ac:dyDescent="0.25">
      <c r="A702">
        <f>IF(ISBLANK('Data Entry'!A702), "", 'Data Entry'!A702)</f>
      </c>
      <c r="B702">
        <f>IF(ISBLANK('Data Entry'!B702), "", 'Data Entry'!B702)</f>
      </c>
      <c r="C702">
        <f>IF(ISBLANK('Data Entry'!C702), "", 'Data Entry'!C702)</f>
      </c>
      <c r="D702">
        <f>IF(ISBLANK('Data Entry'!D702), "", 'Data Entry'!D702)</f>
      </c>
      <c r="E702">
        <f>IF(ISBLANK('Data Entry'!E702), "", 'Data Entry'!E702)</f>
      </c>
      <c r="F702">
        <f>IF(ISBLANK('Data Entry'!F702), "", 'Data Entry'!F702)</f>
      </c>
      <c r="G702">
        <f>IF(ISBLANK('Data Entry'!G702), "", 'Data Entry'!G702)</f>
      </c>
      <c r="H702">
        <f>IF(ISBLANK('Data Entry'!H702), "", 'Data Entry'!H702)</f>
      </c>
      <c r="I702">
        <f>IF(ISBLANK('Data Entry'!I702), "", 'Data Entry'!I702)</f>
      </c>
      <c r="J702">
        <f>IF(ISBLANK('Data Entry'!J702), "", 'Data Entry'!J702)</f>
      </c>
      <c r="K702">
        <f>IF(ISBLANK('Data Entry'!K702), "", 'Data Entry'!K702)</f>
      </c>
      <c r="L702">
        <f>IF(ISBLANK('Data Entry'!L702), "", 'Data Entry'!L702)</f>
      </c>
      <c r="M702">
        <f>IF(ISBLANK('Data Entry'!M702), "", 'Data Entry'!M702)</f>
      </c>
      <c r="N702">
        <f>IF(ISBLANK('Data Entry'!N702), "", 'Data Entry'!N702)</f>
      </c>
      <c r="O702">
        <f>IF(ISBLANK('Data Entry'!O702), "", 'Data Entry'!O702)</f>
      </c>
      <c r="P702">
        <f>IF(ISBLANK('Data Entry'!P702), "", 'Data Entry'!P702)</f>
      </c>
      <c r="Q702">
        <f>IF(ISBLANK('Data Entry'!Q702), "", 'Data Entry'!Q702)</f>
      </c>
      <c r="R702">
        <f>IF(ISBLANK('Data Entry'!R702), "", 'Data Entry'!R702)</f>
      </c>
      <c r="S702">
        <f>IF(ISBLANK('Data Entry'!S702), "", 'Data Entry'!S702)</f>
      </c>
      <c r="T702">
        <f>IF(ISBLANK('Data Entry'!T702), "", 'Data Entry'!T702)</f>
      </c>
      <c r="U702">
        <f>IF(ISBLANK('Data Entry'!U702), "", 'Data Entry'!U702)</f>
      </c>
      <c r="V702">
        <f>IF(ISBLANK('Data Entry'!V702), "", 'Data Entry'!V702)</f>
      </c>
      <c r="W702">
        <f>IF(ISBLANK('Data Entry'!W702), "", 'Data Entry'!W702)</f>
      </c>
      <c r="X702">
        <f>IF(ISBLANK('Data Entry'!X702), "", 'Data Entry'!X702)</f>
      </c>
      <c r="Y702">
        <f>IF(ISBLANK('Data Entry'!Y702), "", 'Data Entry'!Y702)</f>
      </c>
      <c r="Z702">
        <f>IF(ISBLANK('Data Entry'!Z702), "", 'Data Entry'!Z702)</f>
      </c>
      <c r="AA702">
        <f>IF(ISBLANK('Data Entry'![702), "", 'Data Entry'![702)</f>
      </c>
      <c r="AB702">
        <f>IF(ISBLANK('Data Entry'!\702), "", 'Data Entry'!\702)</f>
      </c>
      <c r="AC702">
        <f>IF(ISBLANK('Data Entry'!]702), "", 'Data Entry'!]702)</f>
      </c>
      <c r="AD702">
        <f>IF(ISBLANK('Data Entry'!^702), "", 'Data Entry'!^702)</f>
      </c>
      <c r="AE702">
        <f>IF(ISBLANK('Data Entry'!_702), "", 'Data Entry'!_702)</f>
      </c>
      <c r="AF702">
        <f>IF(ISBLANK('Data Entry'!`702), "", 'Data Entry'!`702)</f>
      </c>
      <c r="AG702">
        <f>IF(ISBLANK('Data Entry'!a702), "", 'Data Entry'!a702)</f>
      </c>
      <c r="AH702">
        <f>IF(ISBLANK('Data Entry'!b702), "", 'Data Entry'!b702)</f>
      </c>
      <c r="AI702">
        <f>IF(ISBLANK('Data Entry'!c702), "", 'Data Entry'!c702)</f>
      </c>
      <c r="AJ702">
        <f>IF(ISBLANK('Data Entry'!d702), "", 'Data Entry'!d702)</f>
      </c>
      <c r="AK702">
        <f>IF(ISBLANK('Data Entry'!e702), "", 'Data Entry'!e702)</f>
      </c>
      <c r="AL702">
        <f>IF(ISBLANK('Data Entry'!f702), "", 'Data Entry'!f702)</f>
      </c>
      <c r="AM702">
        <f>IF(ISBLANK('Data Entry'!g702), "", 'Data Entry'!g702)</f>
      </c>
      <c r="AN702">
        <f>IF(ISBLANK('Data Entry'!h702), "", 'Data Entry'!h702)</f>
      </c>
    </row>
    <row r="703" spans="1:40" x14ac:dyDescent="0.25">
      <c r="A703">
        <f>IF(ISBLANK('Data Entry'!A703), "", 'Data Entry'!A703)</f>
      </c>
      <c r="B703">
        <f>IF(ISBLANK('Data Entry'!B703), "", 'Data Entry'!B703)</f>
      </c>
      <c r="C703">
        <f>IF(ISBLANK('Data Entry'!C703), "", 'Data Entry'!C703)</f>
      </c>
      <c r="D703">
        <f>IF(ISBLANK('Data Entry'!D703), "", 'Data Entry'!D703)</f>
      </c>
      <c r="E703">
        <f>IF(ISBLANK('Data Entry'!E703), "", 'Data Entry'!E703)</f>
      </c>
      <c r="F703">
        <f>IF(ISBLANK('Data Entry'!F703), "", 'Data Entry'!F703)</f>
      </c>
      <c r="G703">
        <f>IF(ISBLANK('Data Entry'!G703), "", 'Data Entry'!G703)</f>
      </c>
      <c r="H703">
        <f>IF(ISBLANK('Data Entry'!H703), "", 'Data Entry'!H703)</f>
      </c>
      <c r="I703">
        <f>IF(ISBLANK('Data Entry'!I703), "", 'Data Entry'!I703)</f>
      </c>
      <c r="J703">
        <f>IF(ISBLANK('Data Entry'!J703), "", 'Data Entry'!J703)</f>
      </c>
      <c r="K703">
        <f>IF(ISBLANK('Data Entry'!K703), "", 'Data Entry'!K703)</f>
      </c>
      <c r="L703">
        <f>IF(ISBLANK('Data Entry'!L703), "", 'Data Entry'!L703)</f>
      </c>
      <c r="M703">
        <f>IF(ISBLANK('Data Entry'!M703), "", 'Data Entry'!M703)</f>
      </c>
      <c r="N703">
        <f>IF(ISBLANK('Data Entry'!N703), "", 'Data Entry'!N703)</f>
      </c>
      <c r="O703">
        <f>IF(ISBLANK('Data Entry'!O703), "", 'Data Entry'!O703)</f>
      </c>
      <c r="P703">
        <f>IF(ISBLANK('Data Entry'!P703), "", 'Data Entry'!P703)</f>
      </c>
      <c r="Q703">
        <f>IF(ISBLANK('Data Entry'!Q703), "", 'Data Entry'!Q703)</f>
      </c>
      <c r="R703">
        <f>IF(ISBLANK('Data Entry'!R703), "", 'Data Entry'!R703)</f>
      </c>
      <c r="S703">
        <f>IF(ISBLANK('Data Entry'!S703), "", 'Data Entry'!S703)</f>
      </c>
      <c r="T703">
        <f>IF(ISBLANK('Data Entry'!T703), "", 'Data Entry'!T703)</f>
      </c>
      <c r="U703">
        <f>IF(ISBLANK('Data Entry'!U703), "", 'Data Entry'!U703)</f>
      </c>
      <c r="V703">
        <f>IF(ISBLANK('Data Entry'!V703), "", 'Data Entry'!V703)</f>
      </c>
      <c r="W703">
        <f>IF(ISBLANK('Data Entry'!W703), "", 'Data Entry'!W703)</f>
      </c>
      <c r="X703">
        <f>IF(ISBLANK('Data Entry'!X703), "", 'Data Entry'!X703)</f>
      </c>
      <c r="Y703">
        <f>IF(ISBLANK('Data Entry'!Y703), "", 'Data Entry'!Y703)</f>
      </c>
      <c r="Z703">
        <f>IF(ISBLANK('Data Entry'!Z703), "", 'Data Entry'!Z703)</f>
      </c>
      <c r="AA703">
        <f>IF(ISBLANK('Data Entry'![703), "", 'Data Entry'![703)</f>
      </c>
      <c r="AB703">
        <f>IF(ISBLANK('Data Entry'!\703), "", 'Data Entry'!\703)</f>
      </c>
      <c r="AC703">
        <f>IF(ISBLANK('Data Entry'!]703), "", 'Data Entry'!]703)</f>
      </c>
      <c r="AD703">
        <f>IF(ISBLANK('Data Entry'!^703), "", 'Data Entry'!^703)</f>
      </c>
      <c r="AE703">
        <f>IF(ISBLANK('Data Entry'!_703), "", 'Data Entry'!_703)</f>
      </c>
      <c r="AF703">
        <f>IF(ISBLANK('Data Entry'!`703), "", 'Data Entry'!`703)</f>
      </c>
      <c r="AG703">
        <f>IF(ISBLANK('Data Entry'!a703), "", 'Data Entry'!a703)</f>
      </c>
      <c r="AH703">
        <f>IF(ISBLANK('Data Entry'!b703), "", 'Data Entry'!b703)</f>
      </c>
      <c r="AI703">
        <f>IF(ISBLANK('Data Entry'!c703), "", 'Data Entry'!c703)</f>
      </c>
      <c r="AJ703">
        <f>IF(ISBLANK('Data Entry'!d703), "", 'Data Entry'!d703)</f>
      </c>
      <c r="AK703">
        <f>IF(ISBLANK('Data Entry'!e703), "", 'Data Entry'!e703)</f>
      </c>
      <c r="AL703">
        <f>IF(ISBLANK('Data Entry'!f703), "", 'Data Entry'!f703)</f>
      </c>
      <c r="AM703">
        <f>IF(ISBLANK('Data Entry'!g703), "", 'Data Entry'!g703)</f>
      </c>
      <c r="AN703">
        <f>IF(ISBLANK('Data Entry'!h703), "", 'Data Entry'!h703)</f>
      </c>
    </row>
    <row r="704" spans="1:40" x14ac:dyDescent="0.25">
      <c r="A704">
        <f>IF(ISBLANK('Data Entry'!A704), "", 'Data Entry'!A704)</f>
      </c>
      <c r="B704">
        <f>IF(ISBLANK('Data Entry'!B704), "", 'Data Entry'!B704)</f>
      </c>
      <c r="C704">
        <f>IF(ISBLANK('Data Entry'!C704), "", 'Data Entry'!C704)</f>
      </c>
      <c r="D704">
        <f>IF(ISBLANK('Data Entry'!D704), "", 'Data Entry'!D704)</f>
      </c>
      <c r="E704">
        <f>IF(ISBLANK('Data Entry'!E704), "", 'Data Entry'!E704)</f>
      </c>
      <c r="F704">
        <f>IF(ISBLANK('Data Entry'!F704), "", 'Data Entry'!F704)</f>
      </c>
      <c r="G704">
        <f>IF(ISBLANK('Data Entry'!G704), "", 'Data Entry'!G704)</f>
      </c>
      <c r="H704">
        <f>IF(ISBLANK('Data Entry'!H704), "", 'Data Entry'!H704)</f>
      </c>
      <c r="I704">
        <f>IF(ISBLANK('Data Entry'!I704), "", 'Data Entry'!I704)</f>
      </c>
      <c r="J704">
        <f>IF(ISBLANK('Data Entry'!J704), "", 'Data Entry'!J704)</f>
      </c>
      <c r="K704">
        <f>IF(ISBLANK('Data Entry'!K704), "", 'Data Entry'!K704)</f>
      </c>
      <c r="L704">
        <f>IF(ISBLANK('Data Entry'!L704), "", 'Data Entry'!L704)</f>
      </c>
      <c r="M704">
        <f>IF(ISBLANK('Data Entry'!M704), "", 'Data Entry'!M704)</f>
      </c>
      <c r="N704">
        <f>IF(ISBLANK('Data Entry'!N704), "", 'Data Entry'!N704)</f>
      </c>
      <c r="O704">
        <f>IF(ISBLANK('Data Entry'!O704), "", 'Data Entry'!O704)</f>
      </c>
      <c r="P704">
        <f>IF(ISBLANK('Data Entry'!P704), "", 'Data Entry'!P704)</f>
      </c>
      <c r="Q704">
        <f>IF(ISBLANK('Data Entry'!Q704), "", 'Data Entry'!Q704)</f>
      </c>
      <c r="R704">
        <f>IF(ISBLANK('Data Entry'!R704), "", 'Data Entry'!R704)</f>
      </c>
      <c r="S704">
        <f>IF(ISBLANK('Data Entry'!S704), "", 'Data Entry'!S704)</f>
      </c>
      <c r="T704">
        <f>IF(ISBLANK('Data Entry'!T704), "", 'Data Entry'!T704)</f>
      </c>
      <c r="U704">
        <f>IF(ISBLANK('Data Entry'!U704), "", 'Data Entry'!U704)</f>
      </c>
      <c r="V704">
        <f>IF(ISBLANK('Data Entry'!V704), "", 'Data Entry'!V704)</f>
      </c>
      <c r="W704">
        <f>IF(ISBLANK('Data Entry'!W704), "", 'Data Entry'!W704)</f>
      </c>
      <c r="X704">
        <f>IF(ISBLANK('Data Entry'!X704), "", 'Data Entry'!X704)</f>
      </c>
      <c r="Y704">
        <f>IF(ISBLANK('Data Entry'!Y704), "", 'Data Entry'!Y704)</f>
      </c>
      <c r="Z704">
        <f>IF(ISBLANK('Data Entry'!Z704), "", 'Data Entry'!Z704)</f>
      </c>
      <c r="AA704">
        <f>IF(ISBLANK('Data Entry'![704), "", 'Data Entry'![704)</f>
      </c>
      <c r="AB704">
        <f>IF(ISBLANK('Data Entry'!\704), "", 'Data Entry'!\704)</f>
      </c>
      <c r="AC704">
        <f>IF(ISBLANK('Data Entry'!]704), "", 'Data Entry'!]704)</f>
      </c>
      <c r="AD704">
        <f>IF(ISBLANK('Data Entry'!^704), "", 'Data Entry'!^704)</f>
      </c>
      <c r="AE704">
        <f>IF(ISBLANK('Data Entry'!_704), "", 'Data Entry'!_704)</f>
      </c>
      <c r="AF704">
        <f>IF(ISBLANK('Data Entry'!`704), "", 'Data Entry'!`704)</f>
      </c>
      <c r="AG704">
        <f>IF(ISBLANK('Data Entry'!a704), "", 'Data Entry'!a704)</f>
      </c>
      <c r="AH704">
        <f>IF(ISBLANK('Data Entry'!b704), "", 'Data Entry'!b704)</f>
      </c>
      <c r="AI704">
        <f>IF(ISBLANK('Data Entry'!c704), "", 'Data Entry'!c704)</f>
      </c>
      <c r="AJ704">
        <f>IF(ISBLANK('Data Entry'!d704), "", 'Data Entry'!d704)</f>
      </c>
      <c r="AK704">
        <f>IF(ISBLANK('Data Entry'!e704), "", 'Data Entry'!e704)</f>
      </c>
      <c r="AL704">
        <f>IF(ISBLANK('Data Entry'!f704), "", 'Data Entry'!f704)</f>
      </c>
      <c r="AM704">
        <f>IF(ISBLANK('Data Entry'!g704), "", 'Data Entry'!g704)</f>
      </c>
      <c r="AN704">
        <f>IF(ISBLANK('Data Entry'!h704), "", 'Data Entry'!h704)</f>
      </c>
    </row>
    <row r="705" spans="1:40" x14ac:dyDescent="0.25">
      <c r="A705">
        <f>IF(ISBLANK('Data Entry'!A705), "", 'Data Entry'!A705)</f>
      </c>
      <c r="B705">
        <f>IF(ISBLANK('Data Entry'!B705), "", 'Data Entry'!B705)</f>
      </c>
      <c r="C705">
        <f>IF(ISBLANK('Data Entry'!C705), "", 'Data Entry'!C705)</f>
      </c>
      <c r="D705">
        <f>IF(ISBLANK('Data Entry'!D705), "", 'Data Entry'!D705)</f>
      </c>
      <c r="E705">
        <f>IF(ISBLANK('Data Entry'!E705), "", 'Data Entry'!E705)</f>
      </c>
      <c r="F705">
        <f>IF(ISBLANK('Data Entry'!F705), "", 'Data Entry'!F705)</f>
      </c>
      <c r="G705">
        <f>IF(ISBLANK('Data Entry'!G705), "", 'Data Entry'!G705)</f>
      </c>
      <c r="H705">
        <f>IF(ISBLANK('Data Entry'!H705), "", 'Data Entry'!H705)</f>
      </c>
      <c r="I705">
        <f>IF(ISBLANK('Data Entry'!I705), "", 'Data Entry'!I705)</f>
      </c>
      <c r="J705">
        <f>IF(ISBLANK('Data Entry'!J705), "", 'Data Entry'!J705)</f>
      </c>
      <c r="K705">
        <f>IF(ISBLANK('Data Entry'!K705), "", 'Data Entry'!K705)</f>
      </c>
      <c r="L705">
        <f>IF(ISBLANK('Data Entry'!L705), "", 'Data Entry'!L705)</f>
      </c>
      <c r="M705">
        <f>IF(ISBLANK('Data Entry'!M705), "", 'Data Entry'!M705)</f>
      </c>
      <c r="N705">
        <f>IF(ISBLANK('Data Entry'!N705), "", 'Data Entry'!N705)</f>
      </c>
      <c r="O705">
        <f>IF(ISBLANK('Data Entry'!O705), "", 'Data Entry'!O705)</f>
      </c>
      <c r="P705">
        <f>IF(ISBLANK('Data Entry'!P705), "", 'Data Entry'!P705)</f>
      </c>
      <c r="Q705">
        <f>IF(ISBLANK('Data Entry'!Q705), "", 'Data Entry'!Q705)</f>
      </c>
      <c r="R705">
        <f>IF(ISBLANK('Data Entry'!R705), "", 'Data Entry'!R705)</f>
      </c>
      <c r="S705">
        <f>IF(ISBLANK('Data Entry'!S705), "", 'Data Entry'!S705)</f>
      </c>
      <c r="T705">
        <f>IF(ISBLANK('Data Entry'!T705), "", 'Data Entry'!T705)</f>
      </c>
      <c r="U705">
        <f>IF(ISBLANK('Data Entry'!U705), "", 'Data Entry'!U705)</f>
      </c>
      <c r="V705">
        <f>IF(ISBLANK('Data Entry'!V705), "", 'Data Entry'!V705)</f>
      </c>
      <c r="W705">
        <f>IF(ISBLANK('Data Entry'!W705), "", 'Data Entry'!W705)</f>
      </c>
      <c r="X705">
        <f>IF(ISBLANK('Data Entry'!X705), "", 'Data Entry'!X705)</f>
      </c>
      <c r="Y705">
        <f>IF(ISBLANK('Data Entry'!Y705), "", 'Data Entry'!Y705)</f>
      </c>
      <c r="Z705">
        <f>IF(ISBLANK('Data Entry'!Z705), "", 'Data Entry'!Z705)</f>
      </c>
      <c r="AA705">
        <f>IF(ISBLANK('Data Entry'![705), "", 'Data Entry'![705)</f>
      </c>
      <c r="AB705">
        <f>IF(ISBLANK('Data Entry'!\705), "", 'Data Entry'!\705)</f>
      </c>
      <c r="AC705">
        <f>IF(ISBLANK('Data Entry'!]705), "", 'Data Entry'!]705)</f>
      </c>
      <c r="AD705">
        <f>IF(ISBLANK('Data Entry'!^705), "", 'Data Entry'!^705)</f>
      </c>
      <c r="AE705">
        <f>IF(ISBLANK('Data Entry'!_705), "", 'Data Entry'!_705)</f>
      </c>
      <c r="AF705">
        <f>IF(ISBLANK('Data Entry'!`705), "", 'Data Entry'!`705)</f>
      </c>
      <c r="AG705">
        <f>IF(ISBLANK('Data Entry'!a705), "", 'Data Entry'!a705)</f>
      </c>
      <c r="AH705">
        <f>IF(ISBLANK('Data Entry'!b705), "", 'Data Entry'!b705)</f>
      </c>
      <c r="AI705">
        <f>IF(ISBLANK('Data Entry'!c705), "", 'Data Entry'!c705)</f>
      </c>
      <c r="AJ705">
        <f>IF(ISBLANK('Data Entry'!d705), "", 'Data Entry'!d705)</f>
      </c>
      <c r="AK705">
        <f>IF(ISBLANK('Data Entry'!e705), "", 'Data Entry'!e705)</f>
      </c>
      <c r="AL705">
        <f>IF(ISBLANK('Data Entry'!f705), "", 'Data Entry'!f705)</f>
      </c>
      <c r="AM705">
        <f>IF(ISBLANK('Data Entry'!g705), "", 'Data Entry'!g705)</f>
      </c>
      <c r="AN705">
        <f>IF(ISBLANK('Data Entry'!h705), "", 'Data Entry'!h705)</f>
      </c>
    </row>
    <row r="706" spans="1:40" x14ac:dyDescent="0.25">
      <c r="A706">
        <f>IF(ISBLANK('Data Entry'!A706), "", 'Data Entry'!A706)</f>
      </c>
      <c r="B706">
        <f>IF(ISBLANK('Data Entry'!B706), "", 'Data Entry'!B706)</f>
      </c>
      <c r="C706">
        <f>IF(ISBLANK('Data Entry'!C706), "", 'Data Entry'!C706)</f>
      </c>
      <c r="D706">
        <f>IF(ISBLANK('Data Entry'!D706), "", 'Data Entry'!D706)</f>
      </c>
      <c r="E706">
        <f>IF(ISBLANK('Data Entry'!E706), "", 'Data Entry'!E706)</f>
      </c>
      <c r="F706">
        <f>IF(ISBLANK('Data Entry'!F706), "", 'Data Entry'!F706)</f>
      </c>
      <c r="G706">
        <f>IF(ISBLANK('Data Entry'!G706), "", 'Data Entry'!G706)</f>
      </c>
      <c r="H706">
        <f>IF(ISBLANK('Data Entry'!H706), "", 'Data Entry'!H706)</f>
      </c>
      <c r="I706">
        <f>IF(ISBLANK('Data Entry'!I706), "", 'Data Entry'!I706)</f>
      </c>
      <c r="J706">
        <f>IF(ISBLANK('Data Entry'!J706), "", 'Data Entry'!J706)</f>
      </c>
      <c r="K706">
        <f>IF(ISBLANK('Data Entry'!K706), "", 'Data Entry'!K706)</f>
      </c>
      <c r="L706">
        <f>IF(ISBLANK('Data Entry'!L706), "", 'Data Entry'!L706)</f>
      </c>
      <c r="M706">
        <f>IF(ISBLANK('Data Entry'!M706), "", 'Data Entry'!M706)</f>
      </c>
      <c r="N706">
        <f>IF(ISBLANK('Data Entry'!N706), "", 'Data Entry'!N706)</f>
      </c>
      <c r="O706">
        <f>IF(ISBLANK('Data Entry'!O706), "", 'Data Entry'!O706)</f>
      </c>
      <c r="P706">
        <f>IF(ISBLANK('Data Entry'!P706), "", 'Data Entry'!P706)</f>
      </c>
      <c r="Q706">
        <f>IF(ISBLANK('Data Entry'!Q706), "", 'Data Entry'!Q706)</f>
      </c>
      <c r="R706">
        <f>IF(ISBLANK('Data Entry'!R706), "", 'Data Entry'!R706)</f>
      </c>
      <c r="S706">
        <f>IF(ISBLANK('Data Entry'!S706), "", 'Data Entry'!S706)</f>
      </c>
      <c r="T706">
        <f>IF(ISBLANK('Data Entry'!T706), "", 'Data Entry'!T706)</f>
      </c>
      <c r="U706">
        <f>IF(ISBLANK('Data Entry'!U706), "", 'Data Entry'!U706)</f>
      </c>
      <c r="V706">
        <f>IF(ISBLANK('Data Entry'!V706), "", 'Data Entry'!V706)</f>
      </c>
      <c r="W706">
        <f>IF(ISBLANK('Data Entry'!W706), "", 'Data Entry'!W706)</f>
      </c>
      <c r="X706">
        <f>IF(ISBLANK('Data Entry'!X706), "", 'Data Entry'!X706)</f>
      </c>
      <c r="Y706">
        <f>IF(ISBLANK('Data Entry'!Y706), "", 'Data Entry'!Y706)</f>
      </c>
      <c r="Z706">
        <f>IF(ISBLANK('Data Entry'!Z706), "", 'Data Entry'!Z706)</f>
      </c>
      <c r="AA706">
        <f>IF(ISBLANK('Data Entry'![706), "", 'Data Entry'![706)</f>
      </c>
      <c r="AB706">
        <f>IF(ISBLANK('Data Entry'!\706), "", 'Data Entry'!\706)</f>
      </c>
      <c r="AC706">
        <f>IF(ISBLANK('Data Entry'!]706), "", 'Data Entry'!]706)</f>
      </c>
      <c r="AD706">
        <f>IF(ISBLANK('Data Entry'!^706), "", 'Data Entry'!^706)</f>
      </c>
      <c r="AE706">
        <f>IF(ISBLANK('Data Entry'!_706), "", 'Data Entry'!_706)</f>
      </c>
      <c r="AF706">
        <f>IF(ISBLANK('Data Entry'!`706), "", 'Data Entry'!`706)</f>
      </c>
      <c r="AG706">
        <f>IF(ISBLANK('Data Entry'!a706), "", 'Data Entry'!a706)</f>
      </c>
      <c r="AH706">
        <f>IF(ISBLANK('Data Entry'!b706), "", 'Data Entry'!b706)</f>
      </c>
      <c r="AI706">
        <f>IF(ISBLANK('Data Entry'!c706), "", 'Data Entry'!c706)</f>
      </c>
      <c r="AJ706">
        <f>IF(ISBLANK('Data Entry'!d706), "", 'Data Entry'!d706)</f>
      </c>
      <c r="AK706">
        <f>IF(ISBLANK('Data Entry'!e706), "", 'Data Entry'!e706)</f>
      </c>
      <c r="AL706">
        <f>IF(ISBLANK('Data Entry'!f706), "", 'Data Entry'!f706)</f>
      </c>
      <c r="AM706">
        <f>IF(ISBLANK('Data Entry'!g706), "", 'Data Entry'!g706)</f>
      </c>
      <c r="AN706">
        <f>IF(ISBLANK('Data Entry'!h706), "", 'Data Entry'!h706)</f>
      </c>
    </row>
    <row r="707" spans="1:40" x14ac:dyDescent="0.25">
      <c r="A707">
        <f>IF(ISBLANK('Data Entry'!A707), "", 'Data Entry'!A707)</f>
      </c>
      <c r="B707">
        <f>IF(ISBLANK('Data Entry'!B707), "", 'Data Entry'!B707)</f>
      </c>
      <c r="C707">
        <f>IF(ISBLANK('Data Entry'!C707), "", 'Data Entry'!C707)</f>
      </c>
      <c r="D707">
        <f>IF(ISBLANK('Data Entry'!D707), "", 'Data Entry'!D707)</f>
      </c>
      <c r="E707">
        <f>IF(ISBLANK('Data Entry'!E707), "", 'Data Entry'!E707)</f>
      </c>
      <c r="F707">
        <f>IF(ISBLANK('Data Entry'!F707), "", 'Data Entry'!F707)</f>
      </c>
      <c r="G707">
        <f>IF(ISBLANK('Data Entry'!G707), "", 'Data Entry'!G707)</f>
      </c>
      <c r="H707">
        <f>IF(ISBLANK('Data Entry'!H707), "", 'Data Entry'!H707)</f>
      </c>
      <c r="I707">
        <f>IF(ISBLANK('Data Entry'!I707), "", 'Data Entry'!I707)</f>
      </c>
      <c r="J707">
        <f>IF(ISBLANK('Data Entry'!J707), "", 'Data Entry'!J707)</f>
      </c>
      <c r="K707">
        <f>IF(ISBLANK('Data Entry'!K707), "", 'Data Entry'!K707)</f>
      </c>
      <c r="L707">
        <f>IF(ISBLANK('Data Entry'!L707), "", 'Data Entry'!L707)</f>
      </c>
      <c r="M707">
        <f>IF(ISBLANK('Data Entry'!M707), "", 'Data Entry'!M707)</f>
      </c>
      <c r="N707">
        <f>IF(ISBLANK('Data Entry'!N707), "", 'Data Entry'!N707)</f>
      </c>
      <c r="O707">
        <f>IF(ISBLANK('Data Entry'!O707), "", 'Data Entry'!O707)</f>
      </c>
      <c r="P707">
        <f>IF(ISBLANK('Data Entry'!P707), "", 'Data Entry'!P707)</f>
      </c>
      <c r="Q707">
        <f>IF(ISBLANK('Data Entry'!Q707), "", 'Data Entry'!Q707)</f>
      </c>
      <c r="R707">
        <f>IF(ISBLANK('Data Entry'!R707), "", 'Data Entry'!R707)</f>
      </c>
      <c r="S707">
        <f>IF(ISBLANK('Data Entry'!S707), "", 'Data Entry'!S707)</f>
      </c>
      <c r="T707">
        <f>IF(ISBLANK('Data Entry'!T707), "", 'Data Entry'!T707)</f>
      </c>
      <c r="U707">
        <f>IF(ISBLANK('Data Entry'!U707), "", 'Data Entry'!U707)</f>
      </c>
      <c r="V707">
        <f>IF(ISBLANK('Data Entry'!V707), "", 'Data Entry'!V707)</f>
      </c>
      <c r="W707">
        <f>IF(ISBLANK('Data Entry'!W707), "", 'Data Entry'!W707)</f>
      </c>
      <c r="X707">
        <f>IF(ISBLANK('Data Entry'!X707), "", 'Data Entry'!X707)</f>
      </c>
      <c r="Y707">
        <f>IF(ISBLANK('Data Entry'!Y707), "", 'Data Entry'!Y707)</f>
      </c>
      <c r="Z707">
        <f>IF(ISBLANK('Data Entry'!Z707), "", 'Data Entry'!Z707)</f>
      </c>
      <c r="AA707">
        <f>IF(ISBLANK('Data Entry'![707), "", 'Data Entry'![707)</f>
      </c>
      <c r="AB707">
        <f>IF(ISBLANK('Data Entry'!\707), "", 'Data Entry'!\707)</f>
      </c>
      <c r="AC707">
        <f>IF(ISBLANK('Data Entry'!]707), "", 'Data Entry'!]707)</f>
      </c>
      <c r="AD707">
        <f>IF(ISBLANK('Data Entry'!^707), "", 'Data Entry'!^707)</f>
      </c>
      <c r="AE707">
        <f>IF(ISBLANK('Data Entry'!_707), "", 'Data Entry'!_707)</f>
      </c>
      <c r="AF707">
        <f>IF(ISBLANK('Data Entry'!`707), "", 'Data Entry'!`707)</f>
      </c>
      <c r="AG707">
        <f>IF(ISBLANK('Data Entry'!a707), "", 'Data Entry'!a707)</f>
      </c>
      <c r="AH707">
        <f>IF(ISBLANK('Data Entry'!b707), "", 'Data Entry'!b707)</f>
      </c>
      <c r="AI707">
        <f>IF(ISBLANK('Data Entry'!c707), "", 'Data Entry'!c707)</f>
      </c>
      <c r="AJ707">
        <f>IF(ISBLANK('Data Entry'!d707), "", 'Data Entry'!d707)</f>
      </c>
      <c r="AK707">
        <f>IF(ISBLANK('Data Entry'!e707), "", 'Data Entry'!e707)</f>
      </c>
      <c r="AL707">
        <f>IF(ISBLANK('Data Entry'!f707), "", 'Data Entry'!f707)</f>
      </c>
      <c r="AM707">
        <f>IF(ISBLANK('Data Entry'!g707), "", 'Data Entry'!g707)</f>
      </c>
      <c r="AN707">
        <f>IF(ISBLANK('Data Entry'!h707), "", 'Data Entry'!h707)</f>
      </c>
    </row>
    <row r="708" spans="1:40" x14ac:dyDescent="0.25">
      <c r="A708">
        <f>IF(ISBLANK('Data Entry'!A708), "", 'Data Entry'!A708)</f>
      </c>
      <c r="B708">
        <f>IF(ISBLANK('Data Entry'!B708), "", 'Data Entry'!B708)</f>
      </c>
      <c r="C708">
        <f>IF(ISBLANK('Data Entry'!C708), "", 'Data Entry'!C708)</f>
      </c>
      <c r="D708">
        <f>IF(ISBLANK('Data Entry'!D708), "", 'Data Entry'!D708)</f>
      </c>
      <c r="E708">
        <f>IF(ISBLANK('Data Entry'!E708), "", 'Data Entry'!E708)</f>
      </c>
      <c r="F708">
        <f>IF(ISBLANK('Data Entry'!F708), "", 'Data Entry'!F708)</f>
      </c>
      <c r="G708">
        <f>IF(ISBLANK('Data Entry'!G708), "", 'Data Entry'!G708)</f>
      </c>
      <c r="H708">
        <f>IF(ISBLANK('Data Entry'!H708), "", 'Data Entry'!H708)</f>
      </c>
      <c r="I708">
        <f>IF(ISBLANK('Data Entry'!I708), "", 'Data Entry'!I708)</f>
      </c>
      <c r="J708">
        <f>IF(ISBLANK('Data Entry'!J708), "", 'Data Entry'!J708)</f>
      </c>
      <c r="K708">
        <f>IF(ISBLANK('Data Entry'!K708), "", 'Data Entry'!K708)</f>
      </c>
      <c r="L708">
        <f>IF(ISBLANK('Data Entry'!L708), "", 'Data Entry'!L708)</f>
      </c>
      <c r="M708">
        <f>IF(ISBLANK('Data Entry'!M708), "", 'Data Entry'!M708)</f>
      </c>
      <c r="N708">
        <f>IF(ISBLANK('Data Entry'!N708), "", 'Data Entry'!N708)</f>
      </c>
      <c r="O708">
        <f>IF(ISBLANK('Data Entry'!O708), "", 'Data Entry'!O708)</f>
      </c>
      <c r="P708">
        <f>IF(ISBLANK('Data Entry'!P708), "", 'Data Entry'!P708)</f>
      </c>
      <c r="Q708">
        <f>IF(ISBLANK('Data Entry'!Q708), "", 'Data Entry'!Q708)</f>
      </c>
      <c r="R708">
        <f>IF(ISBLANK('Data Entry'!R708), "", 'Data Entry'!R708)</f>
      </c>
      <c r="S708">
        <f>IF(ISBLANK('Data Entry'!S708), "", 'Data Entry'!S708)</f>
      </c>
      <c r="T708">
        <f>IF(ISBLANK('Data Entry'!T708), "", 'Data Entry'!T708)</f>
      </c>
      <c r="U708">
        <f>IF(ISBLANK('Data Entry'!U708), "", 'Data Entry'!U708)</f>
      </c>
      <c r="V708">
        <f>IF(ISBLANK('Data Entry'!V708), "", 'Data Entry'!V708)</f>
      </c>
      <c r="W708">
        <f>IF(ISBLANK('Data Entry'!W708), "", 'Data Entry'!W708)</f>
      </c>
      <c r="X708">
        <f>IF(ISBLANK('Data Entry'!X708), "", 'Data Entry'!X708)</f>
      </c>
      <c r="Y708">
        <f>IF(ISBLANK('Data Entry'!Y708), "", 'Data Entry'!Y708)</f>
      </c>
      <c r="Z708">
        <f>IF(ISBLANK('Data Entry'!Z708), "", 'Data Entry'!Z708)</f>
      </c>
      <c r="AA708">
        <f>IF(ISBLANK('Data Entry'![708), "", 'Data Entry'![708)</f>
      </c>
      <c r="AB708">
        <f>IF(ISBLANK('Data Entry'!\708), "", 'Data Entry'!\708)</f>
      </c>
      <c r="AC708">
        <f>IF(ISBLANK('Data Entry'!]708), "", 'Data Entry'!]708)</f>
      </c>
      <c r="AD708">
        <f>IF(ISBLANK('Data Entry'!^708), "", 'Data Entry'!^708)</f>
      </c>
      <c r="AE708">
        <f>IF(ISBLANK('Data Entry'!_708), "", 'Data Entry'!_708)</f>
      </c>
      <c r="AF708">
        <f>IF(ISBLANK('Data Entry'!`708), "", 'Data Entry'!`708)</f>
      </c>
      <c r="AG708">
        <f>IF(ISBLANK('Data Entry'!a708), "", 'Data Entry'!a708)</f>
      </c>
      <c r="AH708">
        <f>IF(ISBLANK('Data Entry'!b708), "", 'Data Entry'!b708)</f>
      </c>
      <c r="AI708">
        <f>IF(ISBLANK('Data Entry'!c708), "", 'Data Entry'!c708)</f>
      </c>
      <c r="AJ708">
        <f>IF(ISBLANK('Data Entry'!d708), "", 'Data Entry'!d708)</f>
      </c>
      <c r="AK708">
        <f>IF(ISBLANK('Data Entry'!e708), "", 'Data Entry'!e708)</f>
      </c>
      <c r="AL708">
        <f>IF(ISBLANK('Data Entry'!f708), "", 'Data Entry'!f708)</f>
      </c>
      <c r="AM708">
        <f>IF(ISBLANK('Data Entry'!g708), "", 'Data Entry'!g708)</f>
      </c>
      <c r="AN708">
        <f>IF(ISBLANK('Data Entry'!h708), "", 'Data Entry'!h708)</f>
      </c>
    </row>
    <row r="709" spans="1:40" x14ac:dyDescent="0.25">
      <c r="A709">
        <f>IF(ISBLANK('Data Entry'!A709), "", 'Data Entry'!A709)</f>
      </c>
      <c r="B709">
        <f>IF(ISBLANK('Data Entry'!B709), "", 'Data Entry'!B709)</f>
      </c>
      <c r="C709">
        <f>IF(ISBLANK('Data Entry'!C709), "", 'Data Entry'!C709)</f>
      </c>
      <c r="D709">
        <f>IF(ISBLANK('Data Entry'!D709), "", 'Data Entry'!D709)</f>
      </c>
      <c r="E709">
        <f>IF(ISBLANK('Data Entry'!E709), "", 'Data Entry'!E709)</f>
      </c>
      <c r="F709">
        <f>IF(ISBLANK('Data Entry'!F709), "", 'Data Entry'!F709)</f>
      </c>
      <c r="G709">
        <f>IF(ISBLANK('Data Entry'!G709), "", 'Data Entry'!G709)</f>
      </c>
      <c r="H709">
        <f>IF(ISBLANK('Data Entry'!H709), "", 'Data Entry'!H709)</f>
      </c>
      <c r="I709">
        <f>IF(ISBLANK('Data Entry'!I709), "", 'Data Entry'!I709)</f>
      </c>
      <c r="J709">
        <f>IF(ISBLANK('Data Entry'!J709), "", 'Data Entry'!J709)</f>
      </c>
      <c r="K709">
        <f>IF(ISBLANK('Data Entry'!K709), "", 'Data Entry'!K709)</f>
      </c>
      <c r="L709">
        <f>IF(ISBLANK('Data Entry'!L709), "", 'Data Entry'!L709)</f>
      </c>
      <c r="M709">
        <f>IF(ISBLANK('Data Entry'!M709), "", 'Data Entry'!M709)</f>
      </c>
      <c r="N709">
        <f>IF(ISBLANK('Data Entry'!N709), "", 'Data Entry'!N709)</f>
      </c>
      <c r="O709">
        <f>IF(ISBLANK('Data Entry'!O709), "", 'Data Entry'!O709)</f>
      </c>
      <c r="P709">
        <f>IF(ISBLANK('Data Entry'!P709), "", 'Data Entry'!P709)</f>
      </c>
      <c r="Q709">
        <f>IF(ISBLANK('Data Entry'!Q709), "", 'Data Entry'!Q709)</f>
      </c>
      <c r="R709">
        <f>IF(ISBLANK('Data Entry'!R709), "", 'Data Entry'!R709)</f>
      </c>
      <c r="S709">
        <f>IF(ISBLANK('Data Entry'!S709), "", 'Data Entry'!S709)</f>
      </c>
      <c r="T709">
        <f>IF(ISBLANK('Data Entry'!T709), "", 'Data Entry'!T709)</f>
      </c>
      <c r="U709">
        <f>IF(ISBLANK('Data Entry'!U709), "", 'Data Entry'!U709)</f>
      </c>
      <c r="V709">
        <f>IF(ISBLANK('Data Entry'!V709), "", 'Data Entry'!V709)</f>
      </c>
      <c r="W709">
        <f>IF(ISBLANK('Data Entry'!W709), "", 'Data Entry'!W709)</f>
      </c>
      <c r="X709">
        <f>IF(ISBLANK('Data Entry'!X709), "", 'Data Entry'!X709)</f>
      </c>
      <c r="Y709">
        <f>IF(ISBLANK('Data Entry'!Y709), "", 'Data Entry'!Y709)</f>
      </c>
      <c r="Z709">
        <f>IF(ISBLANK('Data Entry'!Z709), "", 'Data Entry'!Z709)</f>
      </c>
      <c r="AA709">
        <f>IF(ISBLANK('Data Entry'![709), "", 'Data Entry'![709)</f>
      </c>
      <c r="AB709">
        <f>IF(ISBLANK('Data Entry'!\709), "", 'Data Entry'!\709)</f>
      </c>
      <c r="AC709">
        <f>IF(ISBLANK('Data Entry'!]709), "", 'Data Entry'!]709)</f>
      </c>
      <c r="AD709">
        <f>IF(ISBLANK('Data Entry'!^709), "", 'Data Entry'!^709)</f>
      </c>
      <c r="AE709">
        <f>IF(ISBLANK('Data Entry'!_709), "", 'Data Entry'!_709)</f>
      </c>
      <c r="AF709">
        <f>IF(ISBLANK('Data Entry'!`709), "", 'Data Entry'!`709)</f>
      </c>
      <c r="AG709">
        <f>IF(ISBLANK('Data Entry'!a709), "", 'Data Entry'!a709)</f>
      </c>
      <c r="AH709">
        <f>IF(ISBLANK('Data Entry'!b709), "", 'Data Entry'!b709)</f>
      </c>
      <c r="AI709">
        <f>IF(ISBLANK('Data Entry'!c709), "", 'Data Entry'!c709)</f>
      </c>
      <c r="AJ709">
        <f>IF(ISBLANK('Data Entry'!d709), "", 'Data Entry'!d709)</f>
      </c>
      <c r="AK709">
        <f>IF(ISBLANK('Data Entry'!e709), "", 'Data Entry'!e709)</f>
      </c>
      <c r="AL709">
        <f>IF(ISBLANK('Data Entry'!f709), "", 'Data Entry'!f709)</f>
      </c>
      <c r="AM709">
        <f>IF(ISBLANK('Data Entry'!g709), "", 'Data Entry'!g709)</f>
      </c>
      <c r="AN709">
        <f>IF(ISBLANK('Data Entry'!h709), "", 'Data Entry'!h709)</f>
      </c>
    </row>
    <row r="710" spans="1:40" x14ac:dyDescent="0.25">
      <c r="A710">
        <f>IF(ISBLANK('Data Entry'!A710), "", 'Data Entry'!A710)</f>
      </c>
      <c r="B710">
        <f>IF(ISBLANK('Data Entry'!B710), "", 'Data Entry'!B710)</f>
      </c>
      <c r="C710">
        <f>IF(ISBLANK('Data Entry'!C710), "", 'Data Entry'!C710)</f>
      </c>
      <c r="D710">
        <f>IF(ISBLANK('Data Entry'!D710), "", 'Data Entry'!D710)</f>
      </c>
      <c r="E710">
        <f>IF(ISBLANK('Data Entry'!E710), "", 'Data Entry'!E710)</f>
      </c>
      <c r="F710">
        <f>IF(ISBLANK('Data Entry'!F710), "", 'Data Entry'!F710)</f>
      </c>
      <c r="G710">
        <f>IF(ISBLANK('Data Entry'!G710), "", 'Data Entry'!G710)</f>
      </c>
      <c r="H710">
        <f>IF(ISBLANK('Data Entry'!H710), "", 'Data Entry'!H710)</f>
      </c>
      <c r="I710">
        <f>IF(ISBLANK('Data Entry'!I710), "", 'Data Entry'!I710)</f>
      </c>
      <c r="J710">
        <f>IF(ISBLANK('Data Entry'!J710), "", 'Data Entry'!J710)</f>
      </c>
      <c r="K710">
        <f>IF(ISBLANK('Data Entry'!K710), "", 'Data Entry'!K710)</f>
      </c>
      <c r="L710">
        <f>IF(ISBLANK('Data Entry'!L710), "", 'Data Entry'!L710)</f>
      </c>
      <c r="M710">
        <f>IF(ISBLANK('Data Entry'!M710), "", 'Data Entry'!M710)</f>
      </c>
      <c r="N710">
        <f>IF(ISBLANK('Data Entry'!N710), "", 'Data Entry'!N710)</f>
      </c>
      <c r="O710">
        <f>IF(ISBLANK('Data Entry'!O710), "", 'Data Entry'!O710)</f>
      </c>
      <c r="P710">
        <f>IF(ISBLANK('Data Entry'!P710), "", 'Data Entry'!P710)</f>
      </c>
      <c r="Q710">
        <f>IF(ISBLANK('Data Entry'!Q710), "", 'Data Entry'!Q710)</f>
      </c>
      <c r="R710">
        <f>IF(ISBLANK('Data Entry'!R710), "", 'Data Entry'!R710)</f>
      </c>
      <c r="S710">
        <f>IF(ISBLANK('Data Entry'!S710), "", 'Data Entry'!S710)</f>
      </c>
      <c r="T710">
        <f>IF(ISBLANK('Data Entry'!T710), "", 'Data Entry'!T710)</f>
      </c>
      <c r="U710">
        <f>IF(ISBLANK('Data Entry'!U710), "", 'Data Entry'!U710)</f>
      </c>
      <c r="V710">
        <f>IF(ISBLANK('Data Entry'!V710), "", 'Data Entry'!V710)</f>
      </c>
      <c r="W710">
        <f>IF(ISBLANK('Data Entry'!W710), "", 'Data Entry'!W710)</f>
      </c>
      <c r="X710">
        <f>IF(ISBLANK('Data Entry'!X710), "", 'Data Entry'!X710)</f>
      </c>
      <c r="Y710">
        <f>IF(ISBLANK('Data Entry'!Y710), "", 'Data Entry'!Y710)</f>
      </c>
      <c r="Z710">
        <f>IF(ISBLANK('Data Entry'!Z710), "", 'Data Entry'!Z710)</f>
      </c>
      <c r="AA710">
        <f>IF(ISBLANK('Data Entry'![710), "", 'Data Entry'![710)</f>
      </c>
      <c r="AB710">
        <f>IF(ISBLANK('Data Entry'!\710), "", 'Data Entry'!\710)</f>
      </c>
      <c r="AC710">
        <f>IF(ISBLANK('Data Entry'!]710), "", 'Data Entry'!]710)</f>
      </c>
      <c r="AD710">
        <f>IF(ISBLANK('Data Entry'!^710), "", 'Data Entry'!^710)</f>
      </c>
      <c r="AE710">
        <f>IF(ISBLANK('Data Entry'!_710), "", 'Data Entry'!_710)</f>
      </c>
      <c r="AF710">
        <f>IF(ISBLANK('Data Entry'!`710), "", 'Data Entry'!`710)</f>
      </c>
      <c r="AG710">
        <f>IF(ISBLANK('Data Entry'!a710), "", 'Data Entry'!a710)</f>
      </c>
      <c r="AH710">
        <f>IF(ISBLANK('Data Entry'!b710), "", 'Data Entry'!b710)</f>
      </c>
      <c r="AI710">
        <f>IF(ISBLANK('Data Entry'!c710), "", 'Data Entry'!c710)</f>
      </c>
      <c r="AJ710">
        <f>IF(ISBLANK('Data Entry'!d710), "", 'Data Entry'!d710)</f>
      </c>
      <c r="AK710">
        <f>IF(ISBLANK('Data Entry'!e710), "", 'Data Entry'!e710)</f>
      </c>
      <c r="AL710">
        <f>IF(ISBLANK('Data Entry'!f710), "", 'Data Entry'!f710)</f>
      </c>
      <c r="AM710">
        <f>IF(ISBLANK('Data Entry'!g710), "", 'Data Entry'!g710)</f>
      </c>
      <c r="AN710">
        <f>IF(ISBLANK('Data Entry'!h710), "", 'Data Entry'!h710)</f>
      </c>
    </row>
    <row r="711" spans="1:40" x14ac:dyDescent="0.25">
      <c r="A711">
        <f>IF(ISBLANK('Data Entry'!A711), "", 'Data Entry'!A711)</f>
      </c>
      <c r="B711">
        <f>IF(ISBLANK('Data Entry'!B711), "", 'Data Entry'!B711)</f>
      </c>
      <c r="C711">
        <f>IF(ISBLANK('Data Entry'!C711), "", 'Data Entry'!C711)</f>
      </c>
      <c r="D711">
        <f>IF(ISBLANK('Data Entry'!D711), "", 'Data Entry'!D711)</f>
      </c>
      <c r="E711">
        <f>IF(ISBLANK('Data Entry'!E711), "", 'Data Entry'!E711)</f>
      </c>
      <c r="F711">
        <f>IF(ISBLANK('Data Entry'!F711), "", 'Data Entry'!F711)</f>
      </c>
      <c r="G711">
        <f>IF(ISBLANK('Data Entry'!G711), "", 'Data Entry'!G711)</f>
      </c>
      <c r="H711">
        <f>IF(ISBLANK('Data Entry'!H711), "", 'Data Entry'!H711)</f>
      </c>
      <c r="I711">
        <f>IF(ISBLANK('Data Entry'!I711), "", 'Data Entry'!I711)</f>
      </c>
      <c r="J711">
        <f>IF(ISBLANK('Data Entry'!J711), "", 'Data Entry'!J711)</f>
      </c>
      <c r="K711">
        <f>IF(ISBLANK('Data Entry'!K711), "", 'Data Entry'!K711)</f>
      </c>
      <c r="L711">
        <f>IF(ISBLANK('Data Entry'!L711), "", 'Data Entry'!L711)</f>
      </c>
      <c r="M711">
        <f>IF(ISBLANK('Data Entry'!M711), "", 'Data Entry'!M711)</f>
      </c>
      <c r="N711">
        <f>IF(ISBLANK('Data Entry'!N711), "", 'Data Entry'!N711)</f>
      </c>
      <c r="O711">
        <f>IF(ISBLANK('Data Entry'!O711), "", 'Data Entry'!O711)</f>
      </c>
      <c r="P711">
        <f>IF(ISBLANK('Data Entry'!P711), "", 'Data Entry'!P711)</f>
      </c>
      <c r="Q711">
        <f>IF(ISBLANK('Data Entry'!Q711), "", 'Data Entry'!Q711)</f>
      </c>
      <c r="R711">
        <f>IF(ISBLANK('Data Entry'!R711), "", 'Data Entry'!R711)</f>
      </c>
      <c r="S711">
        <f>IF(ISBLANK('Data Entry'!S711), "", 'Data Entry'!S711)</f>
      </c>
      <c r="T711">
        <f>IF(ISBLANK('Data Entry'!T711), "", 'Data Entry'!T711)</f>
      </c>
      <c r="U711">
        <f>IF(ISBLANK('Data Entry'!U711), "", 'Data Entry'!U711)</f>
      </c>
      <c r="V711">
        <f>IF(ISBLANK('Data Entry'!V711), "", 'Data Entry'!V711)</f>
      </c>
      <c r="W711">
        <f>IF(ISBLANK('Data Entry'!W711), "", 'Data Entry'!W711)</f>
      </c>
      <c r="X711">
        <f>IF(ISBLANK('Data Entry'!X711), "", 'Data Entry'!X711)</f>
      </c>
      <c r="Y711">
        <f>IF(ISBLANK('Data Entry'!Y711), "", 'Data Entry'!Y711)</f>
      </c>
      <c r="Z711">
        <f>IF(ISBLANK('Data Entry'!Z711), "", 'Data Entry'!Z711)</f>
      </c>
      <c r="AA711">
        <f>IF(ISBLANK('Data Entry'![711), "", 'Data Entry'![711)</f>
      </c>
      <c r="AB711">
        <f>IF(ISBLANK('Data Entry'!\711), "", 'Data Entry'!\711)</f>
      </c>
      <c r="AC711">
        <f>IF(ISBLANK('Data Entry'!]711), "", 'Data Entry'!]711)</f>
      </c>
      <c r="AD711">
        <f>IF(ISBLANK('Data Entry'!^711), "", 'Data Entry'!^711)</f>
      </c>
      <c r="AE711">
        <f>IF(ISBLANK('Data Entry'!_711), "", 'Data Entry'!_711)</f>
      </c>
      <c r="AF711">
        <f>IF(ISBLANK('Data Entry'!`711), "", 'Data Entry'!`711)</f>
      </c>
      <c r="AG711">
        <f>IF(ISBLANK('Data Entry'!a711), "", 'Data Entry'!a711)</f>
      </c>
      <c r="AH711">
        <f>IF(ISBLANK('Data Entry'!b711), "", 'Data Entry'!b711)</f>
      </c>
      <c r="AI711">
        <f>IF(ISBLANK('Data Entry'!c711), "", 'Data Entry'!c711)</f>
      </c>
      <c r="AJ711">
        <f>IF(ISBLANK('Data Entry'!d711), "", 'Data Entry'!d711)</f>
      </c>
      <c r="AK711">
        <f>IF(ISBLANK('Data Entry'!e711), "", 'Data Entry'!e711)</f>
      </c>
      <c r="AL711">
        <f>IF(ISBLANK('Data Entry'!f711), "", 'Data Entry'!f711)</f>
      </c>
      <c r="AM711">
        <f>IF(ISBLANK('Data Entry'!g711), "", 'Data Entry'!g711)</f>
      </c>
      <c r="AN711">
        <f>IF(ISBLANK('Data Entry'!h711), "", 'Data Entry'!h711)</f>
      </c>
    </row>
    <row r="712" spans="1:40" x14ac:dyDescent="0.25">
      <c r="A712">
        <f>IF(ISBLANK('Data Entry'!A712), "", 'Data Entry'!A712)</f>
      </c>
      <c r="B712">
        <f>IF(ISBLANK('Data Entry'!B712), "", 'Data Entry'!B712)</f>
      </c>
      <c r="C712">
        <f>IF(ISBLANK('Data Entry'!C712), "", 'Data Entry'!C712)</f>
      </c>
      <c r="D712">
        <f>IF(ISBLANK('Data Entry'!D712), "", 'Data Entry'!D712)</f>
      </c>
      <c r="E712">
        <f>IF(ISBLANK('Data Entry'!E712), "", 'Data Entry'!E712)</f>
      </c>
      <c r="F712">
        <f>IF(ISBLANK('Data Entry'!F712), "", 'Data Entry'!F712)</f>
      </c>
      <c r="G712">
        <f>IF(ISBLANK('Data Entry'!G712), "", 'Data Entry'!G712)</f>
      </c>
      <c r="H712">
        <f>IF(ISBLANK('Data Entry'!H712), "", 'Data Entry'!H712)</f>
      </c>
      <c r="I712">
        <f>IF(ISBLANK('Data Entry'!I712), "", 'Data Entry'!I712)</f>
      </c>
      <c r="J712">
        <f>IF(ISBLANK('Data Entry'!J712), "", 'Data Entry'!J712)</f>
      </c>
      <c r="K712">
        <f>IF(ISBLANK('Data Entry'!K712), "", 'Data Entry'!K712)</f>
      </c>
      <c r="L712">
        <f>IF(ISBLANK('Data Entry'!L712), "", 'Data Entry'!L712)</f>
      </c>
      <c r="M712">
        <f>IF(ISBLANK('Data Entry'!M712), "", 'Data Entry'!M712)</f>
      </c>
      <c r="N712">
        <f>IF(ISBLANK('Data Entry'!N712), "", 'Data Entry'!N712)</f>
      </c>
      <c r="O712">
        <f>IF(ISBLANK('Data Entry'!O712), "", 'Data Entry'!O712)</f>
      </c>
      <c r="P712">
        <f>IF(ISBLANK('Data Entry'!P712), "", 'Data Entry'!P712)</f>
      </c>
      <c r="Q712">
        <f>IF(ISBLANK('Data Entry'!Q712), "", 'Data Entry'!Q712)</f>
      </c>
      <c r="R712">
        <f>IF(ISBLANK('Data Entry'!R712), "", 'Data Entry'!R712)</f>
      </c>
      <c r="S712">
        <f>IF(ISBLANK('Data Entry'!S712), "", 'Data Entry'!S712)</f>
      </c>
      <c r="T712">
        <f>IF(ISBLANK('Data Entry'!T712), "", 'Data Entry'!T712)</f>
      </c>
      <c r="U712">
        <f>IF(ISBLANK('Data Entry'!U712), "", 'Data Entry'!U712)</f>
      </c>
      <c r="V712">
        <f>IF(ISBLANK('Data Entry'!V712), "", 'Data Entry'!V712)</f>
      </c>
      <c r="W712">
        <f>IF(ISBLANK('Data Entry'!W712), "", 'Data Entry'!W712)</f>
      </c>
      <c r="X712">
        <f>IF(ISBLANK('Data Entry'!X712), "", 'Data Entry'!X712)</f>
      </c>
      <c r="Y712">
        <f>IF(ISBLANK('Data Entry'!Y712), "", 'Data Entry'!Y712)</f>
      </c>
      <c r="Z712">
        <f>IF(ISBLANK('Data Entry'!Z712), "", 'Data Entry'!Z712)</f>
      </c>
      <c r="AA712">
        <f>IF(ISBLANK('Data Entry'![712), "", 'Data Entry'![712)</f>
      </c>
      <c r="AB712">
        <f>IF(ISBLANK('Data Entry'!\712), "", 'Data Entry'!\712)</f>
      </c>
      <c r="AC712">
        <f>IF(ISBLANK('Data Entry'!]712), "", 'Data Entry'!]712)</f>
      </c>
      <c r="AD712">
        <f>IF(ISBLANK('Data Entry'!^712), "", 'Data Entry'!^712)</f>
      </c>
      <c r="AE712">
        <f>IF(ISBLANK('Data Entry'!_712), "", 'Data Entry'!_712)</f>
      </c>
      <c r="AF712">
        <f>IF(ISBLANK('Data Entry'!`712), "", 'Data Entry'!`712)</f>
      </c>
      <c r="AG712">
        <f>IF(ISBLANK('Data Entry'!a712), "", 'Data Entry'!a712)</f>
      </c>
      <c r="AH712">
        <f>IF(ISBLANK('Data Entry'!b712), "", 'Data Entry'!b712)</f>
      </c>
      <c r="AI712">
        <f>IF(ISBLANK('Data Entry'!c712), "", 'Data Entry'!c712)</f>
      </c>
      <c r="AJ712">
        <f>IF(ISBLANK('Data Entry'!d712), "", 'Data Entry'!d712)</f>
      </c>
      <c r="AK712">
        <f>IF(ISBLANK('Data Entry'!e712), "", 'Data Entry'!e712)</f>
      </c>
      <c r="AL712">
        <f>IF(ISBLANK('Data Entry'!f712), "", 'Data Entry'!f712)</f>
      </c>
      <c r="AM712">
        <f>IF(ISBLANK('Data Entry'!g712), "", 'Data Entry'!g712)</f>
      </c>
      <c r="AN712">
        <f>IF(ISBLANK('Data Entry'!h712), "", 'Data Entry'!h712)</f>
      </c>
    </row>
    <row r="713" spans="1:40" x14ac:dyDescent="0.25">
      <c r="A713">
        <f>IF(ISBLANK('Data Entry'!A713), "", 'Data Entry'!A713)</f>
      </c>
      <c r="B713">
        <f>IF(ISBLANK('Data Entry'!B713), "", 'Data Entry'!B713)</f>
      </c>
      <c r="C713">
        <f>IF(ISBLANK('Data Entry'!C713), "", 'Data Entry'!C713)</f>
      </c>
      <c r="D713">
        <f>IF(ISBLANK('Data Entry'!D713), "", 'Data Entry'!D713)</f>
      </c>
      <c r="E713">
        <f>IF(ISBLANK('Data Entry'!E713), "", 'Data Entry'!E713)</f>
      </c>
      <c r="F713">
        <f>IF(ISBLANK('Data Entry'!F713), "", 'Data Entry'!F713)</f>
      </c>
      <c r="G713">
        <f>IF(ISBLANK('Data Entry'!G713), "", 'Data Entry'!G713)</f>
      </c>
      <c r="H713">
        <f>IF(ISBLANK('Data Entry'!H713), "", 'Data Entry'!H713)</f>
      </c>
      <c r="I713">
        <f>IF(ISBLANK('Data Entry'!I713), "", 'Data Entry'!I713)</f>
      </c>
      <c r="J713">
        <f>IF(ISBLANK('Data Entry'!J713), "", 'Data Entry'!J713)</f>
      </c>
      <c r="K713">
        <f>IF(ISBLANK('Data Entry'!K713), "", 'Data Entry'!K713)</f>
      </c>
      <c r="L713">
        <f>IF(ISBLANK('Data Entry'!L713), "", 'Data Entry'!L713)</f>
      </c>
      <c r="M713">
        <f>IF(ISBLANK('Data Entry'!M713), "", 'Data Entry'!M713)</f>
      </c>
      <c r="N713">
        <f>IF(ISBLANK('Data Entry'!N713), "", 'Data Entry'!N713)</f>
      </c>
      <c r="O713">
        <f>IF(ISBLANK('Data Entry'!O713), "", 'Data Entry'!O713)</f>
      </c>
      <c r="P713">
        <f>IF(ISBLANK('Data Entry'!P713), "", 'Data Entry'!P713)</f>
      </c>
      <c r="Q713">
        <f>IF(ISBLANK('Data Entry'!Q713), "", 'Data Entry'!Q713)</f>
      </c>
      <c r="R713">
        <f>IF(ISBLANK('Data Entry'!R713), "", 'Data Entry'!R713)</f>
      </c>
      <c r="S713">
        <f>IF(ISBLANK('Data Entry'!S713), "", 'Data Entry'!S713)</f>
      </c>
      <c r="T713">
        <f>IF(ISBLANK('Data Entry'!T713), "", 'Data Entry'!T713)</f>
      </c>
      <c r="U713">
        <f>IF(ISBLANK('Data Entry'!U713), "", 'Data Entry'!U713)</f>
      </c>
      <c r="V713">
        <f>IF(ISBLANK('Data Entry'!V713), "", 'Data Entry'!V713)</f>
      </c>
      <c r="W713">
        <f>IF(ISBLANK('Data Entry'!W713), "", 'Data Entry'!W713)</f>
      </c>
      <c r="X713">
        <f>IF(ISBLANK('Data Entry'!X713), "", 'Data Entry'!X713)</f>
      </c>
      <c r="Y713">
        <f>IF(ISBLANK('Data Entry'!Y713), "", 'Data Entry'!Y713)</f>
      </c>
      <c r="Z713">
        <f>IF(ISBLANK('Data Entry'!Z713), "", 'Data Entry'!Z713)</f>
      </c>
      <c r="AA713">
        <f>IF(ISBLANK('Data Entry'![713), "", 'Data Entry'![713)</f>
      </c>
      <c r="AB713">
        <f>IF(ISBLANK('Data Entry'!\713), "", 'Data Entry'!\713)</f>
      </c>
      <c r="AC713">
        <f>IF(ISBLANK('Data Entry'!]713), "", 'Data Entry'!]713)</f>
      </c>
      <c r="AD713">
        <f>IF(ISBLANK('Data Entry'!^713), "", 'Data Entry'!^713)</f>
      </c>
      <c r="AE713">
        <f>IF(ISBLANK('Data Entry'!_713), "", 'Data Entry'!_713)</f>
      </c>
      <c r="AF713">
        <f>IF(ISBLANK('Data Entry'!`713), "", 'Data Entry'!`713)</f>
      </c>
      <c r="AG713">
        <f>IF(ISBLANK('Data Entry'!a713), "", 'Data Entry'!a713)</f>
      </c>
      <c r="AH713">
        <f>IF(ISBLANK('Data Entry'!b713), "", 'Data Entry'!b713)</f>
      </c>
      <c r="AI713">
        <f>IF(ISBLANK('Data Entry'!c713), "", 'Data Entry'!c713)</f>
      </c>
      <c r="AJ713">
        <f>IF(ISBLANK('Data Entry'!d713), "", 'Data Entry'!d713)</f>
      </c>
      <c r="AK713">
        <f>IF(ISBLANK('Data Entry'!e713), "", 'Data Entry'!e713)</f>
      </c>
      <c r="AL713">
        <f>IF(ISBLANK('Data Entry'!f713), "", 'Data Entry'!f713)</f>
      </c>
      <c r="AM713">
        <f>IF(ISBLANK('Data Entry'!g713), "", 'Data Entry'!g713)</f>
      </c>
      <c r="AN713">
        <f>IF(ISBLANK('Data Entry'!h713), "", 'Data Entry'!h713)</f>
      </c>
    </row>
    <row r="714" spans="1:40" x14ac:dyDescent="0.25">
      <c r="A714">
        <f>IF(ISBLANK('Data Entry'!A714), "", 'Data Entry'!A714)</f>
      </c>
      <c r="B714">
        <f>IF(ISBLANK('Data Entry'!B714), "", 'Data Entry'!B714)</f>
      </c>
      <c r="C714">
        <f>IF(ISBLANK('Data Entry'!C714), "", 'Data Entry'!C714)</f>
      </c>
      <c r="D714">
        <f>IF(ISBLANK('Data Entry'!D714), "", 'Data Entry'!D714)</f>
      </c>
      <c r="E714">
        <f>IF(ISBLANK('Data Entry'!E714), "", 'Data Entry'!E714)</f>
      </c>
      <c r="F714">
        <f>IF(ISBLANK('Data Entry'!F714), "", 'Data Entry'!F714)</f>
      </c>
      <c r="G714">
        <f>IF(ISBLANK('Data Entry'!G714), "", 'Data Entry'!G714)</f>
      </c>
      <c r="H714">
        <f>IF(ISBLANK('Data Entry'!H714), "", 'Data Entry'!H714)</f>
      </c>
      <c r="I714">
        <f>IF(ISBLANK('Data Entry'!I714), "", 'Data Entry'!I714)</f>
      </c>
      <c r="J714">
        <f>IF(ISBLANK('Data Entry'!J714), "", 'Data Entry'!J714)</f>
      </c>
      <c r="K714">
        <f>IF(ISBLANK('Data Entry'!K714), "", 'Data Entry'!K714)</f>
      </c>
      <c r="L714">
        <f>IF(ISBLANK('Data Entry'!L714), "", 'Data Entry'!L714)</f>
      </c>
      <c r="M714">
        <f>IF(ISBLANK('Data Entry'!M714), "", 'Data Entry'!M714)</f>
      </c>
      <c r="N714">
        <f>IF(ISBLANK('Data Entry'!N714), "", 'Data Entry'!N714)</f>
      </c>
      <c r="O714">
        <f>IF(ISBLANK('Data Entry'!O714), "", 'Data Entry'!O714)</f>
      </c>
      <c r="P714">
        <f>IF(ISBLANK('Data Entry'!P714), "", 'Data Entry'!P714)</f>
      </c>
      <c r="Q714">
        <f>IF(ISBLANK('Data Entry'!Q714), "", 'Data Entry'!Q714)</f>
      </c>
      <c r="R714">
        <f>IF(ISBLANK('Data Entry'!R714), "", 'Data Entry'!R714)</f>
      </c>
      <c r="S714">
        <f>IF(ISBLANK('Data Entry'!S714), "", 'Data Entry'!S714)</f>
      </c>
      <c r="T714">
        <f>IF(ISBLANK('Data Entry'!T714), "", 'Data Entry'!T714)</f>
      </c>
      <c r="U714">
        <f>IF(ISBLANK('Data Entry'!U714), "", 'Data Entry'!U714)</f>
      </c>
      <c r="V714">
        <f>IF(ISBLANK('Data Entry'!V714), "", 'Data Entry'!V714)</f>
      </c>
      <c r="W714">
        <f>IF(ISBLANK('Data Entry'!W714), "", 'Data Entry'!W714)</f>
      </c>
      <c r="X714">
        <f>IF(ISBLANK('Data Entry'!X714), "", 'Data Entry'!X714)</f>
      </c>
      <c r="Y714">
        <f>IF(ISBLANK('Data Entry'!Y714), "", 'Data Entry'!Y714)</f>
      </c>
      <c r="Z714">
        <f>IF(ISBLANK('Data Entry'!Z714), "", 'Data Entry'!Z714)</f>
      </c>
      <c r="AA714">
        <f>IF(ISBLANK('Data Entry'![714), "", 'Data Entry'![714)</f>
      </c>
      <c r="AB714">
        <f>IF(ISBLANK('Data Entry'!\714), "", 'Data Entry'!\714)</f>
      </c>
      <c r="AC714">
        <f>IF(ISBLANK('Data Entry'!]714), "", 'Data Entry'!]714)</f>
      </c>
      <c r="AD714">
        <f>IF(ISBLANK('Data Entry'!^714), "", 'Data Entry'!^714)</f>
      </c>
      <c r="AE714">
        <f>IF(ISBLANK('Data Entry'!_714), "", 'Data Entry'!_714)</f>
      </c>
      <c r="AF714">
        <f>IF(ISBLANK('Data Entry'!`714), "", 'Data Entry'!`714)</f>
      </c>
      <c r="AG714">
        <f>IF(ISBLANK('Data Entry'!a714), "", 'Data Entry'!a714)</f>
      </c>
      <c r="AH714">
        <f>IF(ISBLANK('Data Entry'!b714), "", 'Data Entry'!b714)</f>
      </c>
      <c r="AI714">
        <f>IF(ISBLANK('Data Entry'!c714), "", 'Data Entry'!c714)</f>
      </c>
      <c r="AJ714">
        <f>IF(ISBLANK('Data Entry'!d714), "", 'Data Entry'!d714)</f>
      </c>
      <c r="AK714">
        <f>IF(ISBLANK('Data Entry'!e714), "", 'Data Entry'!e714)</f>
      </c>
      <c r="AL714">
        <f>IF(ISBLANK('Data Entry'!f714), "", 'Data Entry'!f714)</f>
      </c>
      <c r="AM714">
        <f>IF(ISBLANK('Data Entry'!g714), "", 'Data Entry'!g714)</f>
      </c>
      <c r="AN714">
        <f>IF(ISBLANK('Data Entry'!h714), "", 'Data Entry'!h714)</f>
      </c>
    </row>
    <row r="715" spans="1:40" x14ac:dyDescent="0.25">
      <c r="A715">
        <f>IF(ISBLANK('Data Entry'!A715), "", 'Data Entry'!A715)</f>
      </c>
      <c r="B715">
        <f>IF(ISBLANK('Data Entry'!B715), "", 'Data Entry'!B715)</f>
      </c>
      <c r="C715">
        <f>IF(ISBLANK('Data Entry'!C715), "", 'Data Entry'!C715)</f>
      </c>
      <c r="D715">
        <f>IF(ISBLANK('Data Entry'!D715), "", 'Data Entry'!D715)</f>
      </c>
      <c r="E715">
        <f>IF(ISBLANK('Data Entry'!E715), "", 'Data Entry'!E715)</f>
      </c>
      <c r="F715">
        <f>IF(ISBLANK('Data Entry'!F715), "", 'Data Entry'!F715)</f>
      </c>
      <c r="G715">
        <f>IF(ISBLANK('Data Entry'!G715), "", 'Data Entry'!G715)</f>
      </c>
      <c r="H715">
        <f>IF(ISBLANK('Data Entry'!H715), "", 'Data Entry'!H715)</f>
      </c>
      <c r="I715">
        <f>IF(ISBLANK('Data Entry'!I715), "", 'Data Entry'!I715)</f>
      </c>
      <c r="J715">
        <f>IF(ISBLANK('Data Entry'!J715), "", 'Data Entry'!J715)</f>
      </c>
      <c r="K715">
        <f>IF(ISBLANK('Data Entry'!K715), "", 'Data Entry'!K715)</f>
      </c>
      <c r="L715">
        <f>IF(ISBLANK('Data Entry'!L715), "", 'Data Entry'!L715)</f>
      </c>
      <c r="M715">
        <f>IF(ISBLANK('Data Entry'!M715), "", 'Data Entry'!M715)</f>
      </c>
      <c r="N715">
        <f>IF(ISBLANK('Data Entry'!N715), "", 'Data Entry'!N715)</f>
      </c>
      <c r="O715">
        <f>IF(ISBLANK('Data Entry'!O715), "", 'Data Entry'!O715)</f>
      </c>
      <c r="P715">
        <f>IF(ISBLANK('Data Entry'!P715), "", 'Data Entry'!P715)</f>
      </c>
      <c r="Q715">
        <f>IF(ISBLANK('Data Entry'!Q715), "", 'Data Entry'!Q715)</f>
      </c>
      <c r="R715">
        <f>IF(ISBLANK('Data Entry'!R715), "", 'Data Entry'!R715)</f>
      </c>
      <c r="S715">
        <f>IF(ISBLANK('Data Entry'!S715), "", 'Data Entry'!S715)</f>
      </c>
      <c r="T715">
        <f>IF(ISBLANK('Data Entry'!T715), "", 'Data Entry'!T715)</f>
      </c>
      <c r="U715">
        <f>IF(ISBLANK('Data Entry'!U715), "", 'Data Entry'!U715)</f>
      </c>
      <c r="V715">
        <f>IF(ISBLANK('Data Entry'!V715), "", 'Data Entry'!V715)</f>
      </c>
      <c r="W715">
        <f>IF(ISBLANK('Data Entry'!W715), "", 'Data Entry'!W715)</f>
      </c>
      <c r="X715">
        <f>IF(ISBLANK('Data Entry'!X715), "", 'Data Entry'!X715)</f>
      </c>
      <c r="Y715">
        <f>IF(ISBLANK('Data Entry'!Y715), "", 'Data Entry'!Y715)</f>
      </c>
      <c r="Z715">
        <f>IF(ISBLANK('Data Entry'!Z715), "", 'Data Entry'!Z715)</f>
      </c>
      <c r="AA715">
        <f>IF(ISBLANK('Data Entry'![715), "", 'Data Entry'![715)</f>
      </c>
      <c r="AB715">
        <f>IF(ISBLANK('Data Entry'!\715), "", 'Data Entry'!\715)</f>
      </c>
      <c r="AC715">
        <f>IF(ISBLANK('Data Entry'!]715), "", 'Data Entry'!]715)</f>
      </c>
      <c r="AD715">
        <f>IF(ISBLANK('Data Entry'!^715), "", 'Data Entry'!^715)</f>
      </c>
      <c r="AE715">
        <f>IF(ISBLANK('Data Entry'!_715), "", 'Data Entry'!_715)</f>
      </c>
      <c r="AF715">
        <f>IF(ISBLANK('Data Entry'!`715), "", 'Data Entry'!`715)</f>
      </c>
      <c r="AG715">
        <f>IF(ISBLANK('Data Entry'!a715), "", 'Data Entry'!a715)</f>
      </c>
      <c r="AH715">
        <f>IF(ISBLANK('Data Entry'!b715), "", 'Data Entry'!b715)</f>
      </c>
      <c r="AI715">
        <f>IF(ISBLANK('Data Entry'!c715), "", 'Data Entry'!c715)</f>
      </c>
      <c r="AJ715">
        <f>IF(ISBLANK('Data Entry'!d715), "", 'Data Entry'!d715)</f>
      </c>
      <c r="AK715">
        <f>IF(ISBLANK('Data Entry'!e715), "", 'Data Entry'!e715)</f>
      </c>
      <c r="AL715">
        <f>IF(ISBLANK('Data Entry'!f715), "", 'Data Entry'!f715)</f>
      </c>
      <c r="AM715">
        <f>IF(ISBLANK('Data Entry'!g715), "", 'Data Entry'!g715)</f>
      </c>
      <c r="AN715">
        <f>IF(ISBLANK('Data Entry'!h715), "", 'Data Entry'!h715)</f>
      </c>
    </row>
    <row r="716" spans="1:40" x14ac:dyDescent="0.25">
      <c r="A716">
        <f>IF(ISBLANK('Data Entry'!A716), "", 'Data Entry'!A716)</f>
      </c>
      <c r="B716">
        <f>IF(ISBLANK('Data Entry'!B716), "", 'Data Entry'!B716)</f>
      </c>
      <c r="C716">
        <f>IF(ISBLANK('Data Entry'!C716), "", 'Data Entry'!C716)</f>
      </c>
      <c r="D716">
        <f>IF(ISBLANK('Data Entry'!D716), "", 'Data Entry'!D716)</f>
      </c>
      <c r="E716">
        <f>IF(ISBLANK('Data Entry'!E716), "", 'Data Entry'!E716)</f>
      </c>
      <c r="F716">
        <f>IF(ISBLANK('Data Entry'!F716), "", 'Data Entry'!F716)</f>
      </c>
      <c r="G716">
        <f>IF(ISBLANK('Data Entry'!G716), "", 'Data Entry'!G716)</f>
      </c>
      <c r="H716">
        <f>IF(ISBLANK('Data Entry'!H716), "", 'Data Entry'!H716)</f>
      </c>
      <c r="I716">
        <f>IF(ISBLANK('Data Entry'!I716), "", 'Data Entry'!I716)</f>
      </c>
      <c r="J716">
        <f>IF(ISBLANK('Data Entry'!J716), "", 'Data Entry'!J716)</f>
      </c>
      <c r="K716">
        <f>IF(ISBLANK('Data Entry'!K716), "", 'Data Entry'!K716)</f>
      </c>
      <c r="L716">
        <f>IF(ISBLANK('Data Entry'!L716), "", 'Data Entry'!L716)</f>
      </c>
      <c r="M716">
        <f>IF(ISBLANK('Data Entry'!M716), "", 'Data Entry'!M716)</f>
      </c>
      <c r="N716">
        <f>IF(ISBLANK('Data Entry'!N716), "", 'Data Entry'!N716)</f>
      </c>
      <c r="O716">
        <f>IF(ISBLANK('Data Entry'!O716), "", 'Data Entry'!O716)</f>
      </c>
      <c r="P716">
        <f>IF(ISBLANK('Data Entry'!P716), "", 'Data Entry'!P716)</f>
      </c>
      <c r="Q716">
        <f>IF(ISBLANK('Data Entry'!Q716), "", 'Data Entry'!Q716)</f>
      </c>
      <c r="R716">
        <f>IF(ISBLANK('Data Entry'!R716), "", 'Data Entry'!R716)</f>
      </c>
      <c r="S716">
        <f>IF(ISBLANK('Data Entry'!S716), "", 'Data Entry'!S716)</f>
      </c>
      <c r="T716">
        <f>IF(ISBLANK('Data Entry'!T716), "", 'Data Entry'!T716)</f>
      </c>
      <c r="U716">
        <f>IF(ISBLANK('Data Entry'!U716), "", 'Data Entry'!U716)</f>
      </c>
      <c r="V716">
        <f>IF(ISBLANK('Data Entry'!V716), "", 'Data Entry'!V716)</f>
      </c>
      <c r="W716">
        <f>IF(ISBLANK('Data Entry'!W716), "", 'Data Entry'!W716)</f>
      </c>
      <c r="X716">
        <f>IF(ISBLANK('Data Entry'!X716), "", 'Data Entry'!X716)</f>
      </c>
      <c r="Y716">
        <f>IF(ISBLANK('Data Entry'!Y716), "", 'Data Entry'!Y716)</f>
      </c>
      <c r="Z716">
        <f>IF(ISBLANK('Data Entry'!Z716), "", 'Data Entry'!Z716)</f>
      </c>
      <c r="AA716">
        <f>IF(ISBLANK('Data Entry'![716), "", 'Data Entry'![716)</f>
      </c>
      <c r="AB716">
        <f>IF(ISBLANK('Data Entry'!\716), "", 'Data Entry'!\716)</f>
      </c>
      <c r="AC716">
        <f>IF(ISBLANK('Data Entry'!]716), "", 'Data Entry'!]716)</f>
      </c>
      <c r="AD716">
        <f>IF(ISBLANK('Data Entry'!^716), "", 'Data Entry'!^716)</f>
      </c>
      <c r="AE716">
        <f>IF(ISBLANK('Data Entry'!_716), "", 'Data Entry'!_716)</f>
      </c>
      <c r="AF716">
        <f>IF(ISBLANK('Data Entry'!`716), "", 'Data Entry'!`716)</f>
      </c>
      <c r="AG716">
        <f>IF(ISBLANK('Data Entry'!a716), "", 'Data Entry'!a716)</f>
      </c>
      <c r="AH716">
        <f>IF(ISBLANK('Data Entry'!b716), "", 'Data Entry'!b716)</f>
      </c>
      <c r="AI716">
        <f>IF(ISBLANK('Data Entry'!c716), "", 'Data Entry'!c716)</f>
      </c>
      <c r="AJ716">
        <f>IF(ISBLANK('Data Entry'!d716), "", 'Data Entry'!d716)</f>
      </c>
      <c r="AK716">
        <f>IF(ISBLANK('Data Entry'!e716), "", 'Data Entry'!e716)</f>
      </c>
      <c r="AL716">
        <f>IF(ISBLANK('Data Entry'!f716), "", 'Data Entry'!f716)</f>
      </c>
      <c r="AM716">
        <f>IF(ISBLANK('Data Entry'!g716), "", 'Data Entry'!g716)</f>
      </c>
      <c r="AN716">
        <f>IF(ISBLANK('Data Entry'!h716), "", 'Data Entry'!h716)</f>
      </c>
    </row>
    <row r="717" spans="1:40" x14ac:dyDescent="0.25">
      <c r="A717">
        <f>IF(ISBLANK('Data Entry'!A717), "", 'Data Entry'!A717)</f>
      </c>
      <c r="B717">
        <f>IF(ISBLANK('Data Entry'!B717), "", 'Data Entry'!B717)</f>
      </c>
      <c r="C717">
        <f>IF(ISBLANK('Data Entry'!C717), "", 'Data Entry'!C717)</f>
      </c>
      <c r="D717">
        <f>IF(ISBLANK('Data Entry'!D717), "", 'Data Entry'!D717)</f>
      </c>
      <c r="E717">
        <f>IF(ISBLANK('Data Entry'!E717), "", 'Data Entry'!E717)</f>
      </c>
      <c r="F717">
        <f>IF(ISBLANK('Data Entry'!F717), "", 'Data Entry'!F717)</f>
      </c>
      <c r="G717">
        <f>IF(ISBLANK('Data Entry'!G717), "", 'Data Entry'!G717)</f>
      </c>
      <c r="H717">
        <f>IF(ISBLANK('Data Entry'!H717), "", 'Data Entry'!H717)</f>
      </c>
      <c r="I717">
        <f>IF(ISBLANK('Data Entry'!I717), "", 'Data Entry'!I717)</f>
      </c>
      <c r="J717">
        <f>IF(ISBLANK('Data Entry'!J717), "", 'Data Entry'!J717)</f>
      </c>
      <c r="K717">
        <f>IF(ISBLANK('Data Entry'!K717), "", 'Data Entry'!K717)</f>
      </c>
      <c r="L717">
        <f>IF(ISBLANK('Data Entry'!L717), "", 'Data Entry'!L717)</f>
      </c>
      <c r="M717">
        <f>IF(ISBLANK('Data Entry'!M717), "", 'Data Entry'!M717)</f>
      </c>
      <c r="N717">
        <f>IF(ISBLANK('Data Entry'!N717), "", 'Data Entry'!N717)</f>
      </c>
      <c r="O717">
        <f>IF(ISBLANK('Data Entry'!O717), "", 'Data Entry'!O717)</f>
      </c>
      <c r="P717">
        <f>IF(ISBLANK('Data Entry'!P717), "", 'Data Entry'!P717)</f>
      </c>
      <c r="Q717">
        <f>IF(ISBLANK('Data Entry'!Q717), "", 'Data Entry'!Q717)</f>
      </c>
      <c r="R717">
        <f>IF(ISBLANK('Data Entry'!R717), "", 'Data Entry'!R717)</f>
      </c>
      <c r="S717">
        <f>IF(ISBLANK('Data Entry'!S717), "", 'Data Entry'!S717)</f>
      </c>
      <c r="T717">
        <f>IF(ISBLANK('Data Entry'!T717), "", 'Data Entry'!T717)</f>
      </c>
      <c r="U717">
        <f>IF(ISBLANK('Data Entry'!U717), "", 'Data Entry'!U717)</f>
      </c>
      <c r="V717">
        <f>IF(ISBLANK('Data Entry'!V717), "", 'Data Entry'!V717)</f>
      </c>
      <c r="W717">
        <f>IF(ISBLANK('Data Entry'!W717), "", 'Data Entry'!W717)</f>
      </c>
      <c r="X717">
        <f>IF(ISBLANK('Data Entry'!X717), "", 'Data Entry'!X717)</f>
      </c>
      <c r="Y717">
        <f>IF(ISBLANK('Data Entry'!Y717), "", 'Data Entry'!Y717)</f>
      </c>
      <c r="Z717">
        <f>IF(ISBLANK('Data Entry'!Z717), "", 'Data Entry'!Z717)</f>
      </c>
      <c r="AA717">
        <f>IF(ISBLANK('Data Entry'![717), "", 'Data Entry'![717)</f>
      </c>
      <c r="AB717">
        <f>IF(ISBLANK('Data Entry'!\717), "", 'Data Entry'!\717)</f>
      </c>
      <c r="AC717">
        <f>IF(ISBLANK('Data Entry'!]717), "", 'Data Entry'!]717)</f>
      </c>
      <c r="AD717">
        <f>IF(ISBLANK('Data Entry'!^717), "", 'Data Entry'!^717)</f>
      </c>
      <c r="AE717">
        <f>IF(ISBLANK('Data Entry'!_717), "", 'Data Entry'!_717)</f>
      </c>
      <c r="AF717">
        <f>IF(ISBLANK('Data Entry'!`717), "", 'Data Entry'!`717)</f>
      </c>
      <c r="AG717">
        <f>IF(ISBLANK('Data Entry'!a717), "", 'Data Entry'!a717)</f>
      </c>
      <c r="AH717">
        <f>IF(ISBLANK('Data Entry'!b717), "", 'Data Entry'!b717)</f>
      </c>
      <c r="AI717">
        <f>IF(ISBLANK('Data Entry'!c717), "", 'Data Entry'!c717)</f>
      </c>
      <c r="AJ717">
        <f>IF(ISBLANK('Data Entry'!d717), "", 'Data Entry'!d717)</f>
      </c>
      <c r="AK717">
        <f>IF(ISBLANK('Data Entry'!e717), "", 'Data Entry'!e717)</f>
      </c>
      <c r="AL717">
        <f>IF(ISBLANK('Data Entry'!f717), "", 'Data Entry'!f717)</f>
      </c>
      <c r="AM717">
        <f>IF(ISBLANK('Data Entry'!g717), "", 'Data Entry'!g717)</f>
      </c>
      <c r="AN717">
        <f>IF(ISBLANK('Data Entry'!h717), "", 'Data Entry'!h717)</f>
      </c>
    </row>
    <row r="718" spans="1:40" x14ac:dyDescent="0.25">
      <c r="A718">
        <f>IF(ISBLANK('Data Entry'!A718), "", 'Data Entry'!A718)</f>
      </c>
      <c r="B718">
        <f>IF(ISBLANK('Data Entry'!B718), "", 'Data Entry'!B718)</f>
      </c>
      <c r="C718">
        <f>IF(ISBLANK('Data Entry'!C718), "", 'Data Entry'!C718)</f>
      </c>
      <c r="D718">
        <f>IF(ISBLANK('Data Entry'!D718), "", 'Data Entry'!D718)</f>
      </c>
      <c r="E718">
        <f>IF(ISBLANK('Data Entry'!E718), "", 'Data Entry'!E718)</f>
      </c>
      <c r="F718">
        <f>IF(ISBLANK('Data Entry'!F718), "", 'Data Entry'!F718)</f>
      </c>
      <c r="G718">
        <f>IF(ISBLANK('Data Entry'!G718), "", 'Data Entry'!G718)</f>
      </c>
      <c r="H718">
        <f>IF(ISBLANK('Data Entry'!H718), "", 'Data Entry'!H718)</f>
      </c>
      <c r="I718">
        <f>IF(ISBLANK('Data Entry'!I718), "", 'Data Entry'!I718)</f>
      </c>
      <c r="J718">
        <f>IF(ISBLANK('Data Entry'!J718), "", 'Data Entry'!J718)</f>
      </c>
      <c r="K718">
        <f>IF(ISBLANK('Data Entry'!K718), "", 'Data Entry'!K718)</f>
      </c>
      <c r="L718">
        <f>IF(ISBLANK('Data Entry'!L718), "", 'Data Entry'!L718)</f>
      </c>
      <c r="M718">
        <f>IF(ISBLANK('Data Entry'!M718), "", 'Data Entry'!M718)</f>
      </c>
      <c r="N718">
        <f>IF(ISBLANK('Data Entry'!N718), "", 'Data Entry'!N718)</f>
      </c>
      <c r="O718">
        <f>IF(ISBLANK('Data Entry'!O718), "", 'Data Entry'!O718)</f>
      </c>
      <c r="P718">
        <f>IF(ISBLANK('Data Entry'!P718), "", 'Data Entry'!P718)</f>
      </c>
      <c r="Q718">
        <f>IF(ISBLANK('Data Entry'!Q718), "", 'Data Entry'!Q718)</f>
      </c>
      <c r="R718">
        <f>IF(ISBLANK('Data Entry'!R718), "", 'Data Entry'!R718)</f>
      </c>
      <c r="S718">
        <f>IF(ISBLANK('Data Entry'!S718), "", 'Data Entry'!S718)</f>
      </c>
      <c r="T718">
        <f>IF(ISBLANK('Data Entry'!T718), "", 'Data Entry'!T718)</f>
      </c>
      <c r="U718">
        <f>IF(ISBLANK('Data Entry'!U718), "", 'Data Entry'!U718)</f>
      </c>
      <c r="V718">
        <f>IF(ISBLANK('Data Entry'!V718), "", 'Data Entry'!V718)</f>
      </c>
      <c r="W718">
        <f>IF(ISBLANK('Data Entry'!W718), "", 'Data Entry'!W718)</f>
      </c>
      <c r="X718">
        <f>IF(ISBLANK('Data Entry'!X718), "", 'Data Entry'!X718)</f>
      </c>
      <c r="Y718">
        <f>IF(ISBLANK('Data Entry'!Y718), "", 'Data Entry'!Y718)</f>
      </c>
      <c r="Z718">
        <f>IF(ISBLANK('Data Entry'!Z718), "", 'Data Entry'!Z718)</f>
      </c>
      <c r="AA718">
        <f>IF(ISBLANK('Data Entry'![718), "", 'Data Entry'![718)</f>
      </c>
      <c r="AB718">
        <f>IF(ISBLANK('Data Entry'!\718), "", 'Data Entry'!\718)</f>
      </c>
      <c r="AC718">
        <f>IF(ISBLANK('Data Entry'!]718), "", 'Data Entry'!]718)</f>
      </c>
      <c r="AD718">
        <f>IF(ISBLANK('Data Entry'!^718), "", 'Data Entry'!^718)</f>
      </c>
      <c r="AE718">
        <f>IF(ISBLANK('Data Entry'!_718), "", 'Data Entry'!_718)</f>
      </c>
      <c r="AF718">
        <f>IF(ISBLANK('Data Entry'!`718), "", 'Data Entry'!`718)</f>
      </c>
      <c r="AG718">
        <f>IF(ISBLANK('Data Entry'!a718), "", 'Data Entry'!a718)</f>
      </c>
      <c r="AH718">
        <f>IF(ISBLANK('Data Entry'!b718), "", 'Data Entry'!b718)</f>
      </c>
      <c r="AI718">
        <f>IF(ISBLANK('Data Entry'!c718), "", 'Data Entry'!c718)</f>
      </c>
      <c r="AJ718">
        <f>IF(ISBLANK('Data Entry'!d718), "", 'Data Entry'!d718)</f>
      </c>
      <c r="AK718">
        <f>IF(ISBLANK('Data Entry'!e718), "", 'Data Entry'!e718)</f>
      </c>
      <c r="AL718">
        <f>IF(ISBLANK('Data Entry'!f718), "", 'Data Entry'!f718)</f>
      </c>
      <c r="AM718">
        <f>IF(ISBLANK('Data Entry'!g718), "", 'Data Entry'!g718)</f>
      </c>
      <c r="AN718">
        <f>IF(ISBLANK('Data Entry'!h718), "", 'Data Entry'!h718)</f>
      </c>
    </row>
    <row r="719" spans="1:40" x14ac:dyDescent="0.25">
      <c r="A719">
        <f>IF(ISBLANK('Data Entry'!A719), "", 'Data Entry'!A719)</f>
      </c>
      <c r="B719">
        <f>IF(ISBLANK('Data Entry'!B719), "", 'Data Entry'!B719)</f>
      </c>
      <c r="C719">
        <f>IF(ISBLANK('Data Entry'!C719), "", 'Data Entry'!C719)</f>
      </c>
      <c r="D719">
        <f>IF(ISBLANK('Data Entry'!D719), "", 'Data Entry'!D719)</f>
      </c>
      <c r="E719">
        <f>IF(ISBLANK('Data Entry'!E719), "", 'Data Entry'!E719)</f>
      </c>
      <c r="F719">
        <f>IF(ISBLANK('Data Entry'!F719), "", 'Data Entry'!F719)</f>
      </c>
      <c r="G719">
        <f>IF(ISBLANK('Data Entry'!G719), "", 'Data Entry'!G719)</f>
      </c>
      <c r="H719">
        <f>IF(ISBLANK('Data Entry'!H719), "", 'Data Entry'!H719)</f>
      </c>
      <c r="I719">
        <f>IF(ISBLANK('Data Entry'!I719), "", 'Data Entry'!I719)</f>
      </c>
      <c r="J719">
        <f>IF(ISBLANK('Data Entry'!J719), "", 'Data Entry'!J719)</f>
      </c>
      <c r="K719">
        <f>IF(ISBLANK('Data Entry'!K719), "", 'Data Entry'!K719)</f>
      </c>
      <c r="L719">
        <f>IF(ISBLANK('Data Entry'!L719), "", 'Data Entry'!L719)</f>
      </c>
      <c r="M719">
        <f>IF(ISBLANK('Data Entry'!M719), "", 'Data Entry'!M719)</f>
      </c>
      <c r="N719">
        <f>IF(ISBLANK('Data Entry'!N719), "", 'Data Entry'!N719)</f>
      </c>
      <c r="O719">
        <f>IF(ISBLANK('Data Entry'!O719), "", 'Data Entry'!O719)</f>
      </c>
      <c r="P719">
        <f>IF(ISBLANK('Data Entry'!P719), "", 'Data Entry'!P719)</f>
      </c>
      <c r="Q719">
        <f>IF(ISBLANK('Data Entry'!Q719), "", 'Data Entry'!Q719)</f>
      </c>
      <c r="R719">
        <f>IF(ISBLANK('Data Entry'!R719), "", 'Data Entry'!R719)</f>
      </c>
      <c r="S719">
        <f>IF(ISBLANK('Data Entry'!S719), "", 'Data Entry'!S719)</f>
      </c>
      <c r="T719">
        <f>IF(ISBLANK('Data Entry'!T719), "", 'Data Entry'!T719)</f>
      </c>
      <c r="U719">
        <f>IF(ISBLANK('Data Entry'!U719), "", 'Data Entry'!U719)</f>
      </c>
      <c r="V719">
        <f>IF(ISBLANK('Data Entry'!V719), "", 'Data Entry'!V719)</f>
      </c>
      <c r="W719">
        <f>IF(ISBLANK('Data Entry'!W719), "", 'Data Entry'!W719)</f>
      </c>
      <c r="X719">
        <f>IF(ISBLANK('Data Entry'!X719), "", 'Data Entry'!X719)</f>
      </c>
      <c r="Y719">
        <f>IF(ISBLANK('Data Entry'!Y719), "", 'Data Entry'!Y719)</f>
      </c>
      <c r="Z719">
        <f>IF(ISBLANK('Data Entry'!Z719), "", 'Data Entry'!Z719)</f>
      </c>
      <c r="AA719">
        <f>IF(ISBLANK('Data Entry'![719), "", 'Data Entry'![719)</f>
      </c>
      <c r="AB719">
        <f>IF(ISBLANK('Data Entry'!\719), "", 'Data Entry'!\719)</f>
      </c>
      <c r="AC719">
        <f>IF(ISBLANK('Data Entry'!]719), "", 'Data Entry'!]719)</f>
      </c>
      <c r="AD719">
        <f>IF(ISBLANK('Data Entry'!^719), "", 'Data Entry'!^719)</f>
      </c>
      <c r="AE719">
        <f>IF(ISBLANK('Data Entry'!_719), "", 'Data Entry'!_719)</f>
      </c>
      <c r="AF719">
        <f>IF(ISBLANK('Data Entry'!`719), "", 'Data Entry'!`719)</f>
      </c>
      <c r="AG719">
        <f>IF(ISBLANK('Data Entry'!a719), "", 'Data Entry'!a719)</f>
      </c>
      <c r="AH719">
        <f>IF(ISBLANK('Data Entry'!b719), "", 'Data Entry'!b719)</f>
      </c>
      <c r="AI719">
        <f>IF(ISBLANK('Data Entry'!c719), "", 'Data Entry'!c719)</f>
      </c>
      <c r="AJ719">
        <f>IF(ISBLANK('Data Entry'!d719), "", 'Data Entry'!d719)</f>
      </c>
      <c r="AK719">
        <f>IF(ISBLANK('Data Entry'!e719), "", 'Data Entry'!e719)</f>
      </c>
      <c r="AL719">
        <f>IF(ISBLANK('Data Entry'!f719), "", 'Data Entry'!f719)</f>
      </c>
      <c r="AM719">
        <f>IF(ISBLANK('Data Entry'!g719), "", 'Data Entry'!g719)</f>
      </c>
      <c r="AN719">
        <f>IF(ISBLANK('Data Entry'!h719), "", 'Data Entry'!h719)</f>
      </c>
    </row>
    <row r="720" spans="1:40" x14ac:dyDescent="0.25">
      <c r="A720">
        <f>IF(ISBLANK('Data Entry'!A720), "", 'Data Entry'!A720)</f>
      </c>
      <c r="B720">
        <f>IF(ISBLANK('Data Entry'!B720), "", 'Data Entry'!B720)</f>
      </c>
      <c r="C720">
        <f>IF(ISBLANK('Data Entry'!C720), "", 'Data Entry'!C720)</f>
      </c>
      <c r="D720">
        <f>IF(ISBLANK('Data Entry'!D720), "", 'Data Entry'!D720)</f>
      </c>
      <c r="E720">
        <f>IF(ISBLANK('Data Entry'!E720), "", 'Data Entry'!E720)</f>
      </c>
      <c r="F720">
        <f>IF(ISBLANK('Data Entry'!F720), "", 'Data Entry'!F720)</f>
      </c>
      <c r="G720">
        <f>IF(ISBLANK('Data Entry'!G720), "", 'Data Entry'!G720)</f>
      </c>
      <c r="H720">
        <f>IF(ISBLANK('Data Entry'!H720), "", 'Data Entry'!H720)</f>
      </c>
      <c r="I720">
        <f>IF(ISBLANK('Data Entry'!I720), "", 'Data Entry'!I720)</f>
      </c>
      <c r="J720">
        <f>IF(ISBLANK('Data Entry'!J720), "", 'Data Entry'!J720)</f>
      </c>
      <c r="K720">
        <f>IF(ISBLANK('Data Entry'!K720), "", 'Data Entry'!K720)</f>
      </c>
      <c r="L720">
        <f>IF(ISBLANK('Data Entry'!L720), "", 'Data Entry'!L720)</f>
      </c>
      <c r="M720">
        <f>IF(ISBLANK('Data Entry'!M720), "", 'Data Entry'!M720)</f>
      </c>
      <c r="N720">
        <f>IF(ISBLANK('Data Entry'!N720), "", 'Data Entry'!N720)</f>
      </c>
      <c r="O720">
        <f>IF(ISBLANK('Data Entry'!O720), "", 'Data Entry'!O720)</f>
      </c>
      <c r="P720">
        <f>IF(ISBLANK('Data Entry'!P720), "", 'Data Entry'!P720)</f>
      </c>
      <c r="Q720">
        <f>IF(ISBLANK('Data Entry'!Q720), "", 'Data Entry'!Q720)</f>
      </c>
      <c r="R720">
        <f>IF(ISBLANK('Data Entry'!R720), "", 'Data Entry'!R720)</f>
      </c>
      <c r="S720">
        <f>IF(ISBLANK('Data Entry'!S720), "", 'Data Entry'!S720)</f>
      </c>
      <c r="T720">
        <f>IF(ISBLANK('Data Entry'!T720), "", 'Data Entry'!T720)</f>
      </c>
      <c r="U720">
        <f>IF(ISBLANK('Data Entry'!U720), "", 'Data Entry'!U720)</f>
      </c>
      <c r="V720">
        <f>IF(ISBLANK('Data Entry'!V720), "", 'Data Entry'!V720)</f>
      </c>
      <c r="W720">
        <f>IF(ISBLANK('Data Entry'!W720), "", 'Data Entry'!W720)</f>
      </c>
      <c r="X720">
        <f>IF(ISBLANK('Data Entry'!X720), "", 'Data Entry'!X720)</f>
      </c>
      <c r="Y720">
        <f>IF(ISBLANK('Data Entry'!Y720), "", 'Data Entry'!Y720)</f>
      </c>
      <c r="Z720">
        <f>IF(ISBLANK('Data Entry'!Z720), "", 'Data Entry'!Z720)</f>
      </c>
      <c r="AA720">
        <f>IF(ISBLANK('Data Entry'![720), "", 'Data Entry'![720)</f>
      </c>
      <c r="AB720">
        <f>IF(ISBLANK('Data Entry'!\720), "", 'Data Entry'!\720)</f>
      </c>
      <c r="AC720">
        <f>IF(ISBLANK('Data Entry'!]720), "", 'Data Entry'!]720)</f>
      </c>
      <c r="AD720">
        <f>IF(ISBLANK('Data Entry'!^720), "", 'Data Entry'!^720)</f>
      </c>
      <c r="AE720">
        <f>IF(ISBLANK('Data Entry'!_720), "", 'Data Entry'!_720)</f>
      </c>
      <c r="AF720">
        <f>IF(ISBLANK('Data Entry'!`720), "", 'Data Entry'!`720)</f>
      </c>
      <c r="AG720">
        <f>IF(ISBLANK('Data Entry'!a720), "", 'Data Entry'!a720)</f>
      </c>
      <c r="AH720">
        <f>IF(ISBLANK('Data Entry'!b720), "", 'Data Entry'!b720)</f>
      </c>
      <c r="AI720">
        <f>IF(ISBLANK('Data Entry'!c720), "", 'Data Entry'!c720)</f>
      </c>
      <c r="AJ720">
        <f>IF(ISBLANK('Data Entry'!d720), "", 'Data Entry'!d720)</f>
      </c>
      <c r="AK720">
        <f>IF(ISBLANK('Data Entry'!e720), "", 'Data Entry'!e720)</f>
      </c>
      <c r="AL720">
        <f>IF(ISBLANK('Data Entry'!f720), "", 'Data Entry'!f720)</f>
      </c>
      <c r="AM720">
        <f>IF(ISBLANK('Data Entry'!g720), "", 'Data Entry'!g720)</f>
      </c>
      <c r="AN720">
        <f>IF(ISBLANK('Data Entry'!h720), "", 'Data Entry'!h720)</f>
      </c>
    </row>
    <row r="721" spans="1:40" x14ac:dyDescent="0.25">
      <c r="A721">
        <f>IF(ISBLANK('Data Entry'!A721), "", 'Data Entry'!A721)</f>
      </c>
      <c r="B721">
        <f>IF(ISBLANK('Data Entry'!B721), "", 'Data Entry'!B721)</f>
      </c>
      <c r="C721">
        <f>IF(ISBLANK('Data Entry'!C721), "", 'Data Entry'!C721)</f>
      </c>
      <c r="D721">
        <f>IF(ISBLANK('Data Entry'!D721), "", 'Data Entry'!D721)</f>
      </c>
      <c r="E721">
        <f>IF(ISBLANK('Data Entry'!E721), "", 'Data Entry'!E721)</f>
      </c>
      <c r="F721">
        <f>IF(ISBLANK('Data Entry'!F721), "", 'Data Entry'!F721)</f>
      </c>
      <c r="G721">
        <f>IF(ISBLANK('Data Entry'!G721), "", 'Data Entry'!G721)</f>
      </c>
      <c r="H721">
        <f>IF(ISBLANK('Data Entry'!H721), "", 'Data Entry'!H721)</f>
      </c>
      <c r="I721">
        <f>IF(ISBLANK('Data Entry'!I721), "", 'Data Entry'!I721)</f>
      </c>
      <c r="J721">
        <f>IF(ISBLANK('Data Entry'!J721), "", 'Data Entry'!J721)</f>
      </c>
      <c r="K721">
        <f>IF(ISBLANK('Data Entry'!K721), "", 'Data Entry'!K721)</f>
      </c>
      <c r="L721">
        <f>IF(ISBLANK('Data Entry'!L721), "", 'Data Entry'!L721)</f>
      </c>
      <c r="M721">
        <f>IF(ISBLANK('Data Entry'!M721), "", 'Data Entry'!M721)</f>
      </c>
      <c r="N721">
        <f>IF(ISBLANK('Data Entry'!N721), "", 'Data Entry'!N721)</f>
      </c>
      <c r="O721">
        <f>IF(ISBLANK('Data Entry'!O721), "", 'Data Entry'!O721)</f>
      </c>
      <c r="P721">
        <f>IF(ISBLANK('Data Entry'!P721), "", 'Data Entry'!P721)</f>
      </c>
      <c r="Q721">
        <f>IF(ISBLANK('Data Entry'!Q721), "", 'Data Entry'!Q721)</f>
      </c>
      <c r="R721">
        <f>IF(ISBLANK('Data Entry'!R721), "", 'Data Entry'!R721)</f>
      </c>
      <c r="S721">
        <f>IF(ISBLANK('Data Entry'!S721), "", 'Data Entry'!S721)</f>
      </c>
      <c r="T721">
        <f>IF(ISBLANK('Data Entry'!T721), "", 'Data Entry'!T721)</f>
      </c>
      <c r="U721">
        <f>IF(ISBLANK('Data Entry'!U721), "", 'Data Entry'!U721)</f>
      </c>
      <c r="V721">
        <f>IF(ISBLANK('Data Entry'!V721), "", 'Data Entry'!V721)</f>
      </c>
      <c r="W721">
        <f>IF(ISBLANK('Data Entry'!W721), "", 'Data Entry'!W721)</f>
      </c>
      <c r="X721">
        <f>IF(ISBLANK('Data Entry'!X721), "", 'Data Entry'!X721)</f>
      </c>
      <c r="Y721">
        <f>IF(ISBLANK('Data Entry'!Y721), "", 'Data Entry'!Y721)</f>
      </c>
      <c r="Z721">
        <f>IF(ISBLANK('Data Entry'!Z721), "", 'Data Entry'!Z721)</f>
      </c>
      <c r="AA721">
        <f>IF(ISBLANK('Data Entry'![721), "", 'Data Entry'![721)</f>
      </c>
      <c r="AB721">
        <f>IF(ISBLANK('Data Entry'!\721), "", 'Data Entry'!\721)</f>
      </c>
      <c r="AC721">
        <f>IF(ISBLANK('Data Entry'!]721), "", 'Data Entry'!]721)</f>
      </c>
      <c r="AD721">
        <f>IF(ISBLANK('Data Entry'!^721), "", 'Data Entry'!^721)</f>
      </c>
      <c r="AE721">
        <f>IF(ISBLANK('Data Entry'!_721), "", 'Data Entry'!_721)</f>
      </c>
      <c r="AF721">
        <f>IF(ISBLANK('Data Entry'!`721), "", 'Data Entry'!`721)</f>
      </c>
      <c r="AG721">
        <f>IF(ISBLANK('Data Entry'!a721), "", 'Data Entry'!a721)</f>
      </c>
      <c r="AH721">
        <f>IF(ISBLANK('Data Entry'!b721), "", 'Data Entry'!b721)</f>
      </c>
      <c r="AI721">
        <f>IF(ISBLANK('Data Entry'!c721), "", 'Data Entry'!c721)</f>
      </c>
      <c r="AJ721">
        <f>IF(ISBLANK('Data Entry'!d721), "", 'Data Entry'!d721)</f>
      </c>
      <c r="AK721">
        <f>IF(ISBLANK('Data Entry'!e721), "", 'Data Entry'!e721)</f>
      </c>
      <c r="AL721">
        <f>IF(ISBLANK('Data Entry'!f721), "", 'Data Entry'!f721)</f>
      </c>
      <c r="AM721">
        <f>IF(ISBLANK('Data Entry'!g721), "", 'Data Entry'!g721)</f>
      </c>
      <c r="AN721">
        <f>IF(ISBLANK('Data Entry'!h721), "", 'Data Entry'!h721)</f>
      </c>
    </row>
    <row r="722" spans="1:40" x14ac:dyDescent="0.25">
      <c r="A722">
        <f>IF(ISBLANK('Data Entry'!A722), "", 'Data Entry'!A722)</f>
      </c>
      <c r="B722">
        <f>IF(ISBLANK('Data Entry'!B722), "", 'Data Entry'!B722)</f>
      </c>
      <c r="C722">
        <f>IF(ISBLANK('Data Entry'!C722), "", 'Data Entry'!C722)</f>
      </c>
      <c r="D722">
        <f>IF(ISBLANK('Data Entry'!D722), "", 'Data Entry'!D722)</f>
      </c>
      <c r="E722">
        <f>IF(ISBLANK('Data Entry'!E722), "", 'Data Entry'!E722)</f>
      </c>
      <c r="F722">
        <f>IF(ISBLANK('Data Entry'!F722), "", 'Data Entry'!F722)</f>
      </c>
      <c r="G722">
        <f>IF(ISBLANK('Data Entry'!G722), "", 'Data Entry'!G722)</f>
      </c>
      <c r="H722">
        <f>IF(ISBLANK('Data Entry'!H722), "", 'Data Entry'!H722)</f>
      </c>
      <c r="I722">
        <f>IF(ISBLANK('Data Entry'!I722), "", 'Data Entry'!I722)</f>
      </c>
      <c r="J722">
        <f>IF(ISBLANK('Data Entry'!J722), "", 'Data Entry'!J722)</f>
      </c>
      <c r="K722">
        <f>IF(ISBLANK('Data Entry'!K722), "", 'Data Entry'!K722)</f>
      </c>
      <c r="L722">
        <f>IF(ISBLANK('Data Entry'!L722), "", 'Data Entry'!L722)</f>
      </c>
      <c r="M722">
        <f>IF(ISBLANK('Data Entry'!M722), "", 'Data Entry'!M722)</f>
      </c>
      <c r="N722">
        <f>IF(ISBLANK('Data Entry'!N722), "", 'Data Entry'!N722)</f>
      </c>
      <c r="O722">
        <f>IF(ISBLANK('Data Entry'!O722), "", 'Data Entry'!O722)</f>
      </c>
      <c r="P722">
        <f>IF(ISBLANK('Data Entry'!P722), "", 'Data Entry'!P722)</f>
      </c>
      <c r="Q722">
        <f>IF(ISBLANK('Data Entry'!Q722), "", 'Data Entry'!Q722)</f>
      </c>
      <c r="R722">
        <f>IF(ISBLANK('Data Entry'!R722), "", 'Data Entry'!R722)</f>
      </c>
      <c r="S722">
        <f>IF(ISBLANK('Data Entry'!S722), "", 'Data Entry'!S722)</f>
      </c>
      <c r="T722">
        <f>IF(ISBLANK('Data Entry'!T722), "", 'Data Entry'!T722)</f>
      </c>
      <c r="U722">
        <f>IF(ISBLANK('Data Entry'!U722), "", 'Data Entry'!U722)</f>
      </c>
      <c r="V722">
        <f>IF(ISBLANK('Data Entry'!V722), "", 'Data Entry'!V722)</f>
      </c>
      <c r="W722">
        <f>IF(ISBLANK('Data Entry'!W722), "", 'Data Entry'!W722)</f>
      </c>
      <c r="X722">
        <f>IF(ISBLANK('Data Entry'!X722), "", 'Data Entry'!X722)</f>
      </c>
      <c r="Y722">
        <f>IF(ISBLANK('Data Entry'!Y722), "", 'Data Entry'!Y722)</f>
      </c>
      <c r="Z722">
        <f>IF(ISBLANK('Data Entry'!Z722), "", 'Data Entry'!Z722)</f>
      </c>
      <c r="AA722">
        <f>IF(ISBLANK('Data Entry'![722), "", 'Data Entry'![722)</f>
      </c>
      <c r="AB722">
        <f>IF(ISBLANK('Data Entry'!\722), "", 'Data Entry'!\722)</f>
      </c>
      <c r="AC722">
        <f>IF(ISBLANK('Data Entry'!]722), "", 'Data Entry'!]722)</f>
      </c>
      <c r="AD722">
        <f>IF(ISBLANK('Data Entry'!^722), "", 'Data Entry'!^722)</f>
      </c>
      <c r="AE722">
        <f>IF(ISBLANK('Data Entry'!_722), "", 'Data Entry'!_722)</f>
      </c>
      <c r="AF722">
        <f>IF(ISBLANK('Data Entry'!`722), "", 'Data Entry'!`722)</f>
      </c>
      <c r="AG722">
        <f>IF(ISBLANK('Data Entry'!a722), "", 'Data Entry'!a722)</f>
      </c>
      <c r="AH722">
        <f>IF(ISBLANK('Data Entry'!b722), "", 'Data Entry'!b722)</f>
      </c>
      <c r="AI722">
        <f>IF(ISBLANK('Data Entry'!c722), "", 'Data Entry'!c722)</f>
      </c>
      <c r="AJ722">
        <f>IF(ISBLANK('Data Entry'!d722), "", 'Data Entry'!d722)</f>
      </c>
      <c r="AK722">
        <f>IF(ISBLANK('Data Entry'!e722), "", 'Data Entry'!e722)</f>
      </c>
      <c r="AL722">
        <f>IF(ISBLANK('Data Entry'!f722), "", 'Data Entry'!f722)</f>
      </c>
      <c r="AM722">
        <f>IF(ISBLANK('Data Entry'!g722), "", 'Data Entry'!g722)</f>
      </c>
      <c r="AN722">
        <f>IF(ISBLANK('Data Entry'!h722), "", 'Data Entry'!h722)</f>
      </c>
    </row>
    <row r="723" spans="1:40" x14ac:dyDescent="0.25">
      <c r="A723">
        <f>IF(ISBLANK('Data Entry'!A723), "", 'Data Entry'!A723)</f>
      </c>
      <c r="B723">
        <f>IF(ISBLANK('Data Entry'!B723), "", 'Data Entry'!B723)</f>
      </c>
      <c r="C723">
        <f>IF(ISBLANK('Data Entry'!C723), "", 'Data Entry'!C723)</f>
      </c>
      <c r="D723">
        <f>IF(ISBLANK('Data Entry'!D723), "", 'Data Entry'!D723)</f>
      </c>
      <c r="E723">
        <f>IF(ISBLANK('Data Entry'!E723), "", 'Data Entry'!E723)</f>
      </c>
      <c r="F723">
        <f>IF(ISBLANK('Data Entry'!F723), "", 'Data Entry'!F723)</f>
      </c>
      <c r="G723">
        <f>IF(ISBLANK('Data Entry'!G723), "", 'Data Entry'!G723)</f>
      </c>
      <c r="H723">
        <f>IF(ISBLANK('Data Entry'!H723), "", 'Data Entry'!H723)</f>
      </c>
      <c r="I723">
        <f>IF(ISBLANK('Data Entry'!I723), "", 'Data Entry'!I723)</f>
      </c>
      <c r="J723">
        <f>IF(ISBLANK('Data Entry'!J723), "", 'Data Entry'!J723)</f>
      </c>
      <c r="K723">
        <f>IF(ISBLANK('Data Entry'!K723), "", 'Data Entry'!K723)</f>
      </c>
      <c r="L723">
        <f>IF(ISBLANK('Data Entry'!L723), "", 'Data Entry'!L723)</f>
      </c>
      <c r="M723">
        <f>IF(ISBLANK('Data Entry'!M723), "", 'Data Entry'!M723)</f>
      </c>
      <c r="N723">
        <f>IF(ISBLANK('Data Entry'!N723), "", 'Data Entry'!N723)</f>
      </c>
      <c r="O723">
        <f>IF(ISBLANK('Data Entry'!O723), "", 'Data Entry'!O723)</f>
      </c>
      <c r="P723">
        <f>IF(ISBLANK('Data Entry'!P723), "", 'Data Entry'!P723)</f>
      </c>
      <c r="Q723">
        <f>IF(ISBLANK('Data Entry'!Q723), "", 'Data Entry'!Q723)</f>
      </c>
      <c r="R723">
        <f>IF(ISBLANK('Data Entry'!R723), "", 'Data Entry'!R723)</f>
      </c>
      <c r="S723">
        <f>IF(ISBLANK('Data Entry'!S723), "", 'Data Entry'!S723)</f>
      </c>
      <c r="T723">
        <f>IF(ISBLANK('Data Entry'!T723), "", 'Data Entry'!T723)</f>
      </c>
      <c r="U723">
        <f>IF(ISBLANK('Data Entry'!U723), "", 'Data Entry'!U723)</f>
      </c>
      <c r="V723">
        <f>IF(ISBLANK('Data Entry'!V723), "", 'Data Entry'!V723)</f>
      </c>
      <c r="W723">
        <f>IF(ISBLANK('Data Entry'!W723), "", 'Data Entry'!W723)</f>
      </c>
      <c r="X723">
        <f>IF(ISBLANK('Data Entry'!X723), "", 'Data Entry'!X723)</f>
      </c>
      <c r="Y723">
        <f>IF(ISBLANK('Data Entry'!Y723), "", 'Data Entry'!Y723)</f>
      </c>
      <c r="Z723">
        <f>IF(ISBLANK('Data Entry'!Z723), "", 'Data Entry'!Z723)</f>
      </c>
      <c r="AA723">
        <f>IF(ISBLANK('Data Entry'![723), "", 'Data Entry'![723)</f>
      </c>
      <c r="AB723">
        <f>IF(ISBLANK('Data Entry'!\723), "", 'Data Entry'!\723)</f>
      </c>
      <c r="AC723">
        <f>IF(ISBLANK('Data Entry'!]723), "", 'Data Entry'!]723)</f>
      </c>
      <c r="AD723">
        <f>IF(ISBLANK('Data Entry'!^723), "", 'Data Entry'!^723)</f>
      </c>
      <c r="AE723">
        <f>IF(ISBLANK('Data Entry'!_723), "", 'Data Entry'!_723)</f>
      </c>
      <c r="AF723">
        <f>IF(ISBLANK('Data Entry'!`723), "", 'Data Entry'!`723)</f>
      </c>
      <c r="AG723">
        <f>IF(ISBLANK('Data Entry'!a723), "", 'Data Entry'!a723)</f>
      </c>
      <c r="AH723">
        <f>IF(ISBLANK('Data Entry'!b723), "", 'Data Entry'!b723)</f>
      </c>
      <c r="AI723">
        <f>IF(ISBLANK('Data Entry'!c723), "", 'Data Entry'!c723)</f>
      </c>
      <c r="AJ723">
        <f>IF(ISBLANK('Data Entry'!d723), "", 'Data Entry'!d723)</f>
      </c>
      <c r="AK723">
        <f>IF(ISBLANK('Data Entry'!e723), "", 'Data Entry'!e723)</f>
      </c>
      <c r="AL723">
        <f>IF(ISBLANK('Data Entry'!f723), "", 'Data Entry'!f723)</f>
      </c>
      <c r="AM723">
        <f>IF(ISBLANK('Data Entry'!g723), "", 'Data Entry'!g723)</f>
      </c>
      <c r="AN723">
        <f>IF(ISBLANK('Data Entry'!h723), "", 'Data Entry'!h723)</f>
      </c>
    </row>
    <row r="724" spans="1:40" x14ac:dyDescent="0.25">
      <c r="A724">
        <f>IF(ISBLANK('Data Entry'!A724), "", 'Data Entry'!A724)</f>
      </c>
      <c r="B724">
        <f>IF(ISBLANK('Data Entry'!B724), "", 'Data Entry'!B724)</f>
      </c>
      <c r="C724">
        <f>IF(ISBLANK('Data Entry'!C724), "", 'Data Entry'!C724)</f>
      </c>
      <c r="D724">
        <f>IF(ISBLANK('Data Entry'!D724), "", 'Data Entry'!D724)</f>
      </c>
      <c r="E724">
        <f>IF(ISBLANK('Data Entry'!E724), "", 'Data Entry'!E724)</f>
      </c>
      <c r="F724">
        <f>IF(ISBLANK('Data Entry'!F724), "", 'Data Entry'!F724)</f>
      </c>
      <c r="G724">
        <f>IF(ISBLANK('Data Entry'!G724), "", 'Data Entry'!G724)</f>
      </c>
      <c r="H724">
        <f>IF(ISBLANK('Data Entry'!H724), "", 'Data Entry'!H724)</f>
      </c>
      <c r="I724">
        <f>IF(ISBLANK('Data Entry'!I724), "", 'Data Entry'!I724)</f>
      </c>
      <c r="J724">
        <f>IF(ISBLANK('Data Entry'!J724), "", 'Data Entry'!J724)</f>
      </c>
      <c r="K724">
        <f>IF(ISBLANK('Data Entry'!K724), "", 'Data Entry'!K724)</f>
      </c>
      <c r="L724">
        <f>IF(ISBLANK('Data Entry'!L724), "", 'Data Entry'!L724)</f>
      </c>
      <c r="M724">
        <f>IF(ISBLANK('Data Entry'!M724), "", 'Data Entry'!M724)</f>
      </c>
      <c r="N724">
        <f>IF(ISBLANK('Data Entry'!N724), "", 'Data Entry'!N724)</f>
      </c>
      <c r="O724">
        <f>IF(ISBLANK('Data Entry'!O724), "", 'Data Entry'!O724)</f>
      </c>
      <c r="P724">
        <f>IF(ISBLANK('Data Entry'!P724), "", 'Data Entry'!P724)</f>
      </c>
      <c r="Q724">
        <f>IF(ISBLANK('Data Entry'!Q724), "", 'Data Entry'!Q724)</f>
      </c>
      <c r="R724">
        <f>IF(ISBLANK('Data Entry'!R724), "", 'Data Entry'!R724)</f>
      </c>
      <c r="S724">
        <f>IF(ISBLANK('Data Entry'!S724), "", 'Data Entry'!S724)</f>
      </c>
      <c r="T724">
        <f>IF(ISBLANK('Data Entry'!T724), "", 'Data Entry'!T724)</f>
      </c>
      <c r="U724">
        <f>IF(ISBLANK('Data Entry'!U724), "", 'Data Entry'!U724)</f>
      </c>
      <c r="V724">
        <f>IF(ISBLANK('Data Entry'!V724), "", 'Data Entry'!V724)</f>
      </c>
      <c r="W724">
        <f>IF(ISBLANK('Data Entry'!W724), "", 'Data Entry'!W724)</f>
      </c>
      <c r="X724">
        <f>IF(ISBLANK('Data Entry'!X724), "", 'Data Entry'!X724)</f>
      </c>
      <c r="Y724">
        <f>IF(ISBLANK('Data Entry'!Y724), "", 'Data Entry'!Y724)</f>
      </c>
      <c r="Z724">
        <f>IF(ISBLANK('Data Entry'!Z724), "", 'Data Entry'!Z724)</f>
      </c>
      <c r="AA724">
        <f>IF(ISBLANK('Data Entry'![724), "", 'Data Entry'![724)</f>
      </c>
      <c r="AB724">
        <f>IF(ISBLANK('Data Entry'!\724), "", 'Data Entry'!\724)</f>
      </c>
      <c r="AC724">
        <f>IF(ISBLANK('Data Entry'!]724), "", 'Data Entry'!]724)</f>
      </c>
      <c r="AD724">
        <f>IF(ISBLANK('Data Entry'!^724), "", 'Data Entry'!^724)</f>
      </c>
      <c r="AE724">
        <f>IF(ISBLANK('Data Entry'!_724), "", 'Data Entry'!_724)</f>
      </c>
      <c r="AF724">
        <f>IF(ISBLANK('Data Entry'!`724), "", 'Data Entry'!`724)</f>
      </c>
      <c r="AG724">
        <f>IF(ISBLANK('Data Entry'!a724), "", 'Data Entry'!a724)</f>
      </c>
      <c r="AH724">
        <f>IF(ISBLANK('Data Entry'!b724), "", 'Data Entry'!b724)</f>
      </c>
      <c r="AI724">
        <f>IF(ISBLANK('Data Entry'!c724), "", 'Data Entry'!c724)</f>
      </c>
      <c r="AJ724">
        <f>IF(ISBLANK('Data Entry'!d724), "", 'Data Entry'!d724)</f>
      </c>
      <c r="AK724">
        <f>IF(ISBLANK('Data Entry'!e724), "", 'Data Entry'!e724)</f>
      </c>
      <c r="AL724">
        <f>IF(ISBLANK('Data Entry'!f724), "", 'Data Entry'!f724)</f>
      </c>
      <c r="AM724">
        <f>IF(ISBLANK('Data Entry'!g724), "", 'Data Entry'!g724)</f>
      </c>
      <c r="AN724">
        <f>IF(ISBLANK('Data Entry'!h724), "", 'Data Entry'!h724)</f>
      </c>
    </row>
    <row r="725" spans="1:40" x14ac:dyDescent="0.25">
      <c r="A725">
        <f>IF(ISBLANK('Data Entry'!A725), "", 'Data Entry'!A725)</f>
      </c>
      <c r="B725">
        <f>IF(ISBLANK('Data Entry'!B725), "", 'Data Entry'!B725)</f>
      </c>
      <c r="C725">
        <f>IF(ISBLANK('Data Entry'!C725), "", 'Data Entry'!C725)</f>
      </c>
      <c r="D725">
        <f>IF(ISBLANK('Data Entry'!D725), "", 'Data Entry'!D725)</f>
      </c>
      <c r="E725">
        <f>IF(ISBLANK('Data Entry'!E725), "", 'Data Entry'!E725)</f>
      </c>
      <c r="F725">
        <f>IF(ISBLANK('Data Entry'!F725), "", 'Data Entry'!F725)</f>
      </c>
      <c r="G725">
        <f>IF(ISBLANK('Data Entry'!G725), "", 'Data Entry'!G725)</f>
      </c>
      <c r="H725">
        <f>IF(ISBLANK('Data Entry'!H725), "", 'Data Entry'!H725)</f>
      </c>
      <c r="I725">
        <f>IF(ISBLANK('Data Entry'!I725), "", 'Data Entry'!I725)</f>
      </c>
      <c r="J725">
        <f>IF(ISBLANK('Data Entry'!J725), "", 'Data Entry'!J725)</f>
      </c>
      <c r="K725">
        <f>IF(ISBLANK('Data Entry'!K725), "", 'Data Entry'!K725)</f>
      </c>
      <c r="L725">
        <f>IF(ISBLANK('Data Entry'!L725), "", 'Data Entry'!L725)</f>
      </c>
      <c r="M725">
        <f>IF(ISBLANK('Data Entry'!M725), "", 'Data Entry'!M725)</f>
      </c>
      <c r="N725">
        <f>IF(ISBLANK('Data Entry'!N725), "", 'Data Entry'!N725)</f>
      </c>
      <c r="O725">
        <f>IF(ISBLANK('Data Entry'!O725), "", 'Data Entry'!O725)</f>
      </c>
      <c r="P725">
        <f>IF(ISBLANK('Data Entry'!P725), "", 'Data Entry'!P725)</f>
      </c>
      <c r="Q725">
        <f>IF(ISBLANK('Data Entry'!Q725), "", 'Data Entry'!Q725)</f>
      </c>
      <c r="R725">
        <f>IF(ISBLANK('Data Entry'!R725), "", 'Data Entry'!R725)</f>
      </c>
      <c r="S725">
        <f>IF(ISBLANK('Data Entry'!S725), "", 'Data Entry'!S725)</f>
      </c>
      <c r="T725">
        <f>IF(ISBLANK('Data Entry'!T725), "", 'Data Entry'!T725)</f>
      </c>
      <c r="U725">
        <f>IF(ISBLANK('Data Entry'!U725), "", 'Data Entry'!U725)</f>
      </c>
      <c r="V725">
        <f>IF(ISBLANK('Data Entry'!V725), "", 'Data Entry'!V725)</f>
      </c>
      <c r="W725">
        <f>IF(ISBLANK('Data Entry'!W725), "", 'Data Entry'!W725)</f>
      </c>
      <c r="X725">
        <f>IF(ISBLANK('Data Entry'!X725), "", 'Data Entry'!X725)</f>
      </c>
      <c r="Y725">
        <f>IF(ISBLANK('Data Entry'!Y725), "", 'Data Entry'!Y725)</f>
      </c>
      <c r="Z725">
        <f>IF(ISBLANK('Data Entry'!Z725), "", 'Data Entry'!Z725)</f>
      </c>
      <c r="AA725">
        <f>IF(ISBLANK('Data Entry'![725), "", 'Data Entry'![725)</f>
      </c>
      <c r="AB725">
        <f>IF(ISBLANK('Data Entry'!\725), "", 'Data Entry'!\725)</f>
      </c>
      <c r="AC725">
        <f>IF(ISBLANK('Data Entry'!]725), "", 'Data Entry'!]725)</f>
      </c>
      <c r="AD725">
        <f>IF(ISBLANK('Data Entry'!^725), "", 'Data Entry'!^725)</f>
      </c>
      <c r="AE725">
        <f>IF(ISBLANK('Data Entry'!_725), "", 'Data Entry'!_725)</f>
      </c>
      <c r="AF725">
        <f>IF(ISBLANK('Data Entry'!`725), "", 'Data Entry'!`725)</f>
      </c>
      <c r="AG725">
        <f>IF(ISBLANK('Data Entry'!a725), "", 'Data Entry'!a725)</f>
      </c>
      <c r="AH725">
        <f>IF(ISBLANK('Data Entry'!b725), "", 'Data Entry'!b725)</f>
      </c>
      <c r="AI725">
        <f>IF(ISBLANK('Data Entry'!c725), "", 'Data Entry'!c725)</f>
      </c>
      <c r="AJ725">
        <f>IF(ISBLANK('Data Entry'!d725), "", 'Data Entry'!d725)</f>
      </c>
      <c r="AK725">
        <f>IF(ISBLANK('Data Entry'!e725), "", 'Data Entry'!e725)</f>
      </c>
      <c r="AL725">
        <f>IF(ISBLANK('Data Entry'!f725), "", 'Data Entry'!f725)</f>
      </c>
      <c r="AM725">
        <f>IF(ISBLANK('Data Entry'!g725), "", 'Data Entry'!g725)</f>
      </c>
      <c r="AN725">
        <f>IF(ISBLANK('Data Entry'!h725), "", 'Data Entry'!h725)</f>
      </c>
    </row>
    <row r="726" spans="1:40" x14ac:dyDescent="0.25">
      <c r="A726">
        <f>IF(ISBLANK('Data Entry'!A726), "", 'Data Entry'!A726)</f>
      </c>
      <c r="B726">
        <f>IF(ISBLANK('Data Entry'!B726), "", 'Data Entry'!B726)</f>
      </c>
      <c r="C726">
        <f>IF(ISBLANK('Data Entry'!C726), "", 'Data Entry'!C726)</f>
      </c>
      <c r="D726">
        <f>IF(ISBLANK('Data Entry'!D726), "", 'Data Entry'!D726)</f>
      </c>
      <c r="E726">
        <f>IF(ISBLANK('Data Entry'!E726), "", 'Data Entry'!E726)</f>
      </c>
      <c r="F726">
        <f>IF(ISBLANK('Data Entry'!F726), "", 'Data Entry'!F726)</f>
      </c>
      <c r="G726">
        <f>IF(ISBLANK('Data Entry'!G726), "", 'Data Entry'!G726)</f>
      </c>
      <c r="H726">
        <f>IF(ISBLANK('Data Entry'!H726), "", 'Data Entry'!H726)</f>
      </c>
      <c r="I726">
        <f>IF(ISBLANK('Data Entry'!I726), "", 'Data Entry'!I726)</f>
      </c>
      <c r="J726">
        <f>IF(ISBLANK('Data Entry'!J726), "", 'Data Entry'!J726)</f>
      </c>
      <c r="K726">
        <f>IF(ISBLANK('Data Entry'!K726), "", 'Data Entry'!K726)</f>
      </c>
      <c r="L726">
        <f>IF(ISBLANK('Data Entry'!L726), "", 'Data Entry'!L726)</f>
      </c>
      <c r="M726">
        <f>IF(ISBLANK('Data Entry'!M726), "", 'Data Entry'!M726)</f>
      </c>
      <c r="N726">
        <f>IF(ISBLANK('Data Entry'!N726), "", 'Data Entry'!N726)</f>
      </c>
      <c r="O726">
        <f>IF(ISBLANK('Data Entry'!O726), "", 'Data Entry'!O726)</f>
      </c>
      <c r="P726">
        <f>IF(ISBLANK('Data Entry'!P726), "", 'Data Entry'!P726)</f>
      </c>
      <c r="Q726">
        <f>IF(ISBLANK('Data Entry'!Q726), "", 'Data Entry'!Q726)</f>
      </c>
      <c r="R726">
        <f>IF(ISBLANK('Data Entry'!R726), "", 'Data Entry'!R726)</f>
      </c>
      <c r="S726">
        <f>IF(ISBLANK('Data Entry'!S726), "", 'Data Entry'!S726)</f>
      </c>
      <c r="T726">
        <f>IF(ISBLANK('Data Entry'!T726), "", 'Data Entry'!T726)</f>
      </c>
      <c r="U726">
        <f>IF(ISBLANK('Data Entry'!U726), "", 'Data Entry'!U726)</f>
      </c>
      <c r="V726">
        <f>IF(ISBLANK('Data Entry'!V726), "", 'Data Entry'!V726)</f>
      </c>
      <c r="W726">
        <f>IF(ISBLANK('Data Entry'!W726), "", 'Data Entry'!W726)</f>
      </c>
      <c r="X726">
        <f>IF(ISBLANK('Data Entry'!X726), "", 'Data Entry'!X726)</f>
      </c>
      <c r="Y726">
        <f>IF(ISBLANK('Data Entry'!Y726), "", 'Data Entry'!Y726)</f>
      </c>
      <c r="Z726">
        <f>IF(ISBLANK('Data Entry'!Z726), "", 'Data Entry'!Z726)</f>
      </c>
      <c r="AA726">
        <f>IF(ISBLANK('Data Entry'![726), "", 'Data Entry'![726)</f>
      </c>
      <c r="AB726">
        <f>IF(ISBLANK('Data Entry'!\726), "", 'Data Entry'!\726)</f>
      </c>
      <c r="AC726">
        <f>IF(ISBLANK('Data Entry'!]726), "", 'Data Entry'!]726)</f>
      </c>
      <c r="AD726">
        <f>IF(ISBLANK('Data Entry'!^726), "", 'Data Entry'!^726)</f>
      </c>
      <c r="AE726">
        <f>IF(ISBLANK('Data Entry'!_726), "", 'Data Entry'!_726)</f>
      </c>
      <c r="AF726">
        <f>IF(ISBLANK('Data Entry'!`726), "", 'Data Entry'!`726)</f>
      </c>
      <c r="AG726">
        <f>IF(ISBLANK('Data Entry'!a726), "", 'Data Entry'!a726)</f>
      </c>
      <c r="AH726">
        <f>IF(ISBLANK('Data Entry'!b726), "", 'Data Entry'!b726)</f>
      </c>
      <c r="AI726">
        <f>IF(ISBLANK('Data Entry'!c726), "", 'Data Entry'!c726)</f>
      </c>
      <c r="AJ726">
        <f>IF(ISBLANK('Data Entry'!d726), "", 'Data Entry'!d726)</f>
      </c>
      <c r="AK726">
        <f>IF(ISBLANK('Data Entry'!e726), "", 'Data Entry'!e726)</f>
      </c>
      <c r="AL726">
        <f>IF(ISBLANK('Data Entry'!f726), "", 'Data Entry'!f726)</f>
      </c>
      <c r="AM726">
        <f>IF(ISBLANK('Data Entry'!g726), "", 'Data Entry'!g726)</f>
      </c>
      <c r="AN726">
        <f>IF(ISBLANK('Data Entry'!h726), "", 'Data Entry'!h726)</f>
      </c>
    </row>
    <row r="727" spans="1:40" x14ac:dyDescent="0.25">
      <c r="A727">
        <f>IF(ISBLANK('Data Entry'!A727), "", 'Data Entry'!A727)</f>
      </c>
      <c r="B727">
        <f>IF(ISBLANK('Data Entry'!B727), "", 'Data Entry'!B727)</f>
      </c>
      <c r="C727">
        <f>IF(ISBLANK('Data Entry'!C727), "", 'Data Entry'!C727)</f>
      </c>
      <c r="D727">
        <f>IF(ISBLANK('Data Entry'!D727), "", 'Data Entry'!D727)</f>
      </c>
      <c r="E727">
        <f>IF(ISBLANK('Data Entry'!E727), "", 'Data Entry'!E727)</f>
      </c>
      <c r="F727">
        <f>IF(ISBLANK('Data Entry'!F727), "", 'Data Entry'!F727)</f>
      </c>
      <c r="G727">
        <f>IF(ISBLANK('Data Entry'!G727), "", 'Data Entry'!G727)</f>
      </c>
      <c r="H727">
        <f>IF(ISBLANK('Data Entry'!H727), "", 'Data Entry'!H727)</f>
      </c>
      <c r="I727">
        <f>IF(ISBLANK('Data Entry'!I727), "", 'Data Entry'!I727)</f>
      </c>
      <c r="J727">
        <f>IF(ISBLANK('Data Entry'!J727), "", 'Data Entry'!J727)</f>
      </c>
      <c r="K727">
        <f>IF(ISBLANK('Data Entry'!K727), "", 'Data Entry'!K727)</f>
      </c>
      <c r="L727">
        <f>IF(ISBLANK('Data Entry'!L727), "", 'Data Entry'!L727)</f>
      </c>
      <c r="M727">
        <f>IF(ISBLANK('Data Entry'!M727), "", 'Data Entry'!M727)</f>
      </c>
      <c r="N727">
        <f>IF(ISBLANK('Data Entry'!N727), "", 'Data Entry'!N727)</f>
      </c>
      <c r="O727">
        <f>IF(ISBLANK('Data Entry'!O727), "", 'Data Entry'!O727)</f>
      </c>
      <c r="P727">
        <f>IF(ISBLANK('Data Entry'!P727), "", 'Data Entry'!P727)</f>
      </c>
      <c r="Q727">
        <f>IF(ISBLANK('Data Entry'!Q727), "", 'Data Entry'!Q727)</f>
      </c>
      <c r="R727">
        <f>IF(ISBLANK('Data Entry'!R727), "", 'Data Entry'!R727)</f>
      </c>
      <c r="S727">
        <f>IF(ISBLANK('Data Entry'!S727), "", 'Data Entry'!S727)</f>
      </c>
      <c r="T727">
        <f>IF(ISBLANK('Data Entry'!T727), "", 'Data Entry'!T727)</f>
      </c>
      <c r="U727">
        <f>IF(ISBLANK('Data Entry'!U727), "", 'Data Entry'!U727)</f>
      </c>
      <c r="V727">
        <f>IF(ISBLANK('Data Entry'!V727), "", 'Data Entry'!V727)</f>
      </c>
      <c r="W727">
        <f>IF(ISBLANK('Data Entry'!W727), "", 'Data Entry'!W727)</f>
      </c>
      <c r="X727">
        <f>IF(ISBLANK('Data Entry'!X727), "", 'Data Entry'!X727)</f>
      </c>
      <c r="Y727">
        <f>IF(ISBLANK('Data Entry'!Y727), "", 'Data Entry'!Y727)</f>
      </c>
      <c r="Z727">
        <f>IF(ISBLANK('Data Entry'!Z727), "", 'Data Entry'!Z727)</f>
      </c>
      <c r="AA727">
        <f>IF(ISBLANK('Data Entry'![727), "", 'Data Entry'![727)</f>
      </c>
      <c r="AB727">
        <f>IF(ISBLANK('Data Entry'!\727), "", 'Data Entry'!\727)</f>
      </c>
      <c r="AC727">
        <f>IF(ISBLANK('Data Entry'!]727), "", 'Data Entry'!]727)</f>
      </c>
      <c r="AD727">
        <f>IF(ISBLANK('Data Entry'!^727), "", 'Data Entry'!^727)</f>
      </c>
      <c r="AE727">
        <f>IF(ISBLANK('Data Entry'!_727), "", 'Data Entry'!_727)</f>
      </c>
      <c r="AF727">
        <f>IF(ISBLANK('Data Entry'!`727), "", 'Data Entry'!`727)</f>
      </c>
      <c r="AG727">
        <f>IF(ISBLANK('Data Entry'!a727), "", 'Data Entry'!a727)</f>
      </c>
      <c r="AH727">
        <f>IF(ISBLANK('Data Entry'!b727), "", 'Data Entry'!b727)</f>
      </c>
      <c r="AI727">
        <f>IF(ISBLANK('Data Entry'!c727), "", 'Data Entry'!c727)</f>
      </c>
      <c r="AJ727">
        <f>IF(ISBLANK('Data Entry'!d727), "", 'Data Entry'!d727)</f>
      </c>
      <c r="AK727">
        <f>IF(ISBLANK('Data Entry'!e727), "", 'Data Entry'!e727)</f>
      </c>
      <c r="AL727">
        <f>IF(ISBLANK('Data Entry'!f727), "", 'Data Entry'!f727)</f>
      </c>
      <c r="AM727">
        <f>IF(ISBLANK('Data Entry'!g727), "", 'Data Entry'!g727)</f>
      </c>
      <c r="AN727">
        <f>IF(ISBLANK('Data Entry'!h727), "", 'Data Entry'!h727)</f>
      </c>
    </row>
    <row r="728" spans="1:40" x14ac:dyDescent="0.25">
      <c r="A728">
        <f>IF(ISBLANK('Data Entry'!A728), "", 'Data Entry'!A728)</f>
      </c>
      <c r="B728">
        <f>IF(ISBLANK('Data Entry'!B728), "", 'Data Entry'!B728)</f>
      </c>
      <c r="C728">
        <f>IF(ISBLANK('Data Entry'!C728), "", 'Data Entry'!C728)</f>
      </c>
      <c r="D728">
        <f>IF(ISBLANK('Data Entry'!D728), "", 'Data Entry'!D728)</f>
      </c>
      <c r="E728">
        <f>IF(ISBLANK('Data Entry'!E728), "", 'Data Entry'!E728)</f>
      </c>
      <c r="F728">
        <f>IF(ISBLANK('Data Entry'!F728), "", 'Data Entry'!F728)</f>
      </c>
      <c r="G728">
        <f>IF(ISBLANK('Data Entry'!G728), "", 'Data Entry'!G728)</f>
      </c>
      <c r="H728">
        <f>IF(ISBLANK('Data Entry'!H728), "", 'Data Entry'!H728)</f>
      </c>
      <c r="I728">
        <f>IF(ISBLANK('Data Entry'!I728), "", 'Data Entry'!I728)</f>
      </c>
      <c r="J728">
        <f>IF(ISBLANK('Data Entry'!J728), "", 'Data Entry'!J728)</f>
      </c>
      <c r="K728">
        <f>IF(ISBLANK('Data Entry'!K728), "", 'Data Entry'!K728)</f>
      </c>
      <c r="L728">
        <f>IF(ISBLANK('Data Entry'!L728), "", 'Data Entry'!L728)</f>
      </c>
      <c r="M728">
        <f>IF(ISBLANK('Data Entry'!M728), "", 'Data Entry'!M728)</f>
      </c>
      <c r="N728">
        <f>IF(ISBLANK('Data Entry'!N728), "", 'Data Entry'!N728)</f>
      </c>
      <c r="O728">
        <f>IF(ISBLANK('Data Entry'!O728), "", 'Data Entry'!O728)</f>
      </c>
      <c r="P728">
        <f>IF(ISBLANK('Data Entry'!P728), "", 'Data Entry'!P728)</f>
      </c>
      <c r="Q728">
        <f>IF(ISBLANK('Data Entry'!Q728), "", 'Data Entry'!Q728)</f>
      </c>
      <c r="R728">
        <f>IF(ISBLANK('Data Entry'!R728), "", 'Data Entry'!R728)</f>
      </c>
      <c r="S728">
        <f>IF(ISBLANK('Data Entry'!S728), "", 'Data Entry'!S728)</f>
      </c>
      <c r="T728">
        <f>IF(ISBLANK('Data Entry'!T728), "", 'Data Entry'!T728)</f>
      </c>
      <c r="U728">
        <f>IF(ISBLANK('Data Entry'!U728), "", 'Data Entry'!U728)</f>
      </c>
      <c r="V728">
        <f>IF(ISBLANK('Data Entry'!V728), "", 'Data Entry'!V728)</f>
      </c>
      <c r="W728">
        <f>IF(ISBLANK('Data Entry'!W728), "", 'Data Entry'!W728)</f>
      </c>
      <c r="X728">
        <f>IF(ISBLANK('Data Entry'!X728), "", 'Data Entry'!X728)</f>
      </c>
      <c r="Y728">
        <f>IF(ISBLANK('Data Entry'!Y728), "", 'Data Entry'!Y728)</f>
      </c>
      <c r="Z728">
        <f>IF(ISBLANK('Data Entry'!Z728), "", 'Data Entry'!Z728)</f>
      </c>
      <c r="AA728">
        <f>IF(ISBLANK('Data Entry'![728), "", 'Data Entry'![728)</f>
      </c>
      <c r="AB728">
        <f>IF(ISBLANK('Data Entry'!\728), "", 'Data Entry'!\728)</f>
      </c>
      <c r="AC728">
        <f>IF(ISBLANK('Data Entry'!]728), "", 'Data Entry'!]728)</f>
      </c>
      <c r="AD728">
        <f>IF(ISBLANK('Data Entry'!^728), "", 'Data Entry'!^728)</f>
      </c>
      <c r="AE728">
        <f>IF(ISBLANK('Data Entry'!_728), "", 'Data Entry'!_728)</f>
      </c>
      <c r="AF728">
        <f>IF(ISBLANK('Data Entry'!`728), "", 'Data Entry'!`728)</f>
      </c>
      <c r="AG728">
        <f>IF(ISBLANK('Data Entry'!a728), "", 'Data Entry'!a728)</f>
      </c>
      <c r="AH728">
        <f>IF(ISBLANK('Data Entry'!b728), "", 'Data Entry'!b728)</f>
      </c>
      <c r="AI728">
        <f>IF(ISBLANK('Data Entry'!c728), "", 'Data Entry'!c728)</f>
      </c>
      <c r="AJ728">
        <f>IF(ISBLANK('Data Entry'!d728), "", 'Data Entry'!d728)</f>
      </c>
      <c r="AK728">
        <f>IF(ISBLANK('Data Entry'!e728), "", 'Data Entry'!e728)</f>
      </c>
      <c r="AL728">
        <f>IF(ISBLANK('Data Entry'!f728), "", 'Data Entry'!f728)</f>
      </c>
      <c r="AM728">
        <f>IF(ISBLANK('Data Entry'!g728), "", 'Data Entry'!g728)</f>
      </c>
      <c r="AN728">
        <f>IF(ISBLANK('Data Entry'!h728), "", 'Data Entry'!h728)</f>
      </c>
    </row>
    <row r="729" spans="1:40" x14ac:dyDescent="0.25">
      <c r="A729">
        <f>IF(ISBLANK('Data Entry'!A729), "", 'Data Entry'!A729)</f>
      </c>
      <c r="B729">
        <f>IF(ISBLANK('Data Entry'!B729), "", 'Data Entry'!B729)</f>
      </c>
      <c r="C729">
        <f>IF(ISBLANK('Data Entry'!C729), "", 'Data Entry'!C729)</f>
      </c>
      <c r="D729">
        <f>IF(ISBLANK('Data Entry'!D729), "", 'Data Entry'!D729)</f>
      </c>
      <c r="E729">
        <f>IF(ISBLANK('Data Entry'!E729), "", 'Data Entry'!E729)</f>
      </c>
      <c r="F729">
        <f>IF(ISBLANK('Data Entry'!F729), "", 'Data Entry'!F729)</f>
      </c>
      <c r="G729">
        <f>IF(ISBLANK('Data Entry'!G729), "", 'Data Entry'!G729)</f>
      </c>
      <c r="H729">
        <f>IF(ISBLANK('Data Entry'!H729), "", 'Data Entry'!H729)</f>
      </c>
      <c r="I729">
        <f>IF(ISBLANK('Data Entry'!I729), "", 'Data Entry'!I729)</f>
      </c>
      <c r="J729">
        <f>IF(ISBLANK('Data Entry'!J729), "", 'Data Entry'!J729)</f>
      </c>
      <c r="K729">
        <f>IF(ISBLANK('Data Entry'!K729), "", 'Data Entry'!K729)</f>
      </c>
      <c r="L729">
        <f>IF(ISBLANK('Data Entry'!L729), "", 'Data Entry'!L729)</f>
      </c>
      <c r="M729">
        <f>IF(ISBLANK('Data Entry'!M729), "", 'Data Entry'!M729)</f>
      </c>
      <c r="N729">
        <f>IF(ISBLANK('Data Entry'!N729), "", 'Data Entry'!N729)</f>
      </c>
      <c r="O729">
        <f>IF(ISBLANK('Data Entry'!O729), "", 'Data Entry'!O729)</f>
      </c>
      <c r="P729">
        <f>IF(ISBLANK('Data Entry'!P729), "", 'Data Entry'!P729)</f>
      </c>
      <c r="Q729">
        <f>IF(ISBLANK('Data Entry'!Q729), "", 'Data Entry'!Q729)</f>
      </c>
      <c r="R729">
        <f>IF(ISBLANK('Data Entry'!R729), "", 'Data Entry'!R729)</f>
      </c>
      <c r="S729">
        <f>IF(ISBLANK('Data Entry'!S729), "", 'Data Entry'!S729)</f>
      </c>
      <c r="T729">
        <f>IF(ISBLANK('Data Entry'!T729), "", 'Data Entry'!T729)</f>
      </c>
      <c r="U729">
        <f>IF(ISBLANK('Data Entry'!U729), "", 'Data Entry'!U729)</f>
      </c>
      <c r="V729">
        <f>IF(ISBLANK('Data Entry'!V729), "", 'Data Entry'!V729)</f>
      </c>
      <c r="W729">
        <f>IF(ISBLANK('Data Entry'!W729), "", 'Data Entry'!W729)</f>
      </c>
      <c r="X729">
        <f>IF(ISBLANK('Data Entry'!X729), "", 'Data Entry'!X729)</f>
      </c>
      <c r="Y729">
        <f>IF(ISBLANK('Data Entry'!Y729), "", 'Data Entry'!Y729)</f>
      </c>
      <c r="Z729">
        <f>IF(ISBLANK('Data Entry'!Z729), "", 'Data Entry'!Z729)</f>
      </c>
      <c r="AA729">
        <f>IF(ISBLANK('Data Entry'![729), "", 'Data Entry'![729)</f>
      </c>
      <c r="AB729">
        <f>IF(ISBLANK('Data Entry'!\729), "", 'Data Entry'!\729)</f>
      </c>
      <c r="AC729">
        <f>IF(ISBLANK('Data Entry'!]729), "", 'Data Entry'!]729)</f>
      </c>
      <c r="AD729">
        <f>IF(ISBLANK('Data Entry'!^729), "", 'Data Entry'!^729)</f>
      </c>
      <c r="AE729">
        <f>IF(ISBLANK('Data Entry'!_729), "", 'Data Entry'!_729)</f>
      </c>
      <c r="AF729">
        <f>IF(ISBLANK('Data Entry'!`729), "", 'Data Entry'!`729)</f>
      </c>
      <c r="AG729">
        <f>IF(ISBLANK('Data Entry'!a729), "", 'Data Entry'!a729)</f>
      </c>
      <c r="AH729">
        <f>IF(ISBLANK('Data Entry'!b729), "", 'Data Entry'!b729)</f>
      </c>
      <c r="AI729">
        <f>IF(ISBLANK('Data Entry'!c729), "", 'Data Entry'!c729)</f>
      </c>
      <c r="AJ729">
        <f>IF(ISBLANK('Data Entry'!d729), "", 'Data Entry'!d729)</f>
      </c>
      <c r="AK729">
        <f>IF(ISBLANK('Data Entry'!e729), "", 'Data Entry'!e729)</f>
      </c>
      <c r="AL729">
        <f>IF(ISBLANK('Data Entry'!f729), "", 'Data Entry'!f729)</f>
      </c>
      <c r="AM729">
        <f>IF(ISBLANK('Data Entry'!g729), "", 'Data Entry'!g729)</f>
      </c>
      <c r="AN729">
        <f>IF(ISBLANK('Data Entry'!h729), "", 'Data Entry'!h729)</f>
      </c>
    </row>
    <row r="730" spans="1:40" x14ac:dyDescent="0.25">
      <c r="A730">
        <f>IF(ISBLANK('Data Entry'!A730), "", 'Data Entry'!A730)</f>
      </c>
      <c r="B730">
        <f>IF(ISBLANK('Data Entry'!B730), "", 'Data Entry'!B730)</f>
      </c>
      <c r="C730">
        <f>IF(ISBLANK('Data Entry'!C730), "", 'Data Entry'!C730)</f>
      </c>
      <c r="D730">
        <f>IF(ISBLANK('Data Entry'!D730), "", 'Data Entry'!D730)</f>
      </c>
      <c r="E730">
        <f>IF(ISBLANK('Data Entry'!E730), "", 'Data Entry'!E730)</f>
      </c>
      <c r="F730">
        <f>IF(ISBLANK('Data Entry'!F730), "", 'Data Entry'!F730)</f>
      </c>
      <c r="G730">
        <f>IF(ISBLANK('Data Entry'!G730), "", 'Data Entry'!G730)</f>
      </c>
      <c r="H730">
        <f>IF(ISBLANK('Data Entry'!H730), "", 'Data Entry'!H730)</f>
      </c>
      <c r="I730">
        <f>IF(ISBLANK('Data Entry'!I730), "", 'Data Entry'!I730)</f>
      </c>
      <c r="J730">
        <f>IF(ISBLANK('Data Entry'!J730), "", 'Data Entry'!J730)</f>
      </c>
      <c r="K730">
        <f>IF(ISBLANK('Data Entry'!K730), "", 'Data Entry'!K730)</f>
      </c>
      <c r="L730">
        <f>IF(ISBLANK('Data Entry'!L730), "", 'Data Entry'!L730)</f>
      </c>
      <c r="M730">
        <f>IF(ISBLANK('Data Entry'!M730), "", 'Data Entry'!M730)</f>
      </c>
      <c r="N730">
        <f>IF(ISBLANK('Data Entry'!N730), "", 'Data Entry'!N730)</f>
      </c>
      <c r="O730">
        <f>IF(ISBLANK('Data Entry'!O730), "", 'Data Entry'!O730)</f>
      </c>
      <c r="P730">
        <f>IF(ISBLANK('Data Entry'!P730), "", 'Data Entry'!P730)</f>
      </c>
      <c r="Q730">
        <f>IF(ISBLANK('Data Entry'!Q730), "", 'Data Entry'!Q730)</f>
      </c>
      <c r="R730">
        <f>IF(ISBLANK('Data Entry'!R730), "", 'Data Entry'!R730)</f>
      </c>
      <c r="S730">
        <f>IF(ISBLANK('Data Entry'!S730), "", 'Data Entry'!S730)</f>
      </c>
      <c r="T730">
        <f>IF(ISBLANK('Data Entry'!T730), "", 'Data Entry'!T730)</f>
      </c>
      <c r="U730">
        <f>IF(ISBLANK('Data Entry'!U730), "", 'Data Entry'!U730)</f>
      </c>
      <c r="V730">
        <f>IF(ISBLANK('Data Entry'!V730), "", 'Data Entry'!V730)</f>
      </c>
      <c r="W730">
        <f>IF(ISBLANK('Data Entry'!W730), "", 'Data Entry'!W730)</f>
      </c>
      <c r="X730">
        <f>IF(ISBLANK('Data Entry'!X730), "", 'Data Entry'!X730)</f>
      </c>
      <c r="Y730">
        <f>IF(ISBLANK('Data Entry'!Y730), "", 'Data Entry'!Y730)</f>
      </c>
      <c r="Z730">
        <f>IF(ISBLANK('Data Entry'!Z730), "", 'Data Entry'!Z730)</f>
      </c>
      <c r="AA730">
        <f>IF(ISBLANK('Data Entry'![730), "", 'Data Entry'![730)</f>
      </c>
      <c r="AB730">
        <f>IF(ISBLANK('Data Entry'!\730), "", 'Data Entry'!\730)</f>
      </c>
      <c r="AC730">
        <f>IF(ISBLANK('Data Entry'!]730), "", 'Data Entry'!]730)</f>
      </c>
      <c r="AD730">
        <f>IF(ISBLANK('Data Entry'!^730), "", 'Data Entry'!^730)</f>
      </c>
      <c r="AE730">
        <f>IF(ISBLANK('Data Entry'!_730), "", 'Data Entry'!_730)</f>
      </c>
      <c r="AF730">
        <f>IF(ISBLANK('Data Entry'!`730), "", 'Data Entry'!`730)</f>
      </c>
      <c r="AG730">
        <f>IF(ISBLANK('Data Entry'!a730), "", 'Data Entry'!a730)</f>
      </c>
      <c r="AH730">
        <f>IF(ISBLANK('Data Entry'!b730), "", 'Data Entry'!b730)</f>
      </c>
      <c r="AI730">
        <f>IF(ISBLANK('Data Entry'!c730), "", 'Data Entry'!c730)</f>
      </c>
      <c r="AJ730">
        <f>IF(ISBLANK('Data Entry'!d730), "", 'Data Entry'!d730)</f>
      </c>
      <c r="AK730">
        <f>IF(ISBLANK('Data Entry'!e730), "", 'Data Entry'!e730)</f>
      </c>
      <c r="AL730">
        <f>IF(ISBLANK('Data Entry'!f730), "", 'Data Entry'!f730)</f>
      </c>
      <c r="AM730">
        <f>IF(ISBLANK('Data Entry'!g730), "", 'Data Entry'!g730)</f>
      </c>
      <c r="AN730">
        <f>IF(ISBLANK('Data Entry'!h730), "", 'Data Entry'!h730)</f>
      </c>
    </row>
    <row r="731" spans="1:40" x14ac:dyDescent="0.25">
      <c r="A731">
        <f>IF(ISBLANK('Data Entry'!A731), "", 'Data Entry'!A731)</f>
      </c>
      <c r="B731">
        <f>IF(ISBLANK('Data Entry'!B731), "", 'Data Entry'!B731)</f>
      </c>
      <c r="C731">
        <f>IF(ISBLANK('Data Entry'!C731), "", 'Data Entry'!C731)</f>
      </c>
      <c r="D731">
        <f>IF(ISBLANK('Data Entry'!D731), "", 'Data Entry'!D731)</f>
      </c>
      <c r="E731">
        <f>IF(ISBLANK('Data Entry'!E731), "", 'Data Entry'!E731)</f>
      </c>
      <c r="F731">
        <f>IF(ISBLANK('Data Entry'!F731), "", 'Data Entry'!F731)</f>
      </c>
      <c r="G731">
        <f>IF(ISBLANK('Data Entry'!G731), "", 'Data Entry'!G731)</f>
      </c>
      <c r="H731">
        <f>IF(ISBLANK('Data Entry'!H731), "", 'Data Entry'!H731)</f>
      </c>
      <c r="I731">
        <f>IF(ISBLANK('Data Entry'!I731), "", 'Data Entry'!I731)</f>
      </c>
      <c r="J731">
        <f>IF(ISBLANK('Data Entry'!J731), "", 'Data Entry'!J731)</f>
      </c>
      <c r="K731">
        <f>IF(ISBLANK('Data Entry'!K731), "", 'Data Entry'!K731)</f>
      </c>
      <c r="L731">
        <f>IF(ISBLANK('Data Entry'!L731), "", 'Data Entry'!L731)</f>
      </c>
      <c r="M731">
        <f>IF(ISBLANK('Data Entry'!M731), "", 'Data Entry'!M731)</f>
      </c>
      <c r="N731">
        <f>IF(ISBLANK('Data Entry'!N731), "", 'Data Entry'!N731)</f>
      </c>
      <c r="O731">
        <f>IF(ISBLANK('Data Entry'!O731), "", 'Data Entry'!O731)</f>
      </c>
      <c r="P731">
        <f>IF(ISBLANK('Data Entry'!P731), "", 'Data Entry'!P731)</f>
      </c>
      <c r="Q731">
        <f>IF(ISBLANK('Data Entry'!Q731), "", 'Data Entry'!Q731)</f>
      </c>
      <c r="R731">
        <f>IF(ISBLANK('Data Entry'!R731), "", 'Data Entry'!R731)</f>
      </c>
      <c r="S731">
        <f>IF(ISBLANK('Data Entry'!S731), "", 'Data Entry'!S731)</f>
      </c>
      <c r="T731">
        <f>IF(ISBLANK('Data Entry'!T731), "", 'Data Entry'!T731)</f>
      </c>
      <c r="U731">
        <f>IF(ISBLANK('Data Entry'!U731), "", 'Data Entry'!U731)</f>
      </c>
      <c r="V731">
        <f>IF(ISBLANK('Data Entry'!V731), "", 'Data Entry'!V731)</f>
      </c>
      <c r="W731">
        <f>IF(ISBLANK('Data Entry'!W731), "", 'Data Entry'!W731)</f>
      </c>
      <c r="X731">
        <f>IF(ISBLANK('Data Entry'!X731), "", 'Data Entry'!X731)</f>
      </c>
      <c r="Y731">
        <f>IF(ISBLANK('Data Entry'!Y731), "", 'Data Entry'!Y731)</f>
      </c>
      <c r="Z731">
        <f>IF(ISBLANK('Data Entry'!Z731), "", 'Data Entry'!Z731)</f>
      </c>
      <c r="AA731">
        <f>IF(ISBLANK('Data Entry'![731), "", 'Data Entry'![731)</f>
      </c>
      <c r="AB731">
        <f>IF(ISBLANK('Data Entry'!\731), "", 'Data Entry'!\731)</f>
      </c>
      <c r="AC731">
        <f>IF(ISBLANK('Data Entry'!]731), "", 'Data Entry'!]731)</f>
      </c>
      <c r="AD731">
        <f>IF(ISBLANK('Data Entry'!^731), "", 'Data Entry'!^731)</f>
      </c>
      <c r="AE731">
        <f>IF(ISBLANK('Data Entry'!_731), "", 'Data Entry'!_731)</f>
      </c>
      <c r="AF731">
        <f>IF(ISBLANK('Data Entry'!`731), "", 'Data Entry'!`731)</f>
      </c>
      <c r="AG731">
        <f>IF(ISBLANK('Data Entry'!a731), "", 'Data Entry'!a731)</f>
      </c>
      <c r="AH731">
        <f>IF(ISBLANK('Data Entry'!b731), "", 'Data Entry'!b731)</f>
      </c>
      <c r="AI731">
        <f>IF(ISBLANK('Data Entry'!c731), "", 'Data Entry'!c731)</f>
      </c>
      <c r="AJ731">
        <f>IF(ISBLANK('Data Entry'!d731), "", 'Data Entry'!d731)</f>
      </c>
      <c r="AK731">
        <f>IF(ISBLANK('Data Entry'!e731), "", 'Data Entry'!e731)</f>
      </c>
      <c r="AL731">
        <f>IF(ISBLANK('Data Entry'!f731), "", 'Data Entry'!f731)</f>
      </c>
      <c r="AM731">
        <f>IF(ISBLANK('Data Entry'!g731), "", 'Data Entry'!g731)</f>
      </c>
      <c r="AN731">
        <f>IF(ISBLANK('Data Entry'!h731), "", 'Data Entry'!h731)</f>
      </c>
    </row>
    <row r="732" spans="1:40" x14ac:dyDescent="0.25">
      <c r="A732">
        <f>IF(ISBLANK('Data Entry'!A732), "", 'Data Entry'!A732)</f>
      </c>
      <c r="B732">
        <f>IF(ISBLANK('Data Entry'!B732), "", 'Data Entry'!B732)</f>
      </c>
      <c r="C732">
        <f>IF(ISBLANK('Data Entry'!C732), "", 'Data Entry'!C732)</f>
      </c>
      <c r="D732">
        <f>IF(ISBLANK('Data Entry'!D732), "", 'Data Entry'!D732)</f>
      </c>
      <c r="E732">
        <f>IF(ISBLANK('Data Entry'!E732), "", 'Data Entry'!E732)</f>
      </c>
      <c r="F732">
        <f>IF(ISBLANK('Data Entry'!F732), "", 'Data Entry'!F732)</f>
      </c>
      <c r="G732">
        <f>IF(ISBLANK('Data Entry'!G732), "", 'Data Entry'!G732)</f>
      </c>
      <c r="H732">
        <f>IF(ISBLANK('Data Entry'!H732), "", 'Data Entry'!H732)</f>
      </c>
      <c r="I732">
        <f>IF(ISBLANK('Data Entry'!I732), "", 'Data Entry'!I732)</f>
      </c>
      <c r="J732">
        <f>IF(ISBLANK('Data Entry'!J732), "", 'Data Entry'!J732)</f>
      </c>
      <c r="K732">
        <f>IF(ISBLANK('Data Entry'!K732), "", 'Data Entry'!K732)</f>
      </c>
      <c r="L732">
        <f>IF(ISBLANK('Data Entry'!L732), "", 'Data Entry'!L732)</f>
      </c>
      <c r="M732">
        <f>IF(ISBLANK('Data Entry'!M732), "", 'Data Entry'!M732)</f>
      </c>
      <c r="N732">
        <f>IF(ISBLANK('Data Entry'!N732), "", 'Data Entry'!N732)</f>
      </c>
      <c r="O732">
        <f>IF(ISBLANK('Data Entry'!O732), "", 'Data Entry'!O732)</f>
      </c>
      <c r="P732">
        <f>IF(ISBLANK('Data Entry'!P732), "", 'Data Entry'!P732)</f>
      </c>
      <c r="Q732">
        <f>IF(ISBLANK('Data Entry'!Q732), "", 'Data Entry'!Q732)</f>
      </c>
      <c r="R732">
        <f>IF(ISBLANK('Data Entry'!R732), "", 'Data Entry'!R732)</f>
      </c>
      <c r="S732">
        <f>IF(ISBLANK('Data Entry'!S732), "", 'Data Entry'!S732)</f>
      </c>
      <c r="T732">
        <f>IF(ISBLANK('Data Entry'!T732), "", 'Data Entry'!T732)</f>
      </c>
      <c r="U732">
        <f>IF(ISBLANK('Data Entry'!U732), "", 'Data Entry'!U732)</f>
      </c>
      <c r="V732">
        <f>IF(ISBLANK('Data Entry'!V732), "", 'Data Entry'!V732)</f>
      </c>
      <c r="W732">
        <f>IF(ISBLANK('Data Entry'!W732), "", 'Data Entry'!W732)</f>
      </c>
      <c r="X732">
        <f>IF(ISBLANK('Data Entry'!X732), "", 'Data Entry'!X732)</f>
      </c>
      <c r="Y732">
        <f>IF(ISBLANK('Data Entry'!Y732), "", 'Data Entry'!Y732)</f>
      </c>
      <c r="Z732">
        <f>IF(ISBLANK('Data Entry'!Z732), "", 'Data Entry'!Z732)</f>
      </c>
      <c r="AA732">
        <f>IF(ISBLANK('Data Entry'![732), "", 'Data Entry'![732)</f>
      </c>
      <c r="AB732">
        <f>IF(ISBLANK('Data Entry'!\732), "", 'Data Entry'!\732)</f>
      </c>
      <c r="AC732">
        <f>IF(ISBLANK('Data Entry'!]732), "", 'Data Entry'!]732)</f>
      </c>
      <c r="AD732">
        <f>IF(ISBLANK('Data Entry'!^732), "", 'Data Entry'!^732)</f>
      </c>
      <c r="AE732">
        <f>IF(ISBLANK('Data Entry'!_732), "", 'Data Entry'!_732)</f>
      </c>
      <c r="AF732">
        <f>IF(ISBLANK('Data Entry'!`732), "", 'Data Entry'!`732)</f>
      </c>
      <c r="AG732">
        <f>IF(ISBLANK('Data Entry'!a732), "", 'Data Entry'!a732)</f>
      </c>
      <c r="AH732">
        <f>IF(ISBLANK('Data Entry'!b732), "", 'Data Entry'!b732)</f>
      </c>
      <c r="AI732">
        <f>IF(ISBLANK('Data Entry'!c732), "", 'Data Entry'!c732)</f>
      </c>
      <c r="AJ732">
        <f>IF(ISBLANK('Data Entry'!d732), "", 'Data Entry'!d732)</f>
      </c>
      <c r="AK732">
        <f>IF(ISBLANK('Data Entry'!e732), "", 'Data Entry'!e732)</f>
      </c>
      <c r="AL732">
        <f>IF(ISBLANK('Data Entry'!f732), "", 'Data Entry'!f732)</f>
      </c>
      <c r="AM732">
        <f>IF(ISBLANK('Data Entry'!g732), "", 'Data Entry'!g732)</f>
      </c>
      <c r="AN732">
        <f>IF(ISBLANK('Data Entry'!h732), "", 'Data Entry'!h732)</f>
      </c>
    </row>
    <row r="733" spans="1:40" x14ac:dyDescent="0.25">
      <c r="A733">
        <f>IF(ISBLANK('Data Entry'!A733), "", 'Data Entry'!A733)</f>
      </c>
      <c r="B733">
        <f>IF(ISBLANK('Data Entry'!B733), "", 'Data Entry'!B733)</f>
      </c>
      <c r="C733">
        <f>IF(ISBLANK('Data Entry'!C733), "", 'Data Entry'!C733)</f>
      </c>
      <c r="D733">
        <f>IF(ISBLANK('Data Entry'!D733), "", 'Data Entry'!D733)</f>
      </c>
      <c r="E733">
        <f>IF(ISBLANK('Data Entry'!E733), "", 'Data Entry'!E733)</f>
      </c>
      <c r="F733">
        <f>IF(ISBLANK('Data Entry'!F733), "", 'Data Entry'!F733)</f>
      </c>
      <c r="G733">
        <f>IF(ISBLANK('Data Entry'!G733), "", 'Data Entry'!G733)</f>
      </c>
      <c r="H733">
        <f>IF(ISBLANK('Data Entry'!H733), "", 'Data Entry'!H733)</f>
      </c>
      <c r="I733">
        <f>IF(ISBLANK('Data Entry'!I733), "", 'Data Entry'!I733)</f>
      </c>
      <c r="J733">
        <f>IF(ISBLANK('Data Entry'!J733), "", 'Data Entry'!J733)</f>
      </c>
      <c r="K733">
        <f>IF(ISBLANK('Data Entry'!K733), "", 'Data Entry'!K733)</f>
      </c>
      <c r="L733">
        <f>IF(ISBLANK('Data Entry'!L733), "", 'Data Entry'!L733)</f>
      </c>
      <c r="M733">
        <f>IF(ISBLANK('Data Entry'!M733), "", 'Data Entry'!M733)</f>
      </c>
      <c r="N733">
        <f>IF(ISBLANK('Data Entry'!N733), "", 'Data Entry'!N733)</f>
      </c>
      <c r="O733">
        <f>IF(ISBLANK('Data Entry'!O733), "", 'Data Entry'!O733)</f>
      </c>
      <c r="P733">
        <f>IF(ISBLANK('Data Entry'!P733), "", 'Data Entry'!P733)</f>
      </c>
      <c r="Q733">
        <f>IF(ISBLANK('Data Entry'!Q733), "", 'Data Entry'!Q733)</f>
      </c>
      <c r="R733">
        <f>IF(ISBLANK('Data Entry'!R733), "", 'Data Entry'!R733)</f>
      </c>
      <c r="S733">
        <f>IF(ISBLANK('Data Entry'!S733), "", 'Data Entry'!S733)</f>
      </c>
      <c r="T733">
        <f>IF(ISBLANK('Data Entry'!T733), "", 'Data Entry'!T733)</f>
      </c>
      <c r="U733">
        <f>IF(ISBLANK('Data Entry'!U733), "", 'Data Entry'!U733)</f>
      </c>
      <c r="V733">
        <f>IF(ISBLANK('Data Entry'!V733), "", 'Data Entry'!V733)</f>
      </c>
      <c r="W733">
        <f>IF(ISBLANK('Data Entry'!W733), "", 'Data Entry'!W733)</f>
      </c>
      <c r="X733">
        <f>IF(ISBLANK('Data Entry'!X733), "", 'Data Entry'!X733)</f>
      </c>
      <c r="Y733">
        <f>IF(ISBLANK('Data Entry'!Y733), "", 'Data Entry'!Y733)</f>
      </c>
      <c r="Z733">
        <f>IF(ISBLANK('Data Entry'!Z733), "", 'Data Entry'!Z733)</f>
      </c>
      <c r="AA733">
        <f>IF(ISBLANK('Data Entry'![733), "", 'Data Entry'![733)</f>
      </c>
      <c r="AB733">
        <f>IF(ISBLANK('Data Entry'!\733), "", 'Data Entry'!\733)</f>
      </c>
      <c r="AC733">
        <f>IF(ISBLANK('Data Entry'!]733), "", 'Data Entry'!]733)</f>
      </c>
      <c r="AD733">
        <f>IF(ISBLANK('Data Entry'!^733), "", 'Data Entry'!^733)</f>
      </c>
      <c r="AE733">
        <f>IF(ISBLANK('Data Entry'!_733), "", 'Data Entry'!_733)</f>
      </c>
      <c r="AF733">
        <f>IF(ISBLANK('Data Entry'!`733), "", 'Data Entry'!`733)</f>
      </c>
      <c r="AG733">
        <f>IF(ISBLANK('Data Entry'!a733), "", 'Data Entry'!a733)</f>
      </c>
      <c r="AH733">
        <f>IF(ISBLANK('Data Entry'!b733), "", 'Data Entry'!b733)</f>
      </c>
      <c r="AI733">
        <f>IF(ISBLANK('Data Entry'!c733), "", 'Data Entry'!c733)</f>
      </c>
      <c r="AJ733">
        <f>IF(ISBLANK('Data Entry'!d733), "", 'Data Entry'!d733)</f>
      </c>
      <c r="AK733">
        <f>IF(ISBLANK('Data Entry'!e733), "", 'Data Entry'!e733)</f>
      </c>
      <c r="AL733">
        <f>IF(ISBLANK('Data Entry'!f733), "", 'Data Entry'!f733)</f>
      </c>
      <c r="AM733">
        <f>IF(ISBLANK('Data Entry'!g733), "", 'Data Entry'!g733)</f>
      </c>
      <c r="AN733">
        <f>IF(ISBLANK('Data Entry'!h733), "", 'Data Entry'!h733)</f>
      </c>
    </row>
    <row r="734" spans="1:40" x14ac:dyDescent="0.25">
      <c r="A734">
        <f>IF(ISBLANK('Data Entry'!A734), "", 'Data Entry'!A734)</f>
      </c>
      <c r="B734">
        <f>IF(ISBLANK('Data Entry'!B734), "", 'Data Entry'!B734)</f>
      </c>
      <c r="C734">
        <f>IF(ISBLANK('Data Entry'!C734), "", 'Data Entry'!C734)</f>
      </c>
      <c r="D734">
        <f>IF(ISBLANK('Data Entry'!D734), "", 'Data Entry'!D734)</f>
      </c>
      <c r="E734">
        <f>IF(ISBLANK('Data Entry'!E734), "", 'Data Entry'!E734)</f>
      </c>
      <c r="F734">
        <f>IF(ISBLANK('Data Entry'!F734), "", 'Data Entry'!F734)</f>
      </c>
      <c r="G734">
        <f>IF(ISBLANK('Data Entry'!G734), "", 'Data Entry'!G734)</f>
      </c>
      <c r="H734">
        <f>IF(ISBLANK('Data Entry'!H734), "", 'Data Entry'!H734)</f>
      </c>
      <c r="I734">
        <f>IF(ISBLANK('Data Entry'!I734), "", 'Data Entry'!I734)</f>
      </c>
      <c r="J734">
        <f>IF(ISBLANK('Data Entry'!J734), "", 'Data Entry'!J734)</f>
      </c>
      <c r="K734">
        <f>IF(ISBLANK('Data Entry'!K734), "", 'Data Entry'!K734)</f>
      </c>
      <c r="L734">
        <f>IF(ISBLANK('Data Entry'!L734), "", 'Data Entry'!L734)</f>
      </c>
      <c r="M734">
        <f>IF(ISBLANK('Data Entry'!M734), "", 'Data Entry'!M734)</f>
      </c>
      <c r="N734">
        <f>IF(ISBLANK('Data Entry'!N734), "", 'Data Entry'!N734)</f>
      </c>
      <c r="O734">
        <f>IF(ISBLANK('Data Entry'!O734), "", 'Data Entry'!O734)</f>
      </c>
      <c r="P734">
        <f>IF(ISBLANK('Data Entry'!P734), "", 'Data Entry'!P734)</f>
      </c>
      <c r="Q734">
        <f>IF(ISBLANK('Data Entry'!Q734), "", 'Data Entry'!Q734)</f>
      </c>
      <c r="R734">
        <f>IF(ISBLANK('Data Entry'!R734), "", 'Data Entry'!R734)</f>
      </c>
      <c r="S734">
        <f>IF(ISBLANK('Data Entry'!S734), "", 'Data Entry'!S734)</f>
      </c>
      <c r="T734">
        <f>IF(ISBLANK('Data Entry'!T734), "", 'Data Entry'!T734)</f>
      </c>
      <c r="U734">
        <f>IF(ISBLANK('Data Entry'!U734), "", 'Data Entry'!U734)</f>
      </c>
      <c r="V734">
        <f>IF(ISBLANK('Data Entry'!V734), "", 'Data Entry'!V734)</f>
      </c>
      <c r="W734">
        <f>IF(ISBLANK('Data Entry'!W734), "", 'Data Entry'!W734)</f>
      </c>
      <c r="X734">
        <f>IF(ISBLANK('Data Entry'!X734), "", 'Data Entry'!X734)</f>
      </c>
      <c r="Y734">
        <f>IF(ISBLANK('Data Entry'!Y734), "", 'Data Entry'!Y734)</f>
      </c>
      <c r="Z734">
        <f>IF(ISBLANK('Data Entry'!Z734), "", 'Data Entry'!Z734)</f>
      </c>
      <c r="AA734">
        <f>IF(ISBLANK('Data Entry'![734), "", 'Data Entry'![734)</f>
      </c>
      <c r="AB734">
        <f>IF(ISBLANK('Data Entry'!\734), "", 'Data Entry'!\734)</f>
      </c>
      <c r="AC734">
        <f>IF(ISBLANK('Data Entry'!]734), "", 'Data Entry'!]734)</f>
      </c>
      <c r="AD734">
        <f>IF(ISBLANK('Data Entry'!^734), "", 'Data Entry'!^734)</f>
      </c>
      <c r="AE734">
        <f>IF(ISBLANK('Data Entry'!_734), "", 'Data Entry'!_734)</f>
      </c>
      <c r="AF734">
        <f>IF(ISBLANK('Data Entry'!`734), "", 'Data Entry'!`734)</f>
      </c>
      <c r="AG734">
        <f>IF(ISBLANK('Data Entry'!a734), "", 'Data Entry'!a734)</f>
      </c>
      <c r="AH734">
        <f>IF(ISBLANK('Data Entry'!b734), "", 'Data Entry'!b734)</f>
      </c>
      <c r="AI734">
        <f>IF(ISBLANK('Data Entry'!c734), "", 'Data Entry'!c734)</f>
      </c>
      <c r="AJ734">
        <f>IF(ISBLANK('Data Entry'!d734), "", 'Data Entry'!d734)</f>
      </c>
      <c r="AK734">
        <f>IF(ISBLANK('Data Entry'!e734), "", 'Data Entry'!e734)</f>
      </c>
      <c r="AL734">
        <f>IF(ISBLANK('Data Entry'!f734), "", 'Data Entry'!f734)</f>
      </c>
      <c r="AM734">
        <f>IF(ISBLANK('Data Entry'!g734), "", 'Data Entry'!g734)</f>
      </c>
      <c r="AN734">
        <f>IF(ISBLANK('Data Entry'!h734), "", 'Data Entry'!h734)</f>
      </c>
    </row>
    <row r="735" spans="1:40" x14ac:dyDescent="0.25">
      <c r="A735">
        <f>IF(ISBLANK('Data Entry'!A735), "", 'Data Entry'!A735)</f>
      </c>
      <c r="B735">
        <f>IF(ISBLANK('Data Entry'!B735), "", 'Data Entry'!B735)</f>
      </c>
      <c r="C735">
        <f>IF(ISBLANK('Data Entry'!C735), "", 'Data Entry'!C735)</f>
      </c>
      <c r="D735">
        <f>IF(ISBLANK('Data Entry'!D735), "", 'Data Entry'!D735)</f>
      </c>
      <c r="E735">
        <f>IF(ISBLANK('Data Entry'!E735), "", 'Data Entry'!E735)</f>
      </c>
      <c r="F735">
        <f>IF(ISBLANK('Data Entry'!F735), "", 'Data Entry'!F735)</f>
      </c>
      <c r="G735">
        <f>IF(ISBLANK('Data Entry'!G735), "", 'Data Entry'!G735)</f>
      </c>
      <c r="H735">
        <f>IF(ISBLANK('Data Entry'!H735), "", 'Data Entry'!H735)</f>
      </c>
      <c r="I735">
        <f>IF(ISBLANK('Data Entry'!I735), "", 'Data Entry'!I735)</f>
      </c>
      <c r="J735">
        <f>IF(ISBLANK('Data Entry'!J735), "", 'Data Entry'!J735)</f>
      </c>
      <c r="K735">
        <f>IF(ISBLANK('Data Entry'!K735), "", 'Data Entry'!K735)</f>
      </c>
      <c r="L735">
        <f>IF(ISBLANK('Data Entry'!L735), "", 'Data Entry'!L735)</f>
      </c>
      <c r="M735">
        <f>IF(ISBLANK('Data Entry'!M735), "", 'Data Entry'!M735)</f>
      </c>
      <c r="N735">
        <f>IF(ISBLANK('Data Entry'!N735), "", 'Data Entry'!N735)</f>
      </c>
      <c r="O735">
        <f>IF(ISBLANK('Data Entry'!O735), "", 'Data Entry'!O735)</f>
      </c>
      <c r="P735">
        <f>IF(ISBLANK('Data Entry'!P735), "", 'Data Entry'!P735)</f>
      </c>
      <c r="Q735">
        <f>IF(ISBLANK('Data Entry'!Q735), "", 'Data Entry'!Q735)</f>
      </c>
      <c r="R735">
        <f>IF(ISBLANK('Data Entry'!R735), "", 'Data Entry'!R735)</f>
      </c>
      <c r="S735">
        <f>IF(ISBLANK('Data Entry'!S735), "", 'Data Entry'!S735)</f>
      </c>
      <c r="T735">
        <f>IF(ISBLANK('Data Entry'!T735), "", 'Data Entry'!T735)</f>
      </c>
      <c r="U735">
        <f>IF(ISBLANK('Data Entry'!U735), "", 'Data Entry'!U735)</f>
      </c>
      <c r="V735">
        <f>IF(ISBLANK('Data Entry'!V735), "", 'Data Entry'!V735)</f>
      </c>
      <c r="W735">
        <f>IF(ISBLANK('Data Entry'!W735), "", 'Data Entry'!W735)</f>
      </c>
      <c r="X735">
        <f>IF(ISBLANK('Data Entry'!X735), "", 'Data Entry'!X735)</f>
      </c>
      <c r="Y735">
        <f>IF(ISBLANK('Data Entry'!Y735), "", 'Data Entry'!Y735)</f>
      </c>
      <c r="Z735">
        <f>IF(ISBLANK('Data Entry'!Z735), "", 'Data Entry'!Z735)</f>
      </c>
      <c r="AA735">
        <f>IF(ISBLANK('Data Entry'![735), "", 'Data Entry'![735)</f>
      </c>
      <c r="AB735">
        <f>IF(ISBLANK('Data Entry'!\735), "", 'Data Entry'!\735)</f>
      </c>
      <c r="AC735">
        <f>IF(ISBLANK('Data Entry'!]735), "", 'Data Entry'!]735)</f>
      </c>
      <c r="AD735">
        <f>IF(ISBLANK('Data Entry'!^735), "", 'Data Entry'!^735)</f>
      </c>
      <c r="AE735">
        <f>IF(ISBLANK('Data Entry'!_735), "", 'Data Entry'!_735)</f>
      </c>
      <c r="AF735">
        <f>IF(ISBLANK('Data Entry'!`735), "", 'Data Entry'!`735)</f>
      </c>
      <c r="AG735">
        <f>IF(ISBLANK('Data Entry'!a735), "", 'Data Entry'!a735)</f>
      </c>
      <c r="AH735">
        <f>IF(ISBLANK('Data Entry'!b735), "", 'Data Entry'!b735)</f>
      </c>
      <c r="AI735">
        <f>IF(ISBLANK('Data Entry'!c735), "", 'Data Entry'!c735)</f>
      </c>
      <c r="AJ735">
        <f>IF(ISBLANK('Data Entry'!d735), "", 'Data Entry'!d735)</f>
      </c>
      <c r="AK735">
        <f>IF(ISBLANK('Data Entry'!e735), "", 'Data Entry'!e735)</f>
      </c>
      <c r="AL735">
        <f>IF(ISBLANK('Data Entry'!f735), "", 'Data Entry'!f735)</f>
      </c>
      <c r="AM735">
        <f>IF(ISBLANK('Data Entry'!g735), "", 'Data Entry'!g735)</f>
      </c>
      <c r="AN735">
        <f>IF(ISBLANK('Data Entry'!h735), "", 'Data Entry'!h735)</f>
      </c>
    </row>
    <row r="736" spans="1:40" x14ac:dyDescent="0.25">
      <c r="A736">
        <f>IF(ISBLANK('Data Entry'!A736), "", 'Data Entry'!A736)</f>
      </c>
      <c r="B736">
        <f>IF(ISBLANK('Data Entry'!B736), "", 'Data Entry'!B736)</f>
      </c>
      <c r="C736">
        <f>IF(ISBLANK('Data Entry'!C736), "", 'Data Entry'!C736)</f>
      </c>
      <c r="D736">
        <f>IF(ISBLANK('Data Entry'!D736), "", 'Data Entry'!D736)</f>
      </c>
      <c r="E736">
        <f>IF(ISBLANK('Data Entry'!E736), "", 'Data Entry'!E736)</f>
      </c>
      <c r="F736">
        <f>IF(ISBLANK('Data Entry'!F736), "", 'Data Entry'!F736)</f>
      </c>
      <c r="G736">
        <f>IF(ISBLANK('Data Entry'!G736), "", 'Data Entry'!G736)</f>
      </c>
      <c r="H736">
        <f>IF(ISBLANK('Data Entry'!H736), "", 'Data Entry'!H736)</f>
      </c>
      <c r="I736">
        <f>IF(ISBLANK('Data Entry'!I736), "", 'Data Entry'!I736)</f>
      </c>
      <c r="J736">
        <f>IF(ISBLANK('Data Entry'!J736), "", 'Data Entry'!J736)</f>
      </c>
      <c r="K736">
        <f>IF(ISBLANK('Data Entry'!K736), "", 'Data Entry'!K736)</f>
      </c>
      <c r="L736">
        <f>IF(ISBLANK('Data Entry'!L736), "", 'Data Entry'!L736)</f>
      </c>
      <c r="M736">
        <f>IF(ISBLANK('Data Entry'!M736), "", 'Data Entry'!M736)</f>
      </c>
      <c r="N736">
        <f>IF(ISBLANK('Data Entry'!N736), "", 'Data Entry'!N736)</f>
      </c>
      <c r="O736">
        <f>IF(ISBLANK('Data Entry'!O736), "", 'Data Entry'!O736)</f>
      </c>
      <c r="P736">
        <f>IF(ISBLANK('Data Entry'!P736), "", 'Data Entry'!P736)</f>
      </c>
      <c r="Q736">
        <f>IF(ISBLANK('Data Entry'!Q736), "", 'Data Entry'!Q736)</f>
      </c>
      <c r="R736">
        <f>IF(ISBLANK('Data Entry'!R736), "", 'Data Entry'!R736)</f>
      </c>
      <c r="S736">
        <f>IF(ISBLANK('Data Entry'!S736), "", 'Data Entry'!S736)</f>
      </c>
      <c r="T736">
        <f>IF(ISBLANK('Data Entry'!T736), "", 'Data Entry'!T736)</f>
      </c>
      <c r="U736">
        <f>IF(ISBLANK('Data Entry'!U736), "", 'Data Entry'!U736)</f>
      </c>
      <c r="V736">
        <f>IF(ISBLANK('Data Entry'!V736), "", 'Data Entry'!V736)</f>
      </c>
      <c r="W736">
        <f>IF(ISBLANK('Data Entry'!W736), "", 'Data Entry'!W736)</f>
      </c>
      <c r="X736">
        <f>IF(ISBLANK('Data Entry'!X736), "", 'Data Entry'!X736)</f>
      </c>
      <c r="Y736">
        <f>IF(ISBLANK('Data Entry'!Y736), "", 'Data Entry'!Y736)</f>
      </c>
      <c r="Z736">
        <f>IF(ISBLANK('Data Entry'!Z736), "", 'Data Entry'!Z736)</f>
      </c>
      <c r="AA736">
        <f>IF(ISBLANK('Data Entry'![736), "", 'Data Entry'![736)</f>
      </c>
      <c r="AB736">
        <f>IF(ISBLANK('Data Entry'!\736), "", 'Data Entry'!\736)</f>
      </c>
      <c r="AC736">
        <f>IF(ISBLANK('Data Entry'!]736), "", 'Data Entry'!]736)</f>
      </c>
      <c r="AD736">
        <f>IF(ISBLANK('Data Entry'!^736), "", 'Data Entry'!^736)</f>
      </c>
      <c r="AE736">
        <f>IF(ISBLANK('Data Entry'!_736), "", 'Data Entry'!_736)</f>
      </c>
      <c r="AF736">
        <f>IF(ISBLANK('Data Entry'!`736), "", 'Data Entry'!`736)</f>
      </c>
      <c r="AG736">
        <f>IF(ISBLANK('Data Entry'!a736), "", 'Data Entry'!a736)</f>
      </c>
      <c r="AH736">
        <f>IF(ISBLANK('Data Entry'!b736), "", 'Data Entry'!b736)</f>
      </c>
      <c r="AI736">
        <f>IF(ISBLANK('Data Entry'!c736), "", 'Data Entry'!c736)</f>
      </c>
      <c r="AJ736">
        <f>IF(ISBLANK('Data Entry'!d736), "", 'Data Entry'!d736)</f>
      </c>
      <c r="AK736">
        <f>IF(ISBLANK('Data Entry'!e736), "", 'Data Entry'!e736)</f>
      </c>
      <c r="AL736">
        <f>IF(ISBLANK('Data Entry'!f736), "", 'Data Entry'!f736)</f>
      </c>
      <c r="AM736">
        <f>IF(ISBLANK('Data Entry'!g736), "", 'Data Entry'!g736)</f>
      </c>
      <c r="AN736">
        <f>IF(ISBLANK('Data Entry'!h736), "", 'Data Entry'!h736)</f>
      </c>
    </row>
    <row r="737" spans="1:40" x14ac:dyDescent="0.25">
      <c r="A737">
        <f>IF(ISBLANK('Data Entry'!A737), "", 'Data Entry'!A737)</f>
      </c>
      <c r="B737">
        <f>IF(ISBLANK('Data Entry'!B737), "", 'Data Entry'!B737)</f>
      </c>
      <c r="C737">
        <f>IF(ISBLANK('Data Entry'!C737), "", 'Data Entry'!C737)</f>
      </c>
      <c r="D737">
        <f>IF(ISBLANK('Data Entry'!D737), "", 'Data Entry'!D737)</f>
      </c>
      <c r="E737">
        <f>IF(ISBLANK('Data Entry'!E737), "", 'Data Entry'!E737)</f>
      </c>
      <c r="F737">
        <f>IF(ISBLANK('Data Entry'!F737), "", 'Data Entry'!F737)</f>
      </c>
      <c r="G737">
        <f>IF(ISBLANK('Data Entry'!G737), "", 'Data Entry'!G737)</f>
      </c>
      <c r="H737">
        <f>IF(ISBLANK('Data Entry'!H737), "", 'Data Entry'!H737)</f>
      </c>
      <c r="I737">
        <f>IF(ISBLANK('Data Entry'!I737), "", 'Data Entry'!I737)</f>
      </c>
      <c r="J737">
        <f>IF(ISBLANK('Data Entry'!J737), "", 'Data Entry'!J737)</f>
      </c>
      <c r="K737">
        <f>IF(ISBLANK('Data Entry'!K737), "", 'Data Entry'!K737)</f>
      </c>
      <c r="L737">
        <f>IF(ISBLANK('Data Entry'!L737), "", 'Data Entry'!L737)</f>
      </c>
      <c r="M737">
        <f>IF(ISBLANK('Data Entry'!M737), "", 'Data Entry'!M737)</f>
      </c>
      <c r="N737">
        <f>IF(ISBLANK('Data Entry'!N737), "", 'Data Entry'!N737)</f>
      </c>
      <c r="O737">
        <f>IF(ISBLANK('Data Entry'!O737), "", 'Data Entry'!O737)</f>
      </c>
      <c r="P737">
        <f>IF(ISBLANK('Data Entry'!P737), "", 'Data Entry'!P737)</f>
      </c>
      <c r="Q737">
        <f>IF(ISBLANK('Data Entry'!Q737), "", 'Data Entry'!Q737)</f>
      </c>
      <c r="R737">
        <f>IF(ISBLANK('Data Entry'!R737), "", 'Data Entry'!R737)</f>
      </c>
      <c r="S737">
        <f>IF(ISBLANK('Data Entry'!S737), "", 'Data Entry'!S737)</f>
      </c>
      <c r="T737">
        <f>IF(ISBLANK('Data Entry'!T737), "", 'Data Entry'!T737)</f>
      </c>
      <c r="U737">
        <f>IF(ISBLANK('Data Entry'!U737), "", 'Data Entry'!U737)</f>
      </c>
      <c r="V737">
        <f>IF(ISBLANK('Data Entry'!V737), "", 'Data Entry'!V737)</f>
      </c>
      <c r="W737">
        <f>IF(ISBLANK('Data Entry'!W737), "", 'Data Entry'!W737)</f>
      </c>
      <c r="X737">
        <f>IF(ISBLANK('Data Entry'!X737), "", 'Data Entry'!X737)</f>
      </c>
      <c r="Y737">
        <f>IF(ISBLANK('Data Entry'!Y737), "", 'Data Entry'!Y737)</f>
      </c>
      <c r="Z737">
        <f>IF(ISBLANK('Data Entry'!Z737), "", 'Data Entry'!Z737)</f>
      </c>
      <c r="AA737">
        <f>IF(ISBLANK('Data Entry'![737), "", 'Data Entry'![737)</f>
      </c>
      <c r="AB737">
        <f>IF(ISBLANK('Data Entry'!\737), "", 'Data Entry'!\737)</f>
      </c>
      <c r="AC737">
        <f>IF(ISBLANK('Data Entry'!]737), "", 'Data Entry'!]737)</f>
      </c>
      <c r="AD737">
        <f>IF(ISBLANK('Data Entry'!^737), "", 'Data Entry'!^737)</f>
      </c>
      <c r="AE737">
        <f>IF(ISBLANK('Data Entry'!_737), "", 'Data Entry'!_737)</f>
      </c>
      <c r="AF737">
        <f>IF(ISBLANK('Data Entry'!`737), "", 'Data Entry'!`737)</f>
      </c>
      <c r="AG737">
        <f>IF(ISBLANK('Data Entry'!a737), "", 'Data Entry'!a737)</f>
      </c>
      <c r="AH737">
        <f>IF(ISBLANK('Data Entry'!b737), "", 'Data Entry'!b737)</f>
      </c>
      <c r="AI737">
        <f>IF(ISBLANK('Data Entry'!c737), "", 'Data Entry'!c737)</f>
      </c>
      <c r="AJ737">
        <f>IF(ISBLANK('Data Entry'!d737), "", 'Data Entry'!d737)</f>
      </c>
      <c r="AK737">
        <f>IF(ISBLANK('Data Entry'!e737), "", 'Data Entry'!e737)</f>
      </c>
      <c r="AL737">
        <f>IF(ISBLANK('Data Entry'!f737), "", 'Data Entry'!f737)</f>
      </c>
      <c r="AM737">
        <f>IF(ISBLANK('Data Entry'!g737), "", 'Data Entry'!g737)</f>
      </c>
      <c r="AN737">
        <f>IF(ISBLANK('Data Entry'!h737), "", 'Data Entry'!h737)</f>
      </c>
    </row>
    <row r="738" spans="1:40" x14ac:dyDescent="0.25">
      <c r="A738">
        <f>IF(ISBLANK('Data Entry'!A738), "", 'Data Entry'!A738)</f>
      </c>
      <c r="B738">
        <f>IF(ISBLANK('Data Entry'!B738), "", 'Data Entry'!B738)</f>
      </c>
      <c r="C738">
        <f>IF(ISBLANK('Data Entry'!C738), "", 'Data Entry'!C738)</f>
      </c>
      <c r="D738">
        <f>IF(ISBLANK('Data Entry'!D738), "", 'Data Entry'!D738)</f>
      </c>
      <c r="E738">
        <f>IF(ISBLANK('Data Entry'!E738), "", 'Data Entry'!E738)</f>
      </c>
      <c r="F738">
        <f>IF(ISBLANK('Data Entry'!F738), "", 'Data Entry'!F738)</f>
      </c>
      <c r="G738">
        <f>IF(ISBLANK('Data Entry'!G738), "", 'Data Entry'!G738)</f>
      </c>
      <c r="H738">
        <f>IF(ISBLANK('Data Entry'!H738), "", 'Data Entry'!H738)</f>
      </c>
      <c r="I738">
        <f>IF(ISBLANK('Data Entry'!I738), "", 'Data Entry'!I738)</f>
      </c>
      <c r="J738">
        <f>IF(ISBLANK('Data Entry'!J738), "", 'Data Entry'!J738)</f>
      </c>
      <c r="K738">
        <f>IF(ISBLANK('Data Entry'!K738), "", 'Data Entry'!K738)</f>
      </c>
      <c r="L738">
        <f>IF(ISBLANK('Data Entry'!L738), "", 'Data Entry'!L738)</f>
      </c>
      <c r="M738">
        <f>IF(ISBLANK('Data Entry'!M738), "", 'Data Entry'!M738)</f>
      </c>
      <c r="N738">
        <f>IF(ISBLANK('Data Entry'!N738), "", 'Data Entry'!N738)</f>
      </c>
      <c r="O738">
        <f>IF(ISBLANK('Data Entry'!O738), "", 'Data Entry'!O738)</f>
      </c>
      <c r="P738">
        <f>IF(ISBLANK('Data Entry'!P738), "", 'Data Entry'!P738)</f>
      </c>
      <c r="Q738">
        <f>IF(ISBLANK('Data Entry'!Q738), "", 'Data Entry'!Q738)</f>
      </c>
      <c r="R738">
        <f>IF(ISBLANK('Data Entry'!R738), "", 'Data Entry'!R738)</f>
      </c>
      <c r="S738">
        <f>IF(ISBLANK('Data Entry'!S738), "", 'Data Entry'!S738)</f>
      </c>
      <c r="T738">
        <f>IF(ISBLANK('Data Entry'!T738), "", 'Data Entry'!T738)</f>
      </c>
      <c r="U738">
        <f>IF(ISBLANK('Data Entry'!U738), "", 'Data Entry'!U738)</f>
      </c>
      <c r="V738">
        <f>IF(ISBLANK('Data Entry'!V738), "", 'Data Entry'!V738)</f>
      </c>
      <c r="W738">
        <f>IF(ISBLANK('Data Entry'!W738), "", 'Data Entry'!W738)</f>
      </c>
      <c r="X738">
        <f>IF(ISBLANK('Data Entry'!X738), "", 'Data Entry'!X738)</f>
      </c>
      <c r="Y738">
        <f>IF(ISBLANK('Data Entry'!Y738), "", 'Data Entry'!Y738)</f>
      </c>
      <c r="Z738">
        <f>IF(ISBLANK('Data Entry'!Z738), "", 'Data Entry'!Z738)</f>
      </c>
      <c r="AA738">
        <f>IF(ISBLANK('Data Entry'![738), "", 'Data Entry'![738)</f>
      </c>
      <c r="AB738">
        <f>IF(ISBLANK('Data Entry'!\738), "", 'Data Entry'!\738)</f>
      </c>
      <c r="AC738">
        <f>IF(ISBLANK('Data Entry'!]738), "", 'Data Entry'!]738)</f>
      </c>
      <c r="AD738">
        <f>IF(ISBLANK('Data Entry'!^738), "", 'Data Entry'!^738)</f>
      </c>
      <c r="AE738">
        <f>IF(ISBLANK('Data Entry'!_738), "", 'Data Entry'!_738)</f>
      </c>
      <c r="AF738">
        <f>IF(ISBLANK('Data Entry'!`738), "", 'Data Entry'!`738)</f>
      </c>
      <c r="AG738">
        <f>IF(ISBLANK('Data Entry'!a738), "", 'Data Entry'!a738)</f>
      </c>
      <c r="AH738">
        <f>IF(ISBLANK('Data Entry'!b738), "", 'Data Entry'!b738)</f>
      </c>
      <c r="AI738">
        <f>IF(ISBLANK('Data Entry'!c738), "", 'Data Entry'!c738)</f>
      </c>
      <c r="AJ738">
        <f>IF(ISBLANK('Data Entry'!d738), "", 'Data Entry'!d738)</f>
      </c>
      <c r="AK738">
        <f>IF(ISBLANK('Data Entry'!e738), "", 'Data Entry'!e738)</f>
      </c>
      <c r="AL738">
        <f>IF(ISBLANK('Data Entry'!f738), "", 'Data Entry'!f738)</f>
      </c>
      <c r="AM738">
        <f>IF(ISBLANK('Data Entry'!g738), "", 'Data Entry'!g738)</f>
      </c>
      <c r="AN738">
        <f>IF(ISBLANK('Data Entry'!h738), "", 'Data Entry'!h738)</f>
      </c>
    </row>
    <row r="739" spans="1:40" x14ac:dyDescent="0.25">
      <c r="A739">
        <f>IF(ISBLANK('Data Entry'!A739), "", 'Data Entry'!A739)</f>
      </c>
      <c r="B739">
        <f>IF(ISBLANK('Data Entry'!B739), "", 'Data Entry'!B739)</f>
      </c>
      <c r="C739">
        <f>IF(ISBLANK('Data Entry'!C739), "", 'Data Entry'!C739)</f>
      </c>
      <c r="D739">
        <f>IF(ISBLANK('Data Entry'!D739), "", 'Data Entry'!D739)</f>
      </c>
      <c r="E739">
        <f>IF(ISBLANK('Data Entry'!E739), "", 'Data Entry'!E739)</f>
      </c>
      <c r="F739">
        <f>IF(ISBLANK('Data Entry'!F739), "", 'Data Entry'!F739)</f>
      </c>
      <c r="G739">
        <f>IF(ISBLANK('Data Entry'!G739), "", 'Data Entry'!G739)</f>
      </c>
      <c r="H739">
        <f>IF(ISBLANK('Data Entry'!H739), "", 'Data Entry'!H739)</f>
      </c>
      <c r="I739">
        <f>IF(ISBLANK('Data Entry'!I739), "", 'Data Entry'!I739)</f>
      </c>
      <c r="J739">
        <f>IF(ISBLANK('Data Entry'!J739), "", 'Data Entry'!J739)</f>
      </c>
      <c r="K739">
        <f>IF(ISBLANK('Data Entry'!K739), "", 'Data Entry'!K739)</f>
      </c>
      <c r="L739">
        <f>IF(ISBLANK('Data Entry'!L739), "", 'Data Entry'!L739)</f>
      </c>
      <c r="M739">
        <f>IF(ISBLANK('Data Entry'!M739), "", 'Data Entry'!M739)</f>
      </c>
      <c r="N739">
        <f>IF(ISBLANK('Data Entry'!N739), "", 'Data Entry'!N739)</f>
      </c>
      <c r="O739">
        <f>IF(ISBLANK('Data Entry'!O739), "", 'Data Entry'!O739)</f>
      </c>
      <c r="P739">
        <f>IF(ISBLANK('Data Entry'!P739), "", 'Data Entry'!P739)</f>
      </c>
      <c r="Q739">
        <f>IF(ISBLANK('Data Entry'!Q739), "", 'Data Entry'!Q739)</f>
      </c>
      <c r="R739">
        <f>IF(ISBLANK('Data Entry'!R739), "", 'Data Entry'!R739)</f>
      </c>
      <c r="S739">
        <f>IF(ISBLANK('Data Entry'!S739), "", 'Data Entry'!S739)</f>
      </c>
      <c r="T739">
        <f>IF(ISBLANK('Data Entry'!T739), "", 'Data Entry'!T739)</f>
      </c>
      <c r="U739">
        <f>IF(ISBLANK('Data Entry'!U739), "", 'Data Entry'!U739)</f>
      </c>
      <c r="V739">
        <f>IF(ISBLANK('Data Entry'!V739), "", 'Data Entry'!V739)</f>
      </c>
      <c r="W739">
        <f>IF(ISBLANK('Data Entry'!W739), "", 'Data Entry'!W739)</f>
      </c>
      <c r="X739">
        <f>IF(ISBLANK('Data Entry'!X739), "", 'Data Entry'!X739)</f>
      </c>
      <c r="Y739">
        <f>IF(ISBLANK('Data Entry'!Y739), "", 'Data Entry'!Y739)</f>
      </c>
      <c r="Z739">
        <f>IF(ISBLANK('Data Entry'!Z739), "", 'Data Entry'!Z739)</f>
      </c>
      <c r="AA739">
        <f>IF(ISBLANK('Data Entry'![739), "", 'Data Entry'![739)</f>
      </c>
      <c r="AB739">
        <f>IF(ISBLANK('Data Entry'!\739), "", 'Data Entry'!\739)</f>
      </c>
      <c r="AC739">
        <f>IF(ISBLANK('Data Entry'!]739), "", 'Data Entry'!]739)</f>
      </c>
      <c r="AD739">
        <f>IF(ISBLANK('Data Entry'!^739), "", 'Data Entry'!^739)</f>
      </c>
      <c r="AE739">
        <f>IF(ISBLANK('Data Entry'!_739), "", 'Data Entry'!_739)</f>
      </c>
      <c r="AF739">
        <f>IF(ISBLANK('Data Entry'!`739), "", 'Data Entry'!`739)</f>
      </c>
      <c r="AG739">
        <f>IF(ISBLANK('Data Entry'!a739), "", 'Data Entry'!a739)</f>
      </c>
      <c r="AH739">
        <f>IF(ISBLANK('Data Entry'!b739), "", 'Data Entry'!b739)</f>
      </c>
      <c r="AI739">
        <f>IF(ISBLANK('Data Entry'!c739), "", 'Data Entry'!c739)</f>
      </c>
      <c r="AJ739">
        <f>IF(ISBLANK('Data Entry'!d739), "", 'Data Entry'!d739)</f>
      </c>
      <c r="AK739">
        <f>IF(ISBLANK('Data Entry'!e739), "", 'Data Entry'!e739)</f>
      </c>
      <c r="AL739">
        <f>IF(ISBLANK('Data Entry'!f739), "", 'Data Entry'!f739)</f>
      </c>
      <c r="AM739">
        <f>IF(ISBLANK('Data Entry'!g739), "", 'Data Entry'!g739)</f>
      </c>
      <c r="AN739">
        <f>IF(ISBLANK('Data Entry'!h739), "", 'Data Entry'!h739)</f>
      </c>
    </row>
    <row r="740" spans="1:40" x14ac:dyDescent="0.25">
      <c r="A740">
        <f>IF(ISBLANK('Data Entry'!A740), "", 'Data Entry'!A740)</f>
      </c>
      <c r="B740">
        <f>IF(ISBLANK('Data Entry'!B740), "", 'Data Entry'!B740)</f>
      </c>
      <c r="C740">
        <f>IF(ISBLANK('Data Entry'!C740), "", 'Data Entry'!C740)</f>
      </c>
      <c r="D740">
        <f>IF(ISBLANK('Data Entry'!D740), "", 'Data Entry'!D740)</f>
      </c>
      <c r="E740">
        <f>IF(ISBLANK('Data Entry'!E740), "", 'Data Entry'!E740)</f>
      </c>
      <c r="F740">
        <f>IF(ISBLANK('Data Entry'!F740), "", 'Data Entry'!F740)</f>
      </c>
      <c r="G740">
        <f>IF(ISBLANK('Data Entry'!G740), "", 'Data Entry'!G740)</f>
      </c>
      <c r="H740">
        <f>IF(ISBLANK('Data Entry'!H740), "", 'Data Entry'!H740)</f>
      </c>
      <c r="I740">
        <f>IF(ISBLANK('Data Entry'!I740), "", 'Data Entry'!I740)</f>
      </c>
      <c r="J740">
        <f>IF(ISBLANK('Data Entry'!J740), "", 'Data Entry'!J740)</f>
      </c>
      <c r="K740">
        <f>IF(ISBLANK('Data Entry'!K740), "", 'Data Entry'!K740)</f>
      </c>
      <c r="L740">
        <f>IF(ISBLANK('Data Entry'!L740), "", 'Data Entry'!L740)</f>
      </c>
      <c r="M740">
        <f>IF(ISBLANK('Data Entry'!M740), "", 'Data Entry'!M740)</f>
      </c>
      <c r="N740">
        <f>IF(ISBLANK('Data Entry'!N740), "", 'Data Entry'!N740)</f>
      </c>
      <c r="O740">
        <f>IF(ISBLANK('Data Entry'!O740), "", 'Data Entry'!O740)</f>
      </c>
      <c r="P740">
        <f>IF(ISBLANK('Data Entry'!P740), "", 'Data Entry'!P740)</f>
      </c>
      <c r="Q740">
        <f>IF(ISBLANK('Data Entry'!Q740), "", 'Data Entry'!Q740)</f>
      </c>
      <c r="R740">
        <f>IF(ISBLANK('Data Entry'!R740), "", 'Data Entry'!R740)</f>
      </c>
      <c r="S740">
        <f>IF(ISBLANK('Data Entry'!S740), "", 'Data Entry'!S740)</f>
      </c>
      <c r="T740">
        <f>IF(ISBLANK('Data Entry'!T740), "", 'Data Entry'!T740)</f>
      </c>
      <c r="U740">
        <f>IF(ISBLANK('Data Entry'!U740), "", 'Data Entry'!U740)</f>
      </c>
      <c r="V740">
        <f>IF(ISBLANK('Data Entry'!V740), "", 'Data Entry'!V740)</f>
      </c>
      <c r="W740">
        <f>IF(ISBLANK('Data Entry'!W740), "", 'Data Entry'!W740)</f>
      </c>
      <c r="X740">
        <f>IF(ISBLANK('Data Entry'!X740), "", 'Data Entry'!X740)</f>
      </c>
      <c r="Y740">
        <f>IF(ISBLANK('Data Entry'!Y740), "", 'Data Entry'!Y740)</f>
      </c>
      <c r="Z740">
        <f>IF(ISBLANK('Data Entry'!Z740), "", 'Data Entry'!Z740)</f>
      </c>
      <c r="AA740">
        <f>IF(ISBLANK('Data Entry'![740), "", 'Data Entry'![740)</f>
      </c>
      <c r="AB740">
        <f>IF(ISBLANK('Data Entry'!\740), "", 'Data Entry'!\740)</f>
      </c>
      <c r="AC740">
        <f>IF(ISBLANK('Data Entry'!]740), "", 'Data Entry'!]740)</f>
      </c>
      <c r="AD740">
        <f>IF(ISBLANK('Data Entry'!^740), "", 'Data Entry'!^740)</f>
      </c>
      <c r="AE740">
        <f>IF(ISBLANK('Data Entry'!_740), "", 'Data Entry'!_740)</f>
      </c>
      <c r="AF740">
        <f>IF(ISBLANK('Data Entry'!`740), "", 'Data Entry'!`740)</f>
      </c>
      <c r="AG740">
        <f>IF(ISBLANK('Data Entry'!a740), "", 'Data Entry'!a740)</f>
      </c>
      <c r="AH740">
        <f>IF(ISBLANK('Data Entry'!b740), "", 'Data Entry'!b740)</f>
      </c>
      <c r="AI740">
        <f>IF(ISBLANK('Data Entry'!c740), "", 'Data Entry'!c740)</f>
      </c>
      <c r="AJ740">
        <f>IF(ISBLANK('Data Entry'!d740), "", 'Data Entry'!d740)</f>
      </c>
      <c r="AK740">
        <f>IF(ISBLANK('Data Entry'!e740), "", 'Data Entry'!e740)</f>
      </c>
      <c r="AL740">
        <f>IF(ISBLANK('Data Entry'!f740), "", 'Data Entry'!f740)</f>
      </c>
      <c r="AM740">
        <f>IF(ISBLANK('Data Entry'!g740), "", 'Data Entry'!g740)</f>
      </c>
      <c r="AN740">
        <f>IF(ISBLANK('Data Entry'!h740), "", 'Data Entry'!h740)</f>
      </c>
    </row>
    <row r="741" spans="1:40" x14ac:dyDescent="0.25">
      <c r="A741">
        <f>IF(ISBLANK('Data Entry'!A741), "", 'Data Entry'!A741)</f>
      </c>
      <c r="B741">
        <f>IF(ISBLANK('Data Entry'!B741), "", 'Data Entry'!B741)</f>
      </c>
      <c r="C741">
        <f>IF(ISBLANK('Data Entry'!C741), "", 'Data Entry'!C741)</f>
      </c>
      <c r="D741">
        <f>IF(ISBLANK('Data Entry'!D741), "", 'Data Entry'!D741)</f>
      </c>
      <c r="E741">
        <f>IF(ISBLANK('Data Entry'!E741), "", 'Data Entry'!E741)</f>
      </c>
      <c r="F741">
        <f>IF(ISBLANK('Data Entry'!F741), "", 'Data Entry'!F741)</f>
      </c>
      <c r="G741">
        <f>IF(ISBLANK('Data Entry'!G741), "", 'Data Entry'!G741)</f>
      </c>
      <c r="H741">
        <f>IF(ISBLANK('Data Entry'!H741), "", 'Data Entry'!H741)</f>
      </c>
      <c r="I741">
        <f>IF(ISBLANK('Data Entry'!I741), "", 'Data Entry'!I741)</f>
      </c>
      <c r="J741">
        <f>IF(ISBLANK('Data Entry'!J741), "", 'Data Entry'!J741)</f>
      </c>
      <c r="K741">
        <f>IF(ISBLANK('Data Entry'!K741), "", 'Data Entry'!K741)</f>
      </c>
      <c r="L741">
        <f>IF(ISBLANK('Data Entry'!L741), "", 'Data Entry'!L741)</f>
      </c>
      <c r="M741">
        <f>IF(ISBLANK('Data Entry'!M741), "", 'Data Entry'!M741)</f>
      </c>
      <c r="N741">
        <f>IF(ISBLANK('Data Entry'!N741), "", 'Data Entry'!N741)</f>
      </c>
      <c r="O741">
        <f>IF(ISBLANK('Data Entry'!O741), "", 'Data Entry'!O741)</f>
      </c>
      <c r="P741">
        <f>IF(ISBLANK('Data Entry'!P741), "", 'Data Entry'!P741)</f>
      </c>
      <c r="Q741">
        <f>IF(ISBLANK('Data Entry'!Q741), "", 'Data Entry'!Q741)</f>
      </c>
      <c r="R741">
        <f>IF(ISBLANK('Data Entry'!R741), "", 'Data Entry'!R741)</f>
      </c>
      <c r="S741">
        <f>IF(ISBLANK('Data Entry'!S741), "", 'Data Entry'!S741)</f>
      </c>
      <c r="T741">
        <f>IF(ISBLANK('Data Entry'!T741), "", 'Data Entry'!T741)</f>
      </c>
      <c r="U741">
        <f>IF(ISBLANK('Data Entry'!U741), "", 'Data Entry'!U741)</f>
      </c>
      <c r="V741">
        <f>IF(ISBLANK('Data Entry'!V741), "", 'Data Entry'!V741)</f>
      </c>
      <c r="W741">
        <f>IF(ISBLANK('Data Entry'!W741), "", 'Data Entry'!W741)</f>
      </c>
      <c r="X741">
        <f>IF(ISBLANK('Data Entry'!X741), "", 'Data Entry'!X741)</f>
      </c>
      <c r="Y741">
        <f>IF(ISBLANK('Data Entry'!Y741), "", 'Data Entry'!Y741)</f>
      </c>
      <c r="Z741">
        <f>IF(ISBLANK('Data Entry'!Z741), "", 'Data Entry'!Z741)</f>
      </c>
      <c r="AA741">
        <f>IF(ISBLANK('Data Entry'![741), "", 'Data Entry'![741)</f>
      </c>
      <c r="AB741">
        <f>IF(ISBLANK('Data Entry'!\741), "", 'Data Entry'!\741)</f>
      </c>
      <c r="AC741">
        <f>IF(ISBLANK('Data Entry'!]741), "", 'Data Entry'!]741)</f>
      </c>
      <c r="AD741">
        <f>IF(ISBLANK('Data Entry'!^741), "", 'Data Entry'!^741)</f>
      </c>
      <c r="AE741">
        <f>IF(ISBLANK('Data Entry'!_741), "", 'Data Entry'!_741)</f>
      </c>
      <c r="AF741">
        <f>IF(ISBLANK('Data Entry'!`741), "", 'Data Entry'!`741)</f>
      </c>
      <c r="AG741">
        <f>IF(ISBLANK('Data Entry'!a741), "", 'Data Entry'!a741)</f>
      </c>
      <c r="AH741">
        <f>IF(ISBLANK('Data Entry'!b741), "", 'Data Entry'!b741)</f>
      </c>
      <c r="AI741">
        <f>IF(ISBLANK('Data Entry'!c741), "", 'Data Entry'!c741)</f>
      </c>
      <c r="AJ741">
        <f>IF(ISBLANK('Data Entry'!d741), "", 'Data Entry'!d741)</f>
      </c>
      <c r="AK741">
        <f>IF(ISBLANK('Data Entry'!e741), "", 'Data Entry'!e741)</f>
      </c>
      <c r="AL741">
        <f>IF(ISBLANK('Data Entry'!f741), "", 'Data Entry'!f741)</f>
      </c>
      <c r="AM741">
        <f>IF(ISBLANK('Data Entry'!g741), "", 'Data Entry'!g741)</f>
      </c>
      <c r="AN741">
        <f>IF(ISBLANK('Data Entry'!h741), "", 'Data Entry'!h741)</f>
      </c>
    </row>
    <row r="742" spans="1:40" x14ac:dyDescent="0.25">
      <c r="A742">
        <f>IF(ISBLANK('Data Entry'!A742), "", 'Data Entry'!A742)</f>
      </c>
      <c r="B742">
        <f>IF(ISBLANK('Data Entry'!B742), "", 'Data Entry'!B742)</f>
      </c>
      <c r="C742">
        <f>IF(ISBLANK('Data Entry'!C742), "", 'Data Entry'!C742)</f>
      </c>
      <c r="D742">
        <f>IF(ISBLANK('Data Entry'!D742), "", 'Data Entry'!D742)</f>
      </c>
      <c r="E742">
        <f>IF(ISBLANK('Data Entry'!E742), "", 'Data Entry'!E742)</f>
      </c>
      <c r="F742">
        <f>IF(ISBLANK('Data Entry'!F742), "", 'Data Entry'!F742)</f>
      </c>
      <c r="G742">
        <f>IF(ISBLANK('Data Entry'!G742), "", 'Data Entry'!G742)</f>
      </c>
      <c r="H742">
        <f>IF(ISBLANK('Data Entry'!H742), "", 'Data Entry'!H742)</f>
      </c>
      <c r="I742">
        <f>IF(ISBLANK('Data Entry'!I742), "", 'Data Entry'!I742)</f>
      </c>
      <c r="J742">
        <f>IF(ISBLANK('Data Entry'!J742), "", 'Data Entry'!J742)</f>
      </c>
      <c r="K742">
        <f>IF(ISBLANK('Data Entry'!K742), "", 'Data Entry'!K742)</f>
      </c>
      <c r="L742">
        <f>IF(ISBLANK('Data Entry'!L742), "", 'Data Entry'!L742)</f>
      </c>
      <c r="M742">
        <f>IF(ISBLANK('Data Entry'!M742), "", 'Data Entry'!M742)</f>
      </c>
      <c r="N742">
        <f>IF(ISBLANK('Data Entry'!N742), "", 'Data Entry'!N742)</f>
      </c>
      <c r="O742">
        <f>IF(ISBLANK('Data Entry'!O742), "", 'Data Entry'!O742)</f>
      </c>
      <c r="P742">
        <f>IF(ISBLANK('Data Entry'!P742), "", 'Data Entry'!P742)</f>
      </c>
      <c r="Q742">
        <f>IF(ISBLANK('Data Entry'!Q742), "", 'Data Entry'!Q742)</f>
      </c>
      <c r="R742">
        <f>IF(ISBLANK('Data Entry'!R742), "", 'Data Entry'!R742)</f>
      </c>
      <c r="S742">
        <f>IF(ISBLANK('Data Entry'!S742), "", 'Data Entry'!S742)</f>
      </c>
      <c r="T742">
        <f>IF(ISBLANK('Data Entry'!T742), "", 'Data Entry'!T742)</f>
      </c>
      <c r="U742">
        <f>IF(ISBLANK('Data Entry'!U742), "", 'Data Entry'!U742)</f>
      </c>
      <c r="V742">
        <f>IF(ISBLANK('Data Entry'!V742), "", 'Data Entry'!V742)</f>
      </c>
      <c r="W742">
        <f>IF(ISBLANK('Data Entry'!W742), "", 'Data Entry'!W742)</f>
      </c>
      <c r="X742">
        <f>IF(ISBLANK('Data Entry'!X742), "", 'Data Entry'!X742)</f>
      </c>
      <c r="Y742">
        <f>IF(ISBLANK('Data Entry'!Y742), "", 'Data Entry'!Y742)</f>
      </c>
      <c r="Z742">
        <f>IF(ISBLANK('Data Entry'!Z742), "", 'Data Entry'!Z742)</f>
      </c>
      <c r="AA742">
        <f>IF(ISBLANK('Data Entry'![742), "", 'Data Entry'![742)</f>
      </c>
      <c r="AB742">
        <f>IF(ISBLANK('Data Entry'!\742), "", 'Data Entry'!\742)</f>
      </c>
      <c r="AC742">
        <f>IF(ISBLANK('Data Entry'!]742), "", 'Data Entry'!]742)</f>
      </c>
      <c r="AD742">
        <f>IF(ISBLANK('Data Entry'!^742), "", 'Data Entry'!^742)</f>
      </c>
      <c r="AE742">
        <f>IF(ISBLANK('Data Entry'!_742), "", 'Data Entry'!_742)</f>
      </c>
      <c r="AF742">
        <f>IF(ISBLANK('Data Entry'!`742), "", 'Data Entry'!`742)</f>
      </c>
      <c r="AG742">
        <f>IF(ISBLANK('Data Entry'!a742), "", 'Data Entry'!a742)</f>
      </c>
      <c r="AH742">
        <f>IF(ISBLANK('Data Entry'!b742), "", 'Data Entry'!b742)</f>
      </c>
      <c r="AI742">
        <f>IF(ISBLANK('Data Entry'!c742), "", 'Data Entry'!c742)</f>
      </c>
      <c r="AJ742">
        <f>IF(ISBLANK('Data Entry'!d742), "", 'Data Entry'!d742)</f>
      </c>
      <c r="AK742">
        <f>IF(ISBLANK('Data Entry'!e742), "", 'Data Entry'!e742)</f>
      </c>
      <c r="AL742">
        <f>IF(ISBLANK('Data Entry'!f742), "", 'Data Entry'!f742)</f>
      </c>
      <c r="AM742">
        <f>IF(ISBLANK('Data Entry'!g742), "", 'Data Entry'!g742)</f>
      </c>
      <c r="AN742">
        <f>IF(ISBLANK('Data Entry'!h742), "", 'Data Entry'!h742)</f>
      </c>
    </row>
    <row r="743" spans="1:40" x14ac:dyDescent="0.25">
      <c r="A743">
        <f>IF(ISBLANK('Data Entry'!A743), "", 'Data Entry'!A743)</f>
      </c>
      <c r="B743">
        <f>IF(ISBLANK('Data Entry'!B743), "", 'Data Entry'!B743)</f>
      </c>
      <c r="C743">
        <f>IF(ISBLANK('Data Entry'!C743), "", 'Data Entry'!C743)</f>
      </c>
      <c r="D743">
        <f>IF(ISBLANK('Data Entry'!D743), "", 'Data Entry'!D743)</f>
      </c>
      <c r="E743">
        <f>IF(ISBLANK('Data Entry'!E743), "", 'Data Entry'!E743)</f>
      </c>
      <c r="F743">
        <f>IF(ISBLANK('Data Entry'!F743), "", 'Data Entry'!F743)</f>
      </c>
      <c r="G743">
        <f>IF(ISBLANK('Data Entry'!G743), "", 'Data Entry'!G743)</f>
      </c>
      <c r="H743">
        <f>IF(ISBLANK('Data Entry'!H743), "", 'Data Entry'!H743)</f>
      </c>
      <c r="I743">
        <f>IF(ISBLANK('Data Entry'!I743), "", 'Data Entry'!I743)</f>
      </c>
      <c r="J743">
        <f>IF(ISBLANK('Data Entry'!J743), "", 'Data Entry'!J743)</f>
      </c>
      <c r="K743">
        <f>IF(ISBLANK('Data Entry'!K743), "", 'Data Entry'!K743)</f>
      </c>
      <c r="L743">
        <f>IF(ISBLANK('Data Entry'!L743), "", 'Data Entry'!L743)</f>
      </c>
      <c r="M743">
        <f>IF(ISBLANK('Data Entry'!M743), "", 'Data Entry'!M743)</f>
      </c>
      <c r="N743">
        <f>IF(ISBLANK('Data Entry'!N743), "", 'Data Entry'!N743)</f>
      </c>
      <c r="O743">
        <f>IF(ISBLANK('Data Entry'!O743), "", 'Data Entry'!O743)</f>
      </c>
      <c r="P743">
        <f>IF(ISBLANK('Data Entry'!P743), "", 'Data Entry'!P743)</f>
      </c>
      <c r="Q743">
        <f>IF(ISBLANK('Data Entry'!Q743), "", 'Data Entry'!Q743)</f>
      </c>
      <c r="R743">
        <f>IF(ISBLANK('Data Entry'!R743), "", 'Data Entry'!R743)</f>
      </c>
      <c r="S743">
        <f>IF(ISBLANK('Data Entry'!S743), "", 'Data Entry'!S743)</f>
      </c>
      <c r="T743">
        <f>IF(ISBLANK('Data Entry'!T743), "", 'Data Entry'!T743)</f>
      </c>
      <c r="U743">
        <f>IF(ISBLANK('Data Entry'!U743), "", 'Data Entry'!U743)</f>
      </c>
      <c r="V743">
        <f>IF(ISBLANK('Data Entry'!V743), "", 'Data Entry'!V743)</f>
      </c>
      <c r="W743">
        <f>IF(ISBLANK('Data Entry'!W743), "", 'Data Entry'!W743)</f>
      </c>
      <c r="X743">
        <f>IF(ISBLANK('Data Entry'!X743), "", 'Data Entry'!X743)</f>
      </c>
      <c r="Y743">
        <f>IF(ISBLANK('Data Entry'!Y743), "", 'Data Entry'!Y743)</f>
      </c>
      <c r="Z743">
        <f>IF(ISBLANK('Data Entry'!Z743), "", 'Data Entry'!Z743)</f>
      </c>
      <c r="AA743">
        <f>IF(ISBLANK('Data Entry'![743), "", 'Data Entry'![743)</f>
      </c>
      <c r="AB743">
        <f>IF(ISBLANK('Data Entry'!\743), "", 'Data Entry'!\743)</f>
      </c>
      <c r="AC743">
        <f>IF(ISBLANK('Data Entry'!]743), "", 'Data Entry'!]743)</f>
      </c>
      <c r="AD743">
        <f>IF(ISBLANK('Data Entry'!^743), "", 'Data Entry'!^743)</f>
      </c>
      <c r="AE743">
        <f>IF(ISBLANK('Data Entry'!_743), "", 'Data Entry'!_743)</f>
      </c>
      <c r="AF743">
        <f>IF(ISBLANK('Data Entry'!`743), "", 'Data Entry'!`743)</f>
      </c>
      <c r="AG743">
        <f>IF(ISBLANK('Data Entry'!a743), "", 'Data Entry'!a743)</f>
      </c>
      <c r="AH743">
        <f>IF(ISBLANK('Data Entry'!b743), "", 'Data Entry'!b743)</f>
      </c>
      <c r="AI743">
        <f>IF(ISBLANK('Data Entry'!c743), "", 'Data Entry'!c743)</f>
      </c>
      <c r="AJ743">
        <f>IF(ISBLANK('Data Entry'!d743), "", 'Data Entry'!d743)</f>
      </c>
      <c r="AK743">
        <f>IF(ISBLANK('Data Entry'!e743), "", 'Data Entry'!e743)</f>
      </c>
      <c r="AL743">
        <f>IF(ISBLANK('Data Entry'!f743), "", 'Data Entry'!f743)</f>
      </c>
      <c r="AM743">
        <f>IF(ISBLANK('Data Entry'!g743), "", 'Data Entry'!g743)</f>
      </c>
      <c r="AN743">
        <f>IF(ISBLANK('Data Entry'!h743), "", 'Data Entry'!h743)</f>
      </c>
    </row>
    <row r="744" spans="1:40" x14ac:dyDescent="0.25">
      <c r="A744">
        <f>IF(ISBLANK('Data Entry'!A744), "", 'Data Entry'!A744)</f>
      </c>
      <c r="B744">
        <f>IF(ISBLANK('Data Entry'!B744), "", 'Data Entry'!B744)</f>
      </c>
      <c r="C744">
        <f>IF(ISBLANK('Data Entry'!C744), "", 'Data Entry'!C744)</f>
      </c>
      <c r="D744">
        <f>IF(ISBLANK('Data Entry'!D744), "", 'Data Entry'!D744)</f>
      </c>
      <c r="E744">
        <f>IF(ISBLANK('Data Entry'!E744), "", 'Data Entry'!E744)</f>
      </c>
      <c r="F744">
        <f>IF(ISBLANK('Data Entry'!F744), "", 'Data Entry'!F744)</f>
      </c>
      <c r="G744">
        <f>IF(ISBLANK('Data Entry'!G744), "", 'Data Entry'!G744)</f>
      </c>
      <c r="H744">
        <f>IF(ISBLANK('Data Entry'!H744), "", 'Data Entry'!H744)</f>
      </c>
      <c r="I744">
        <f>IF(ISBLANK('Data Entry'!I744), "", 'Data Entry'!I744)</f>
      </c>
      <c r="J744">
        <f>IF(ISBLANK('Data Entry'!J744), "", 'Data Entry'!J744)</f>
      </c>
      <c r="K744">
        <f>IF(ISBLANK('Data Entry'!K744), "", 'Data Entry'!K744)</f>
      </c>
      <c r="L744">
        <f>IF(ISBLANK('Data Entry'!L744), "", 'Data Entry'!L744)</f>
      </c>
      <c r="M744">
        <f>IF(ISBLANK('Data Entry'!M744), "", 'Data Entry'!M744)</f>
      </c>
      <c r="N744">
        <f>IF(ISBLANK('Data Entry'!N744), "", 'Data Entry'!N744)</f>
      </c>
      <c r="O744">
        <f>IF(ISBLANK('Data Entry'!O744), "", 'Data Entry'!O744)</f>
      </c>
      <c r="P744">
        <f>IF(ISBLANK('Data Entry'!P744), "", 'Data Entry'!P744)</f>
      </c>
      <c r="Q744">
        <f>IF(ISBLANK('Data Entry'!Q744), "", 'Data Entry'!Q744)</f>
      </c>
      <c r="R744">
        <f>IF(ISBLANK('Data Entry'!R744), "", 'Data Entry'!R744)</f>
      </c>
      <c r="S744">
        <f>IF(ISBLANK('Data Entry'!S744), "", 'Data Entry'!S744)</f>
      </c>
      <c r="T744">
        <f>IF(ISBLANK('Data Entry'!T744), "", 'Data Entry'!T744)</f>
      </c>
      <c r="U744">
        <f>IF(ISBLANK('Data Entry'!U744), "", 'Data Entry'!U744)</f>
      </c>
      <c r="V744">
        <f>IF(ISBLANK('Data Entry'!V744), "", 'Data Entry'!V744)</f>
      </c>
      <c r="W744">
        <f>IF(ISBLANK('Data Entry'!W744), "", 'Data Entry'!W744)</f>
      </c>
      <c r="X744">
        <f>IF(ISBLANK('Data Entry'!X744), "", 'Data Entry'!X744)</f>
      </c>
      <c r="Y744">
        <f>IF(ISBLANK('Data Entry'!Y744), "", 'Data Entry'!Y744)</f>
      </c>
      <c r="Z744">
        <f>IF(ISBLANK('Data Entry'!Z744), "", 'Data Entry'!Z744)</f>
      </c>
      <c r="AA744">
        <f>IF(ISBLANK('Data Entry'![744), "", 'Data Entry'![744)</f>
      </c>
      <c r="AB744">
        <f>IF(ISBLANK('Data Entry'!\744), "", 'Data Entry'!\744)</f>
      </c>
      <c r="AC744">
        <f>IF(ISBLANK('Data Entry'!]744), "", 'Data Entry'!]744)</f>
      </c>
      <c r="AD744">
        <f>IF(ISBLANK('Data Entry'!^744), "", 'Data Entry'!^744)</f>
      </c>
      <c r="AE744">
        <f>IF(ISBLANK('Data Entry'!_744), "", 'Data Entry'!_744)</f>
      </c>
      <c r="AF744">
        <f>IF(ISBLANK('Data Entry'!`744), "", 'Data Entry'!`744)</f>
      </c>
      <c r="AG744">
        <f>IF(ISBLANK('Data Entry'!a744), "", 'Data Entry'!a744)</f>
      </c>
      <c r="AH744">
        <f>IF(ISBLANK('Data Entry'!b744), "", 'Data Entry'!b744)</f>
      </c>
      <c r="AI744">
        <f>IF(ISBLANK('Data Entry'!c744), "", 'Data Entry'!c744)</f>
      </c>
      <c r="AJ744">
        <f>IF(ISBLANK('Data Entry'!d744), "", 'Data Entry'!d744)</f>
      </c>
      <c r="AK744">
        <f>IF(ISBLANK('Data Entry'!e744), "", 'Data Entry'!e744)</f>
      </c>
      <c r="AL744">
        <f>IF(ISBLANK('Data Entry'!f744), "", 'Data Entry'!f744)</f>
      </c>
      <c r="AM744">
        <f>IF(ISBLANK('Data Entry'!g744), "", 'Data Entry'!g744)</f>
      </c>
      <c r="AN744">
        <f>IF(ISBLANK('Data Entry'!h744), "", 'Data Entry'!h744)</f>
      </c>
    </row>
    <row r="745" spans="1:40" x14ac:dyDescent="0.25">
      <c r="A745">
        <f>IF(ISBLANK('Data Entry'!A745), "", 'Data Entry'!A745)</f>
      </c>
      <c r="B745">
        <f>IF(ISBLANK('Data Entry'!B745), "", 'Data Entry'!B745)</f>
      </c>
      <c r="C745">
        <f>IF(ISBLANK('Data Entry'!C745), "", 'Data Entry'!C745)</f>
      </c>
      <c r="D745">
        <f>IF(ISBLANK('Data Entry'!D745), "", 'Data Entry'!D745)</f>
      </c>
      <c r="E745">
        <f>IF(ISBLANK('Data Entry'!E745), "", 'Data Entry'!E745)</f>
      </c>
      <c r="F745">
        <f>IF(ISBLANK('Data Entry'!F745), "", 'Data Entry'!F745)</f>
      </c>
      <c r="G745">
        <f>IF(ISBLANK('Data Entry'!G745), "", 'Data Entry'!G745)</f>
      </c>
      <c r="H745">
        <f>IF(ISBLANK('Data Entry'!H745), "", 'Data Entry'!H745)</f>
      </c>
      <c r="I745">
        <f>IF(ISBLANK('Data Entry'!I745), "", 'Data Entry'!I745)</f>
      </c>
      <c r="J745">
        <f>IF(ISBLANK('Data Entry'!J745), "", 'Data Entry'!J745)</f>
      </c>
      <c r="K745">
        <f>IF(ISBLANK('Data Entry'!K745), "", 'Data Entry'!K745)</f>
      </c>
      <c r="L745">
        <f>IF(ISBLANK('Data Entry'!L745), "", 'Data Entry'!L745)</f>
      </c>
      <c r="M745">
        <f>IF(ISBLANK('Data Entry'!M745), "", 'Data Entry'!M745)</f>
      </c>
      <c r="N745">
        <f>IF(ISBLANK('Data Entry'!N745), "", 'Data Entry'!N745)</f>
      </c>
      <c r="O745">
        <f>IF(ISBLANK('Data Entry'!O745), "", 'Data Entry'!O745)</f>
      </c>
      <c r="P745">
        <f>IF(ISBLANK('Data Entry'!P745), "", 'Data Entry'!P745)</f>
      </c>
      <c r="Q745">
        <f>IF(ISBLANK('Data Entry'!Q745), "", 'Data Entry'!Q745)</f>
      </c>
      <c r="R745">
        <f>IF(ISBLANK('Data Entry'!R745), "", 'Data Entry'!R745)</f>
      </c>
      <c r="S745">
        <f>IF(ISBLANK('Data Entry'!S745), "", 'Data Entry'!S745)</f>
      </c>
      <c r="T745">
        <f>IF(ISBLANK('Data Entry'!T745), "", 'Data Entry'!T745)</f>
      </c>
      <c r="U745">
        <f>IF(ISBLANK('Data Entry'!U745), "", 'Data Entry'!U745)</f>
      </c>
      <c r="V745">
        <f>IF(ISBLANK('Data Entry'!V745), "", 'Data Entry'!V745)</f>
      </c>
      <c r="W745">
        <f>IF(ISBLANK('Data Entry'!W745), "", 'Data Entry'!W745)</f>
      </c>
      <c r="X745">
        <f>IF(ISBLANK('Data Entry'!X745), "", 'Data Entry'!X745)</f>
      </c>
      <c r="Y745">
        <f>IF(ISBLANK('Data Entry'!Y745), "", 'Data Entry'!Y745)</f>
      </c>
      <c r="Z745">
        <f>IF(ISBLANK('Data Entry'!Z745), "", 'Data Entry'!Z745)</f>
      </c>
      <c r="AA745">
        <f>IF(ISBLANK('Data Entry'![745), "", 'Data Entry'![745)</f>
      </c>
      <c r="AB745">
        <f>IF(ISBLANK('Data Entry'!\745), "", 'Data Entry'!\745)</f>
      </c>
      <c r="AC745">
        <f>IF(ISBLANK('Data Entry'!]745), "", 'Data Entry'!]745)</f>
      </c>
      <c r="AD745">
        <f>IF(ISBLANK('Data Entry'!^745), "", 'Data Entry'!^745)</f>
      </c>
      <c r="AE745">
        <f>IF(ISBLANK('Data Entry'!_745), "", 'Data Entry'!_745)</f>
      </c>
      <c r="AF745">
        <f>IF(ISBLANK('Data Entry'!`745), "", 'Data Entry'!`745)</f>
      </c>
      <c r="AG745">
        <f>IF(ISBLANK('Data Entry'!a745), "", 'Data Entry'!a745)</f>
      </c>
      <c r="AH745">
        <f>IF(ISBLANK('Data Entry'!b745), "", 'Data Entry'!b745)</f>
      </c>
      <c r="AI745">
        <f>IF(ISBLANK('Data Entry'!c745), "", 'Data Entry'!c745)</f>
      </c>
      <c r="AJ745">
        <f>IF(ISBLANK('Data Entry'!d745), "", 'Data Entry'!d745)</f>
      </c>
      <c r="AK745">
        <f>IF(ISBLANK('Data Entry'!e745), "", 'Data Entry'!e745)</f>
      </c>
      <c r="AL745">
        <f>IF(ISBLANK('Data Entry'!f745), "", 'Data Entry'!f745)</f>
      </c>
      <c r="AM745">
        <f>IF(ISBLANK('Data Entry'!g745), "", 'Data Entry'!g745)</f>
      </c>
      <c r="AN745">
        <f>IF(ISBLANK('Data Entry'!h745), "", 'Data Entry'!h745)</f>
      </c>
    </row>
    <row r="746" spans="1:40" x14ac:dyDescent="0.25">
      <c r="A746">
        <f>IF(ISBLANK('Data Entry'!A746), "", 'Data Entry'!A746)</f>
      </c>
      <c r="B746">
        <f>IF(ISBLANK('Data Entry'!B746), "", 'Data Entry'!B746)</f>
      </c>
      <c r="C746">
        <f>IF(ISBLANK('Data Entry'!C746), "", 'Data Entry'!C746)</f>
      </c>
      <c r="D746">
        <f>IF(ISBLANK('Data Entry'!D746), "", 'Data Entry'!D746)</f>
      </c>
      <c r="E746">
        <f>IF(ISBLANK('Data Entry'!E746), "", 'Data Entry'!E746)</f>
      </c>
      <c r="F746">
        <f>IF(ISBLANK('Data Entry'!F746), "", 'Data Entry'!F746)</f>
      </c>
      <c r="G746">
        <f>IF(ISBLANK('Data Entry'!G746), "", 'Data Entry'!G746)</f>
      </c>
      <c r="H746">
        <f>IF(ISBLANK('Data Entry'!H746), "", 'Data Entry'!H746)</f>
      </c>
      <c r="I746">
        <f>IF(ISBLANK('Data Entry'!I746), "", 'Data Entry'!I746)</f>
      </c>
      <c r="J746">
        <f>IF(ISBLANK('Data Entry'!J746), "", 'Data Entry'!J746)</f>
      </c>
      <c r="K746">
        <f>IF(ISBLANK('Data Entry'!K746), "", 'Data Entry'!K746)</f>
      </c>
      <c r="L746">
        <f>IF(ISBLANK('Data Entry'!L746), "", 'Data Entry'!L746)</f>
      </c>
      <c r="M746">
        <f>IF(ISBLANK('Data Entry'!M746), "", 'Data Entry'!M746)</f>
      </c>
      <c r="N746">
        <f>IF(ISBLANK('Data Entry'!N746), "", 'Data Entry'!N746)</f>
      </c>
      <c r="O746">
        <f>IF(ISBLANK('Data Entry'!O746), "", 'Data Entry'!O746)</f>
      </c>
      <c r="P746">
        <f>IF(ISBLANK('Data Entry'!P746), "", 'Data Entry'!P746)</f>
      </c>
      <c r="Q746">
        <f>IF(ISBLANK('Data Entry'!Q746), "", 'Data Entry'!Q746)</f>
      </c>
      <c r="R746">
        <f>IF(ISBLANK('Data Entry'!R746), "", 'Data Entry'!R746)</f>
      </c>
      <c r="S746">
        <f>IF(ISBLANK('Data Entry'!S746), "", 'Data Entry'!S746)</f>
      </c>
      <c r="T746">
        <f>IF(ISBLANK('Data Entry'!T746), "", 'Data Entry'!T746)</f>
      </c>
      <c r="U746">
        <f>IF(ISBLANK('Data Entry'!U746), "", 'Data Entry'!U746)</f>
      </c>
      <c r="V746">
        <f>IF(ISBLANK('Data Entry'!V746), "", 'Data Entry'!V746)</f>
      </c>
      <c r="W746">
        <f>IF(ISBLANK('Data Entry'!W746), "", 'Data Entry'!W746)</f>
      </c>
      <c r="X746">
        <f>IF(ISBLANK('Data Entry'!X746), "", 'Data Entry'!X746)</f>
      </c>
      <c r="Y746">
        <f>IF(ISBLANK('Data Entry'!Y746), "", 'Data Entry'!Y746)</f>
      </c>
      <c r="Z746">
        <f>IF(ISBLANK('Data Entry'!Z746), "", 'Data Entry'!Z746)</f>
      </c>
      <c r="AA746">
        <f>IF(ISBLANK('Data Entry'![746), "", 'Data Entry'![746)</f>
      </c>
      <c r="AB746">
        <f>IF(ISBLANK('Data Entry'!\746), "", 'Data Entry'!\746)</f>
      </c>
      <c r="AC746">
        <f>IF(ISBLANK('Data Entry'!]746), "", 'Data Entry'!]746)</f>
      </c>
      <c r="AD746">
        <f>IF(ISBLANK('Data Entry'!^746), "", 'Data Entry'!^746)</f>
      </c>
      <c r="AE746">
        <f>IF(ISBLANK('Data Entry'!_746), "", 'Data Entry'!_746)</f>
      </c>
      <c r="AF746">
        <f>IF(ISBLANK('Data Entry'!`746), "", 'Data Entry'!`746)</f>
      </c>
      <c r="AG746">
        <f>IF(ISBLANK('Data Entry'!a746), "", 'Data Entry'!a746)</f>
      </c>
      <c r="AH746">
        <f>IF(ISBLANK('Data Entry'!b746), "", 'Data Entry'!b746)</f>
      </c>
      <c r="AI746">
        <f>IF(ISBLANK('Data Entry'!c746), "", 'Data Entry'!c746)</f>
      </c>
      <c r="AJ746">
        <f>IF(ISBLANK('Data Entry'!d746), "", 'Data Entry'!d746)</f>
      </c>
      <c r="AK746">
        <f>IF(ISBLANK('Data Entry'!e746), "", 'Data Entry'!e746)</f>
      </c>
      <c r="AL746">
        <f>IF(ISBLANK('Data Entry'!f746), "", 'Data Entry'!f746)</f>
      </c>
      <c r="AM746">
        <f>IF(ISBLANK('Data Entry'!g746), "", 'Data Entry'!g746)</f>
      </c>
      <c r="AN746">
        <f>IF(ISBLANK('Data Entry'!h746), "", 'Data Entry'!h746)</f>
      </c>
    </row>
    <row r="747" spans="1:40" x14ac:dyDescent="0.25">
      <c r="A747">
        <f>IF(ISBLANK('Data Entry'!A747), "", 'Data Entry'!A747)</f>
      </c>
      <c r="B747">
        <f>IF(ISBLANK('Data Entry'!B747), "", 'Data Entry'!B747)</f>
      </c>
      <c r="C747">
        <f>IF(ISBLANK('Data Entry'!C747), "", 'Data Entry'!C747)</f>
      </c>
      <c r="D747">
        <f>IF(ISBLANK('Data Entry'!D747), "", 'Data Entry'!D747)</f>
      </c>
      <c r="E747">
        <f>IF(ISBLANK('Data Entry'!E747), "", 'Data Entry'!E747)</f>
      </c>
      <c r="F747">
        <f>IF(ISBLANK('Data Entry'!F747), "", 'Data Entry'!F747)</f>
      </c>
      <c r="G747">
        <f>IF(ISBLANK('Data Entry'!G747), "", 'Data Entry'!G747)</f>
      </c>
      <c r="H747">
        <f>IF(ISBLANK('Data Entry'!H747), "", 'Data Entry'!H747)</f>
      </c>
      <c r="I747">
        <f>IF(ISBLANK('Data Entry'!I747), "", 'Data Entry'!I747)</f>
      </c>
      <c r="J747">
        <f>IF(ISBLANK('Data Entry'!J747), "", 'Data Entry'!J747)</f>
      </c>
      <c r="K747">
        <f>IF(ISBLANK('Data Entry'!K747), "", 'Data Entry'!K747)</f>
      </c>
      <c r="L747">
        <f>IF(ISBLANK('Data Entry'!L747), "", 'Data Entry'!L747)</f>
      </c>
      <c r="M747">
        <f>IF(ISBLANK('Data Entry'!M747), "", 'Data Entry'!M747)</f>
      </c>
      <c r="N747">
        <f>IF(ISBLANK('Data Entry'!N747), "", 'Data Entry'!N747)</f>
      </c>
      <c r="O747">
        <f>IF(ISBLANK('Data Entry'!O747), "", 'Data Entry'!O747)</f>
      </c>
      <c r="P747">
        <f>IF(ISBLANK('Data Entry'!P747), "", 'Data Entry'!P747)</f>
      </c>
      <c r="Q747">
        <f>IF(ISBLANK('Data Entry'!Q747), "", 'Data Entry'!Q747)</f>
      </c>
      <c r="R747">
        <f>IF(ISBLANK('Data Entry'!R747), "", 'Data Entry'!R747)</f>
      </c>
      <c r="S747">
        <f>IF(ISBLANK('Data Entry'!S747), "", 'Data Entry'!S747)</f>
      </c>
      <c r="T747">
        <f>IF(ISBLANK('Data Entry'!T747), "", 'Data Entry'!T747)</f>
      </c>
      <c r="U747">
        <f>IF(ISBLANK('Data Entry'!U747), "", 'Data Entry'!U747)</f>
      </c>
      <c r="V747">
        <f>IF(ISBLANK('Data Entry'!V747), "", 'Data Entry'!V747)</f>
      </c>
      <c r="W747">
        <f>IF(ISBLANK('Data Entry'!W747), "", 'Data Entry'!W747)</f>
      </c>
      <c r="X747">
        <f>IF(ISBLANK('Data Entry'!X747), "", 'Data Entry'!X747)</f>
      </c>
      <c r="Y747">
        <f>IF(ISBLANK('Data Entry'!Y747), "", 'Data Entry'!Y747)</f>
      </c>
      <c r="Z747">
        <f>IF(ISBLANK('Data Entry'!Z747), "", 'Data Entry'!Z747)</f>
      </c>
      <c r="AA747">
        <f>IF(ISBLANK('Data Entry'![747), "", 'Data Entry'![747)</f>
      </c>
      <c r="AB747">
        <f>IF(ISBLANK('Data Entry'!\747), "", 'Data Entry'!\747)</f>
      </c>
      <c r="AC747">
        <f>IF(ISBLANK('Data Entry'!]747), "", 'Data Entry'!]747)</f>
      </c>
      <c r="AD747">
        <f>IF(ISBLANK('Data Entry'!^747), "", 'Data Entry'!^747)</f>
      </c>
      <c r="AE747">
        <f>IF(ISBLANK('Data Entry'!_747), "", 'Data Entry'!_747)</f>
      </c>
      <c r="AF747">
        <f>IF(ISBLANK('Data Entry'!`747), "", 'Data Entry'!`747)</f>
      </c>
      <c r="AG747">
        <f>IF(ISBLANK('Data Entry'!a747), "", 'Data Entry'!a747)</f>
      </c>
      <c r="AH747">
        <f>IF(ISBLANK('Data Entry'!b747), "", 'Data Entry'!b747)</f>
      </c>
      <c r="AI747">
        <f>IF(ISBLANK('Data Entry'!c747), "", 'Data Entry'!c747)</f>
      </c>
      <c r="AJ747">
        <f>IF(ISBLANK('Data Entry'!d747), "", 'Data Entry'!d747)</f>
      </c>
      <c r="AK747">
        <f>IF(ISBLANK('Data Entry'!e747), "", 'Data Entry'!e747)</f>
      </c>
      <c r="AL747">
        <f>IF(ISBLANK('Data Entry'!f747), "", 'Data Entry'!f747)</f>
      </c>
      <c r="AM747">
        <f>IF(ISBLANK('Data Entry'!g747), "", 'Data Entry'!g747)</f>
      </c>
      <c r="AN747">
        <f>IF(ISBLANK('Data Entry'!h747), "", 'Data Entry'!h747)</f>
      </c>
    </row>
    <row r="748" spans="1:40" x14ac:dyDescent="0.25">
      <c r="A748">
        <f>IF(ISBLANK('Data Entry'!A748), "", 'Data Entry'!A748)</f>
      </c>
      <c r="B748">
        <f>IF(ISBLANK('Data Entry'!B748), "", 'Data Entry'!B748)</f>
      </c>
      <c r="C748">
        <f>IF(ISBLANK('Data Entry'!C748), "", 'Data Entry'!C748)</f>
      </c>
      <c r="D748">
        <f>IF(ISBLANK('Data Entry'!D748), "", 'Data Entry'!D748)</f>
      </c>
      <c r="E748">
        <f>IF(ISBLANK('Data Entry'!E748), "", 'Data Entry'!E748)</f>
      </c>
      <c r="F748">
        <f>IF(ISBLANK('Data Entry'!F748), "", 'Data Entry'!F748)</f>
      </c>
      <c r="G748">
        <f>IF(ISBLANK('Data Entry'!G748), "", 'Data Entry'!G748)</f>
      </c>
      <c r="H748">
        <f>IF(ISBLANK('Data Entry'!H748), "", 'Data Entry'!H748)</f>
      </c>
      <c r="I748">
        <f>IF(ISBLANK('Data Entry'!I748), "", 'Data Entry'!I748)</f>
      </c>
      <c r="J748">
        <f>IF(ISBLANK('Data Entry'!J748), "", 'Data Entry'!J748)</f>
      </c>
      <c r="K748">
        <f>IF(ISBLANK('Data Entry'!K748), "", 'Data Entry'!K748)</f>
      </c>
      <c r="L748">
        <f>IF(ISBLANK('Data Entry'!L748), "", 'Data Entry'!L748)</f>
      </c>
      <c r="M748">
        <f>IF(ISBLANK('Data Entry'!M748), "", 'Data Entry'!M748)</f>
      </c>
      <c r="N748">
        <f>IF(ISBLANK('Data Entry'!N748), "", 'Data Entry'!N748)</f>
      </c>
      <c r="O748">
        <f>IF(ISBLANK('Data Entry'!O748), "", 'Data Entry'!O748)</f>
      </c>
      <c r="P748">
        <f>IF(ISBLANK('Data Entry'!P748), "", 'Data Entry'!P748)</f>
      </c>
      <c r="Q748">
        <f>IF(ISBLANK('Data Entry'!Q748), "", 'Data Entry'!Q748)</f>
      </c>
      <c r="R748">
        <f>IF(ISBLANK('Data Entry'!R748), "", 'Data Entry'!R748)</f>
      </c>
      <c r="S748">
        <f>IF(ISBLANK('Data Entry'!S748), "", 'Data Entry'!S748)</f>
      </c>
      <c r="T748">
        <f>IF(ISBLANK('Data Entry'!T748), "", 'Data Entry'!T748)</f>
      </c>
      <c r="U748">
        <f>IF(ISBLANK('Data Entry'!U748), "", 'Data Entry'!U748)</f>
      </c>
      <c r="V748">
        <f>IF(ISBLANK('Data Entry'!V748), "", 'Data Entry'!V748)</f>
      </c>
      <c r="W748">
        <f>IF(ISBLANK('Data Entry'!W748), "", 'Data Entry'!W748)</f>
      </c>
      <c r="X748">
        <f>IF(ISBLANK('Data Entry'!X748), "", 'Data Entry'!X748)</f>
      </c>
      <c r="Y748">
        <f>IF(ISBLANK('Data Entry'!Y748), "", 'Data Entry'!Y748)</f>
      </c>
      <c r="Z748">
        <f>IF(ISBLANK('Data Entry'!Z748), "", 'Data Entry'!Z748)</f>
      </c>
      <c r="AA748">
        <f>IF(ISBLANK('Data Entry'![748), "", 'Data Entry'![748)</f>
      </c>
      <c r="AB748">
        <f>IF(ISBLANK('Data Entry'!\748), "", 'Data Entry'!\748)</f>
      </c>
      <c r="AC748">
        <f>IF(ISBLANK('Data Entry'!]748), "", 'Data Entry'!]748)</f>
      </c>
      <c r="AD748">
        <f>IF(ISBLANK('Data Entry'!^748), "", 'Data Entry'!^748)</f>
      </c>
      <c r="AE748">
        <f>IF(ISBLANK('Data Entry'!_748), "", 'Data Entry'!_748)</f>
      </c>
      <c r="AF748">
        <f>IF(ISBLANK('Data Entry'!`748), "", 'Data Entry'!`748)</f>
      </c>
      <c r="AG748">
        <f>IF(ISBLANK('Data Entry'!a748), "", 'Data Entry'!a748)</f>
      </c>
      <c r="AH748">
        <f>IF(ISBLANK('Data Entry'!b748), "", 'Data Entry'!b748)</f>
      </c>
      <c r="AI748">
        <f>IF(ISBLANK('Data Entry'!c748), "", 'Data Entry'!c748)</f>
      </c>
      <c r="AJ748">
        <f>IF(ISBLANK('Data Entry'!d748), "", 'Data Entry'!d748)</f>
      </c>
      <c r="AK748">
        <f>IF(ISBLANK('Data Entry'!e748), "", 'Data Entry'!e748)</f>
      </c>
      <c r="AL748">
        <f>IF(ISBLANK('Data Entry'!f748), "", 'Data Entry'!f748)</f>
      </c>
      <c r="AM748">
        <f>IF(ISBLANK('Data Entry'!g748), "", 'Data Entry'!g748)</f>
      </c>
      <c r="AN748">
        <f>IF(ISBLANK('Data Entry'!h748), "", 'Data Entry'!h748)</f>
      </c>
    </row>
    <row r="749" spans="1:40" x14ac:dyDescent="0.25">
      <c r="A749">
        <f>IF(ISBLANK('Data Entry'!A749), "", 'Data Entry'!A749)</f>
      </c>
      <c r="B749">
        <f>IF(ISBLANK('Data Entry'!B749), "", 'Data Entry'!B749)</f>
      </c>
      <c r="C749">
        <f>IF(ISBLANK('Data Entry'!C749), "", 'Data Entry'!C749)</f>
      </c>
      <c r="D749">
        <f>IF(ISBLANK('Data Entry'!D749), "", 'Data Entry'!D749)</f>
      </c>
      <c r="E749">
        <f>IF(ISBLANK('Data Entry'!E749), "", 'Data Entry'!E749)</f>
      </c>
      <c r="F749">
        <f>IF(ISBLANK('Data Entry'!F749), "", 'Data Entry'!F749)</f>
      </c>
      <c r="G749">
        <f>IF(ISBLANK('Data Entry'!G749), "", 'Data Entry'!G749)</f>
      </c>
      <c r="H749">
        <f>IF(ISBLANK('Data Entry'!H749), "", 'Data Entry'!H749)</f>
      </c>
      <c r="I749">
        <f>IF(ISBLANK('Data Entry'!I749), "", 'Data Entry'!I749)</f>
      </c>
      <c r="J749">
        <f>IF(ISBLANK('Data Entry'!J749), "", 'Data Entry'!J749)</f>
      </c>
      <c r="K749">
        <f>IF(ISBLANK('Data Entry'!K749), "", 'Data Entry'!K749)</f>
      </c>
      <c r="L749">
        <f>IF(ISBLANK('Data Entry'!L749), "", 'Data Entry'!L749)</f>
      </c>
      <c r="M749">
        <f>IF(ISBLANK('Data Entry'!M749), "", 'Data Entry'!M749)</f>
      </c>
      <c r="N749">
        <f>IF(ISBLANK('Data Entry'!N749), "", 'Data Entry'!N749)</f>
      </c>
      <c r="O749">
        <f>IF(ISBLANK('Data Entry'!O749), "", 'Data Entry'!O749)</f>
      </c>
      <c r="P749">
        <f>IF(ISBLANK('Data Entry'!P749), "", 'Data Entry'!P749)</f>
      </c>
      <c r="Q749">
        <f>IF(ISBLANK('Data Entry'!Q749), "", 'Data Entry'!Q749)</f>
      </c>
      <c r="R749">
        <f>IF(ISBLANK('Data Entry'!R749), "", 'Data Entry'!R749)</f>
      </c>
      <c r="S749">
        <f>IF(ISBLANK('Data Entry'!S749), "", 'Data Entry'!S749)</f>
      </c>
      <c r="T749">
        <f>IF(ISBLANK('Data Entry'!T749), "", 'Data Entry'!T749)</f>
      </c>
      <c r="U749">
        <f>IF(ISBLANK('Data Entry'!U749), "", 'Data Entry'!U749)</f>
      </c>
      <c r="V749">
        <f>IF(ISBLANK('Data Entry'!V749), "", 'Data Entry'!V749)</f>
      </c>
      <c r="W749">
        <f>IF(ISBLANK('Data Entry'!W749), "", 'Data Entry'!W749)</f>
      </c>
      <c r="X749">
        <f>IF(ISBLANK('Data Entry'!X749), "", 'Data Entry'!X749)</f>
      </c>
      <c r="Y749">
        <f>IF(ISBLANK('Data Entry'!Y749), "", 'Data Entry'!Y749)</f>
      </c>
      <c r="Z749">
        <f>IF(ISBLANK('Data Entry'!Z749), "", 'Data Entry'!Z749)</f>
      </c>
      <c r="AA749">
        <f>IF(ISBLANK('Data Entry'![749), "", 'Data Entry'![749)</f>
      </c>
      <c r="AB749">
        <f>IF(ISBLANK('Data Entry'!\749), "", 'Data Entry'!\749)</f>
      </c>
      <c r="AC749">
        <f>IF(ISBLANK('Data Entry'!]749), "", 'Data Entry'!]749)</f>
      </c>
      <c r="AD749">
        <f>IF(ISBLANK('Data Entry'!^749), "", 'Data Entry'!^749)</f>
      </c>
      <c r="AE749">
        <f>IF(ISBLANK('Data Entry'!_749), "", 'Data Entry'!_749)</f>
      </c>
      <c r="AF749">
        <f>IF(ISBLANK('Data Entry'!`749), "", 'Data Entry'!`749)</f>
      </c>
      <c r="AG749">
        <f>IF(ISBLANK('Data Entry'!a749), "", 'Data Entry'!a749)</f>
      </c>
      <c r="AH749">
        <f>IF(ISBLANK('Data Entry'!b749), "", 'Data Entry'!b749)</f>
      </c>
      <c r="AI749">
        <f>IF(ISBLANK('Data Entry'!c749), "", 'Data Entry'!c749)</f>
      </c>
      <c r="AJ749">
        <f>IF(ISBLANK('Data Entry'!d749), "", 'Data Entry'!d749)</f>
      </c>
      <c r="AK749">
        <f>IF(ISBLANK('Data Entry'!e749), "", 'Data Entry'!e749)</f>
      </c>
      <c r="AL749">
        <f>IF(ISBLANK('Data Entry'!f749), "", 'Data Entry'!f749)</f>
      </c>
      <c r="AM749">
        <f>IF(ISBLANK('Data Entry'!g749), "", 'Data Entry'!g749)</f>
      </c>
      <c r="AN749">
        <f>IF(ISBLANK('Data Entry'!h749), "", 'Data Entry'!h749)</f>
      </c>
    </row>
    <row r="750" spans="1:40" x14ac:dyDescent="0.25">
      <c r="A750">
        <f>IF(ISBLANK('Data Entry'!A750), "", 'Data Entry'!A750)</f>
      </c>
      <c r="B750">
        <f>IF(ISBLANK('Data Entry'!B750), "", 'Data Entry'!B750)</f>
      </c>
      <c r="C750">
        <f>IF(ISBLANK('Data Entry'!C750), "", 'Data Entry'!C750)</f>
      </c>
      <c r="D750">
        <f>IF(ISBLANK('Data Entry'!D750), "", 'Data Entry'!D750)</f>
      </c>
      <c r="E750">
        <f>IF(ISBLANK('Data Entry'!E750), "", 'Data Entry'!E750)</f>
      </c>
      <c r="F750">
        <f>IF(ISBLANK('Data Entry'!F750), "", 'Data Entry'!F750)</f>
      </c>
      <c r="G750">
        <f>IF(ISBLANK('Data Entry'!G750), "", 'Data Entry'!G750)</f>
      </c>
      <c r="H750">
        <f>IF(ISBLANK('Data Entry'!H750), "", 'Data Entry'!H750)</f>
      </c>
      <c r="I750">
        <f>IF(ISBLANK('Data Entry'!I750), "", 'Data Entry'!I750)</f>
      </c>
      <c r="J750">
        <f>IF(ISBLANK('Data Entry'!J750), "", 'Data Entry'!J750)</f>
      </c>
      <c r="K750">
        <f>IF(ISBLANK('Data Entry'!K750), "", 'Data Entry'!K750)</f>
      </c>
      <c r="L750">
        <f>IF(ISBLANK('Data Entry'!L750), "", 'Data Entry'!L750)</f>
      </c>
      <c r="M750">
        <f>IF(ISBLANK('Data Entry'!M750), "", 'Data Entry'!M750)</f>
      </c>
      <c r="N750">
        <f>IF(ISBLANK('Data Entry'!N750), "", 'Data Entry'!N750)</f>
      </c>
      <c r="O750">
        <f>IF(ISBLANK('Data Entry'!O750), "", 'Data Entry'!O750)</f>
      </c>
      <c r="P750">
        <f>IF(ISBLANK('Data Entry'!P750), "", 'Data Entry'!P750)</f>
      </c>
      <c r="Q750">
        <f>IF(ISBLANK('Data Entry'!Q750), "", 'Data Entry'!Q750)</f>
      </c>
      <c r="R750">
        <f>IF(ISBLANK('Data Entry'!R750), "", 'Data Entry'!R750)</f>
      </c>
      <c r="S750">
        <f>IF(ISBLANK('Data Entry'!S750), "", 'Data Entry'!S750)</f>
      </c>
      <c r="T750">
        <f>IF(ISBLANK('Data Entry'!T750), "", 'Data Entry'!T750)</f>
      </c>
      <c r="U750">
        <f>IF(ISBLANK('Data Entry'!U750), "", 'Data Entry'!U750)</f>
      </c>
      <c r="V750">
        <f>IF(ISBLANK('Data Entry'!V750), "", 'Data Entry'!V750)</f>
      </c>
      <c r="W750">
        <f>IF(ISBLANK('Data Entry'!W750), "", 'Data Entry'!W750)</f>
      </c>
      <c r="X750">
        <f>IF(ISBLANK('Data Entry'!X750), "", 'Data Entry'!X750)</f>
      </c>
      <c r="Y750">
        <f>IF(ISBLANK('Data Entry'!Y750), "", 'Data Entry'!Y750)</f>
      </c>
      <c r="Z750">
        <f>IF(ISBLANK('Data Entry'!Z750), "", 'Data Entry'!Z750)</f>
      </c>
      <c r="AA750">
        <f>IF(ISBLANK('Data Entry'![750), "", 'Data Entry'![750)</f>
      </c>
      <c r="AB750">
        <f>IF(ISBLANK('Data Entry'!\750), "", 'Data Entry'!\750)</f>
      </c>
      <c r="AC750">
        <f>IF(ISBLANK('Data Entry'!]750), "", 'Data Entry'!]750)</f>
      </c>
      <c r="AD750">
        <f>IF(ISBLANK('Data Entry'!^750), "", 'Data Entry'!^750)</f>
      </c>
      <c r="AE750">
        <f>IF(ISBLANK('Data Entry'!_750), "", 'Data Entry'!_750)</f>
      </c>
      <c r="AF750">
        <f>IF(ISBLANK('Data Entry'!`750), "", 'Data Entry'!`750)</f>
      </c>
      <c r="AG750">
        <f>IF(ISBLANK('Data Entry'!a750), "", 'Data Entry'!a750)</f>
      </c>
      <c r="AH750">
        <f>IF(ISBLANK('Data Entry'!b750), "", 'Data Entry'!b750)</f>
      </c>
      <c r="AI750">
        <f>IF(ISBLANK('Data Entry'!c750), "", 'Data Entry'!c750)</f>
      </c>
      <c r="AJ750">
        <f>IF(ISBLANK('Data Entry'!d750), "", 'Data Entry'!d750)</f>
      </c>
      <c r="AK750">
        <f>IF(ISBLANK('Data Entry'!e750), "", 'Data Entry'!e750)</f>
      </c>
      <c r="AL750">
        <f>IF(ISBLANK('Data Entry'!f750), "", 'Data Entry'!f750)</f>
      </c>
      <c r="AM750">
        <f>IF(ISBLANK('Data Entry'!g750), "", 'Data Entry'!g750)</f>
      </c>
      <c r="AN750">
        <f>IF(ISBLANK('Data Entry'!h750), "", 'Data Entry'!h750)</f>
      </c>
    </row>
    <row r="751" spans="1:40" x14ac:dyDescent="0.25">
      <c r="A751">
        <f>IF(ISBLANK('Data Entry'!A751), "", 'Data Entry'!A751)</f>
      </c>
      <c r="B751">
        <f>IF(ISBLANK('Data Entry'!B751), "", 'Data Entry'!B751)</f>
      </c>
      <c r="C751">
        <f>IF(ISBLANK('Data Entry'!C751), "", 'Data Entry'!C751)</f>
      </c>
      <c r="D751">
        <f>IF(ISBLANK('Data Entry'!D751), "", 'Data Entry'!D751)</f>
      </c>
      <c r="E751">
        <f>IF(ISBLANK('Data Entry'!E751), "", 'Data Entry'!E751)</f>
      </c>
      <c r="F751">
        <f>IF(ISBLANK('Data Entry'!F751), "", 'Data Entry'!F751)</f>
      </c>
      <c r="G751">
        <f>IF(ISBLANK('Data Entry'!G751), "", 'Data Entry'!G751)</f>
      </c>
      <c r="H751">
        <f>IF(ISBLANK('Data Entry'!H751), "", 'Data Entry'!H751)</f>
      </c>
      <c r="I751">
        <f>IF(ISBLANK('Data Entry'!I751), "", 'Data Entry'!I751)</f>
      </c>
      <c r="J751">
        <f>IF(ISBLANK('Data Entry'!J751), "", 'Data Entry'!J751)</f>
      </c>
      <c r="K751">
        <f>IF(ISBLANK('Data Entry'!K751), "", 'Data Entry'!K751)</f>
      </c>
      <c r="L751">
        <f>IF(ISBLANK('Data Entry'!L751), "", 'Data Entry'!L751)</f>
      </c>
      <c r="M751">
        <f>IF(ISBLANK('Data Entry'!M751), "", 'Data Entry'!M751)</f>
      </c>
      <c r="N751">
        <f>IF(ISBLANK('Data Entry'!N751), "", 'Data Entry'!N751)</f>
      </c>
      <c r="O751">
        <f>IF(ISBLANK('Data Entry'!O751), "", 'Data Entry'!O751)</f>
      </c>
      <c r="P751">
        <f>IF(ISBLANK('Data Entry'!P751), "", 'Data Entry'!P751)</f>
      </c>
      <c r="Q751">
        <f>IF(ISBLANK('Data Entry'!Q751), "", 'Data Entry'!Q751)</f>
      </c>
      <c r="R751">
        <f>IF(ISBLANK('Data Entry'!R751), "", 'Data Entry'!R751)</f>
      </c>
      <c r="S751">
        <f>IF(ISBLANK('Data Entry'!S751), "", 'Data Entry'!S751)</f>
      </c>
      <c r="T751">
        <f>IF(ISBLANK('Data Entry'!T751), "", 'Data Entry'!T751)</f>
      </c>
      <c r="U751">
        <f>IF(ISBLANK('Data Entry'!U751), "", 'Data Entry'!U751)</f>
      </c>
      <c r="V751">
        <f>IF(ISBLANK('Data Entry'!V751), "", 'Data Entry'!V751)</f>
      </c>
      <c r="W751">
        <f>IF(ISBLANK('Data Entry'!W751), "", 'Data Entry'!W751)</f>
      </c>
      <c r="X751">
        <f>IF(ISBLANK('Data Entry'!X751), "", 'Data Entry'!X751)</f>
      </c>
      <c r="Y751">
        <f>IF(ISBLANK('Data Entry'!Y751), "", 'Data Entry'!Y751)</f>
      </c>
      <c r="Z751">
        <f>IF(ISBLANK('Data Entry'!Z751), "", 'Data Entry'!Z751)</f>
      </c>
      <c r="AA751">
        <f>IF(ISBLANK('Data Entry'![751), "", 'Data Entry'![751)</f>
      </c>
      <c r="AB751">
        <f>IF(ISBLANK('Data Entry'!\751), "", 'Data Entry'!\751)</f>
      </c>
      <c r="AC751">
        <f>IF(ISBLANK('Data Entry'!]751), "", 'Data Entry'!]751)</f>
      </c>
      <c r="AD751">
        <f>IF(ISBLANK('Data Entry'!^751), "", 'Data Entry'!^751)</f>
      </c>
      <c r="AE751">
        <f>IF(ISBLANK('Data Entry'!_751), "", 'Data Entry'!_751)</f>
      </c>
      <c r="AF751">
        <f>IF(ISBLANK('Data Entry'!`751), "", 'Data Entry'!`751)</f>
      </c>
      <c r="AG751">
        <f>IF(ISBLANK('Data Entry'!a751), "", 'Data Entry'!a751)</f>
      </c>
      <c r="AH751">
        <f>IF(ISBLANK('Data Entry'!b751), "", 'Data Entry'!b751)</f>
      </c>
      <c r="AI751">
        <f>IF(ISBLANK('Data Entry'!c751), "", 'Data Entry'!c751)</f>
      </c>
      <c r="AJ751">
        <f>IF(ISBLANK('Data Entry'!d751), "", 'Data Entry'!d751)</f>
      </c>
      <c r="AK751">
        <f>IF(ISBLANK('Data Entry'!e751), "", 'Data Entry'!e751)</f>
      </c>
      <c r="AL751">
        <f>IF(ISBLANK('Data Entry'!f751), "", 'Data Entry'!f751)</f>
      </c>
      <c r="AM751">
        <f>IF(ISBLANK('Data Entry'!g751), "", 'Data Entry'!g751)</f>
      </c>
      <c r="AN751">
        <f>IF(ISBLANK('Data Entry'!h751), "", 'Data Entry'!h751)</f>
      </c>
    </row>
    <row r="752" spans="1:40" x14ac:dyDescent="0.25">
      <c r="A752">
        <f>IF(ISBLANK('Data Entry'!A752), "", 'Data Entry'!A752)</f>
      </c>
      <c r="B752">
        <f>IF(ISBLANK('Data Entry'!B752), "", 'Data Entry'!B752)</f>
      </c>
      <c r="C752">
        <f>IF(ISBLANK('Data Entry'!C752), "", 'Data Entry'!C752)</f>
      </c>
      <c r="D752">
        <f>IF(ISBLANK('Data Entry'!D752), "", 'Data Entry'!D752)</f>
      </c>
      <c r="E752">
        <f>IF(ISBLANK('Data Entry'!E752), "", 'Data Entry'!E752)</f>
      </c>
      <c r="F752">
        <f>IF(ISBLANK('Data Entry'!F752), "", 'Data Entry'!F752)</f>
      </c>
      <c r="G752">
        <f>IF(ISBLANK('Data Entry'!G752), "", 'Data Entry'!G752)</f>
      </c>
      <c r="H752">
        <f>IF(ISBLANK('Data Entry'!H752), "", 'Data Entry'!H752)</f>
      </c>
      <c r="I752">
        <f>IF(ISBLANK('Data Entry'!I752), "", 'Data Entry'!I752)</f>
      </c>
      <c r="J752">
        <f>IF(ISBLANK('Data Entry'!J752), "", 'Data Entry'!J752)</f>
      </c>
      <c r="K752">
        <f>IF(ISBLANK('Data Entry'!K752), "", 'Data Entry'!K752)</f>
      </c>
      <c r="L752">
        <f>IF(ISBLANK('Data Entry'!L752), "", 'Data Entry'!L752)</f>
      </c>
      <c r="M752">
        <f>IF(ISBLANK('Data Entry'!M752), "", 'Data Entry'!M752)</f>
      </c>
      <c r="N752">
        <f>IF(ISBLANK('Data Entry'!N752), "", 'Data Entry'!N752)</f>
      </c>
      <c r="O752">
        <f>IF(ISBLANK('Data Entry'!O752), "", 'Data Entry'!O752)</f>
      </c>
      <c r="P752">
        <f>IF(ISBLANK('Data Entry'!P752), "", 'Data Entry'!P752)</f>
      </c>
      <c r="Q752">
        <f>IF(ISBLANK('Data Entry'!Q752), "", 'Data Entry'!Q752)</f>
      </c>
      <c r="R752">
        <f>IF(ISBLANK('Data Entry'!R752), "", 'Data Entry'!R752)</f>
      </c>
      <c r="S752">
        <f>IF(ISBLANK('Data Entry'!S752), "", 'Data Entry'!S752)</f>
      </c>
      <c r="T752">
        <f>IF(ISBLANK('Data Entry'!T752), "", 'Data Entry'!T752)</f>
      </c>
      <c r="U752">
        <f>IF(ISBLANK('Data Entry'!U752), "", 'Data Entry'!U752)</f>
      </c>
      <c r="V752">
        <f>IF(ISBLANK('Data Entry'!V752), "", 'Data Entry'!V752)</f>
      </c>
      <c r="W752">
        <f>IF(ISBLANK('Data Entry'!W752), "", 'Data Entry'!W752)</f>
      </c>
      <c r="X752">
        <f>IF(ISBLANK('Data Entry'!X752), "", 'Data Entry'!X752)</f>
      </c>
      <c r="Y752">
        <f>IF(ISBLANK('Data Entry'!Y752), "", 'Data Entry'!Y752)</f>
      </c>
      <c r="Z752">
        <f>IF(ISBLANK('Data Entry'!Z752), "", 'Data Entry'!Z752)</f>
      </c>
      <c r="AA752">
        <f>IF(ISBLANK('Data Entry'![752), "", 'Data Entry'![752)</f>
      </c>
      <c r="AB752">
        <f>IF(ISBLANK('Data Entry'!\752), "", 'Data Entry'!\752)</f>
      </c>
      <c r="AC752">
        <f>IF(ISBLANK('Data Entry'!]752), "", 'Data Entry'!]752)</f>
      </c>
      <c r="AD752">
        <f>IF(ISBLANK('Data Entry'!^752), "", 'Data Entry'!^752)</f>
      </c>
      <c r="AE752">
        <f>IF(ISBLANK('Data Entry'!_752), "", 'Data Entry'!_752)</f>
      </c>
      <c r="AF752">
        <f>IF(ISBLANK('Data Entry'!`752), "", 'Data Entry'!`752)</f>
      </c>
      <c r="AG752">
        <f>IF(ISBLANK('Data Entry'!a752), "", 'Data Entry'!a752)</f>
      </c>
      <c r="AH752">
        <f>IF(ISBLANK('Data Entry'!b752), "", 'Data Entry'!b752)</f>
      </c>
      <c r="AI752">
        <f>IF(ISBLANK('Data Entry'!c752), "", 'Data Entry'!c752)</f>
      </c>
      <c r="AJ752">
        <f>IF(ISBLANK('Data Entry'!d752), "", 'Data Entry'!d752)</f>
      </c>
      <c r="AK752">
        <f>IF(ISBLANK('Data Entry'!e752), "", 'Data Entry'!e752)</f>
      </c>
      <c r="AL752">
        <f>IF(ISBLANK('Data Entry'!f752), "", 'Data Entry'!f752)</f>
      </c>
      <c r="AM752">
        <f>IF(ISBLANK('Data Entry'!g752), "", 'Data Entry'!g752)</f>
      </c>
      <c r="AN752">
        <f>IF(ISBLANK('Data Entry'!h752), "", 'Data Entry'!h752)</f>
      </c>
    </row>
    <row r="753" spans="1:40" x14ac:dyDescent="0.25">
      <c r="A753">
        <f>IF(ISBLANK('Data Entry'!A753), "", 'Data Entry'!A753)</f>
      </c>
      <c r="B753">
        <f>IF(ISBLANK('Data Entry'!B753), "", 'Data Entry'!B753)</f>
      </c>
      <c r="C753">
        <f>IF(ISBLANK('Data Entry'!C753), "", 'Data Entry'!C753)</f>
      </c>
      <c r="D753">
        <f>IF(ISBLANK('Data Entry'!D753), "", 'Data Entry'!D753)</f>
      </c>
      <c r="E753">
        <f>IF(ISBLANK('Data Entry'!E753), "", 'Data Entry'!E753)</f>
      </c>
      <c r="F753">
        <f>IF(ISBLANK('Data Entry'!F753), "", 'Data Entry'!F753)</f>
      </c>
      <c r="G753">
        <f>IF(ISBLANK('Data Entry'!G753), "", 'Data Entry'!G753)</f>
      </c>
      <c r="H753">
        <f>IF(ISBLANK('Data Entry'!H753), "", 'Data Entry'!H753)</f>
      </c>
      <c r="I753">
        <f>IF(ISBLANK('Data Entry'!I753), "", 'Data Entry'!I753)</f>
      </c>
      <c r="J753">
        <f>IF(ISBLANK('Data Entry'!J753), "", 'Data Entry'!J753)</f>
      </c>
      <c r="K753">
        <f>IF(ISBLANK('Data Entry'!K753), "", 'Data Entry'!K753)</f>
      </c>
      <c r="L753">
        <f>IF(ISBLANK('Data Entry'!L753), "", 'Data Entry'!L753)</f>
      </c>
      <c r="M753">
        <f>IF(ISBLANK('Data Entry'!M753), "", 'Data Entry'!M753)</f>
      </c>
      <c r="N753">
        <f>IF(ISBLANK('Data Entry'!N753), "", 'Data Entry'!N753)</f>
      </c>
      <c r="O753">
        <f>IF(ISBLANK('Data Entry'!O753), "", 'Data Entry'!O753)</f>
      </c>
      <c r="P753">
        <f>IF(ISBLANK('Data Entry'!P753), "", 'Data Entry'!P753)</f>
      </c>
      <c r="Q753">
        <f>IF(ISBLANK('Data Entry'!Q753), "", 'Data Entry'!Q753)</f>
      </c>
      <c r="R753">
        <f>IF(ISBLANK('Data Entry'!R753), "", 'Data Entry'!R753)</f>
      </c>
      <c r="S753">
        <f>IF(ISBLANK('Data Entry'!S753), "", 'Data Entry'!S753)</f>
      </c>
      <c r="T753">
        <f>IF(ISBLANK('Data Entry'!T753), "", 'Data Entry'!T753)</f>
      </c>
      <c r="U753">
        <f>IF(ISBLANK('Data Entry'!U753), "", 'Data Entry'!U753)</f>
      </c>
      <c r="V753">
        <f>IF(ISBLANK('Data Entry'!V753), "", 'Data Entry'!V753)</f>
      </c>
      <c r="W753">
        <f>IF(ISBLANK('Data Entry'!W753), "", 'Data Entry'!W753)</f>
      </c>
      <c r="X753">
        <f>IF(ISBLANK('Data Entry'!X753), "", 'Data Entry'!X753)</f>
      </c>
      <c r="Y753">
        <f>IF(ISBLANK('Data Entry'!Y753), "", 'Data Entry'!Y753)</f>
      </c>
      <c r="Z753">
        <f>IF(ISBLANK('Data Entry'!Z753), "", 'Data Entry'!Z753)</f>
      </c>
      <c r="AA753">
        <f>IF(ISBLANK('Data Entry'![753), "", 'Data Entry'![753)</f>
      </c>
      <c r="AB753">
        <f>IF(ISBLANK('Data Entry'!\753), "", 'Data Entry'!\753)</f>
      </c>
      <c r="AC753">
        <f>IF(ISBLANK('Data Entry'!]753), "", 'Data Entry'!]753)</f>
      </c>
      <c r="AD753">
        <f>IF(ISBLANK('Data Entry'!^753), "", 'Data Entry'!^753)</f>
      </c>
      <c r="AE753">
        <f>IF(ISBLANK('Data Entry'!_753), "", 'Data Entry'!_753)</f>
      </c>
      <c r="AF753">
        <f>IF(ISBLANK('Data Entry'!`753), "", 'Data Entry'!`753)</f>
      </c>
      <c r="AG753">
        <f>IF(ISBLANK('Data Entry'!a753), "", 'Data Entry'!a753)</f>
      </c>
      <c r="AH753">
        <f>IF(ISBLANK('Data Entry'!b753), "", 'Data Entry'!b753)</f>
      </c>
      <c r="AI753">
        <f>IF(ISBLANK('Data Entry'!c753), "", 'Data Entry'!c753)</f>
      </c>
      <c r="AJ753">
        <f>IF(ISBLANK('Data Entry'!d753), "", 'Data Entry'!d753)</f>
      </c>
      <c r="AK753">
        <f>IF(ISBLANK('Data Entry'!e753), "", 'Data Entry'!e753)</f>
      </c>
      <c r="AL753">
        <f>IF(ISBLANK('Data Entry'!f753), "", 'Data Entry'!f753)</f>
      </c>
      <c r="AM753">
        <f>IF(ISBLANK('Data Entry'!g753), "", 'Data Entry'!g753)</f>
      </c>
      <c r="AN753">
        <f>IF(ISBLANK('Data Entry'!h753), "", 'Data Entry'!h753)</f>
      </c>
    </row>
    <row r="754" spans="1:40" x14ac:dyDescent="0.25">
      <c r="A754">
        <f>IF(ISBLANK('Data Entry'!A754), "", 'Data Entry'!A754)</f>
      </c>
      <c r="B754">
        <f>IF(ISBLANK('Data Entry'!B754), "", 'Data Entry'!B754)</f>
      </c>
      <c r="C754">
        <f>IF(ISBLANK('Data Entry'!C754), "", 'Data Entry'!C754)</f>
      </c>
      <c r="D754">
        <f>IF(ISBLANK('Data Entry'!D754), "", 'Data Entry'!D754)</f>
      </c>
      <c r="E754">
        <f>IF(ISBLANK('Data Entry'!E754), "", 'Data Entry'!E754)</f>
      </c>
      <c r="F754">
        <f>IF(ISBLANK('Data Entry'!F754), "", 'Data Entry'!F754)</f>
      </c>
      <c r="G754">
        <f>IF(ISBLANK('Data Entry'!G754), "", 'Data Entry'!G754)</f>
      </c>
      <c r="H754">
        <f>IF(ISBLANK('Data Entry'!H754), "", 'Data Entry'!H754)</f>
      </c>
      <c r="I754">
        <f>IF(ISBLANK('Data Entry'!I754), "", 'Data Entry'!I754)</f>
      </c>
      <c r="J754">
        <f>IF(ISBLANK('Data Entry'!J754), "", 'Data Entry'!J754)</f>
      </c>
      <c r="K754">
        <f>IF(ISBLANK('Data Entry'!K754), "", 'Data Entry'!K754)</f>
      </c>
      <c r="L754">
        <f>IF(ISBLANK('Data Entry'!L754), "", 'Data Entry'!L754)</f>
      </c>
      <c r="M754">
        <f>IF(ISBLANK('Data Entry'!M754), "", 'Data Entry'!M754)</f>
      </c>
      <c r="N754">
        <f>IF(ISBLANK('Data Entry'!N754), "", 'Data Entry'!N754)</f>
      </c>
      <c r="O754">
        <f>IF(ISBLANK('Data Entry'!O754), "", 'Data Entry'!O754)</f>
      </c>
      <c r="P754">
        <f>IF(ISBLANK('Data Entry'!P754), "", 'Data Entry'!P754)</f>
      </c>
      <c r="Q754">
        <f>IF(ISBLANK('Data Entry'!Q754), "", 'Data Entry'!Q754)</f>
      </c>
      <c r="R754">
        <f>IF(ISBLANK('Data Entry'!R754), "", 'Data Entry'!R754)</f>
      </c>
      <c r="S754">
        <f>IF(ISBLANK('Data Entry'!S754), "", 'Data Entry'!S754)</f>
      </c>
      <c r="T754">
        <f>IF(ISBLANK('Data Entry'!T754), "", 'Data Entry'!T754)</f>
      </c>
      <c r="U754">
        <f>IF(ISBLANK('Data Entry'!U754), "", 'Data Entry'!U754)</f>
      </c>
      <c r="V754">
        <f>IF(ISBLANK('Data Entry'!V754), "", 'Data Entry'!V754)</f>
      </c>
      <c r="W754">
        <f>IF(ISBLANK('Data Entry'!W754), "", 'Data Entry'!W754)</f>
      </c>
      <c r="X754">
        <f>IF(ISBLANK('Data Entry'!X754), "", 'Data Entry'!X754)</f>
      </c>
      <c r="Y754">
        <f>IF(ISBLANK('Data Entry'!Y754), "", 'Data Entry'!Y754)</f>
      </c>
      <c r="Z754">
        <f>IF(ISBLANK('Data Entry'!Z754), "", 'Data Entry'!Z754)</f>
      </c>
      <c r="AA754">
        <f>IF(ISBLANK('Data Entry'![754), "", 'Data Entry'![754)</f>
      </c>
      <c r="AB754">
        <f>IF(ISBLANK('Data Entry'!\754), "", 'Data Entry'!\754)</f>
      </c>
      <c r="AC754">
        <f>IF(ISBLANK('Data Entry'!]754), "", 'Data Entry'!]754)</f>
      </c>
      <c r="AD754">
        <f>IF(ISBLANK('Data Entry'!^754), "", 'Data Entry'!^754)</f>
      </c>
      <c r="AE754">
        <f>IF(ISBLANK('Data Entry'!_754), "", 'Data Entry'!_754)</f>
      </c>
      <c r="AF754">
        <f>IF(ISBLANK('Data Entry'!`754), "", 'Data Entry'!`754)</f>
      </c>
      <c r="AG754">
        <f>IF(ISBLANK('Data Entry'!a754), "", 'Data Entry'!a754)</f>
      </c>
      <c r="AH754">
        <f>IF(ISBLANK('Data Entry'!b754), "", 'Data Entry'!b754)</f>
      </c>
      <c r="AI754">
        <f>IF(ISBLANK('Data Entry'!c754), "", 'Data Entry'!c754)</f>
      </c>
      <c r="AJ754">
        <f>IF(ISBLANK('Data Entry'!d754), "", 'Data Entry'!d754)</f>
      </c>
      <c r="AK754">
        <f>IF(ISBLANK('Data Entry'!e754), "", 'Data Entry'!e754)</f>
      </c>
      <c r="AL754">
        <f>IF(ISBLANK('Data Entry'!f754), "", 'Data Entry'!f754)</f>
      </c>
      <c r="AM754">
        <f>IF(ISBLANK('Data Entry'!g754), "", 'Data Entry'!g754)</f>
      </c>
      <c r="AN754">
        <f>IF(ISBLANK('Data Entry'!h754), "", 'Data Entry'!h754)</f>
      </c>
    </row>
    <row r="755" spans="1:40" x14ac:dyDescent="0.25">
      <c r="A755">
        <f>IF(ISBLANK('Data Entry'!A755), "", 'Data Entry'!A755)</f>
      </c>
      <c r="B755">
        <f>IF(ISBLANK('Data Entry'!B755), "", 'Data Entry'!B755)</f>
      </c>
      <c r="C755">
        <f>IF(ISBLANK('Data Entry'!C755), "", 'Data Entry'!C755)</f>
      </c>
      <c r="D755">
        <f>IF(ISBLANK('Data Entry'!D755), "", 'Data Entry'!D755)</f>
      </c>
      <c r="E755">
        <f>IF(ISBLANK('Data Entry'!E755), "", 'Data Entry'!E755)</f>
      </c>
      <c r="F755">
        <f>IF(ISBLANK('Data Entry'!F755), "", 'Data Entry'!F755)</f>
      </c>
      <c r="G755">
        <f>IF(ISBLANK('Data Entry'!G755), "", 'Data Entry'!G755)</f>
      </c>
      <c r="H755">
        <f>IF(ISBLANK('Data Entry'!H755), "", 'Data Entry'!H755)</f>
      </c>
      <c r="I755">
        <f>IF(ISBLANK('Data Entry'!I755), "", 'Data Entry'!I755)</f>
      </c>
      <c r="J755">
        <f>IF(ISBLANK('Data Entry'!J755), "", 'Data Entry'!J755)</f>
      </c>
      <c r="K755">
        <f>IF(ISBLANK('Data Entry'!K755), "", 'Data Entry'!K755)</f>
      </c>
      <c r="L755">
        <f>IF(ISBLANK('Data Entry'!L755), "", 'Data Entry'!L755)</f>
      </c>
      <c r="M755">
        <f>IF(ISBLANK('Data Entry'!M755), "", 'Data Entry'!M755)</f>
      </c>
      <c r="N755">
        <f>IF(ISBLANK('Data Entry'!N755), "", 'Data Entry'!N755)</f>
      </c>
      <c r="O755">
        <f>IF(ISBLANK('Data Entry'!O755), "", 'Data Entry'!O755)</f>
      </c>
      <c r="P755">
        <f>IF(ISBLANK('Data Entry'!P755), "", 'Data Entry'!P755)</f>
      </c>
      <c r="Q755">
        <f>IF(ISBLANK('Data Entry'!Q755), "", 'Data Entry'!Q755)</f>
      </c>
      <c r="R755">
        <f>IF(ISBLANK('Data Entry'!R755), "", 'Data Entry'!R755)</f>
      </c>
      <c r="S755">
        <f>IF(ISBLANK('Data Entry'!S755), "", 'Data Entry'!S755)</f>
      </c>
      <c r="T755">
        <f>IF(ISBLANK('Data Entry'!T755), "", 'Data Entry'!T755)</f>
      </c>
      <c r="U755">
        <f>IF(ISBLANK('Data Entry'!U755), "", 'Data Entry'!U755)</f>
      </c>
      <c r="V755">
        <f>IF(ISBLANK('Data Entry'!V755), "", 'Data Entry'!V755)</f>
      </c>
      <c r="W755">
        <f>IF(ISBLANK('Data Entry'!W755), "", 'Data Entry'!W755)</f>
      </c>
      <c r="X755">
        <f>IF(ISBLANK('Data Entry'!X755), "", 'Data Entry'!X755)</f>
      </c>
      <c r="Y755">
        <f>IF(ISBLANK('Data Entry'!Y755), "", 'Data Entry'!Y755)</f>
      </c>
      <c r="Z755">
        <f>IF(ISBLANK('Data Entry'!Z755), "", 'Data Entry'!Z755)</f>
      </c>
      <c r="AA755">
        <f>IF(ISBLANK('Data Entry'![755), "", 'Data Entry'![755)</f>
      </c>
      <c r="AB755">
        <f>IF(ISBLANK('Data Entry'!\755), "", 'Data Entry'!\755)</f>
      </c>
      <c r="AC755">
        <f>IF(ISBLANK('Data Entry'!]755), "", 'Data Entry'!]755)</f>
      </c>
      <c r="AD755">
        <f>IF(ISBLANK('Data Entry'!^755), "", 'Data Entry'!^755)</f>
      </c>
      <c r="AE755">
        <f>IF(ISBLANK('Data Entry'!_755), "", 'Data Entry'!_755)</f>
      </c>
      <c r="AF755">
        <f>IF(ISBLANK('Data Entry'!`755), "", 'Data Entry'!`755)</f>
      </c>
      <c r="AG755">
        <f>IF(ISBLANK('Data Entry'!a755), "", 'Data Entry'!a755)</f>
      </c>
      <c r="AH755">
        <f>IF(ISBLANK('Data Entry'!b755), "", 'Data Entry'!b755)</f>
      </c>
      <c r="AI755">
        <f>IF(ISBLANK('Data Entry'!c755), "", 'Data Entry'!c755)</f>
      </c>
      <c r="AJ755">
        <f>IF(ISBLANK('Data Entry'!d755), "", 'Data Entry'!d755)</f>
      </c>
      <c r="AK755">
        <f>IF(ISBLANK('Data Entry'!e755), "", 'Data Entry'!e755)</f>
      </c>
      <c r="AL755">
        <f>IF(ISBLANK('Data Entry'!f755), "", 'Data Entry'!f755)</f>
      </c>
      <c r="AM755">
        <f>IF(ISBLANK('Data Entry'!g755), "", 'Data Entry'!g755)</f>
      </c>
      <c r="AN755">
        <f>IF(ISBLANK('Data Entry'!h755), "", 'Data Entry'!h755)</f>
      </c>
    </row>
    <row r="756" spans="1:40" x14ac:dyDescent="0.25">
      <c r="A756">
        <f>IF(ISBLANK('Data Entry'!A756), "", 'Data Entry'!A756)</f>
      </c>
      <c r="B756">
        <f>IF(ISBLANK('Data Entry'!B756), "", 'Data Entry'!B756)</f>
      </c>
      <c r="C756">
        <f>IF(ISBLANK('Data Entry'!C756), "", 'Data Entry'!C756)</f>
      </c>
      <c r="D756">
        <f>IF(ISBLANK('Data Entry'!D756), "", 'Data Entry'!D756)</f>
      </c>
      <c r="E756">
        <f>IF(ISBLANK('Data Entry'!E756), "", 'Data Entry'!E756)</f>
      </c>
      <c r="F756">
        <f>IF(ISBLANK('Data Entry'!F756), "", 'Data Entry'!F756)</f>
      </c>
      <c r="G756">
        <f>IF(ISBLANK('Data Entry'!G756), "", 'Data Entry'!G756)</f>
      </c>
      <c r="H756">
        <f>IF(ISBLANK('Data Entry'!H756), "", 'Data Entry'!H756)</f>
      </c>
      <c r="I756">
        <f>IF(ISBLANK('Data Entry'!I756), "", 'Data Entry'!I756)</f>
      </c>
      <c r="J756">
        <f>IF(ISBLANK('Data Entry'!J756), "", 'Data Entry'!J756)</f>
      </c>
      <c r="K756">
        <f>IF(ISBLANK('Data Entry'!K756), "", 'Data Entry'!K756)</f>
      </c>
      <c r="L756">
        <f>IF(ISBLANK('Data Entry'!L756), "", 'Data Entry'!L756)</f>
      </c>
      <c r="M756">
        <f>IF(ISBLANK('Data Entry'!M756), "", 'Data Entry'!M756)</f>
      </c>
      <c r="N756">
        <f>IF(ISBLANK('Data Entry'!N756), "", 'Data Entry'!N756)</f>
      </c>
      <c r="O756">
        <f>IF(ISBLANK('Data Entry'!O756), "", 'Data Entry'!O756)</f>
      </c>
      <c r="P756">
        <f>IF(ISBLANK('Data Entry'!P756), "", 'Data Entry'!P756)</f>
      </c>
      <c r="Q756">
        <f>IF(ISBLANK('Data Entry'!Q756), "", 'Data Entry'!Q756)</f>
      </c>
      <c r="R756">
        <f>IF(ISBLANK('Data Entry'!R756), "", 'Data Entry'!R756)</f>
      </c>
      <c r="S756">
        <f>IF(ISBLANK('Data Entry'!S756), "", 'Data Entry'!S756)</f>
      </c>
      <c r="T756">
        <f>IF(ISBLANK('Data Entry'!T756), "", 'Data Entry'!T756)</f>
      </c>
      <c r="U756">
        <f>IF(ISBLANK('Data Entry'!U756), "", 'Data Entry'!U756)</f>
      </c>
      <c r="V756">
        <f>IF(ISBLANK('Data Entry'!V756), "", 'Data Entry'!V756)</f>
      </c>
      <c r="W756">
        <f>IF(ISBLANK('Data Entry'!W756), "", 'Data Entry'!W756)</f>
      </c>
      <c r="X756">
        <f>IF(ISBLANK('Data Entry'!X756), "", 'Data Entry'!X756)</f>
      </c>
      <c r="Y756">
        <f>IF(ISBLANK('Data Entry'!Y756), "", 'Data Entry'!Y756)</f>
      </c>
      <c r="Z756">
        <f>IF(ISBLANK('Data Entry'!Z756), "", 'Data Entry'!Z756)</f>
      </c>
      <c r="AA756">
        <f>IF(ISBLANK('Data Entry'![756), "", 'Data Entry'![756)</f>
      </c>
      <c r="AB756">
        <f>IF(ISBLANK('Data Entry'!\756), "", 'Data Entry'!\756)</f>
      </c>
      <c r="AC756">
        <f>IF(ISBLANK('Data Entry'!]756), "", 'Data Entry'!]756)</f>
      </c>
      <c r="AD756">
        <f>IF(ISBLANK('Data Entry'!^756), "", 'Data Entry'!^756)</f>
      </c>
      <c r="AE756">
        <f>IF(ISBLANK('Data Entry'!_756), "", 'Data Entry'!_756)</f>
      </c>
      <c r="AF756">
        <f>IF(ISBLANK('Data Entry'!`756), "", 'Data Entry'!`756)</f>
      </c>
      <c r="AG756">
        <f>IF(ISBLANK('Data Entry'!a756), "", 'Data Entry'!a756)</f>
      </c>
      <c r="AH756">
        <f>IF(ISBLANK('Data Entry'!b756), "", 'Data Entry'!b756)</f>
      </c>
      <c r="AI756">
        <f>IF(ISBLANK('Data Entry'!c756), "", 'Data Entry'!c756)</f>
      </c>
      <c r="AJ756">
        <f>IF(ISBLANK('Data Entry'!d756), "", 'Data Entry'!d756)</f>
      </c>
      <c r="AK756">
        <f>IF(ISBLANK('Data Entry'!e756), "", 'Data Entry'!e756)</f>
      </c>
      <c r="AL756">
        <f>IF(ISBLANK('Data Entry'!f756), "", 'Data Entry'!f756)</f>
      </c>
      <c r="AM756">
        <f>IF(ISBLANK('Data Entry'!g756), "", 'Data Entry'!g756)</f>
      </c>
      <c r="AN756">
        <f>IF(ISBLANK('Data Entry'!h756), "", 'Data Entry'!h756)</f>
      </c>
    </row>
    <row r="757" spans="1:40" x14ac:dyDescent="0.25">
      <c r="A757">
        <f>IF(ISBLANK('Data Entry'!A757), "", 'Data Entry'!A757)</f>
      </c>
      <c r="B757">
        <f>IF(ISBLANK('Data Entry'!B757), "", 'Data Entry'!B757)</f>
      </c>
      <c r="C757">
        <f>IF(ISBLANK('Data Entry'!C757), "", 'Data Entry'!C757)</f>
      </c>
      <c r="D757">
        <f>IF(ISBLANK('Data Entry'!D757), "", 'Data Entry'!D757)</f>
      </c>
      <c r="E757">
        <f>IF(ISBLANK('Data Entry'!E757), "", 'Data Entry'!E757)</f>
      </c>
      <c r="F757">
        <f>IF(ISBLANK('Data Entry'!F757), "", 'Data Entry'!F757)</f>
      </c>
      <c r="G757">
        <f>IF(ISBLANK('Data Entry'!G757), "", 'Data Entry'!G757)</f>
      </c>
      <c r="H757">
        <f>IF(ISBLANK('Data Entry'!H757), "", 'Data Entry'!H757)</f>
      </c>
      <c r="I757">
        <f>IF(ISBLANK('Data Entry'!I757), "", 'Data Entry'!I757)</f>
      </c>
      <c r="J757">
        <f>IF(ISBLANK('Data Entry'!J757), "", 'Data Entry'!J757)</f>
      </c>
      <c r="K757">
        <f>IF(ISBLANK('Data Entry'!K757), "", 'Data Entry'!K757)</f>
      </c>
      <c r="L757">
        <f>IF(ISBLANK('Data Entry'!L757), "", 'Data Entry'!L757)</f>
      </c>
      <c r="M757">
        <f>IF(ISBLANK('Data Entry'!M757), "", 'Data Entry'!M757)</f>
      </c>
      <c r="N757">
        <f>IF(ISBLANK('Data Entry'!N757), "", 'Data Entry'!N757)</f>
      </c>
      <c r="O757">
        <f>IF(ISBLANK('Data Entry'!O757), "", 'Data Entry'!O757)</f>
      </c>
      <c r="P757">
        <f>IF(ISBLANK('Data Entry'!P757), "", 'Data Entry'!P757)</f>
      </c>
      <c r="Q757">
        <f>IF(ISBLANK('Data Entry'!Q757), "", 'Data Entry'!Q757)</f>
      </c>
      <c r="R757">
        <f>IF(ISBLANK('Data Entry'!R757), "", 'Data Entry'!R757)</f>
      </c>
      <c r="S757">
        <f>IF(ISBLANK('Data Entry'!S757), "", 'Data Entry'!S757)</f>
      </c>
      <c r="T757">
        <f>IF(ISBLANK('Data Entry'!T757), "", 'Data Entry'!T757)</f>
      </c>
      <c r="U757">
        <f>IF(ISBLANK('Data Entry'!U757), "", 'Data Entry'!U757)</f>
      </c>
      <c r="V757">
        <f>IF(ISBLANK('Data Entry'!V757), "", 'Data Entry'!V757)</f>
      </c>
      <c r="W757">
        <f>IF(ISBLANK('Data Entry'!W757), "", 'Data Entry'!W757)</f>
      </c>
      <c r="X757">
        <f>IF(ISBLANK('Data Entry'!X757), "", 'Data Entry'!X757)</f>
      </c>
      <c r="Y757">
        <f>IF(ISBLANK('Data Entry'!Y757), "", 'Data Entry'!Y757)</f>
      </c>
      <c r="Z757">
        <f>IF(ISBLANK('Data Entry'!Z757), "", 'Data Entry'!Z757)</f>
      </c>
      <c r="AA757">
        <f>IF(ISBLANK('Data Entry'![757), "", 'Data Entry'![757)</f>
      </c>
      <c r="AB757">
        <f>IF(ISBLANK('Data Entry'!\757), "", 'Data Entry'!\757)</f>
      </c>
      <c r="AC757">
        <f>IF(ISBLANK('Data Entry'!]757), "", 'Data Entry'!]757)</f>
      </c>
      <c r="AD757">
        <f>IF(ISBLANK('Data Entry'!^757), "", 'Data Entry'!^757)</f>
      </c>
      <c r="AE757">
        <f>IF(ISBLANK('Data Entry'!_757), "", 'Data Entry'!_757)</f>
      </c>
      <c r="AF757">
        <f>IF(ISBLANK('Data Entry'!`757), "", 'Data Entry'!`757)</f>
      </c>
      <c r="AG757">
        <f>IF(ISBLANK('Data Entry'!a757), "", 'Data Entry'!a757)</f>
      </c>
      <c r="AH757">
        <f>IF(ISBLANK('Data Entry'!b757), "", 'Data Entry'!b757)</f>
      </c>
      <c r="AI757">
        <f>IF(ISBLANK('Data Entry'!c757), "", 'Data Entry'!c757)</f>
      </c>
      <c r="AJ757">
        <f>IF(ISBLANK('Data Entry'!d757), "", 'Data Entry'!d757)</f>
      </c>
      <c r="AK757">
        <f>IF(ISBLANK('Data Entry'!e757), "", 'Data Entry'!e757)</f>
      </c>
      <c r="AL757">
        <f>IF(ISBLANK('Data Entry'!f757), "", 'Data Entry'!f757)</f>
      </c>
      <c r="AM757">
        <f>IF(ISBLANK('Data Entry'!g757), "", 'Data Entry'!g757)</f>
      </c>
      <c r="AN757">
        <f>IF(ISBLANK('Data Entry'!h757), "", 'Data Entry'!h757)</f>
      </c>
    </row>
    <row r="758" spans="1:40" x14ac:dyDescent="0.25">
      <c r="A758">
        <f>IF(ISBLANK('Data Entry'!A758), "", 'Data Entry'!A758)</f>
      </c>
      <c r="B758">
        <f>IF(ISBLANK('Data Entry'!B758), "", 'Data Entry'!B758)</f>
      </c>
      <c r="C758">
        <f>IF(ISBLANK('Data Entry'!C758), "", 'Data Entry'!C758)</f>
      </c>
      <c r="D758">
        <f>IF(ISBLANK('Data Entry'!D758), "", 'Data Entry'!D758)</f>
      </c>
      <c r="E758">
        <f>IF(ISBLANK('Data Entry'!E758), "", 'Data Entry'!E758)</f>
      </c>
      <c r="F758">
        <f>IF(ISBLANK('Data Entry'!F758), "", 'Data Entry'!F758)</f>
      </c>
      <c r="G758">
        <f>IF(ISBLANK('Data Entry'!G758), "", 'Data Entry'!G758)</f>
      </c>
      <c r="H758">
        <f>IF(ISBLANK('Data Entry'!H758), "", 'Data Entry'!H758)</f>
      </c>
      <c r="I758">
        <f>IF(ISBLANK('Data Entry'!I758), "", 'Data Entry'!I758)</f>
      </c>
      <c r="J758">
        <f>IF(ISBLANK('Data Entry'!J758), "", 'Data Entry'!J758)</f>
      </c>
      <c r="K758">
        <f>IF(ISBLANK('Data Entry'!K758), "", 'Data Entry'!K758)</f>
      </c>
      <c r="L758">
        <f>IF(ISBLANK('Data Entry'!L758), "", 'Data Entry'!L758)</f>
      </c>
      <c r="M758">
        <f>IF(ISBLANK('Data Entry'!M758), "", 'Data Entry'!M758)</f>
      </c>
      <c r="N758">
        <f>IF(ISBLANK('Data Entry'!N758), "", 'Data Entry'!N758)</f>
      </c>
      <c r="O758">
        <f>IF(ISBLANK('Data Entry'!O758), "", 'Data Entry'!O758)</f>
      </c>
      <c r="P758">
        <f>IF(ISBLANK('Data Entry'!P758), "", 'Data Entry'!P758)</f>
      </c>
      <c r="Q758">
        <f>IF(ISBLANK('Data Entry'!Q758), "", 'Data Entry'!Q758)</f>
      </c>
      <c r="R758">
        <f>IF(ISBLANK('Data Entry'!R758), "", 'Data Entry'!R758)</f>
      </c>
      <c r="S758">
        <f>IF(ISBLANK('Data Entry'!S758), "", 'Data Entry'!S758)</f>
      </c>
      <c r="T758">
        <f>IF(ISBLANK('Data Entry'!T758), "", 'Data Entry'!T758)</f>
      </c>
      <c r="U758">
        <f>IF(ISBLANK('Data Entry'!U758), "", 'Data Entry'!U758)</f>
      </c>
      <c r="V758">
        <f>IF(ISBLANK('Data Entry'!V758), "", 'Data Entry'!V758)</f>
      </c>
      <c r="W758">
        <f>IF(ISBLANK('Data Entry'!W758), "", 'Data Entry'!W758)</f>
      </c>
      <c r="X758">
        <f>IF(ISBLANK('Data Entry'!X758), "", 'Data Entry'!X758)</f>
      </c>
      <c r="Y758">
        <f>IF(ISBLANK('Data Entry'!Y758), "", 'Data Entry'!Y758)</f>
      </c>
      <c r="Z758">
        <f>IF(ISBLANK('Data Entry'!Z758), "", 'Data Entry'!Z758)</f>
      </c>
      <c r="AA758">
        <f>IF(ISBLANK('Data Entry'![758), "", 'Data Entry'![758)</f>
      </c>
      <c r="AB758">
        <f>IF(ISBLANK('Data Entry'!\758), "", 'Data Entry'!\758)</f>
      </c>
      <c r="AC758">
        <f>IF(ISBLANK('Data Entry'!]758), "", 'Data Entry'!]758)</f>
      </c>
      <c r="AD758">
        <f>IF(ISBLANK('Data Entry'!^758), "", 'Data Entry'!^758)</f>
      </c>
      <c r="AE758">
        <f>IF(ISBLANK('Data Entry'!_758), "", 'Data Entry'!_758)</f>
      </c>
      <c r="AF758">
        <f>IF(ISBLANK('Data Entry'!`758), "", 'Data Entry'!`758)</f>
      </c>
      <c r="AG758">
        <f>IF(ISBLANK('Data Entry'!a758), "", 'Data Entry'!a758)</f>
      </c>
      <c r="AH758">
        <f>IF(ISBLANK('Data Entry'!b758), "", 'Data Entry'!b758)</f>
      </c>
      <c r="AI758">
        <f>IF(ISBLANK('Data Entry'!c758), "", 'Data Entry'!c758)</f>
      </c>
      <c r="AJ758">
        <f>IF(ISBLANK('Data Entry'!d758), "", 'Data Entry'!d758)</f>
      </c>
      <c r="AK758">
        <f>IF(ISBLANK('Data Entry'!e758), "", 'Data Entry'!e758)</f>
      </c>
      <c r="AL758">
        <f>IF(ISBLANK('Data Entry'!f758), "", 'Data Entry'!f758)</f>
      </c>
      <c r="AM758">
        <f>IF(ISBLANK('Data Entry'!g758), "", 'Data Entry'!g758)</f>
      </c>
      <c r="AN758">
        <f>IF(ISBLANK('Data Entry'!h758), "", 'Data Entry'!h758)</f>
      </c>
    </row>
    <row r="759" spans="1:40" x14ac:dyDescent="0.25">
      <c r="A759">
        <f>IF(ISBLANK('Data Entry'!A759), "", 'Data Entry'!A759)</f>
      </c>
      <c r="B759">
        <f>IF(ISBLANK('Data Entry'!B759), "", 'Data Entry'!B759)</f>
      </c>
      <c r="C759">
        <f>IF(ISBLANK('Data Entry'!C759), "", 'Data Entry'!C759)</f>
      </c>
      <c r="D759">
        <f>IF(ISBLANK('Data Entry'!D759), "", 'Data Entry'!D759)</f>
      </c>
      <c r="E759">
        <f>IF(ISBLANK('Data Entry'!E759), "", 'Data Entry'!E759)</f>
      </c>
      <c r="F759">
        <f>IF(ISBLANK('Data Entry'!F759), "", 'Data Entry'!F759)</f>
      </c>
      <c r="G759">
        <f>IF(ISBLANK('Data Entry'!G759), "", 'Data Entry'!G759)</f>
      </c>
      <c r="H759">
        <f>IF(ISBLANK('Data Entry'!H759), "", 'Data Entry'!H759)</f>
      </c>
      <c r="I759">
        <f>IF(ISBLANK('Data Entry'!I759), "", 'Data Entry'!I759)</f>
      </c>
      <c r="J759">
        <f>IF(ISBLANK('Data Entry'!J759), "", 'Data Entry'!J759)</f>
      </c>
      <c r="K759">
        <f>IF(ISBLANK('Data Entry'!K759), "", 'Data Entry'!K759)</f>
      </c>
      <c r="L759">
        <f>IF(ISBLANK('Data Entry'!L759), "", 'Data Entry'!L759)</f>
      </c>
      <c r="M759">
        <f>IF(ISBLANK('Data Entry'!M759), "", 'Data Entry'!M759)</f>
      </c>
      <c r="N759">
        <f>IF(ISBLANK('Data Entry'!N759), "", 'Data Entry'!N759)</f>
      </c>
      <c r="O759">
        <f>IF(ISBLANK('Data Entry'!O759), "", 'Data Entry'!O759)</f>
      </c>
      <c r="P759">
        <f>IF(ISBLANK('Data Entry'!P759), "", 'Data Entry'!P759)</f>
      </c>
      <c r="Q759">
        <f>IF(ISBLANK('Data Entry'!Q759), "", 'Data Entry'!Q759)</f>
      </c>
      <c r="R759">
        <f>IF(ISBLANK('Data Entry'!R759), "", 'Data Entry'!R759)</f>
      </c>
      <c r="S759">
        <f>IF(ISBLANK('Data Entry'!S759), "", 'Data Entry'!S759)</f>
      </c>
      <c r="T759">
        <f>IF(ISBLANK('Data Entry'!T759), "", 'Data Entry'!T759)</f>
      </c>
      <c r="U759">
        <f>IF(ISBLANK('Data Entry'!U759), "", 'Data Entry'!U759)</f>
      </c>
      <c r="V759">
        <f>IF(ISBLANK('Data Entry'!V759), "", 'Data Entry'!V759)</f>
      </c>
      <c r="W759">
        <f>IF(ISBLANK('Data Entry'!W759), "", 'Data Entry'!W759)</f>
      </c>
      <c r="X759">
        <f>IF(ISBLANK('Data Entry'!X759), "", 'Data Entry'!X759)</f>
      </c>
      <c r="Y759">
        <f>IF(ISBLANK('Data Entry'!Y759), "", 'Data Entry'!Y759)</f>
      </c>
      <c r="Z759">
        <f>IF(ISBLANK('Data Entry'!Z759), "", 'Data Entry'!Z759)</f>
      </c>
      <c r="AA759">
        <f>IF(ISBLANK('Data Entry'![759), "", 'Data Entry'![759)</f>
      </c>
      <c r="AB759">
        <f>IF(ISBLANK('Data Entry'!\759), "", 'Data Entry'!\759)</f>
      </c>
      <c r="AC759">
        <f>IF(ISBLANK('Data Entry'!]759), "", 'Data Entry'!]759)</f>
      </c>
      <c r="AD759">
        <f>IF(ISBLANK('Data Entry'!^759), "", 'Data Entry'!^759)</f>
      </c>
      <c r="AE759">
        <f>IF(ISBLANK('Data Entry'!_759), "", 'Data Entry'!_759)</f>
      </c>
      <c r="AF759">
        <f>IF(ISBLANK('Data Entry'!`759), "", 'Data Entry'!`759)</f>
      </c>
      <c r="AG759">
        <f>IF(ISBLANK('Data Entry'!a759), "", 'Data Entry'!a759)</f>
      </c>
      <c r="AH759">
        <f>IF(ISBLANK('Data Entry'!b759), "", 'Data Entry'!b759)</f>
      </c>
      <c r="AI759">
        <f>IF(ISBLANK('Data Entry'!c759), "", 'Data Entry'!c759)</f>
      </c>
      <c r="AJ759">
        <f>IF(ISBLANK('Data Entry'!d759), "", 'Data Entry'!d759)</f>
      </c>
      <c r="AK759">
        <f>IF(ISBLANK('Data Entry'!e759), "", 'Data Entry'!e759)</f>
      </c>
      <c r="AL759">
        <f>IF(ISBLANK('Data Entry'!f759), "", 'Data Entry'!f759)</f>
      </c>
      <c r="AM759">
        <f>IF(ISBLANK('Data Entry'!g759), "", 'Data Entry'!g759)</f>
      </c>
      <c r="AN759">
        <f>IF(ISBLANK('Data Entry'!h759), "", 'Data Entry'!h759)</f>
      </c>
    </row>
    <row r="760" spans="1:40" x14ac:dyDescent="0.25">
      <c r="A760">
        <f>IF(ISBLANK('Data Entry'!A760), "", 'Data Entry'!A760)</f>
      </c>
      <c r="B760">
        <f>IF(ISBLANK('Data Entry'!B760), "", 'Data Entry'!B760)</f>
      </c>
      <c r="C760">
        <f>IF(ISBLANK('Data Entry'!C760), "", 'Data Entry'!C760)</f>
      </c>
      <c r="D760">
        <f>IF(ISBLANK('Data Entry'!D760), "", 'Data Entry'!D760)</f>
      </c>
      <c r="E760">
        <f>IF(ISBLANK('Data Entry'!E760), "", 'Data Entry'!E760)</f>
      </c>
      <c r="F760">
        <f>IF(ISBLANK('Data Entry'!F760), "", 'Data Entry'!F760)</f>
      </c>
      <c r="G760">
        <f>IF(ISBLANK('Data Entry'!G760), "", 'Data Entry'!G760)</f>
      </c>
      <c r="H760">
        <f>IF(ISBLANK('Data Entry'!H760), "", 'Data Entry'!H760)</f>
      </c>
      <c r="I760">
        <f>IF(ISBLANK('Data Entry'!I760), "", 'Data Entry'!I760)</f>
      </c>
      <c r="J760">
        <f>IF(ISBLANK('Data Entry'!J760), "", 'Data Entry'!J760)</f>
      </c>
      <c r="K760">
        <f>IF(ISBLANK('Data Entry'!K760), "", 'Data Entry'!K760)</f>
      </c>
      <c r="L760">
        <f>IF(ISBLANK('Data Entry'!L760), "", 'Data Entry'!L760)</f>
      </c>
      <c r="M760">
        <f>IF(ISBLANK('Data Entry'!M760), "", 'Data Entry'!M760)</f>
      </c>
      <c r="N760">
        <f>IF(ISBLANK('Data Entry'!N760), "", 'Data Entry'!N760)</f>
      </c>
      <c r="O760">
        <f>IF(ISBLANK('Data Entry'!O760), "", 'Data Entry'!O760)</f>
      </c>
      <c r="P760">
        <f>IF(ISBLANK('Data Entry'!P760), "", 'Data Entry'!P760)</f>
      </c>
      <c r="Q760">
        <f>IF(ISBLANK('Data Entry'!Q760), "", 'Data Entry'!Q760)</f>
      </c>
      <c r="R760">
        <f>IF(ISBLANK('Data Entry'!R760), "", 'Data Entry'!R760)</f>
      </c>
      <c r="S760">
        <f>IF(ISBLANK('Data Entry'!S760), "", 'Data Entry'!S760)</f>
      </c>
      <c r="T760">
        <f>IF(ISBLANK('Data Entry'!T760), "", 'Data Entry'!T760)</f>
      </c>
      <c r="U760">
        <f>IF(ISBLANK('Data Entry'!U760), "", 'Data Entry'!U760)</f>
      </c>
      <c r="V760">
        <f>IF(ISBLANK('Data Entry'!V760), "", 'Data Entry'!V760)</f>
      </c>
      <c r="W760">
        <f>IF(ISBLANK('Data Entry'!W760), "", 'Data Entry'!W760)</f>
      </c>
      <c r="X760">
        <f>IF(ISBLANK('Data Entry'!X760), "", 'Data Entry'!X760)</f>
      </c>
      <c r="Y760">
        <f>IF(ISBLANK('Data Entry'!Y760), "", 'Data Entry'!Y760)</f>
      </c>
      <c r="Z760">
        <f>IF(ISBLANK('Data Entry'!Z760), "", 'Data Entry'!Z760)</f>
      </c>
      <c r="AA760">
        <f>IF(ISBLANK('Data Entry'![760), "", 'Data Entry'![760)</f>
      </c>
      <c r="AB760">
        <f>IF(ISBLANK('Data Entry'!\760), "", 'Data Entry'!\760)</f>
      </c>
      <c r="AC760">
        <f>IF(ISBLANK('Data Entry'!]760), "", 'Data Entry'!]760)</f>
      </c>
      <c r="AD760">
        <f>IF(ISBLANK('Data Entry'!^760), "", 'Data Entry'!^760)</f>
      </c>
      <c r="AE760">
        <f>IF(ISBLANK('Data Entry'!_760), "", 'Data Entry'!_760)</f>
      </c>
      <c r="AF760">
        <f>IF(ISBLANK('Data Entry'!`760), "", 'Data Entry'!`760)</f>
      </c>
      <c r="AG760">
        <f>IF(ISBLANK('Data Entry'!a760), "", 'Data Entry'!a760)</f>
      </c>
      <c r="AH760">
        <f>IF(ISBLANK('Data Entry'!b760), "", 'Data Entry'!b760)</f>
      </c>
      <c r="AI760">
        <f>IF(ISBLANK('Data Entry'!c760), "", 'Data Entry'!c760)</f>
      </c>
      <c r="AJ760">
        <f>IF(ISBLANK('Data Entry'!d760), "", 'Data Entry'!d760)</f>
      </c>
      <c r="AK760">
        <f>IF(ISBLANK('Data Entry'!e760), "", 'Data Entry'!e760)</f>
      </c>
      <c r="AL760">
        <f>IF(ISBLANK('Data Entry'!f760), "", 'Data Entry'!f760)</f>
      </c>
      <c r="AM760">
        <f>IF(ISBLANK('Data Entry'!g760), "", 'Data Entry'!g760)</f>
      </c>
      <c r="AN760">
        <f>IF(ISBLANK('Data Entry'!h760), "", 'Data Entry'!h760)</f>
      </c>
    </row>
    <row r="761" spans="1:40" x14ac:dyDescent="0.25">
      <c r="A761">
        <f>IF(ISBLANK('Data Entry'!A761), "", 'Data Entry'!A761)</f>
      </c>
      <c r="B761">
        <f>IF(ISBLANK('Data Entry'!B761), "", 'Data Entry'!B761)</f>
      </c>
      <c r="C761">
        <f>IF(ISBLANK('Data Entry'!C761), "", 'Data Entry'!C761)</f>
      </c>
      <c r="D761">
        <f>IF(ISBLANK('Data Entry'!D761), "", 'Data Entry'!D761)</f>
      </c>
      <c r="E761">
        <f>IF(ISBLANK('Data Entry'!E761), "", 'Data Entry'!E761)</f>
      </c>
      <c r="F761">
        <f>IF(ISBLANK('Data Entry'!F761), "", 'Data Entry'!F761)</f>
      </c>
      <c r="G761">
        <f>IF(ISBLANK('Data Entry'!G761), "", 'Data Entry'!G761)</f>
      </c>
      <c r="H761">
        <f>IF(ISBLANK('Data Entry'!H761), "", 'Data Entry'!H761)</f>
      </c>
      <c r="I761">
        <f>IF(ISBLANK('Data Entry'!I761), "", 'Data Entry'!I761)</f>
      </c>
      <c r="J761">
        <f>IF(ISBLANK('Data Entry'!J761), "", 'Data Entry'!J761)</f>
      </c>
      <c r="K761">
        <f>IF(ISBLANK('Data Entry'!K761), "", 'Data Entry'!K761)</f>
      </c>
      <c r="L761">
        <f>IF(ISBLANK('Data Entry'!L761), "", 'Data Entry'!L761)</f>
      </c>
      <c r="M761">
        <f>IF(ISBLANK('Data Entry'!M761), "", 'Data Entry'!M761)</f>
      </c>
      <c r="N761">
        <f>IF(ISBLANK('Data Entry'!N761), "", 'Data Entry'!N761)</f>
      </c>
      <c r="O761">
        <f>IF(ISBLANK('Data Entry'!O761), "", 'Data Entry'!O761)</f>
      </c>
      <c r="P761">
        <f>IF(ISBLANK('Data Entry'!P761), "", 'Data Entry'!P761)</f>
      </c>
      <c r="Q761">
        <f>IF(ISBLANK('Data Entry'!Q761), "", 'Data Entry'!Q761)</f>
      </c>
      <c r="R761">
        <f>IF(ISBLANK('Data Entry'!R761), "", 'Data Entry'!R761)</f>
      </c>
      <c r="S761">
        <f>IF(ISBLANK('Data Entry'!S761), "", 'Data Entry'!S761)</f>
      </c>
      <c r="T761">
        <f>IF(ISBLANK('Data Entry'!T761), "", 'Data Entry'!T761)</f>
      </c>
      <c r="U761">
        <f>IF(ISBLANK('Data Entry'!U761), "", 'Data Entry'!U761)</f>
      </c>
      <c r="V761">
        <f>IF(ISBLANK('Data Entry'!V761), "", 'Data Entry'!V761)</f>
      </c>
      <c r="W761">
        <f>IF(ISBLANK('Data Entry'!W761), "", 'Data Entry'!W761)</f>
      </c>
      <c r="X761">
        <f>IF(ISBLANK('Data Entry'!X761), "", 'Data Entry'!X761)</f>
      </c>
      <c r="Y761">
        <f>IF(ISBLANK('Data Entry'!Y761), "", 'Data Entry'!Y761)</f>
      </c>
      <c r="Z761">
        <f>IF(ISBLANK('Data Entry'!Z761), "", 'Data Entry'!Z761)</f>
      </c>
      <c r="AA761">
        <f>IF(ISBLANK('Data Entry'![761), "", 'Data Entry'![761)</f>
      </c>
      <c r="AB761">
        <f>IF(ISBLANK('Data Entry'!\761), "", 'Data Entry'!\761)</f>
      </c>
      <c r="AC761">
        <f>IF(ISBLANK('Data Entry'!]761), "", 'Data Entry'!]761)</f>
      </c>
      <c r="AD761">
        <f>IF(ISBLANK('Data Entry'!^761), "", 'Data Entry'!^761)</f>
      </c>
      <c r="AE761">
        <f>IF(ISBLANK('Data Entry'!_761), "", 'Data Entry'!_761)</f>
      </c>
      <c r="AF761">
        <f>IF(ISBLANK('Data Entry'!`761), "", 'Data Entry'!`761)</f>
      </c>
      <c r="AG761">
        <f>IF(ISBLANK('Data Entry'!a761), "", 'Data Entry'!a761)</f>
      </c>
      <c r="AH761">
        <f>IF(ISBLANK('Data Entry'!b761), "", 'Data Entry'!b761)</f>
      </c>
      <c r="AI761">
        <f>IF(ISBLANK('Data Entry'!c761), "", 'Data Entry'!c761)</f>
      </c>
      <c r="AJ761">
        <f>IF(ISBLANK('Data Entry'!d761), "", 'Data Entry'!d761)</f>
      </c>
      <c r="AK761">
        <f>IF(ISBLANK('Data Entry'!e761), "", 'Data Entry'!e761)</f>
      </c>
      <c r="AL761">
        <f>IF(ISBLANK('Data Entry'!f761), "", 'Data Entry'!f761)</f>
      </c>
      <c r="AM761">
        <f>IF(ISBLANK('Data Entry'!g761), "", 'Data Entry'!g761)</f>
      </c>
      <c r="AN761">
        <f>IF(ISBLANK('Data Entry'!h761), "", 'Data Entry'!h761)</f>
      </c>
    </row>
    <row r="762" spans="1:40" x14ac:dyDescent="0.25">
      <c r="A762">
        <f>IF(ISBLANK('Data Entry'!A762), "", 'Data Entry'!A762)</f>
      </c>
      <c r="B762">
        <f>IF(ISBLANK('Data Entry'!B762), "", 'Data Entry'!B762)</f>
      </c>
      <c r="C762">
        <f>IF(ISBLANK('Data Entry'!C762), "", 'Data Entry'!C762)</f>
      </c>
      <c r="D762">
        <f>IF(ISBLANK('Data Entry'!D762), "", 'Data Entry'!D762)</f>
      </c>
      <c r="E762">
        <f>IF(ISBLANK('Data Entry'!E762), "", 'Data Entry'!E762)</f>
      </c>
      <c r="F762">
        <f>IF(ISBLANK('Data Entry'!F762), "", 'Data Entry'!F762)</f>
      </c>
      <c r="G762">
        <f>IF(ISBLANK('Data Entry'!G762), "", 'Data Entry'!G762)</f>
      </c>
      <c r="H762">
        <f>IF(ISBLANK('Data Entry'!H762), "", 'Data Entry'!H762)</f>
      </c>
      <c r="I762">
        <f>IF(ISBLANK('Data Entry'!I762), "", 'Data Entry'!I762)</f>
      </c>
      <c r="J762">
        <f>IF(ISBLANK('Data Entry'!J762), "", 'Data Entry'!J762)</f>
      </c>
      <c r="K762">
        <f>IF(ISBLANK('Data Entry'!K762), "", 'Data Entry'!K762)</f>
      </c>
      <c r="L762">
        <f>IF(ISBLANK('Data Entry'!L762), "", 'Data Entry'!L762)</f>
      </c>
      <c r="M762">
        <f>IF(ISBLANK('Data Entry'!M762), "", 'Data Entry'!M762)</f>
      </c>
      <c r="N762">
        <f>IF(ISBLANK('Data Entry'!N762), "", 'Data Entry'!N762)</f>
      </c>
      <c r="O762">
        <f>IF(ISBLANK('Data Entry'!O762), "", 'Data Entry'!O762)</f>
      </c>
      <c r="P762">
        <f>IF(ISBLANK('Data Entry'!P762), "", 'Data Entry'!P762)</f>
      </c>
      <c r="Q762">
        <f>IF(ISBLANK('Data Entry'!Q762), "", 'Data Entry'!Q762)</f>
      </c>
      <c r="R762">
        <f>IF(ISBLANK('Data Entry'!R762), "", 'Data Entry'!R762)</f>
      </c>
      <c r="S762">
        <f>IF(ISBLANK('Data Entry'!S762), "", 'Data Entry'!S762)</f>
      </c>
      <c r="T762">
        <f>IF(ISBLANK('Data Entry'!T762), "", 'Data Entry'!T762)</f>
      </c>
      <c r="U762">
        <f>IF(ISBLANK('Data Entry'!U762), "", 'Data Entry'!U762)</f>
      </c>
      <c r="V762">
        <f>IF(ISBLANK('Data Entry'!V762), "", 'Data Entry'!V762)</f>
      </c>
      <c r="W762">
        <f>IF(ISBLANK('Data Entry'!W762), "", 'Data Entry'!W762)</f>
      </c>
      <c r="X762">
        <f>IF(ISBLANK('Data Entry'!X762), "", 'Data Entry'!X762)</f>
      </c>
      <c r="Y762">
        <f>IF(ISBLANK('Data Entry'!Y762), "", 'Data Entry'!Y762)</f>
      </c>
      <c r="Z762">
        <f>IF(ISBLANK('Data Entry'!Z762), "", 'Data Entry'!Z762)</f>
      </c>
      <c r="AA762">
        <f>IF(ISBLANK('Data Entry'![762), "", 'Data Entry'![762)</f>
      </c>
      <c r="AB762">
        <f>IF(ISBLANK('Data Entry'!\762), "", 'Data Entry'!\762)</f>
      </c>
      <c r="AC762">
        <f>IF(ISBLANK('Data Entry'!]762), "", 'Data Entry'!]762)</f>
      </c>
      <c r="AD762">
        <f>IF(ISBLANK('Data Entry'!^762), "", 'Data Entry'!^762)</f>
      </c>
      <c r="AE762">
        <f>IF(ISBLANK('Data Entry'!_762), "", 'Data Entry'!_762)</f>
      </c>
      <c r="AF762">
        <f>IF(ISBLANK('Data Entry'!`762), "", 'Data Entry'!`762)</f>
      </c>
      <c r="AG762">
        <f>IF(ISBLANK('Data Entry'!a762), "", 'Data Entry'!a762)</f>
      </c>
      <c r="AH762">
        <f>IF(ISBLANK('Data Entry'!b762), "", 'Data Entry'!b762)</f>
      </c>
      <c r="AI762">
        <f>IF(ISBLANK('Data Entry'!c762), "", 'Data Entry'!c762)</f>
      </c>
      <c r="AJ762">
        <f>IF(ISBLANK('Data Entry'!d762), "", 'Data Entry'!d762)</f>
      </c>
      <c r="AK762">
        <f>IF(ISBLANK('Data Entry'!e762), "", 'Data Entry'!e762)</f>
      </c>
      <c r="AL762">
        <f>IF(ISBLANK('Data Entry'!f762), "", 'Data Entry'!f762)</f>
      </c>
      <c r="AM762">
        <f>IF(ISBLANK('Data Entry'!g762), "", 'Data Entry'!g762)</f>
      </c>
      <c r="AN762">
        <f>IF(ISBLANK('Data Entry'!h762), "", 'Data Entry'!h762)</f>
      </c>
    </row>
    <row r="763" spans="1:40" x14ac:dyDescent="0.25">
      <c r="A763">
        <f>IF(ISBLANK('Data Entry'!A763), "", 'Data Entry'!A763)</f>
      </c>
      <c r="B763">
        <f>IF(ISBLANK('Data Entry'!B763), "", 'Data Entry'!B763)</f>
      </c>
      <c r="C763">
        <f>IF(ISBLANK('Data Entry'!C763), "", 'Data Entry'!C763)</f>
      </c>
      <c r="D763">
        <f>IF(ISBLANK('Data Entry'!D763), "", 'Data Entry'!D763)</f>
      </c>
      <c r="E763">
        <f>IF(ISBLANK('Data Entry'!E763), "", 'Data Entry'!E763)</f>
      </c>
      <c r="F763">
        <f>IF(ISBLANK('Data Entry'!F763), "", 'Data Entry'!F763)</f>
      </c>
      <c r="G763">
        <f>IF(ISBLANK('Data Entry'!G763), "", 'Data Entry'!G763)</f>
      </c>
      <c r="H763">
        <f>IF(ISBLANK('Data Entry'!H763), "", 'Data Entry'!H763)</f>
      </c>
      <c r="I763">
        <f>IF(ISBLANK('Data Entry'!I763), "", 'Data Entry'!I763)</f>
      </c>
      <c r="J763">
        <f>IF(ISBLANK('Data Entry'!J763), "", 'Data Entry'!J763)</f>
      </c>
      <c r="K763">
        <f>IF(ISBLANK('Data Entry'!K763), "", 'Data Entry'!K763)</f>
      </c>
      <c r="L763">
        <f>IF(ISBLANK('Data Entry'!L763), "", 'Data Entry'!L763)</f>
      </c>
      <c r="M763">
        <f>IF(ISBLANK('Data Entry'!M763), "", 'Data Entry'!M763)</f>
      </c>
      <c r="N763">
        <f>IF(ISBLANK('Data Entry'!N763), "", 'Data Entry'!N763)</f>
      </c>
      <c r="O763">
        <f>IF(ISBLANK('Data Entry'!O763), "", 'Data Entry'!O763)</f>
      </c>
      <c r="P763">
        <f>IF(ISBLANK('Data Entry'!P763), "", 'Data Entry'!P763)</f>
      </c>
      <c r="Q763">
        <f>IF(ISBLANK('Data Entry'!Q763), "", 'Data Entry'!Q763)</f>
      </c>
      <c r="R763">
        <f>IF(ISBLANK('Data Entry'!R763), "", 'Data Entry'!R763)</f>
      </c>
      <c r="S763">
        <f>IF(ISBLANK('Data Entry'!S763), "", 'Data Entry'!S763)</f>
      </c>
      <c r="T763">
        <f>IF(ISBLANK('Data Entry'!T763), "", 'Data Entry'!T763)</f>
      </c>
      <c r="U763">
        <f>IF(ISBLANK('Data Entry'!U763), "", 'Data Entry'!U763)</f>
      </c>
      <c r="V763">
        <f>IF(ISBLANK('Data Entry'!V763), "", 'Data Entry'!V763)</f>
      </c>
      <c r="W763">
        <f>IF(ISBLANK('Data Entry'!W763), "", 'Data Entry'!W763)</f>
      </c>
      <c r="X763">
        <f>IF(ISBLANK('Data Entry'!X763), "", 'Data Entry'!X763)</f>
      </c>
      <c r="Y763">
        <f>IF(ISBLANK('Data Entry'!Y763), "", 'Data Entry'!Y763)</f>
      </c>
      <c r="Z763">
        <f>IF(ISBLANK('Data Entry'!Z763), "", 'Data Entry'!Z763)</f>
      </c>
      <c r="AA763">
        <f>IF(ISBLANK('Data Entry'![763), "", 'Data Entry'![763)</f>
      </c>
      <c r="AB763">
        <f>IF(ISBLANK('Data Entry'!\763), "", 'Data Entry'!\763)</f>
      </c>
      <c r="AC763">
        <f>IF(ISBLANK('Data Entry'!]763), "", 'Data Entry'!]763)</f>
      </c>
      <c r="AD763">
        <f>IF(ISBLANK('Data Entry'!^763), "", 'Data Entry'!^763)</f>
      </c>
      <c r="AE763">
        <f>IF(ISBLANK('Data Entry'!_763), "", 'Data Entry'!_763)</f>
      </c>
      <c r="AF763">
        <f>IF(ISBLANK('Data Entry'!`763), "", 'Data Entry'!`763)</f>
      </c>
      <c r="AG763">
        <f>IF(ISBLANK('Data Entry'!a763), "", 'Data Entry'!a763)</f>
      </c>
      <c r="AH763">
        <f>IF(ISBLANK('Data Entry'!b763), "", 'Data Entry'!b763)</f>
      </c>
      <c r="AI763">
        <f>IF(ISBLANK('Data Entry'!c763), "", 'Data Entry'!c763)</f>
      </c>
      <c r="AJ763">
        <f>IF(ISBLANK('Data Entry'!d763), "", 'Data Entry'!d763)</f>
      </c>
      <c r="AK763">
        <f>IF(ISBLANK('Data Entry'!e763), "", 'Data Entry'!e763)</f>
      </c>
      <c r="AL763">
        <f>IF(ISBLANK('Data Entry'!f763), "", 'Data Entry'!f763)</f>
      </c>
      <c r="AM763">
        <f>IF(ISBLANK('Data Entry'!g763), "", 'Data Entry'!g763)</f>
      </c>
      <c r="AN763">
        <f>IF(ISBLANK('Data Entry'!h763), "", 'Data Entry'!h763)</f>
      </c>
    </row>
    <row r="764" spans="1:40" x14ac:dyDescent="0.25">
      <c r="A764">
        <f>IF(ISBLANK('Data Entry'!A764), "", 'Data Entry'!A764)</f>
      </c>
      <c r="B764">
        <f>IF(ISBLANK('Data Entry'!B764), "", 'Data Entry'!B764)</f>
      </c>
      <c r="C764">
        <f>IF(ISBLANK('Data Entry'!C764), "", 'Data Entry'!C764)</f>
      </c>
      <c r="D764">
        <f>IF(ISBLANK('Data Entry'!D764), "", 'Data Entry'!D764)</f>
      </c>
      <c r="E764">
        <f>IF(ISBLANK('Data Entry'!E764), "", 'Data Entry'!E764)</f>
      </c>
      <c r="F764">
        <f>IF(ISBLANK('Data Entry'!F764), "", 'Data Entry'!F764)</f>
      </c>
      <c r="G764">
        <f>IF(ISBLANK('Data Entry'!G764), "", 'Data Entry'!G764)</f>
      </c>
      <c r="H764">
        <f>IF(ISBLANK('Data Entry'!H764), "", 'Data Entry'!H764)</f>
      </c>
      <c r="I764">
        <f>IF(ISBLANK('Data Entry'!I764), "", 'Data Entry'!I764)</f>
      </c>
      <c r="J764">
        <f>IF(ISBLANK('Data Entry'!J764), "", 'Data Entry'!J764)</f>
      </c>
      <c r="K764">
        <f>IF(ISBLANK('Data Entry'!K764), "", 'Data Entry'!K764)</f>
      </c>
      <c r="L764">
        <f>IF(ISBLANK('Data Entry'!L764), "", 'Data Entry'!L764)</f>
      </c>
      <c r="M764">
        <f>IF(ISBLANK('Data Entry'!M764), "", 'Data Entry'!M764)</f>
      </c>
      <c r="N764">
        <f>IF(ISBLANK('Data Entry'!N764), "", 'Data Entry'!N764)</f>
      </c>
      <c r="O764">
        <f>IF(ISBLANK('Data Entry'!O764), "", 'Data Entry'!O764)</f>
      </c>
      <c r="P764">
        <f>IF(ISBLANK('Data Entry'!P764), "", 'Data Entry'!P764)</f>
      </c>
      <c r="Q764">
        <f>IF(ISBLANK('Data Entry'!Q764), "", 'Data Entry'!Q764)</f>
      </c>
      <c r="R764">
        <f>IF(ISBLANK('Data Entry'!R764), "", 'Data Entry'!R764)</f>
      </c>
      <c r="S764">
        <f>IF(ISBLANK('Data Entry'!S764), "", 'Data Entry'!S764)</f>
      </c>
      <c r="T764">
        <f>IF(ISBLANK('Data Entry'!T764), "", 'Data Entry'!T764)</f>
      </c>
      <c r="U764">
        <f>IF(ISBLANK('Data Entry'!U764), "", 'Data Entry'!U764)</f>
      </c>
      <c r="V764">
        <f>IF(ISBLANK('Data Entry'!V764), "", 'Data Entry'!V764)</f>
      </c>
      <c r="W764">
        <f>IF(ISBLANK('Data Entry'!W764), "", 'Data Entry'!W764)</f>
      </c>
      <c r="X764">
        <f>IF(ISBLANK('Data Entry'!X764), "", 'Data Entry'!X764)</f>
      </c>
      <c r="Y764">
        <f>IF(ISBLANK('Data Entry'!Y764), "", 'Data Entry'!Y764)</f>
      </c>
      <c r="Z764">
        <f>IF(ISBLANK('Data Entry'!Z764), "", 'Data Entry'!Z764)</f>
      </c>
      <c r="AA764">
        <f>IF(ISBLANK('Data Entry'![764), "", 'Data Entry'![764)</f>
      </c>
      <c r="AB764">
        <f>IF(ISBLANK('Data Entry'!\764), "", 'Data Entry'!\764)</f>
      </c>
      <c r="AC764">
        <f>IF(ISBLANK('Data Entry'!]764), "", 'Data Entry'!]764)</f>
      </c>
      <c r="AD764">
        <f>IF(ISBLANK('Data Entry'!^764), "", 'Data Entry'!^764)</f>
      </c>
      <c r="AE764">
        <f>IF(ISBLANK('Data Entry'!_764), "", 'Data Entry'!_764)</f>
      </c>
      <c r="AF764">
        <f>IF(ISBLANK('Data Entry'!`764), "", 'Data Entry'!`764)</f>
      </c>
      <c r="AG764">
        <f>IF(ISBLANK('Data Entry'!a764), "", 'Data Entry'!a764)</f>
      </c>
      <c r="AH764">
        <f>IF(ISBLANK('Data Entry'!b764), "", 'Data Entry'!b764)</f>
      </c>
      <c r="AI764">
        <f>IF(ISBLANK('Data Entry'!c764), "", 'Data Entry'!c764)</f>
      </c>
      <c r="AJ764">
        <f>IF(ISBLANK('Data Entry'!d764), "", 'Data Entry'!d764)</f>
      </c>
      <c r="AK764">
        <f>IF(ISBLANK('Data Entry'!e764), "", 'Data Entry'!e764)</f>
      </c>
      <c r="AL764">
        <f>IF(ISBLANK('Data Entry'!f764), "", 'Data Entry'!f764)</f>
      </c>
      <c r="AM764">
        <f>IF(ISBLANK('Data Entry'!g764), "", 'Data Entry'!g764)</f>
      </c>
      <c r="AN764">
        <f>IF(ISBLANK('Data Entry'!h764), "", 'Data Entry'!h764)</f>
      </c>
    </row>
    <row r="765" spans="1:40" x14ac:dyDescent="0.25">
      <c r="A765">
        <f>IF(ISBLANK('Data Entry'!A765), "", 'Data Entry'!A765)</f>
      </c>
      <c r="B765">
        <f>IF(ISBLANK('Data Entry'!B765), "", 'Data Entry'!B765)</f>
      </c>
      <c r="C765">
        <f>IF(ISBLANK('Data Entry'!C765), "", 'Data Entry'!C765)</f>
      </c>
      <c r="D765">
        <f>IF(ISBLANK('Data Entry'!D765), "", 'Data Entry'!D765)</f>
      </c>
      <c r="E765">
        <f>IF(ISBLANK('Data Entry'!E765), "", 'Data Entry'!E765)</f>
      </c>
      <c r="F765">
        <f>IF(ISBLANK('Data Entry'!F765), "", 'Data Entry'!F765)</f>
      </c>
      <c r="G765">
        <f>IF(ISBLANK('Data Entry'!G765), "", 'Data Entry'!G765)</f>
      </c>
      <c r="H765">
        <f>IF(ISBLANK('Data Entry'!H765), "", 'Data Entry'!H765)</f>
      </c>
      <c r="I765">
        <f>IF(ISBLANK('Data Entry'!I765), "", 'Data Entry'!I765)</f>
      </c>
      <c r="J765">
        <f>IF(ISBLANK('Data Entry'!J765), "", 'Data Entry'!J765)</f>
      </c>
      <c r="K765">
        <f>IF(ISBLANK('Data Entry'!K765), "", 'Data Entry'!K765)</f>
      </c>
      <c r="L765">
        <f>IF(ISBLANK('Data Entry'!L765), "", 'Data Entry'!L765)</f>
      </c>
      <c r="M765">
        <f>IF(ISBLANK('Data Entry'!M765), "", 'Data Entry'!M765)</f>
      </c>
      <c r="N765">
        <f>IF(ISBLANK('Data Entry'!N765), "", 'Data Entry'!N765)</f>
      </c>
      <c r="O765">
        <f>IF(ISBLANK('Data Entry'!O765), "", 'Data Entry'!O765)</f>
      </c>
      <c r="P765">
        <f>IF(ISBLANK('Data Entry'!P765), "", 'Data Entry'!P765)</f>
      </c>
      <c r="Q765">
        <f>IF(ISBLANK('Data Entry'!Q765), "", 'Data Entry'!Q765)</f>
      </c>
      <c r="R765">
        <f>IF(ISBLANK('Data Entry'!R765), "", 'Data Entry'!R765)</f>
      </c>
      <c r="S765">
        <f>IF(ISBLANK('Data Entry'!S765), "", 'Data Entry'!S765)</f>
      </c>
      <c r="T765">
        <f>IF(ISBLANK('Data Entry'!T765), "", 'Data Entry'!T765)</f>
      </c>
      <c r="U765">
        <f>IF(ISBLANK('Data Entry'!U765), "", 'Data Entry'!U765)</f>
      </c>
      <c r="V765">
        <f>IF(ISBLANK('Data Entry'!V765), "", 'Data Entry'!V765)</f>
      </c>
      <c r="W765">
        <f>IF(ISBLANK('Data Entry'!W765), "", 'Data Entry'!W765)</f>
      </c>
      <c r="X765">
        <f>IF(ISBLANK('Data Entry'!X765), "", 'Data Entry'!X765)</f>
      </c>
      <c r="Y765">
        <f>IF(ISBLANK('Data Entry'!Y765), "", 'Data Entry'!Y765)</f>
      </c>
      <c r="Z765">
        <f>IF(ISBLANK('Data Entry'!Z765), "", 'Data Entry'!Z765)</f>
      </c>
      <c r="AA765">
        <f>IF(ISBLANK('Data Entry'![765), "", 'Data Entry'![765)</f>
      </c>
      <c r="AB765">
        <f>IF(ISBLANK('Data Entry'!\765), "", 'Data Entry'!\765)</f>
      </c>
      <c r="AC765">
        <f>IF(ISBLANK('Data Entry'!]765), "", 'Data Entry'!]765)</f>
      </c>
      <c r="AD765">
        <f>IF(ISBLANK('Data Entry'!^765), "", 'Data Entry'!^765)</f>
      </c>
      <c r="AE765">
        <f>IF(ISBLANK('Data Entry'!_765), "", 'Data Entry'!_765)</f>
      </c>
      <c r="AF765">
        <f>IF(ISBLANK('Data Entry'!`765), "", 'Data Entry'!`765)</f>
      </c>
      <c r="AG765">
        <f>IF(ISBLANK('Data Entry'!a765), "", 'Data Entry'!a765)</f>
      </c>
      <c r="AH765">
        <f>IF(ISBLANK('Data Entry'!b765), "", 'Data Entry'!b765)</f>
      </c>
      <c r="AI765">
        <f>IF(ISBLANK('Data Entry'!c765), "", 'Data Entry'!c765)</f>
      </c>
      <c r="AJ765">
        <f>IF(ISBLANK('Data Entry'!d765), "", 'Data Entry'!d765)</f>
      </c>
      <c r="AK765">
        <f>IF(ISBLANK('Data Entry'!e765), "", 'Data Entry'!e765)</f>
      </c>
      <c r="AL765">
        <f>IF(ISBLANK('Data Entry'!f765), "", 'Data Entry'!f765)</f>
      </c>
      <c r="AM765">
        <f>IF(ISBLANK('Data Entry'!g765), "", 'Data Entry'!g765)</f>
      </c>
      <c r="AN765">
        <f>IF(ISBLANK('Data Entry'!h765), "", 'Data Entry'!h765)</f>
      </c>
    </row>
    <row r="766" spans="1:40" x14ac:dyDescent="0.25">
      <c r="A766">
        <f>IF(ISBLANK('Data Entry'!A766), "", 'Data Entry'!A766)</f>
      </c>
      <c r="B766">
        <f>IF(ISBLANK('Data Entry'!B766), "", 'Data Entry'!B766)</f>
      </c>
      <c r="C766">
        <f>IF(ISBLANK('Data Entry'!C766), "", 'Data Entry'!C766)</f>
      </c>
      <c r="D766">
        <f>IF(ISBLANK('Data Entry'!D766), "", 'Data Entry'!D766)</f>
      </c>
      <c r="E766">
        <f>IF(ISBLANK('Data Entry'!E766), "", 'Data Entry'!E766)</f>
      </c>
      <c r="F766">
        <f>IF(ISBLANK('Data Entry'!F766), "", 'Data Entry'!F766)</f>
      </c>
      <c r="G766">
        <f>IF(ISBLANK('Data Entry'!G766), "", 'Data Entry'!G766)</f>
      </c>
      <c r="H766">
        <f>IF(ISBLANK('Data Entry'!H766), "", 'Data Entry'!H766)</f>
      </c>
      <c r="I766">
        <f>IF(ISBLANK('Data Entry'!I766), "", 'Data Entry'!I766)</f>
      </c>
      <c r="J766">
        <f>IF(ISBLANK('Data Entry'!J766), "", 'Data Entry'!J766)</f>
      </c>
      <c r="K766">
        <f>IF(ISBLANK('Data Entry'!K766), "", 'Data Entry'!K766)</f>
      </c>
      <c r="L766">
        <f>IF(ISBLANK('Data Entry'!L766), "", 'Data Entry'!L766)</f>
      </c>
      <c r="M766">
        <f>IF(ISBLANK('Data Entry'!M766), "", 'Data Entry'!M766)</f>
      </c>
      <c r="N766">
        <f>IF(ISBLANK('Data Entry'!N766), "", 'Data Entry'!N766)</f>
      </c>
      <c r="O766">
        <f>IF(ISBLANK('Data Entry'!O766), "", 'Data Entry'!O766)</f>
      </c>
      <c r="P766">
        <f>IF(ISBLANK('Data Entry'!P766), "", 'Data Entry'!P766)</f>
      </c>
      <c r="Q766">
        <f>IF(ISBLANK('Data Entry'!Q766), "", 'Data Entry'!Q766)</f>
      </c>
      <c r="R766">
        <f>IF(ISBLANK('Data Entry'!R766), "", 'Data Entry'!R766)</f>
      </c>
      <c r="S766">
        <f>IF(ISBLANK('Data Entry'!S766), "", 'Data Entry'!S766)</f>
      </c>
      <c r="T766">
        <f>IF(ISBLANK('Data Entry'!T766), "", 'Data Entry'!T766)</f>
      </c>
      <c r="U766">
        <f>IF(ISBLANK('Data Entry'!U766), "", 'Data Entry'!U766)</f>
      </c>
      <c r="V766">
        <f>IF(ISBLANK('Data Entry'!V766), "", 'Data Entry'!V766)</f>
      </c>
      <c r="W766">
        <f>IF(ISBLANK('Data Entry'!W766), "", 'Data Entry'!W766)</f>
      </c>
      <c r="X766">
        <f>IF(ISBLANK('Data Entry'!X766), "", 'Data Entry'!X766)</f>
      </c>
      <c r="Y766">
        <f>IF(ISBLANK('Data Entry'!Y766), "", 'Data Entry'!Y766)</f>
      </c>
      <c r="Z766">
        <f>IF(ISBLANK('Data Entry'!Z766), "", 'Data Entry'!Z766)</f>
      </c>
      <c r="AA766">
        <f>IF(ISBLANK('Data Entry'![766), "", 'Data Entry'![766)</f>
      </c>
      <c r="AB766">
        <f>IF(ISBLANK('Data Entry'!\766), "", 'Data Entry'!\766)</f>
      </c>
      <c r="AC766">
        <f>IF(ISBLANK('Data Entry'!]766), "", 'Data Entry'!]766)</f>
      </c>
      <c r="AD766">
        <f>IF(ISBLANK('Data Entry'!^766), "", 'Data Entry'!^766)</f>
      </c>
      <c r="AE766">
        <f>IF(ISBLANK('Data Entry'!_766), "", 'Data Entry'!_766)</f>
      </c>
      <c r="AF766">
        <f>IF(ISBLANK('Data Entry'!`766), "", 'Data Entry'!`766)</f>
      </c>
      <c r="AG766">
        <f>IF(ISBLANK('Data Entry'!a766), "", 'Data Entry'!a766)</f>
      </c>
      <c r="AH766">
        <f>IF(ISBLANK('Data Entry'!b766), "", 'Data Entry'!b766)</f>
      </c>
      <c r="AI766">
        <f>IF(ISBLANK('Data Entry'!c766), "", 'Data Entry'!c766)</f>
      </c>
      <c r="AJ766">
        <f>IF(ISBLANK('Data Entry'!d766), "", 'Data Entry'!d766)</f>
      </c>
      <c r="AK766">
        <f>IF(ISBLANK('Data Entry'!e766), "", 'Data Entry'!e766)</f>
      </c>
      <c r="AL766">
        <f>IF(ISBLANK('Data Entry'!f766), "", 'Data Entry'!f766)</f>
      </c>
      <c r="AM766">
        <f>IF(ISBLANK('Data Entry'!g766), "", 'Data Entry'!g766)</f>
      </c>
      <c r="AN766">
        <f>IF(ISBLANK('Data Entry'!h766), "", 'Data Entry'!h766)</f>
      </c>
    </row>
    <row r="767" spans="1:40" x14ac:dyDescent="0.25">
      <c r="A767">
        <f>IF(ISBLANK('Data Entry'!A767), "", 'Data Entry'!A767)</f>
      </c>
      <c r="B767">
        <f>IF(ISBLANK('Data Entry'!B767), "", 'Data Entry'!B767)</f>
      </c>
      <c r="C767">
        <f>IF(ISBLANK('Data Entry'!C767), "", 'Data Entry'!C767)</f>
      </c>
      <c r="D767">
        <f>IF(ISBLANK('Data Entry'!D767), "", 'Data Entry'!D767)</f>
      </c>
      <c r="E767">
        <f>IF(ISBLANK('Data Entry'!E767), "", 'Data Entry'!E767)</f>
      </c>
      <c r="F767">
        <f>IF(ISBLANK('Data Entry'!F767), "", 'Data Entry'!F767)</f>
      </c>
      <c r="G767">
        <f>IF(ISBLANK('Data Entry'!G767), "", 'Data Entry'!G767)</f>
      </c>
      <c r="H767">
        <f>IF(ISBLANK('Data Entry'!H767), "", 'Data Entry'!H767)</f>
      </c>
      <c r="I767">
        <f>IF(ISBLANK('Data Entry'!I767), "", 'Data Entry'!I767)</f>
      </c>
      <c r="J767">
        <f>IF(ISBLANK('Data Entry'!J767), "", 'Data Entry'!J767)</f>
      </c>
      <c r="K767">
        <f>IF(ISBLANK('Data Entry'!K767), "", 'Data Entry'!K767)</f>
      </c>
      <c r="L767">
        <f>IF(ISBLANK('Data Entry'!L767), "", 'Data Entry'!L767)</f>
      </c>
      <c r="M767">
        <f>IF(ISBLANK('Data Entry'!M767), "", 'Data Entry'!M767)</f>
      </c>
      <c r="N767">
        <f>IF(ISBLANK('Data Entry'!N767), "", 'Data Entry'!N767)</f>
      </c>
      <c r="O767">
        <f>IF(ISBLANK('Data Entry'!O767), "", 'Data Entry'!O767)</f>
      </c>
      <c r="P767">
        <f>IF(ISBLANK('Data Entry'!P767), "", 'Data Entry'!P767)</f>
      </c>
      <c r="Q767">
        <f>IF(ISBLANK('Data Entry'!Q767), "", 'Data Entry'!Q767)</f>
      </c>
      <c r="R767">
        <f>IF(ISBLANK('Data Entry'!R767), "", 'Data Entry'!R767)</f>
      </c>
      <c r="S767">
        <f>IF(ISBLANK('Data Entry'!S767), "", 'Data Entry'!S767)</f>
      </c>
      <c r="T767">
        <f>IF(ISBLANK('Data Entry'!T767), "", 'Data Entry'!T767)</f>
      </c>
      <c r="U767">
        <f>IF(ISBLANK('Data Entry'!U767), "", 'Data Entry'!U767)</f>
      </c>
      <c r="V767">
        <f>IF(ISBLANK('Data Entry'!V767), "", 'Data Entry'!V767)</f>
      </c>
      <c r="W767">
        <f>IF(ISBLANK('Data Entry'!W767), "", 'Data Entry'!W767)</f>
      </c>
      <c r="X767">
        <f>IF(ISBLANK('Data Entry'!X767), "", 'Data Entry'!X767)</f>
      </c>
      <c r="Y767">
        <f>IF(ISBLANK('Data Entry'!Y767), "", 'Data Entry'!Y767)</f>
      </c>
      <c r="Z767">
        <f>IF(ISBLANK('Data Entry'!Z767), "", 'Data Entry'!Z767)</f>
      </c>
      <c r="AA767">
        <f>IF(ISBLANK('Data Entry'![767), "", 'Data Entry'![767)</f>
      </c>
      <c r="AB767">
        <f>IF(ISBLANK('Data Entry'!\767), "", 'Data Entry'!\767)</f>
      </c>
      <c r="AC767">
        <f>IF(ISBLANK('Data Entry'!]767), "", 'Data Entry'!]767)</f>
      </c>
      <c r="AD767">
        <f>IF(ISBLANK('Data Entry'!^767), "", 'Data Entry'!^767)</f>
      </c>
      <c r="AE767">
        <f>IF(ISBLANK('Data Entry'!_767), "", 'Data Entry'!_767)</f>
      </c>
      <c r="AF767">
        <f>IF(ISBLANK('Data Entry'!`767), "", 'Data Entry'!`767)</f>
      </c>
      <c r="AG767">
        <f>IF(ISBLANK('Data Entry'!a767), "", 'Data Entry'!a767)</f>
      </c>
      <c r="AH767">
        <f>IF(ISBLANK('Data Entry'!b767), "", 'Data Entry'!b767)</f>
      </c>
      <c r="AI767">
        <f>IF(ISBLANK('Data Entry'!c767), "", 'Data Entry'!c767)</f>
      </c>
      <c r="AJ767">
        <f>IF(ISBLANK('Data Entry'!d767), "", 'Data Entry'!d767)</f>
      </c>
      <c r="AK767">
        <f>IF(ISBLANK('Data Entry'!e767), "", 'Data Entry'!e767)</f>
      </c>
      <c r="AL767">
        <f>IF(ISBLANK('Data Entry'!f767), "", 'Data Entry'!f767)</f>
      </c>
      <c r="AM767">
        <f>IF(ISBLANK('Data Entry'!g767), "", 'Data Entry'!g767)</f>
      </c>
      <c r="AN767">
        <f>IF(ISBLANK('Data Entry'!h767), "", 'Data Entry'!h767)</f>
      </c>
    </row>
    <row r="768" spans="1:40" x14ac:dyDescent="0.25">
      <c r="A768">
        <f>IF(ISBLANK('Data Entry'!A768), "", 'Data Entry'!A768)</f>
      </c>
      <c r="B768">
        <f>IF(ISBLANK('Data Entry'!B768), "", 'Data Entry'!B768)</f>
      </c>
      <c r="C768">
        <f>IF(ISBLANK('Data Entry'!C768), "", 'Data Entry'!C768)</f>
      </c>
      <c r="D768">
        <f>IF(ISBLANK('Data Entry'!D768), "", 'Data Entry'!D768)</f>
      </c>
      <c r="E768">
        <f>IF(ISBLANK('Data Entry'!E768), "", 'Data Entry'!E768)</f>
      </c>
      <c r="F768">
        <f>IF(ISBLANK('Data Entry'!F768), "", 'Data Entry'!F768)</f>
      </c>
      <c r="G768">
        <f>IF(ISBLANK('Data Entry'!G768), "", 'Data Entry'!G768)</f>
      </c>
      <c r="H768">
        <f>IF(ISBLANK('Data Entry'!H768), "", 'Data Entry'!H768)</f>
      </c>
      <c r="I768">
        <f>IF(ISBLANK('Data Entry'!I768), "", 'Data Entry'!I768)</f>
      </c>
      <c r="J768">
        <f>IF(ISBLANK('Data Entry'!J768), "", 'Data Entry'!J768)</f>
      </c>
      <c r="K768">
        <f>IF(ISBLANK('Data Entry'!K768), "", 'Data Entry'!K768)</f>
      </c>
      <c r="L768">
        <f>IF(ISBLANK('Data Entry'!L768), "", 'Data Entry'!L768)</f>
      </c>
      <c r="M768">
        <f>IF(ISBLANK('Data Entry'!M768), "", 'Data Entry'!M768)</f>
      </c>
      <c r="N768">
        <f>IF(ISBLANK('Data Entry'!N768), "", 'Data Entry'!N768)</f>
      </c>
      <c r="O768">
        <f>IF(ISBLANK('Data Entry'!O768), "", 'Data Entry'!O768)</f>
      </c>
      <c r="P768">
        <f>IF(ISBLANK('Data Entry'!P768), "", 'Data Entry'!P768)</f>
      </c>
      <c r="Q768">
        <f>IF(ISBLANK('Data Entry'!Q768), "", 'Data Entry'!Q768)</f>
      </c>
      <c r="R768">
        <f>IF(ISBLANK('Data Entry'!R768), "", 'Data Entry'!R768)</f>
      </c>
      <c r="S768">
        <f>IF(ISBLANK('Data Entry'!S768), "", 'Data Entry'!S768)</f>
      </c>
      <c r="T768">
        <f>IF(ISBLANK('Data Entry'!T768), "", 'Data Entry'!T768)</f>
      </c>
      <c r="U768">
        <f>IF(ISBLANK('Data Entry'!U768), "", 'Data Entry'!U768)</f>
      </c>
      <c r="V768">
        <f>IF(ISBLANK('Data Entry'!V768), "", 'Data Entry'!V768)</f>
      </c>
      <c r="W768">
        <f>IF(ISBLANK('Data Entry'!W768), "", 'Data Entry'!W768)</f>
      </c>
      <c r="X768">
        <f>IF(ISBLANK('Data Entry'!X768), "", 'Data Entry'!X768)</f>
      </c>
      <c r="Y768">
        <f>IF(ISBLANK('Data Entry'!Y768), "", 'Data Entry'!Y768)</f>
      </c>
      <c r="Z768">
        <f>IF(ISBLANK('Data Entry'!Z768), "", 'Data Entry'!Z768)</f>
      </c>
      <c r="AA768">
        <f>IF(ISBLANK('Data Entry'![768), "", 'Data Entry'![768)</f>
      </c>
      <c r="AB768">
        <f>IF(ISBLANK('Data Entry'!\768), "", 'Data Entry'!\768)</f>
      </c>
      <c r="AC768">
        <f>IF(ISBLANK('Data Entry'!]768), "", 'Data Entry'!]768)</f>
      </c>
      <c r="AD768">
        <f>IF(ISBLANK('Data Entry'!^768), "", 'Data Entry'!^768)</f>
      </c>
      <c r="AE768">
        <f>IF(ISBLANK('Data Entry'!_768), "", 'Data Entry'!_768)</f>
      </c>
      <c r="AF768">
        <f>IF(ISBLANK('Data Entry'!`768), "", 'Data Entry'!`768)</f>
      </c>
      <c r="AG768">
        <f>IF(ISBLANK('Data Entry'!a768), "", 'Data Entry'!a768)</f>
      </c>
      <c r="AH768">
        <f>IF(ISBLANK('Data Entry'!b768), "", 'Data Entry'!b768)</f>
      </c>
      <c r="AI768">
        <f>IF(ISBLANK('Data Entry'!c768), "", 'Data Entry'!c768)</f>
      </c>
      <c r="AJ768">
        <f>IF(ISBLANK('Data Entry'!d768), "", 'Data Entry'!d768)</f>
      </c>
      <c r="AK768">
        <f>IF(ISBLANK('Data Entry'!e768), "", 'Data Entry'!e768)</f>
      </c>
      <c r="AL768">
        <f>IF(ISBLANK('Data Entry'!f768), "", 'Data Entry'!f768)</f>
      </c>
      <c r="AM768">
        <f>IF(ISBLANK('Data Entry'!g768), "", 'Data Entry'!g768)</f>
      </c>
      <c r="AN768">
        <f>IF(ISBLANK('Data Entry'!h768), "", 'Data Entry'!h768)</f>
      </c>
    </row>
    <row r="769" spans="1:40" x14ac:dyDescent="0.25">
      <c r="A769">
        <f>IF(ISBLANK('Data Entry'!A769), "", 'Data Entry'!A769)</f>
      </c>
      <c r="B769">
        <f>IF(ISBLANK('Data Entry'!B769), "", 'Data Entry'!B769)</f>
      </c>
      <c r="C769">
        <f>IF(ISBLANK('Data Entry'!C769), "", 'Data Entry'!C769)</f>
      </c>
      <c r="D769">
        <f>IF(ISBLANK('Data Entry'!D769), "", 'Data Entry'!D769)</f>
      </c>
      <c r="E769">
        <f>IF(ISBLANK('Data Entry'!E769), "", 'Data Entry'!E769)</f>
      </c>
      <c r="F769">
        <f>IF(ISBLANK('Data Entry'!F769), "", 'Data Entry'!F769)</f>
      </c>
      <c r="G769">
        <f>IF(ISBLANK('Data Entry'!G769), "", 'Data Entry'!G769)</f>
      </c>
      <c r="H769">
        <f>IF(ISBLANK('Data Entry'!H769), "", 'Data Entry'!H769)</f>
      </c>
      <c r="I769">
        <f>IF(ISBLANK('Data Entry'!I769), "", 'Data Entry'!I769)</f>
      </c>
      <c r="J769">
        <f>IF(ISBLANK('Data Entry'!J769), "", 'Data Entry'!J769)</f>
      </c>
      <c r="K769">
        <f>IF(ISBLANK('Data Entry'!K769), "", 'Data Entry'!K769)</f>
      </c>
      <c r="L769">
        <f>IF(ISBLANK('Data Entry'!L769), "", 'Data Entry'!L769)</f>
      </c>
      <c r="M769">
        <f>IF(ISBLANK('Data Entry'!M769), "", 'Data Entry'!M769)</f>
      </c>
      <c r="N769">
        <f>IF(ISBLANK('Data Entry'!N769), "", 'Data Entry'!N769)</f>
      </c>
      <c r="O769">
        <f>IF(ISBLANK('Data Entry'!O769), "", 'Data Entry'!O769)</f>
      </c>
      <c r="P769">
        <f>IF(ISBLANK('Data Entry'!P769), "", 'Data Entry'!P769)</f>
      </c>
      <c r="Q769">
        <f>IF(ISBLANK('Data Entry'!Q769), "", 'Data Entry'!Q769)</f>
      </c>
      <c r="R769">
        <f>IF(ISBLANK('Data Entry'!R769), "", 'Data Entry'!R769)</f>
      </c>
      <c r="S769">
        <f>IF(ISBLANK('Data Entry'!S769), "", 'Data Entry'!S769)</f>
      </c>
      <c r="T769">
        <f>IF(ISBLANK('Data Entry'!T769), "", 'Data Entry'!T769)</f>
      </c>
      <c r="U769">
        <f>IF(ISBLANK('Data Entry'!U769), "", 'Data Entry'!U769)</f>
      </c>
      <c r="V769">
        <f>IF(ISBLANK('Data Entry'!V769), "", 'Data Entry'!V769)</f>
      </c>
      <c r="W769">
        <f>IF(ISBLANK('Data Entry'!W769), "", 'Data Entry'!W769)</f>
      </c>
      <c r="X769">
        <f>IF(ISBLANK('Data Entry'!X769), "", 'Data Entry'!X769)</f>
      </c>
      <c r="Y769">
        <f>IF(ISBLANK('Data Entry'!Y769), "", 'Data Entry'!Y769)</f>
      </c>
      <c r="Z769">
        <f>IF(ISBLANK('Data Entry'!Z769), "", 'Data Entry'!Z769)</f>
      </c>
      <c r="AA769">
        <f>IF(ISBLANK('Data Entry'![769), "", 'Data Entry'![769)</f>
      </c>
      <c r="AB769">
        <f>IF(ISBLANK('Data Entry'!\769), "", 'Data Entry'!\769)</f>
      </c>
      <c r="AC769">
        <f>IF(ISBLANK('Data Entry'!]769), "", 'Data Entry'!]769)</f>
      </c>
      <c r="AD769">
        <f>IF(ISBLANK('Data Entry'!^769), "", 'Data Entry'!^769)</f>
      </c>
      <c r="AE769">
        <f>IF(ISBLANK('Data Entry'!_769), "", 'Data Entry'!_769)</f>
      </c>
      <c r="AF769">
        <f>IF(ISBLANK('Data Entry'!`769), "", 'Data Entry'!`769)</f>
      </c>
      <c r="AG769">
        <f>IF(ISBLANK('Data Entry'!a769), "", 'Data Entry'!a769)</f>
      </c>
      <c r="AH769">
        <f>IF(ISBLANK('Data Entry'!b769), "", 'Data Entry'!b769)</f>
      </c>
      <c r="AI769">
        <f>IF(ISBLANK('Data Entry'!c769), "", 'Data Entry'!c769)</f>
      </c>
      <c r="AJ769">
        <f>IF(ISBLANK('Data Entry'!d769), "", 'Data Entry'!d769)</f>
      </c>
      <c r="AK769">
        <f>IF(ISBLANK('Data Entry'!e769), "", 'Data Entry'!e769)</f>
      </c>
      <c r="AL769">
        <f>IF(ISBLANK('Data Entry'!f769), "", 'Data Entry'!f769)</f>
      </c>
      <c r="AM769">
        <f>IF(ISBLANK('Data Entry'!g769), "", 'Data Entry'!g769)</f>
      </c>
      <c r="AN769">
        <f>IF(ISBLANK('Data Entry'!h769), "", 'Data Entry'!h769)</f>
      </c>
    </row>
    <row r="770" spans="1:40" x14ac:dyDescent="0.25">
      <c r="A770">
        <f>IF(ISBLANK('Data Entry'!A770), "", 'Data Entry'!A770)</f>
      </c>
      <c r="B770">
        <f>IF(ISBLANK('Data Entry'!B770), "", 'Data Entry'!B770)</f>
      </c>
      <c r="C770">
        <f>IF(ISBLANK('Data Entry'!C770), "", 'Data Entry'!C770)</f>
      </c>
      <c r="D770">
        <f>IF(ISBLANK('Data Entry'!D770), "", 'Data Entry'!D770)</f>
      </c>
      <c r="E770">
        <f>IF(ISBLANK('Data Entry'!E770), "", 'Data Entry'!E770)</f>
      </c>
      <c r="F770">
        <f>IF(ISBLANK('Data Entry'!F770), "", 'Data Entry'!F770)</f>
      </c>
      <c r="G770">
        <f>IF(ISBLANK('Data Entry'!G770), "", 'Data Entry'!G770)</f>
      </c>
      <c r="H770">
        <f>IF(ISBLANK('Data Entry'!H770), "", 'Data Entry'!H770)</f>
      </c>
      <c r="I770">
        <f>IF(ISBLANK('Data Entry'!I770), "", 'Data Entry'!I770)</f>
      </c>
      <c r="J770">
        <f>IF(ISBLANK('Data Entry'!J770), "", 'Data Entry'!J770)</f>
      </c>
      <c r="K770">
        <f>IF(ISBLANK('Data Entry'!K770), "", 'Data Entry'!K770)</f>
      </c>
      <c r="L770">
        <f>IF(ISBLANK('Data Entry'!L770), "", 'Data Entry'!L770)</f>
      </c>
      <c r="M770">
        <f>IF(ISBLANK('Data Entry'!M770), "", 'Data Entry'!M770)</f>
      </c>
      <c r="N770">
        <f>IF(ISBLANK('Data Entry'!N770), "", 'Data Entry'!N770)</f>
      </c>
      <c r="O770">
        <f>IF(ISBLANK('Data Entry'!O770), "", 'Data Entry'!O770)</f>
      </c>
      <c r="P770">
        <f>IF(ISBLANK('Data Entry'!P770), "", 'Data Entry'!P770)</f>
      </c>
      <c r="Q770">
        <f>IF(ISBLANK('Data Entry'!Q770), "", 'Data Entry'!Q770)</f>
      </c>
      <c r="R770">
        <f>IF(ISBLANK('Data Entry'!R770), "", 'Data Entry'!R770)</f>
      </c>
      <c r="S770">
        <f>IF(ISBLANK('Data Entry'!S770), "", 'Data Entry'!S770)</f>
      </c>
      <c r="T770">
        <f>IF(ISBLANK('Data Entry'!T770), "", 'Data Entry'!T770)</f>
      </c>
      <c r="U770">
        <f>IF(ISBLANK('Data Entry'!U770), "", 'Data Entry'!U770)</f>
      </c>
      <c r="V770">
        <f>IF(ISBLANK('Data Entry'!V770), "", 'Data Entry'!V770)</f>
      </c>
      <c r="W770">
        <f>IF(ISBLANK('Data Entry'!W770), "", 'Data Entry'!W770)</f>
      </c>
      <c r="X770">
        <f>IF(ISBLANK('Data Entry'!X770), "", 'Data Entry'!X770)</f>
      </c>
      <c r="Y770">
        <f>IF(ISBLANK('Data Entry'!Y770), "", 'Data Entry'!Y770)</f>
      </c>
      <c r="Z770">
        <f>IF(ISBLANK('Data Entry'!Z770), "", 'Data Entry'!Z770)</f>
      </c>
      <c r="AA770">
        <f>IF(ISBLANK('Data Entry'![770), "", 'Data Entry'![770)</f>
      </c>
      <c r="AB770">
        <f>IF(ISBLANK('Data Entry'!\770), "", 'Data Entry'!\770)</f>
      </c>
      <c r="AC770">
        <f>IF(ISBLANK('Data Entry'!]770), "", 'Data Entry'!]770)</f>
      </c>
      <c r="AD770">
        <f>IF(ISBLANK('Data Entry'!^770), "", 'Data Entry'!^770)</f>
      </c>
      <c r="AE770">
        <f>IF(ISBLANK('Data Entry'!_770), "", 'Data Entry'!_770)</f>
      </c>
      <c r="AF770">
        <f>IF(ISBLANK('Data Entry'!`770), "", 'Data Entry'!`770)</f>
      </c>
      <c r="AG770">
        <f>IF(ISBLANK('Data Entry'!a770), "", 'Data Entry'!a770)</f>
      </c>
      <c r="AH770">
        <f>IF(ISBLANK('Data Entry'!b770), "", 'Data Entry'!b770)</f>
      </c>
      <c r="AI770">
        <f>IF(ISBLANK('Data Entry'!c770), "", 'Data Entry'!c770)</f>
      </c>
      <c r="AJ770">
        <f>IF(ISBLANK('Data Entry'!d770), "", 'Data Entry'!d770)</f>
      </c>
      <c r="AK770">
        <f>IF(ISBLANK('Data Entry'!e770), "", 'Data Entry'!e770)</f>
      </c>
      <c r="AL770">
        <f>IF(ISBLANK('Data Entry'!f770), "", 'Data Entry'!f770)</f>
      </c>
      <c r="AM770">
        <f>IF(ISBLANK('Data Entry'!g770), "", 'Data Entry'!g770)</f>
      </c>
      <c r="AN770">
        <f>IF(ISBLANK('Data Entry'!h770), "", 'Data Entry'!h770)</f>
      </c>
    </row>
    <row r="771" spans="1:40" x14ac:dyDescent="0.25">
      <c r="A771">
        <f>IF(ISBLANK('Data Entry'!A771), "", 'Data Entry'!A771)</f>
      </c>
      <c r="B771">
        <f>IF(ISBLANK('Data Entry'!B771), "", 'Data Entry'!B771)</f>
      </c>
      <c r="C771">
        <f>IF(ISBLANK('Data Entry'!C771), "", 'Data Entry'!C771)</f>
      </c>
      <c r="D771">
        <f>IF(ISBLANK('Data Entry'!D771), "", 'Data Entry'!D771)</f>
      </c>
      <c r="E771">
        <f>IF(ISBLANK('Data Entry'!E771), "", 'Data Entry'!E771)</f>
      </c>
      <c r="F771">
        <f>IF(ISBLANK('Data Entry'!F771), "", 'Data Entry'!F771)</f>
      </c>
      <c r="G771">
        <f>IF(ISBLANK('Data Entry'!G771), "", 'Data Entry'!G771)</f>
      </c>
      <c r="H771">
        <f>IF(ISBLANK('Data Entry'!H771), "", 'Data Entry'!H771)</f>
      </c>
      <c r="I771">
        <f>IF(ISBLANK('Data Entry'!I771), "", 'Data Entry'!I771)</f>
      </c>
      <c r="J771">
        <f>IF(ISBLANK('Data Entry'!J771), "", 'Data Entry'!J771)</f>
      </c>
      <c r="K771">
        <f>IF(ISBLANK('Data Entry'!K771), "", 'Data Entry'!K771)</f>
      </c>
      <c r="L771">
        <f>IF(ISBLANK('Data Entry'!L771), "", 'Data Entry'!L771)</f>
      </c>
      <c r="M771">
        <f>IF(ISBLANK('Data Entry'!M771), "", 'Data Entry'!M771)</f>
      </c>
      <c r="N771">
        <f>IF(ISBLANK('Data Entry'!N771), "", 'Data Entry'!N771)</f>
      </c>
      <c r="O771">
        <f>IF(ISBLANK('Data Entry'!O771), "", 'Data Entry'!O771)</f>
      </c>
      <c r="P771">
        <f>IF(ISBLANK('Data Entry'!P771), "", 'Data Entry'!P771)</f>
      </c>
      <c r="Q771">
        <f>IF(ISBLANK('Data Entry'!Q771), "", 'Data Entry'!Q771)</f>
      </c>
      <c r="R771">
        <f>IF(ISBLANK('Data Entry'!R771), "", 'Data Entry'!R771)</f>
      </c>
      <c r="S771">
        <f>IF(ISBLANK('Data Entry'!S771), "", 'Data Entry'!S771)</f>
      </c>
      <c r="T771">
        <f>IF(ISBLANK('Data Entry'!T771), "", 'Data Entry'!T771)</f>
      </c>
      <c r="U771">
        <f>IF(ISBLANK('Data Entry'!U771), "", 'Data Entry'!U771)</f>
      </c>
      <c r="V771">
        <f>IF(ISBLANK('Data Entry'!V771), "", 'Data Entry'!V771)</f>
      </c>
      <c r="W771">
        <f>IF(ISBLANK('Data Entry'!W771), "", 'Data Entry'!W771)</f>
      </c>
      <c r="X771">
        <f>IF(ISBLANK('Data Entry'!X771), "", 'Data Entry'!X771)</f>
      </c>
      <c r="Y771">
        <f>IF(ISBLANK('Data Entry'!Y771), "", 'Data Entry'!Y771)</f>
      </c>
      <c r="Z771">
        <f>IF(ISBLANK('Data Entry'!Z771), "", 'Data Entry'!Z771)</f>
      </c>
      <c r="AA771">
        <f>IF(ISBLANK('Data Entry'![771), "", 'Data Entry'![771)</f>
      </c>
      <c r="AB771">
        <f>IF(ISBLANK('Data Entry'!\771), "", 'Data Entry'!\771)</f>
      </c>
      <c r="AC771">
        <f>IF(ISBLANK('Data Entry'!]771), "", 'Data Entry'!]771)</f>
      </c>
      <c r="AD771">
        <f>IF(ISBLANK('Data Entry'!^771), "", 'Data Entry'!^771)</f>
      </c>
      <c r="AE771">
        <f>IF(ISBLANK('Data Entry'!_771), "", 'Data Entry'!_771)</f>
      </c>
      <c r="AF771">
        <f>IF(ISBLANK('Data Entry'!`771), "", 'Data Entry'!`771)</f>
      </c>
      <c r="AG771">
        <f>IF(ISBLANK('Data Entry'!a771), "", 'Data Entry'!a771)</f>
      </c>
      <c r="AH771">
        <f>IF(ISBLANK('Data Entry'!b771), "", 'Data Entry'!b771)</f>
      </c>
      <c r="AI771">
        <f>IF(ISBLANK('Data Entry'!c771), "", 'Data Entry'!c771)</f>
      </c>
      <c r="AJ771">
        <f>IF(ISBLANK('Data Entry'!d771), "", 'Data Entry'!d771)</f>
      </c>
      <c r="AK771">
        <f>IF(ISBLANK('Data Entry'!e771), "", 'Data Entry'!e771)</f>
      </c>
      <c r="AL771">
        <f>IF(ISBLANK('Data Entry'!f771), "", 'Data Entry'!f771)</f>
      </c>
      <c r="AM771">
        <f>IF(ISBLANK('Data Entry'!g771), "", 'Data Entry'!g771)</f>
      </c>
      <c r="AN771">
        <f>IF(ISBLANK('Data Entry'!h771), "", 'Data Entry'!h771)</f>
      </c>
    </row>
    <row r="772" spans="1:40" x14ac:dyDescent="0.25">
      <c r="A772">
        <f>IF(ISBLANK('Data Entry'!A772), "", 'Data Entry'!A772)</f>
      </c>
      <c r="B772">
        <f>IF(ISBLANK('Data Entry'!B772), "", 'Data Entry'!B772)</f>
      </c>
      <c r="C772">
        <f>IF(ISBLANK('Data Entry'!C772), "", 'Data Entry'!C772)</f>
      </c>
      <c r="D772">
        <f>IF(ISBLANK('Data Entry'!D772), "", 'Data Entry'!D772)</f>
      </c>
      <c r="E772">
        <f>IF(ISBLANK('Data Entry'!E772), "", 'Data Entry'!E772)</f>
      </c>
      <c r="F772">
        <f>IF(ISBLANK('Data Entry'!F772), "", 'Data Entry'!F772)</f>
      </c>
      <c r="G772">
        <f>IF(ISBLANK('Data Entry'!G772), "", 'Data Entry'!G772)</f>
      </c>
      <c r="H772">
        <f>IF(ISBLANK('Data Entry'!H772), "", 'Data Entry'!H772)</f>
      </c>
      <c r="I772">
        <f>IF(ISBLANK('Data Entry'!I772), "", 'Data Entry'!I772)</f>
      </c>
      <c r="J772">
        <f>IF(ISBLANK('Data Entry'!J772), "", 'Data Entry'!J772)</f>
      </c>
      <c r="K772">
        <f>IF(ISBLANK('Data Entry'!K772), "", 'Data Entry'!K772)</f>
      </c>
      <c r="L772">
        <f>IF(ISBLANK('Data Entry'!L772), "", 'Data Entry'!L772)</f>
      </c>
      <c r="M772">
        <f>IF(ISBLANK('Data Entry'!M772), "", 'Data Entry'!M772)</f>
      </c>
      <c r="N772">
        <f>IF(ISBLANK('Data Entry'!N772), "", 'Data Entry'!N772)</f>
      </c>
      <c r="O772">
        <f>IF(ISBLANK('Data Entry'!O772), "", 'Data Entry'!O772)</f>
      </c>
      <c r="P772">
        <f>IF(ISBLANK('Data Entry'!P772), "", 'Data Entry'!P772)</f>
      </c>
      <c r="Q772">
        <f>IF(ISBLANK('Data Entry'!Q772), "", 'Data Entry'!Q772)</f>
      </c>
      <c r="R772">
        <f>IF(ISBLANK('Data Entry'!R772), "", 'Data Entry'!R772)</f>
      </c>
      <c r="S772">
        <f>IF(ISBLANK('Data Entry'!S772), "", 'Data Entry'!S772)</f>
      </c>
      <c r="T772">
        <f>IF(ISBLANK('Data Entry'!T772), "", 'Data Entry'!T772)</f>
      </c>
      <c r="U772">
        <f>IF(ISBLANK('Data Entry'!U772), "", 'Data Entry'!U772)</f>
      </c>
      <c r="V772">
        <f>IF(ISBLANK('Data Entry'!V772), "", 'Data Entry'!V772)</f>
      </c>
      <c r="W772">
        <f>IF(ISBLANK('Data Entry'!W772), "", 'Data Entry'!W772)</f>
      </c>
      <c r="X772">
        <f>IF(ISBLANK('Data Entry'!X772), "", 'Data Entry'!X772)</f>
      </c>
      <c r="Y772">
        <f>IF(ISBLANK('Data Entry'!Y772), "", 'Data Entry'!Y772)</f>
      </c>
      <c r="Z772">
        <f>IF(ISBLANK('Data Entry'!Z772), "", 'Data Entry'!Z772)</f>
      </c>
      <c r="AA772">
        <f>IF(ISBLANK('Data Entry'![772), "", 'Data Entry'![772)</f>
      </c>
      <c r="AB772">
        <f>IF(ISBLANK('Data Entry'!\772), "", 'Data Entry'!\772)</f>
      </c>
      <c r="AC772">
        <f>IF(ISBLANK('Data Entry'!]772), "", 'Data Entry'!]772)</f>
      </c>
      <c r="AD772">
        <f>IF(ISBLANK('Data Entry'!^772), "", 'Data Entry'!^772)</f>
      </c>
      <c r="AE772">
        <f>IF(ISBLANK('Data Entry'!_772), "", 'Data Entry'!_772)</f>
      </c>
      <c r="AF772">
        <f>IF(ISBLANK('Data Entry'!`772), "", 'Data Entry'!`772)</f>
      </c>
      <c r="AG772">
        <f>IF(ISBLANK('Data Entry'!a772), "", 'Data Entry'!a772)</f>
      </c>
      <c r="AH772">
        <f>IF(ISBLANK('Data Entry'!b772), "", 'Data Entry'!b772)</f>
      </c>
      <c r="AI772">
        <f>IF(ISBLANK('Data Entry'!c772), "", 'Data Entry'!c772)</f>
      </c>
      <c r="AJ772">
        <f>IF(ISBLANK('Data Entry'!d772), "", 'Data Entry'!d772)</f>
      </c>
      <c r="AK772">
        <f>IF(ISBLANK('Data Entry'!e772), "", 'Data Entry'!e772)</f>
      </c>
      <c r="AL772">
        <f>IF(ISBLANK('Data Entry'!f772), "", 'Data Entry'!f772)</f>
      </c>
      <c r="AM772">
        <f>IF(ISBLANK('Data Entry'!g772), "", 'Data Entry'!g772)</f>
      </c>
      <c r="AN772">
        <f>IF(ISBLANK('Data Entry'!h772), "", 'Data Entry'!h772)</f>
      </c>
    </row>
    <row r="773" spans="1:40" x14ac:dyDescent="0.25">
      <c r="A773">
        <f>IF(ISBLANK('Data Entry'!A773), "", 'Data Entry'!A773)</f>
      </c>
      <c r="B773">
        <f>IF(ISBLANK('Data Entry'!B773), "", 'Data Entry'!B773)</f>
      </c>
      <c r="C773">
        <f>IF(ISBLANK('Data Entry'!C773), "", 'Data Entry'!C773)</f>
      </c>
      <c r="D773">
        <f>IF(ISBLANK('Data Entry'!D773), "", 'Data Entry'!D773)</f>
      </c>
      <c r="E773">
        <f>IF(ISBLANK('Data Entry'!E773), "", 'Data Entry'!E773)</f>
      </c>
      <c r="F773">
        <f>IF(ISBLANK('Data Entry'!F773), "", 'Data Entry'!F773)</f>
      </c>
      <c r="G773">
        <f>IF(ISBLANK('Data Entry'!G773), "", 'Data Entry'!G773)</f>
      </c>
      <c r="H773">
        <f>IF(ISBLANK('Data Entry'!H773), "", 'Data Entry'!H773)</f>
      </c>
      <c r="I773">
        <f>IF(ISBLANK('Data Entry'!I773), "", 'Data Entry'!I773)</f>
      </c>
      <c r="J773">
        <f>IF(ISBLANK('Data Entry'!J773), "", 'Data Entry'!J773)</f>
      </c>
      <c r="K773">
        <f>IF(ISBLANK('Data Entry'!K773), "", 'Data Entry'!K773)</f>
      </c>
      <c r="L773">
        <f>IF(ISBLANK('Data Entry'!L773), "", 'Data Entry'!L773)</f>
      </c>
      <c r="M773">
        <f>IF(ISBLANK('Data Entry'!M773), "", 'Data Entry'!M773)</f>
      </c>
      <c r="N773">
        <f>IF(ISBLANK('Data Entry'!N773), "", 'Data Entry'!N773)</f>
      </c>
      <c r="O773">
        <f>IF(ISBLANK('Data Entry'!O773), "", 'Data Entry'!O773)</f>
      </c>
      <c r="P773">
        <f>IF(ISBLANK('Data Entry'!P773), "", 'Data Entry'!P773)</f>
      </c>
      <c r="Q773">
        <f>IF(ISBLANK('Data Entry'!Q773), "", 'Data Entry'!Q773)</f>
      </c>
      <c r="R773">
        <f>IF(ISBLANK('Data Entry'!R773), "", 'Data Entry'!R773)</f>
      </c>
      <c r="S773">
        <f>IF(ISBLANK('Data Entry'!S773), "", 'Data Entry'!S773)</f>
      </c>
      <c r="T773">
        <f>IF(ISBLANK('Data Entry'!T773), "", 'Data Entry'!T773)</f>
      </c>
      <c r="U773">
        <f>IF(ISBLANK('Data Entry'!U773), "", 'Data Entry'!U773)</f>
      </c>
      <c r="V773">
        <f>IF(ISBLANK('Data Entry'!V773), "", 'Data Entry'!V773)</f>
      </c>
      <c r="W773">
        <f>IF(ISBLANK('Data Entry'!W773), "", 'Data Entry'!W773)</f>
      </c>
      <c r="X773">
        <f>IF(ISBLANK('Data Entry'!X773), "", 'Data Entry'!X773)</f>
      </c>
      <c r="Y773">
        <f>IF(ISBLANK('Data Entry'!Y773), "", 'Data Entry'!Y773)</f>
      </c>
      <c r="Z773">
        <f>IF(ISBLANK('Data Entry'!Z773), "", 'Data Entry'!Z773)</f>
      </c>
      <c r="AA773">
        <f>IF(ISBLANK('Data Entry'![773), "", 'Data Entry'![773)</f>
      </c>
      <c r="AB773">
        <f>IF(ISBLANK('Data Entry'!\773), "", 'Data Entry'!\773)</f>
      </c>
      <c r="AC773">
        <f>IF(ISBLANK('Data Entry'!]773), "", 'Data Entry'!]773)</f>
      </c>
      <c r="AD773">
        <f>IF(ISBLANK('Data Entry'!^773), "", 'Data Entry'!^773)</f>
      </c>
      <c r="AE773">
        <f>IF(ISBLANK('Data Entry'!_773), "", 'Data Entry'!_773)</f>
      </c>
      <c r="AF773">
        <f>IF(ISBLANK('Data Entry'!`773), "", 'Data Entry'!`773)</f>
      </c>
      <c r="AG773">
        <f>IF(ISBLANK('Data Entry'!a773), "", 'Data Entry'!a773)</f>
      </c>
      <c r="AH773">
        <f>IF(ISBLANK('Data Entry'!b773), "", 'Data Entry'!b773)</f>
      </c>
      <c r="AI773">
        <f>IF(ISBLANK('Data Entry'!c773), "", 'Data Entry'!c773)</f>
      </c>
      <c r="AJ773">
        <f>IF(ISBLANK('Data Entry'!d773), "", 'Data Entry'!d773)</f>
      </c>
      <c r="AK773">
        <f>IF(ISBLANK('Data Entry'!e773), "", 'Data Entry'!e773)</f>
      </c>
      <c r="AL773">
        <f>IF(ISBLANK('Data Entry'!f773), "", 'Data Entry'!f773)</f>
      </c>
      <c r="AM773">
        <f>IF(ISBLANK('Data Entry'!g773), "", 'Data Entry'!g773)</f>
      </c>
      <c r="AN773">
        <f>IF(ISBLANK('Data Entry'!h773), "", 'Data Entry'!h773)</f>
      </c>
    </row>
    <row r="774" spans="1:40" x14ac:dyDescent="0.25">
      <c r="A774">
        <f>IF(ISBLANK('Data Entry'!A774), "", 'Data Entry'!A774)</f>
      </c>
      <c r="B774">
        <f>IF(ISBLANK('Data Entry'!B774), "", 'Data Entry'!B774)</f>
      </c>
      <c r="C774">
        <f>IF(ISBLANK('Data Entry'!C774), "", 'Data Entry'!C774)</f>
      </c>
      <c r="D774">
        <f>IF(ISBLANK('Data Entry'!D774), "", 'Data Entry'!D774)</f>
      </c>
      <c r="E774">
        <f>IF(ISBLANK('Data Entry'!E774), "", 'Data Entry'!E774)</f>
      </c>
      <c r="F774">
        <f>IF(ISBLANK('Data Entry'!F774), "", 'Data Entry'!F774)</f>
      </c>
      <c r="G774">
        <f>IF(ISBLANK('Data Entry'!G774), "", 'Data Entry'!G774)</f>
      </c>
      <c r="H774">
        <f>IF(ISBLANK('Data Entry'!H774), "", 'Data Entry'!H774)</f>
      </c>
      <c r="I774">
        <f>IF(ISBLANK('Data Entry'!I774), "", 'Data Entry'!I774)</f>
      </c>
      <c r="J774">
        <f>IF(ISBLANK('Data Entry'!J774), "", 'Data Entry'!J774)</f>
      </c>
      <c r="K774">
        <f>IF(ISBLANK('Data Entry'!K774), "", 'Data Entry'!K774)</f>
      </c>
      <c r="L774">
        <f>IF(ISBLANK('Data Entry'!L774), "", 'Data Entry'!L774)</f>
      </c>
      <c r="M774">
        <f>IF(ISBLANK('Data Entry'!M774), "", 'Data Entry'!M774)</f>
      </c>
      <c r="N774">
        <f>IF(ISBLANK('Data Entry'!N774), "", 'Data Entry'!N774)</f>
      </c>
      <c r="O774">
        <f>IF(ISBLANK('Data Entry'!O774), "", 'Data Entry'!O774)</f>
      </c>
      <c r="P774">
        <f>IF(ISBLANK('Data Entry'!P774), "", 'Data Entry'!P774)</f>
      </c>
      <c r="Q774">
        <f>IF(ISBLANK('Data Entry'!Q774), "", 'Data Entry'!Q774)</f>
      </c>
      <c r="R774">
        <f>IF(ISBLANK('Data Entry'!R774), "", 'Data Entry'!R774)</f>
      </c>
      <c r="S774">
        <f>IF(ISBLANK('Data Entry'!S774), "", 'Data Entry'!S774)</f>
      </c>
      <c r="T774">
        <f>IF(ISBLANK('Data Entry'!T774), "", 'Data Entry'!T774)</f>
      </c>
      <c r="U774">
        <f>IF(ISBLANK('Data Entry'!U774), "", 'Data Entry'!U774)</f>
      </c>
      <c r="V774">
        <f>IF(ISBLANK('Data Entry'!V774), "", 'Data Entry'!V774)</f>
      </c>
      <c r="W774">
        <f>IF(ISBLANK('Data Entry'!W774), "", 'Data Entry'!W774)</f>
      </c>
      <c r="X774">
        <f>IF(ISBLANK('Data Entry'!X774), "", 'Data Entry'!X774)</f>
      </c>
      <c r="Y774">
        <f>IF(ISBLANK('Data Entry'!Y774), "", 'Data Entry'!Y774)</f>
      </c>
      <c r="Z774">
        <f>IF(ISBLANK('Data Entry'!Z774), "", 'Data Entry'!Z774)</f>
      </c>
      <c r="AA774">
        <f>IF(ISBLANK('Data Entry'![774), "", 'Data Entry'![774)</f>
      </c>
      <c r="AB774">
        <f>IF(ISBLANK('Data Entry'!\774), "", 'Data Entry'!\774)</f>
      </c>
      <c r="AC774">
        <f>IF(ISBLANK('Data Entry'!]774), "", 'Data Entry'!]774)</f>
      </c>
      <c r="AD774">
        <f>IF(ISBLANK('Data Entry'!^774), "", 'Data Entry'!^774)</f>
      </c>
      <c r="AE774">
        <f>IF(ISBLANK('Data Entry'!_774), "", 'Data Entry'!_774)</f>
      </c>
      <c r="AF774">
        <f>IF(ISBLANK('Data Entry'!`774), "", 'Data Entry'!`774)</f>
      </c>
      <c r="AG774">
        <f>IF(ISBLANK('Data Entry'!a774), "", 'Data Entry'!a774)</f>
      </c>
      <c r="AH774">
        <f>IF(ISBLANK('Data Entry'!b774), "", 'Data Entry'!b774)</f>
      </c>
      <c r="AI774">
        <f>IF(ISBLANK('Data Entry'!c774), "", 'Data Entry'!c774)</f>
      </c>
      <c r="AJ774">
        <f>IF(ISBLANK('Data Entry'!d774), "", 'Data Entry'!d774)</f>
      </c>
      <c r="AK774">
        <f>IF(ISBLANK('Data Entry'!e774), "", 'Data Entry'!e774)</f>
      </c>
      <c r="AL774">
        <f>IF(ISBLANK('Data Entry'!f774), "", 'Data Entry'!f774)</f>
      </c>
      <c r="AM774">
        <f>IF(ISBLANK('Data Entry'!g774), "", 'Data Entry'!g774)</f>
      </c>
      <c r="AN774">
        <f>IF(ISBLANK('Data Entry'!h774), "", 'Data Entry'!h774)</f>
      </c>
    </row>
    <row r="775" spans="1:40" x14ac:dyDescent="0.25">
      <c r="A775">
        <f>IF(ISBLANK('Data Entry'!A775), "", 'Data Entry'!A775)</f>
      </c>
      <c r="B775">
        <f>IF(ISBLANK('Data Entry'!B775), "", 'Data Entry'!B775)</f>
      </c>
      <c r="C775">
        <f>IF(ISBLANK('Data Entry'!C775), "", 'Data Entry'!C775)</f>
      </c>
      <c r="D775">
        <f>IF(ISBLANK('Data Entry'!D775), "", 'Data Entry'!D775)</f>
      </c>
      <c r="E775">
        <f>IF(ISBLANK('Data Entry'!E775), "", 'Data Entry'!E775)</f>
      </c>
      <c r="F775">
        <f>IF(ISBLANK('Data Entry'!F775), "", 'Data Entry'!F775)</f>
      </c>
      <c r="G775">
        <f>IF(ISBLANK('Data Entry'!G775), "", 'Data Entry'!G775)</f>
      </c>
      <c r="H775">
        <f>IF(ISBLANK('Data Entry'!H775), "", 'Data Entry'!H775)</f>
      </c>
      <c r="I775">
        <f>IF(ISBLANK('Data Entry'!I775), "", 'Data Entry'!I775)</f>
      </c>
      <c r="J775">
        <f>IF(ISBLANK('Data Entry'!J775), "", 'Data Entry'!J775)</f>
      </c>
      <c r="K775">
        <f>IF(ISBLANK('Data Entry'!K775), "", 'Data Entry'!K775)</f>
      </c>
      <c r="L775">
        <f>IF(ISBLANK('Data Entry'!L775), "", 'Data Entry'!L775)</f>
      </c>
      <c r="M775">
        <f>IF(ISBLANK('Data Entry'!M775), "", 'Data Entry'!M775)</f>
      </c>
      <c r="N775">
        <f>IF(ISBLANK('Data Entry'!N775), "", 'Data Entry'!N775)</f>
      </c>
      <c r="O775">
        <f>IF(ISBLANK('Data Entry'!O775), "", 'Data Entry'!O775)</f>
      </c>
      <c r="P775">
        <f>IF(ISBLANK('Data Entry'!P775), "", 'Data Entry'!P775)</f>
      </c>
      <c r="Q775">
        <f>IF(ISBLANK('Data Entry'!Q775), "", 'Data Entry'!Q775)</f>
      </c>
      <c r="R775">
        <f>IF(ISBLANK('Data Entry'!R775), "", 'Data Entry'!R775)</f>
      </c>
      <c r="S775">
        <f>IF(ISBLANK('Data Entry'!S775), "", 'Data Entry'!S775)</f>
      </c>
      <c r="T775">
        <f>IF(ISBLANK('Data Entry'!T775), "", 'Data Entry'!T775)</f>
      </c>
      <c r="U775">
        <f>IF(ISBLANK('Data Entry'!U775), "", 'Data Entry'!U775)</f>
      </c>
      <c r="V775">
        <f>IF(ISBLANK('Data Entry'!V775), "", 'Data Entry'!V775)</f>
      </c>
      <c r="W775">
        <f>IF(ISBLANK('Data Entry'!W775), "", 'Data Entry'!W775)</f>
      </c>
      <c r="X775">
        <f>IF(ISBLANK('Data Entry'!X775), "", 'Data Entry'!X775)</f>
      </c>
      <c r="Y775">
        <f>IF(ISBLANK('Data Entry'!Y775), "", 'Data Entry'!Y775)</f>
      </c>
      <c r="Z775">
        <f>IF(ISBLANK('Data Entry'!Z775), "", 'Data Entry'!Z775)</f>
      </c>
      <c r="AA775">
        <f>IF(ISBLANK('Data Entry'![775), "", 'Data Entry'![775)</f>
      </c>
      <c r="AB775">
        <f>IF(ISBLANK('Data Entry'!\775), "", 'Data Entry'!\775)</f>
      </c>
      <c r="AC775">
        <f>IF(ISBLANK('Data Entry'!]775), "", 'Data Entry'!]775)</f>
      </c>
      <c r="AD775">
        <f>IF(ISBLANK('Data Entry'!^775), "", 'Data Entry'!^775)</f>
      </c>
      <c r="AE775">
        <f>IF(ISBLANK('Data Entry'!_775), "", 'Data Entry'!_775)</f>
      </c>
      <c r="AF775">
        <f>IF(ISBLANK('Data Entry'!`775), "", 'Data Entry'!`775)</f>
      </c>
      <c r="AG775">
        <f>IF(ISBLANK('Data Entry'!a775), "", 'Data Entry'!a775)</f>
      </c>
      <c r="AH775">
        <f>IF(ISBLANK('Data Entry'!b775), "", 'Data Entry'!b775)</f>
      </c>
      <c r="AI775">
        <f>IF(ISBLANK('Data Entry'!c775), "", 'Data Entry'!c775)</f>
      </c>
      <c r="AJ775">
        <f>IF(ISBLANK('Data Entry'!d775), "", 'Data Entry'!d775)</f>
      </c>
      <c r="AK775">
        <f>IF(ISBLANK('Data Entry'!e775), "", 'Data Entry'!e775)</f>
      </c>
      <c r="AL775">
        <f>IF(ISBLANK('Data Entry'!f775), "", 'Data Entry'!f775)</f>
      </c>
      <c r="AM775">
        <f>IF(ISBLANK('Data Entry'!g775), "", 'Data Entry'!g775)</f>
      </c>
      <c r="AN775">
        <f>IF(ISBLANK('Data Entry'!h775), "", 'Data Entry'!h775)</f>
      </c>
    </row>
    <row r="776" spans="1:40" x14ac:dyDescent="0.25">
      <c r="A776">
        <f>IF(ISBLANK('Data Entry'!A776), "", 'Data Entry'!A776)</f>
      </c>
      <c r="B776">
        <f>IF(ISBLANK('Data Entry'!B776), "", 'Data Entry'!B776)</f>
      </c>
      <c r="C776">
        <f>IF(ISBLANK('Data Entry'!C776), "", 'Data Entry'!C776)</f>
      </c>
      <c r="D776">
        <f>IF(ISBLANK('Data Entry'!D776), "", 'Data Entry'!D776)</f>
      </c>
      <c r="E776">
        <f>IF(ISBLANK('Data Entry'!E776), "", 'Data Entry'!E776)</f>
      </c>
      <c r="F776">
        <f>IF(ISBLANK('Data Entry'!F776), "", 'Data Entry'!F776)</f>
      </c>
      <c r="G776">
        <f>IF(ISBLANK('Data Entry'!G776), "", 'Data Entry'!G776)</f>
      </c>
      <c r="H776">
        <f>IF(ISBLANK('Data Entry'!H776), "", 'Data Entry'!H776)</f>
      </c>
      <c r="I776">
        <f>IF(ISBLANK('Data Entry'!I776), "", 'Data Entry'!I776)</f>
      </c>
      <c r="J776">
        <f>IF(ISBLANK('Data Entry'!J776), "", 'Data Entry'!J776)</f>
      </c>
      <c r="K776">
        <f>IF(ISBLANK('Data Entry'!K776), "", 'Data Entry'!K776)</f>
      </c>
      <c r="L776">
        <f>IF(ISBLANK('Data Entry'!L776), "", 'Data Entry'!L776)</f>
      </c>
      <c r="M776">
        <f>IF(ISBLANK('Data Entry'!M776), "", 'Data Entry'!M776)</f>
      </c>
      <c r="N776">
        <f>IF(ISBLANK('Data Entry'!N776), "", 'Data Entry'!N776)</f>
      </c>
      <c r="O776">
        <f>IF(ISBLANK('Data Entry'!O776), "", 'Data Entry'!O776)</f>
      </c>
      <c r="P776">
        <f>IF(ISBLANK('Data Entry'!P776), "", 'Data Entry'!P776)</f>
      </c>
      <c r="Q776">
        <f>IF(ISBLANK('Data Entry'!Q776), "", 'Data Entry'!Q776)</f>
      </c>
      <c r="R776">
        <f>IF(ISBLANK('Data Entry'!R776), "", 'Data Entry'!R776)</f>
      </c>
      <c r="S776">
        <f>IF(ISBLANK('Data Entry'!S776), "", 'Data Entry'!S776)</f>
      </c>
      <c r="T776">
        <f>IF(ISBLANK('Data Entry'!T776), "", 'Data Entry'!T776)</f>
      </c>
      <c r="U776">
        <f>IF(ISBLANK('Data Entry'!U776), "", 'Data Entry'!U776)</f>
      </c>
      <c r="V776">
        <f>IF(ISBLANK('Data Entry'!V776), "", 'Data Entry'!V776)</f>
      </c>
      <c r="W776">
        <f>IF(ISBLANK('Data Entry'!W776), "", 'Data Entry'!W776)</f>
      </c>
      <c r="X776">
        <f>IF(ISBLANK('Data Entry'!X776), "", 'Data Entry'!X776)</f>
      </c>
      <c r="Y776">
        <f>IF(ISBLANK('Data Entry'!Y776), "", 'Data Entry'!Y776)</f>
      </c>
      <c r="Z776">
        <f>IF(ISBLANK('Data Entry'!Z776), "", 'Data Entry'!Z776)</f>
      </c>
      <c r="AA776">
        <f>IF(ISBLANK('Data Entry'![776), "", 'Data Entry'![776)</f>
      </c>
      <c r="AB776">
        <f>IF(ISBLANK('Data Entry'!\776), "", 'Data Entry'!\776)</f>
      </c>
      <c r="AC776">
        <f>IF(ISBLANK('Data Entry'!]776), "", 'Data Entry'!]776)</f>
      </c>
      <c r="AD776">
        <f>IF(ISBLANK('Data Entry'!^776), "", 'Data Entry'!^776)</f>
      </c>
      <c r="AE776">
        <f>IF(ISBLANK('Data Entry'!_776), "", 'Data Entry'!_776)</f>
      </c>
      <c r="AF776">
        <f>IF(ISBLANK('Data Entry'!`776), "", 'Data Entry'!`776)</f>
      </c>
      <c r="AG776">
        <f>IF(ISBLANK('Data Entry'!a776), "", 'Data Entry'!a776)</f>
      </c>
      <c r="AH776">
        <f>IF(ISBLANK('Data Entry'!b776), "", 'Data Entry'!b776)</f>
      </c>
      <c r="AI776">
        <f>IF(ISBLANK('Data Entry'!c776), "", 'Data Entry'!c776)</f>
      </c>
      <c r="AJ776">
        <f>IF(ISBLANK('Data Entry'!d776), "", 'Data Entry'!d776)</f>
      </c>
      <c r="AK776">
        <f>IF(ISBLANK('Data Entry'!e776), "", 'Data Entry'!e776)</f>
      </c>
      <c r="AL776">
        <f>IF(ISBLANK('Data Entry'!f776), "", 'Data Entry'!f776)</f>
      </c>
      <c r="AM776">
        <f>IF(ISBLANK('Data Entry'!g776), "", 'Data Entry'!g776)</f>
      </c>
      <c r="AN776">
        <f>IF(ISBLANK('Data Entry'!h776), "", 'Data Entry'!h776)</f>
      </c>
    </row>
    <row r="777" spans="1:40" x14ac:dyDescent="0.25">
      <c r="A777">
        <f>IF(ISBLANK('Data Entry'!A777), "", 'Data Entry'!A777)</f>
      </c>
      <c r="B777">
        <f>IF(ISBLANK('Data Entry'!B777), "", 'Data Entry'!B777)</f>
      </c>
      <c r="C777">
        <f>IF(ISBLANK('Data Entry'!C777), "", 'Data Entry'!C777)</f>
      </c>
      <c r="D777">
        <f>IF(ISBLANK('Data Entry'!D777), "", 'Data Entry'!D777)</f>
      </c>
      <c r="E777">
        <f>IF(ISBLANK('Data Entry'!E777), "", 'Data Entry'!E777)</f>
      </c>
      <c r="F777">
        <f>IF(ISBLANK('Data Entry'!F777), "", 'Data Entry'!F777)</f>
      </c>
      <c r="G777">
        <f>IF(ISBLANK('Data Entry'!G777), "", 'Data Entry'!G777)</f>
      </c>
      <c r="H777">
        <f>IF(ISBLANK('Data Entry'!H777), "", 'Data Entry'!H777)</f>
      </c>
      <c r="I777">
        <f>IF(ISBLANK('Data Entry'!I777), "", 'Data Entry'!I777)</f>
      </c>
      <c r="J777">
        <f>IF(ISBLANK('Data Entry'!J777), "", 'Data Entry'!J777)</f>
      </c>
      <c r="K777">
        <f>IF(ISBLANK('Data Entry'!K777), "", 'Data Entry'!K777)</f>
      </c>
      <c r="L777">
        <f>IF(ISBLANK('Data Entry'!L777), "", 'Data Entry'!L777)</f>
      </c>
      <c r="M777">
        <f>IF(ISBLANK('Data Entry'!M777), "", 'Data Entry'!M777)</f>
      </c>
      <c r="N777">
        <f>IF(ISBLANK('Data Entry'!N777), "", 'Data Entry'!N777)</f>
      </c>
      <c r="O777">
        <f>IF(ISBLANK('Data Entry'!O777), "", 'Data Entry'!O777)</f>
      </c>
      <c r="P777">
        <f>IF(ISBLANK('Data Entry'!P777), "", 'Data Entry'!P777)</f>
      </c>
      <c r="Q777">
        <f>IF(ISBLANK('Data Entry'!Q777), "", 'Data Entry'!Q777)</f>
      </c>
      <c r="R777">
        <f>IF(ISBLANK('Data Entry'!R777), "", 'Data Entry'!R777)</f>
      </c>
      <c r="S777">
        <f>IF(ISBLANK('Data Entry'!S777), "", 'Data Entry'!S777)</f>
      </c>
      <c r="T777">
        <f>IF(ISBLANK('Data Entry'!T777), "", 'Data Entry'!T777)</f>
      </c>
      <c r="U777">
        <f>IF(ISBLANK('Data Entry'!U777), "", 'Data Entry'!U777)</f>
      </c>
      <c r="V777">
        <f>IF(ISBLANK('Data Entry'!V777), "", 'Data Entry'!V777)</f>
      </c>
      <c r="W777">
        <f>IF(ISBLANK('Data Entry'!W777), "", 'Data Entry'!W777)</f>
      </c>
      <c r="X777">
        <f>IF(ISBLANK('Data Entry'!X777), "", 'Data Entry'!X777)</f>
      </c>
      <c r="Y777">
        <f>IF(ISBLANK('Data Entry'!Y777), "", 'Data Entry'!Y777)</f>
      </c>
      <c r="Z777">
        <f>IF(ISBLANK('Data Entry'!Z777), "", 'Data Entry'!Z777)</f>
      </c>
      <c r="AA777">
        <f>IF(ISBLANK('Data Entry'![777), "", 'Data Entry'![777)</f>
      </c>
      <c r="AB777">
        <f>IF(ISBLANK('Data Entry'!\777), "", 'Data Entry'!\777)</f>
      </c>
      <c r="AC777">
        <f>IF(ISBLANK('Data Entry'!]777), "", 'Data Entry'!]777)</f>
      </c>
      <c r="AD777">
        <f>IF(ISBLANK('Data Entry'!^777), "", 'Data Entry'!^777)</f>
      </c>
      <c r="AE777">
        <f>IF(ISBLANK('Data Entry'!_777), "", 'Data Entry'!_777)</f>
      </c>
      <c r="AF777">
        <f>IF(ISBLANK('Data Entry'!`777), "", 'Data Entry'!`777)</f>
      </c>
      <c r="AG777">
        <f>IF(ISBLANK('Data Entry'!a777), "", 'Data Entry'!a777)</f>
      </c>
      <c r="AH777">
        <f>IF(ISBLANK('Data Entry'!b777), "", 'Data Entry'!b777)</f>
      </c>
      <c r="AI777">
        <f>IF(ISBLANK('Data Entry'!c777), "", 'Data Entry'!c777)</f>
      </c>
      <c r="AJ777">
        <f>IF(ISBLANK('Data Entry'!d777), "", 'Data Entry'!d777)</f>
      </c>
      <c r="AK777">
        <f>IF(ISBLANK('Data Entry'!e777), "", 'Data Entry'!e777)</f>
      </c>
      <c r="AL777">
        <f>IF(ISBLANK('Data Entry'!f777), "", 'Data Entry'!f777)</f>
      </c>
      <c r="AM777">
        <f>IF(ISBLANK('Data Entry'!g777), "", 'Data Entry'!g777)</f>
      </c>
      <c r="AN777">
        <f>IF(ISBLANK('Data Entry'!h777), "", 'Data Entry'!h777)</f>
      </c>
    </row>
    <row r="778" spans="1:40" x14ac:dyDescent="0.25">
      <c r="A778">
        <f>IF(ISBLANK('Data Entry'!A778), "", 'Data Entry'!A778)</f>
      </c>
      <c r="B778">
        <f>IF(ISBLANK('Data Entry'!B778), "", 'Data Entry'!B778)</f>
      </c>
      <c r="C778">
        <f>IF(ISBLANK('Data Entry'!C778), "", 'Data Entry'!C778)</f>
      </c>
      <c r="D778">
        <f>IF(ISBLANK('Data Entry'!D778), "", 'Data Entry'!D778)</f>
      </c>
      <c r="E778">
        <f>IF(ISBLANK('Data Entry'!E778), "", 'Data Entry'!E778)</f>
      </c>
      <c r="F778">
        <f>IF(ISBLANK('Data Entry'!F778), "", 'Data Entry'!F778)</f>
      </c>
      <c r="G778">
        <f>IF(ISBLANK('Data Entry'!G778), "", 'Data Entry'!G778)</f>
      </c>
      <c r="H778">
        <f>IF(ISBLANK('Data Entry'!H778), "", 'Data Entry'!H778)</f>
      </c>
      <c r="I778">
        <f>IF(ISBLANK('Data Entry'!I778), "", 'Data Entry'!I778)</f>
      </c>
      <c r="J778">
        <f>IF(ISBLANK('Data Entry'!J778), "", 'Data Entry'!J778)</f>
      </c>
      <c r="K778">
        <f>IF(ISBLANK('Data Entry'!K778), "", 'Data Entry'!K778)</f>
      </c>
      <c r="L778">
        <f>IF(ISBLANK('Data Entry'!L778), "", 'Data Entry'!L778)</f>
      </c>
      <c r="M778">
        <f>IF(ISBLANK('Data Entry'!M778), "", 'Data Entry'!M778)</f>
      </c>
      <c r="N778">
        <f>IF(ISBLANK('Data Entry'!N778), "", 'Data Entry'!N778)</f>
      </c>
      <c r="O778">
        <f>IF(ISBLANK('Data Entry'!O778), "", 'Data Entry'!O778)</f>
      </c>
      <c r="P778">
        <f>IF(ISBLANK('Data Entry'!P778), "", 'Data Entry'!P778)</f>
      </c>
      <c r="Q778">
        <f>IF(ISBLANK('Data Entry'!Q778), "", 'Data Entry'!Q778)</f>
      </c>
      <c r="R778">
        <f>IF(ISBLANK('Data Entry'!R778), "", 'Data Entry'!R778)</f>
      </c>
      <c r="S778">
        <f>IF(ISBLANK('Data Entry'!S778), "", 'Data Entry'!S778)</f>
      </c>
      <c r="T778">
        <f>IF(ISBLANK('Data Entry'!T778), "", 'Data Entry'!T778)</f>
      </c>
      <c r="U778">
        <f>IF(ISBLANK('Data Entry'!U778), "", 'Data Entry'!U778)</f>
      </c>
      <c r="V778">
        <f>IF(ISBLANK('Data Entry'!V778), "", 'Data Entry'!V778)</f>
      </c>
      <c r="W778">
        <f>IF(ISBLANK('Data Entry'!W778), "", 'Data Entry'!W778)</f>
      </c>
      <c r="X778">
        <f>IF(ISBLANK('Data Entry'!X778), "", 'Data Entry'!X778)</f>
      </c>
      <c r="Y778">
        <f>IF(ISBLANK('Data Entry'!Y778), "", 'Data Entry'!Y778)</f>
      </c>
      <c r="Z778">
        <f>IF(ISBLANK('Data Entry'!Z778), "", 'Data Entry'!Z778)</f>
      </c>
      <c r="AA778">
        <f>IF(ISBLANK('Data Entry'![778), "", 'Data Entry'![778)</f>
      </c>
      <c r="AB778">
        <f>IF(ISBLANK('Data Entry'!\778), "", 'Data Entry'!\778)</f>
      </c>
      <c r="AC778">
        <f>IF(ISBLANK('Data Entry'!]778), "", 'Data Entry'!]778)</f>
      </c>
      <c r="AD778">
        <f>IF(ISBLANK('Data Entry'!^778), "", 'Data Entry'!^778)</f>
      </c>
      <c r="AE778">
        <f>IF(ISBLANK('Data Entry'!_778), "", 'Data Entry'!_778)</f>
      </c>
      <c r="AF778">
        <f>IF(ISBLANK('Data Entry'!`778), "", 'Data Entry'!`778)</f>
      </c>
      <c r="AG778">
        <f>IF(ISBLANK('Data Entry'!a778), "", 'Data Entry'!a778)</f>
      </c>
      <c r="AH778">
        <f>IF(ISBLANK('Data Entry'!b778), "", 'Data Entry'!b778)</f>
      </c>
      <c r="AI778">
        <f>IF(ISBLANK('Data Entry'!c778), "", 'Data Entry'!c778)</f>
      </c>
      <c r="AJ778">
        <f>IF(ISBLANK('Data Entry'!d778), "", 'Data Entry'!d778)</f>
      </c>
      <c r="AK778">
        <f>IF(ISBLANK('Data Entry'!e778), "", 'Data Entry'!e778)</f>
      </c>
      <c r="AL778">
        <f>IF(ISBLANK('Data Entry'!f778), "", 'Data Entry'!f778)</f>
      </c>
      <c r="AM778">
        <f>IF(ISBLANK('Data Entry'!g778), "", 'Data Entry'!g778)</f>
      </c>
      <c r="AN778">
        <f>IF(ISBLANK('Data Entry'!h778), "", 'Data Entry'!h778)</f>
      </c>
    </row>
    <row r="779" spans="1:40" x14ac:dyDescent="0.25">
      <c r="A779">
        <f>IF(ISBLANK('Data Entry'!A779), "", 'Data Entry'!A779)</f>
      </c>
      <c r="B779">
        <f>IF(ISBLANK('Data Entry'!B779), "", 'Data Entry'!B779)</f>
      </c>
      <c r="C779">
        <f>IF(ISBLANK('Data Entry'!C779), "", 'Data Entry'!C779)</f>
      </c>
      <c r="D779">
        <f>IF(ISBLANK('Data Entry'!D779), "", 'Data Entry'!D779)</f>
      </c>
      <c r="E779">
        <f>IF(ISBLANK('Data Entry'!E779), "", 'Data Entry'!E779)</f>
      </c>
      <c r="F779">
        <f>IF(ISBLANK('Data Entry'!F779), "", 'Data Entry'!F779)</f>
      </c>
      <c r="G779">
        <f>IF(ISBLANK('Data Entry'!G779), "", 'Data Entry'!G779)</f>
      </c>
      <c r="H779">
        <f>IF(ISBLANK('Data Entry'!H779), "", 'Data Entry'!H779)</f>
      </c>
      <c r="I779">
        <f>IF(ISBLANK('Data Entry'!I779), "", 'Data Entry'!I779)</f>
      </c>
      <c r="J779">
        <f>IF(ISBLANK('Data Entry'!J779), "", 'Data Entry'!J779)</f>
      </c>
      <c r="K779">
        <f>IF(ISBLANK('Data Entry'!K779), "", 'Data Entry'!K779)</f>
      </c>
      <c r="L779">
        <f>IF(ISBLANK('Data Entry'!L779), "", 'Data Entry'!L779)</f>
      </c>
      <c r="M779">
        <f>IF(ISBLANK('Data Entry'!M779), "", 'Data Entry'!M779)</f>
      </c>
      <c r="N779">
        <f>IF(ISBLANK('Data Entry'!N779), "", 'Data Entry'!N779)</f>
      </c>
      <c r="O779">
        <f>IF(ISBLANK('Data Entry'!O779), "", 'Data Entry'!O779)</f>
      </c>
      <c r="P779">
        <f>IF(ISBLANK('Data Entry'!P779), "", 'Data Entry'!P779)</f>
      </c>
      <c r="Q779">
        <f>IF(ISBLANK('Data Entry'!Q779), "", 'Data Entry'!Q779)</f>
      </c>
      <c r="R779">
        <f>IF(ISBLANK('Data Entry'!R779), "", 'Data Entry'!R779)</f>
      </c>
      <c r="S779">
        <f>IF(ISBLANK('Data Entry'!S779), "", 'Data Entry'!S779)</f>
      </c>
      <c r="T779">
        <f>IF(ISBLANK('Data Entry'!T779), "", 'Data Entry'!T779)</f>
      </c>
      <c r="U779">
        <f>IF(ISBLANK('Data Entry'!U779), "", 'Data Entry'!U779)</f>
      </c>
      <c r="V779">
        <f>IF(ISBLANK('Data Entry'!V779), "", 'Data Entry'!V779)</f>
      </c>
      <c r="W779">
        <f>IF(ISBLANK('Data Entry'!W779), "", 'Data Entry'!W779)</f>
      </c>
      <c r="X779">
        <f>IF(ISBLANK('Data Entry'!X779), "", 'Data Entry'!X779)</f>
      </c>
      <c r="Y779">
        <f>IF(ISBLANK('Data Entry'!Y779), "", 'Data Entry'!Y779)</f>
      </c>
      <c r="Z779">
        <f>IF(ISBLANK('Data Entry'!Z779), "", 'Data Entry'!Z779)</f>
      </c>
      <c r="AA779">
        <f>IF(ISBLANK('Data Entry'![779), "", 'Data Entry'![779)</f>
      </c>
      <c r="AB779">
        <f>IF(ISBLANK('Data Entry'!\779), "", 'Data Entry'!\779)</f>
      </c>
      <c r="AC779">
        <f>IF(ISBLANK('Data Entry'!]779), "", 'Data Entry'!]779)</f>
      </c>
      <c r="AD779">
        <f>IF(ISBLANK('Data Entry'!^779), "", 'Data Entry'!^779)</f>
      </c>
      <c r="AE779">
        <f>IF(ISBLANK('Data Entry'!_779), "", 'Data Entry'!_779)</f>
      </c>
      <c r="AF779">
        <f>IF(ISBLANK('Data Entry'!`779), "", 'Data Entry'!`779)</f>
      </c>
      <c r="AG779">
        <f>IF(ISBLANK('Data Entry'!a779), "", 'Data Entry'!a779)</f>
      </c>
      <c r="AH779">
        <f>IF(ISBLANK('Data Entry'!b779), "", 'Data Entry'!b779)</f>
      </c>
      <c r="AI779">
        <f>IF(ISBLANK('Data Entry'!c779), "", 'Data Entry'!c779)</f>
      </c>
      <c r="AJ779">
        <f>IF(ISBLANK('Data Entry'!d779), "", 'Data Entry'!d779)</f>
      </c>
      <c r="AK779">
        <f>IF(ISBLANK('Data Entry'!e779), "", 'Data Entry'!e779)</f>
      </c>
      <c r="AL779">
        <f>IF(ISBLANK('Data Entry'!f779), "", 'Data Entry'!f779)</f>
      </c>
      <c r="AM779">
        <f>IF(ISBLANK('Data Entry'!g779), "", 'Data Entry'!g779)</f>
      </c>
      <c r="AN779">
        <f>IF(ISBLANK('Data Entry'!h779), "", 'Data Entry'!h779)</f>
      </c>
    </row>
    <row r="780" spans="1:40" x14ac:dyDescent="0.25">
      <c r="A780">
        <f>IF(ISBLANK('Data Entry'!A780), "", 'Data Entry'!A780)</f>
      </c>
      <c r="B780">
        <f>IF(ISBLANK('Data Entry'!B780), "", 'Data Entry'!B780)</f>
      </c>
      <c r="C780">
        <f>IF(ISBLANK('Data Entry'!C780), "", 'Data Entry'!C780)</f>
      </c>
      <c r="D780">
        <f>IF(ISBLANK('Data Entry'!D780), "", 'Data Entry'!D780)</f>
      </c>
      <c r="E780">
        <f>IF(ISBLANK('Data Entry'!E780), "", 'Data Entry'!E780)</f>
      </c>
      <c r="F780">
        <f>IF(ISBLANK('Data Entry'!F780), "", 'Data Entry'!F780)</f>
      </c>
      <c r="G780">
        <f>IF(ISBLANK('Data Entry'!G780), "", 'Data Entry'!G780)</f>
      </c>
      <c r="H780">
        <f>IF(ISBLANK('Data Entry'!H780), "", 'Data Entry'!H780)</f>
      </c>
      <c r="I780">
        <f>IF(ISBLANK('Data Entry'!I780), "", 'Data Entry'!I780)</f>
      </c>
      <c r="J780">
        <f>IF(ISBLANK('Data Entry'!J780), "", 'Data Entry'!J780)</f>
      </c>
      <c r="K780">
        <f>IF(ISBLANK('Data Entry'!K780), "", 'Data Entry'!K780)</f>
      </c>
      <c r="L780">
        <f>IF(ISBLANK('Data Entry'!L780), "", 'Data Entry'!L780)</f>
      </c>
      <c r="M780">
        <f>IF(ISBLANK('Data Entry'!M780), "", 'Data Entry'!M780)</f>
      </c>
      <c r="N780">
        <f>IF(ISBLANK('Data Entry'!N780), "", 'Data Entry'!N780)</f>
      </c>
      <c r="O780">
        <f>IF(ISBLANK('Data Entry'!O780), "", 'Data Entry'!O780)</f>
      </c>
      <c r="P780">
        <f>IF(ISBLANK('Data Entry'!P780), "", 'Data Entry'!P780)</f>
      </c>
      <c r="Q780">
        <f>IF(ISBLANK('Data Entry'!Q780), "", 'Data Entry'!Q780)</f>
      </c>
      <c r="R780">
        <f>IF(ISBLANK('Data Entry'!R780), "", 'Data Entry'!R780)</f>
      </c>
      <c r="S780">
        <f>IF(ISBLANK('Data Entry'!S780), "", 'Data Entry'!S780)</f>
      </c>
      <c r="T780">
        <f>IF(ISBLANK('Data Entry'!T780), "", 'Data Entry'!T780)</f>
      </c>
      <c r="U780">
        <f>IF(ISBLANK('Data Entry'!U780), "", 'Data Entry'!U780)</f>
      </c>
      <c r="V780">
        <f>IF(ISBLANK('Data Entry'!V780), "", 'Data Entry'!V780)</f>
      </c>
      <c r="W780">
        <f>IF(ISBLANK('Data Entry'!W780), "", 'Data Entry'!W780)</f>
      </c>
      <c r="X780">
        <f>IF(ISBLANK('Data Entry'!X780), "", 'Data Entry'!X780)</f>
      </c>
      <c r="Y780">
        <f>IF(ISBLANK('Data Entry'!Y780), "", 'Data Entry'!Y780)</f>
      </c>
      <c r="Z780">
        <f>IF(ISBLANK('Data Entry'!Z780), "", 'Data Entry'!Z780)</f>
      </c>
      <c r="AA780">
        <f>IF(ISBLANK('Data Entry'![780), "", 'Data Entry'![780)</f>
      </c>
      <c r="AB780">
        <f>IF(ISBLANK('Data Entry'!\780), "", 'Data Entry'!\780)</f>
      </c>
      <c r="AC780">
        <f>IF(ISBLANK('Data Entry'!]780), "", 'Data Entry'!]780)</f>
      </c>
      <c r="AD780">
        <f>IF(ISBLANK('Data Entry'!^780), "", 'Data Entry'!^780)</f>
      </c>
      <c r="AE780">
        <f>IF(ISBLANK('Data Entry'!_780), "", 'Data Entry'!_780)</f>
      </c>
      <c r="AF780">
        <f>IF(ISBLANK('Data Entry'!`780), "", 'Data Entry'!`780)</f>
      </c>
      <c r="AG780">
        <f>IF(ISBLANK('Data Entry'!a780), "", 'Data Entry'!a780)</f>
      </c>
      <c r="AH780">
        <f>IF(ISBLANK('Data Entry'!b780), "", 'Data Entry'!b780)</f>
      </c>
      <c r="AI780">
        <f>IF(ISBLANK('Data Entry'!c780), "", 'Data Entry'!c780)</f>
      </c>
      <c r="AJ780">
        <f>IF(ISBLANK('Data Entry'!d780), "", 'Data Entry'!d780)</f>
      </c>
      <c r="AK780">
        <f>IF(ISBLANK('Data Entry'!e780), "", 'Data Entry'!e780)</f>
      </c>
      <c r="AL780">
        <f>IF(ISBLANK('Data Entry'!f780), "", 'Data Entry'!f780)</f>
      </c>
      <c r="AM780">
        <f>IF(ISBLANK('Data Entry'!g780), "", 'Data Entry'!g780)</f>
      </c>
      <c r="AN780">
        <f>IF(ISBLANK('Data Entry'!h780), "", 'Data Entry'!h780)</f>
      </c>
    </row>
    <row r="781" spans="1:40" x14ac:dyDescent="0.25">
      <c r="A781">
        <f>IF(ISBLANK('Data Entry'!A781), "", 'Data Entry'!A781)</f>
      </c>
      <c r="B781">
        <f>IF(ISBLANK('Data Entry'!B781), "", 'Data Entry'!B781)</f>
      </c>
      <c r="C781">
        <f>IF(ISBLANK('Data Entry'!C781), "", 'Data Entry'!C781)</f>
      </c>
      <c r="D781">
        <f>IF(ISBLANK('Data Entry'!D781), "", 'Data Entry'!D781)</f>
      </c>
      <c r="E781">
        <f>IF(ISBLANK('Data Entry'!E781), "", 'Data Entry'!E781)</f>
      </c>
      <c r="F781">
        <f>IF(ISBLANK('Data Entry'!F781), "", 'Data Entry'!F781)</f>
      </c>
      <c r="G781">
        <f>IF(ISBLANK('Data Entry'!G781), "", 'Data Entry'!G781)</f>
      </c>
      <c r="H781">
        <f>IF(ISBLANK('Data Entry'!H781), "", 'Data Entry'!H781)</f>
      </c>
      <c r="I781">
        <f>IF(ISBLANK('Data Entry'!I781), "", 'Data Entry'!I781)</f>
      </c>
      <c r="J781">
        <f>IF(ISBLANK('Data Entry'!J781), "", 'Data Entry'!J781)</f>
      </c>
      <c r="K781">
        <f>IF(ISBLANK('Data Entry'!K781), "", 'Data Entry'!K781)</f>
      </c>
      <c r="L781">
        <f>IF(ISBLANK('Data Entry'!L781), "", 'Data Entry'!L781)</f>
      </c>
      <c r="M781">
        <f>IF(ISBLANK('Data Entry'!M781), "", 'Data Entry'!M781)</f>
      </c>
      <c r="N781">
        <f>IF(ISBLANK('Data Entry'!N781), "", 'Data Entry'!N781)</f>
      </c>
      <c r="O781">
        <f>IF(ISBLANK('Data Entry'!O781), "", 'Data Entry'!O781)</f>
      </c>
      <c r="P781">
        <f>IF(ISBLANK('Data Entry'!P781), "", 'Data Entry'!P781)</f>
      </c>
      <c r="Q781">
        <f>IF(ISBLANK('Data Entry'!Q781), "", 'Data Entry'!Q781)</f>
      </c>
      <c r="R781">
        <f>IF(ISBLANK('Data Entry'!R781), "", 'Data Entry'!R781)</f>
      </c>
      <c r="S781">
        <f>IF(ISBLANK('Data Entry'!S781), "", 'Data Entry'!S781)</f>
      </c>
      <c r="T781">
        <f>IF(ISBLANK('Data Entry'!T781), "", 'Data Entry'!T781)</f>
      </c>
      <c r="U781">
        <f>IF(ISBLANK('Data Entry'!U781), "", 'Data Entry'!U781)</f>
      </c>
      <c r="V781">
        <f>IF(ISBLANK('Data Entry'!V781), "", 'Data Entry'!V781)</f>
      </c>
      <c r="W781">
        <f>IF(ISBLANK('Data Entry'!W781), "", 'Data Entry'!W781)</f>
      </c>
      <c r="X781">
        <f>IF(ISBLANK('Data Entry'!X781), "", 'Data Entry'!X781)</f>
      </c>
      <c r="Y781">
        <f>IF(ISBLANK('Data Entry'!Y781), "", 'Data Entry'!Y781)</f>
      </c>
      <c r="Z781">
        <f>IF(ISBLANK('Data Entry'!Z781), "", 'Data Entry'!Z781)</f>
      </c>
      <c r="AA781">
        <f>IF(ISBLANK('Data Entry'![781), "", 'Data Entry'![781)</f>
      </c>
      <c r="AB781">
        <f>IF(ISBLANK('Data Entry'!\781), "", 'Data Entry'!\781)</f>
      </c>
      <c r="AC781">
        <f>IF(ISBLANK('Data Entry'!]781), "", 'Data Entry'!]781)</f>
      </c>
      <c r="AD781">
        <f>IF(ISBLANK('Data Entry'!^781), "", 'Data Entry'!^781)</f>
      </c>
      <c r="AE781">
        <f>IF(ISBLANK('Data Entry'!_781), "", 'Data Entry'!_781)</f>
      </c>
      <c r="AF781">
        <f>IF(ISBLANK('Data Entry'!`781), "", 'Data Entry'!`781)</f>
      </c>
      <c r="AG781">
        <f>IF(ISBLANK('Data Entry'!a781), "", 'Data Entry'!a781)</f>
      </c>
      <c r="AH781">
        <f>IF(ISBLANK('Data Entry'!b781), "", 'Data Entry'!b781)</f>
      </c>
      <c r="AI781">
        <f>IF(ISBLANK('Data Entry'!c781), "", 'Data Entry'!c781)</f>
      </c>
      <c r="AJ781">
        <f>IF(ISBLANK('Data Entry'!d781), "", 'Data Entry'!d781)</f>
      </c>
      <c r="AK781">
        <f>IF(ISBLANK('Data Entry'!e781), "", 'Data Entry'!e781)</f>
      </c>
      <c r="AL781">
        <f>IF(ISBLANK('Data Entry'!f781), "", 'Data Entry'!f781)</f>
      </c>
      <c r="AM781">
        <f>IF(ISBLANK('Data Entry'!g781), "", 'Data Entry'!g781)</f>
      </c>
      <c r="AN781">
        <f>IF(ISBLANK('Data Entry'!h781), "", 'Data Entry'!h781)</f>
      </c>
    </row>
    <row r="782" spans="1:40" x14ac:dyDescent="0.25">
      <c r="A782">
        <f>IF(ISBLANK('Data Entry'!A782), "", 'Data Entry'!A782)</f>
      </c>
      <c r="B782">
        <f>IF(ISBLANK('Data Entry'!B782), "", 'Data Entry'!B782)</f>
      </c>
      <c r="C782">
        <f>IF(ISBLANK('Data Entry'!C782), "", 'Data Entry'!C782)</f>
      </c>
      <c r="D782">
        <f>IF(ISBLANK('Data Entry'!D782), "", 'Data Entry'!D782)</f>
      </c>
      <c r="E782">
        <f>IF(ISBLANK('Data Entry'!E782), "", 'Data Entry'!E782)</f>
      </c>
      <c r="F782">
        <f>IF(ISBLANK('Data Entry'!F782), "", 'Data Entry'!F782)</f>
      </c>
      <c r="G782">
        <f>IF(ISBLANK('Data Entry'!G782), "", 'Data Entry'!G782)</f>
      </c>
      <c r="H782">
        <f>IF(ISBLANK('Data Entry'!H782), "", 'Data Entry'!H782)</f>
      </c>
      <c r="I782">
        <f>IF(ISBLANK('Data Entry'!I782), "", 'Data Entry'!I782)</f>
      </c>
      <c r="J782">
        <f>IF(ISBLANK('Data Entry'!J782), "", 'Data Entry'!J782)</f>
      </c>
      <c r="K782">
        <f>IF(ISBLANK('Data Entry'!K782), "", 'Data Entry'!K782)</f>
      </c>
      <c r="L782">
        <f>IF(ISBLANK('Data Entry'!L782), "", 'Data Entry'!L782)</f>
      </c>
      <c r="M782">
        <f>IF(ISBLANK('Data Entry'!M782), "", 'Data Entry'!M782)</f>
      </c>
      <c r="N782">
        <f>IF(ISBLANK('Data Entry'!N782), "", 'Data Entry'!N782)</f>
      </c>
      <c r="O782">
        <f>IF(ISBLANK('Data Entry'!O782), "", 'Data Entry'!O782)</f>
      </c>
      <c r="P782">
        <f>IF(ISBLANK('Data Entry'!P782), "", 'Data Entry'!P782)</f>
      </c>
      <c r="Q782">
        <f>IF(ISBLANK('Data Entry'!Q782), "", 'Data Entry'!Q782)</f>
      </c>
      <c r="R782">
        <f>IF(ISBLANK('Data Entry'!R782), "", 'Data Entry'!R782)</f>
      </c>
      <c r="S782">
        <f>IF(ISBLANK('Data Entry'!S782), "", 'Data Entry'!S782)</f>
      </c>
      <c r="T782">
        <f>IF(ISBLANK('Data Entry'!T782), "", 'Data Entry'!T782)</f>
      </c>
      <c r="U782">
        <f>IF(ISBLANK('Data Entry'!U782), "", 'Data Entry'!U782)</f>
      </c>
      <c r="V782">
        <f>IF(ISBLANK('Data Entry'!V782), "", 'Data Entry'!V782)</f>
      </c>
      <c r="W782">
        <f>IF(ISBLANK('Data Entry'!W782), "", 'Data Entry'!W782)</f>
      </c>
      <c r="X782">
        <f>IF(ISBLANK('Data Entry'!X782), "", 'Data Entry'!X782)</f>
      </c>
      <c r="Y782">
        <f>IF(ISBLANK('Data Entry'!Y782), "", 'Data Entry'!Y782)</f>
      </c>
      <c r="Z782">
        <f>IF(ISBLANK('Data Entry'!Z782), "", 'Data Entry'!Z782)</f>
      </c>
      <c r="AA782">
        <f>IF(ISBLANK('Data Entry'![782), "", 'Data Entry'![782)</f>
      </c>
      <c r="AB782">
        <f>IF(ISBLANK('Data Entry'!\782), "", 'Data Entry'!\782)</f>
      </c>
      <c r="AC782">
        <f>IF(ISBLANK('Data Entry'!]782), "", 'Data Entry'!]782)</f>
      </c>
      <c r="AD782">
        <f>IF(ISBLANK('Data Entry'!^782), "", 'Data Entry'!^782)</f>
      </c>
      <c r="AE782">
        <f>IF(ISBLANK('Data Entry'!_782), "", 'Data Entry'!_782)</f>
      </c>
      <c r="AF782">
        <f>IF(ISBLANK('Data Entry'!`782), "", 'Data Entry'!`782)</f>
      </c>
      <c r="AG782">
        <f>IF(ISBLANK('Data Entry'!a782), "", 'Data Entry'!a782)</f>
      </c>
      <c r="AH782">
        <f>IF(ISBLANK('Data Entry'!b782), "", 'Data Entry'!b782)</f>
      </c>
      <c r="AI782">
        <f>IF(ISBLANK('Data Entry'!c782), "", 'Data Entry'!c782)</f>
      </c>
      <c r="AJ782">
        <f>IF(ISBLANK('Data Entry'!d782), "", 'Data Entry'!d782)</f>
      </c>
      <c r="AK782">
        <f>IF(ISBLANK('Data Entry'!e782), "", 'Data Entry'!e782)</f>
      </c>
      <c r="AL782">
        <f>IF(ISBLANK('Data Entry'!f782), "", 'Data Entry'!f782)</f>
      </c>
      <c r="AM782">
        <f>IF(ISBLANK('Data Entry'!g782), "", 'Data Entry'!g782)</f>
      </c>
      <c r="AN782">
        <f>IF(ISBLANK('Data Entry'!h782), "", 'Data Entry'!h782)</f>
      </c>
    </row>
    <row r="783" spans="1:40" x14ac:dyDescent="0.25">
      <c r="A783">
        <f>IF(ISBLANK('Data Entry'!A783), "", 'Data Entry'!A783)</f>
      </c>
      <c r="B783">
        <f>IF(ISBLANK('Data Entry'!B783), "", 'Data Entry'!B783)</f>
      </c>
      <c r="C783">
        <f>IF(ISBLANK('Data Entry'!C783), "", 'Data Entry'!C783)</f>
      </c>
      <c r="D783">
        <f>IF(ISBLANK('Data Entry'!D783), "", 'Data Entry'!D783)</f>
      </c>
      <c r="E783">
        <f>IF(ISBLANK('Data Entry'!E783), "", 'Data Entry'!E783)</f>
      </c>
      <c r="F783">
        <f>IF(ISBLANK('Data Entry'!F783), "", 'Data Entry'!F783)</f>
      </c>
      <c r="G783">
        <f>IF(ISBLANK('Data Entry'!G783), "", 'Data Entry'!G783)</f>
      </c>
      <c r="H783">
        <f>IF(ISBLANK('Data Entry'!H783), "", 'Data Entry'!H783)</f>
      </c>
      <c r="I783">
        <f>IF(ISBLANK('Data Entry'!I783), "", 'Data Entry'!I783)</f>
      </c>
      <c r="J783">
        <f>IF(ISBLANK('Data Entry'!J783), "", 'Data Entry'!J783)</f>
      </c>
      <c r="K783">
        <f>IF(ISBLANK('Data Entry'!K783), "", 'Data Entry'!K783)</f>
      </c>
      <c r="L783">
        <f>IF(ISBLANK('Data Entry'!L783), "", 'Data Entry'!L783)</f>
      </c>
      <c r="M783">
        <f>IF(ISBLANK('Data Entry'!M783), "", 'Data Entry'!M783)</f>
      </c>
      <c r="N783">
        <f>IF(ISBLANK('Data Entry'!N783), "", 'Data Entry'!N783)</f>
      </c>
      <c r="O783">
        <f>IF(ISBLANK('Data Entry'!O783), "", 'Data Entry'!O783)</f>
      </c>
      <c r="P783">
        <f>IF(ISBLANK('Data Entry'!P783), "", 'Data Entry'!P783)</f>
      </c>
      <c r="Q783">
        <f>IF(ISBLANK('Data Entry'!Q783), "", 'Data Entry'!Q783)</f>
      </c>
      <c r="R783">
        <f>IF(ISBLANK('Data Entry'!R783), "", 'Data Entry'!R783)</f>
      </c>
      <c r="S783">
        <f>IF(ISBLANK('Data Entry'!S783), "", 'Data Entry'!S783)</f>
      </c>
      <c r="T783">
        <f>IF(ISBLANK('Data Entry'!T783), "", 'Data Entry'!T783)</f>
      </c>
      <c r="U783">
        <f>IF(ISBLANK('Data Entry'!U783), "", 'Data Entry'!U783)</f>
      </c>
      <c r="V783">
        <f>IF(ISBLANK('Data Entry'!V783), "", 'Data Entry'!V783)</f>
      </c>
      <c r="W783">
        <f>IF(ISBLANK('Data Entry'!W783), "", 'Data Entry'!W783)</f>
      </c>
      <c r="X783">
        <f>IF(ISBLANK('Data Entry'!X783), "", 'Data Entry'!X783)</f>
      </c>
      <c r="Y783">
        <f>IF(ISBLANK('Data Entry'!Y783), "", 'Data Entry'!Y783)</f>
      </c>
      <c r="Z783">
        <f>IF(ISBLANK('Data Entry'!Z783), "", 'Data Entry'!Z783)</f>
      </c>
      <c r="AA783">
        <f>IF(ISBLANK('Data Entry'![783), "", 'Data Entry'![783)</f>
      </c>
      <c r="AB783">
        <f>IF(ISBLANK('Data Entry'!\783), "", 'Data Entry'!\783)</f>
      </c>
      <c r="AC783">
        <f>IF(ISBLANK('Data Entry'!]783), "", 'Data Entry'!]783)</f>
      </c>
      <c r="AD783">
        <f>IF(ISBLANK('Data Entry'!^783), "", 'Data Entry'!^783)</f>
      </c>
      <c r="AE783">
        <f>IF(ISBLANK('Data Entry'!_783), "", 'Data Entry'!_783)</f>
      </c>
      <c r="AF783">
        <f>IF(ISBLANK('Data Entry'!`783), "", 'Data Entry'!`783)</f>
      </c>
      <c r="AG783">
        <f>IF(ISBLANK('Data Entry'!a783), "", 'Data Entry'!a783)</f>
      </c>
      <c r="AH783">
        <f>IF(ISBLANK('Data Entry'!b783), "", 'Data Entry'!b783)</f>
      </c>
      <c r="AI783">
        <f>IF(ISBLANK('Data Entry'!c783), "", 'Data Entry'!c783)</f>
      </c>
      <c r="AJ783">
        <f>IF(ISBLANK('Data Entry'!d783), "", 'Data Entry'!d783)</f>
      </c>
      <c r="AK783">
        <f>IF(ISBLANK('Data Entry'!e783), "", 'Data Entry'!e783)</f>
      </c>
      <c r="AL783">
        <f>IF(ISBLANK('Data Entry'!f783), "", 'Data Entry'!f783)</f>
      </c>
      <c r="AM783">
        <f>IF(ISBLANK('Data Entry'!g783), "", 'Data Entry'!g783)</f>
      </c>
      <c r="AN783">
        <f>IF(ISBLANK('Data Entry'!h783), "", 'Data Entry'!h783)</f>
      </c>
    </row>
    <row r="784" spans="1:40" x14ac:dyDescent="0.25">
      <c r="A784">
        <f>IF(ISBLANK('Data Entry'!A784), "", 'Data Entry'!A784)</f>
      </c>
      <c r="B784">
        <f>IF(ISBLANK('Data Entry'!B784), "", 'Data Entry'!B784)</f>
      </c>
      <c r="C784">
        <f>IF(ISBLANK('Data Entry'!C784), "", 'Data Entry'!C784)</f>
      </c>
      <c r="D784">
        <f>IF(ISBLANK('Data Entry'!D784), "", 'Data Entry'!D784)</f>
      </c>
      <c r="E784">
        <f>IF(ISBLANK('Data Entry'!E784), "", 'Data Entry'!E784)</f>
      </c>
      <c r="F784">
        <f>IF(ISBLANK('Data Entry'!F784), "", 'Data Entry'!F784)</f>
      </c>
      <c r="G784">
        <f>IF(ISBLANK('Data Entry'!G784), "", 'Data Entry'!G784)</f>
      </c>
      <c r="H784">
        <f>IF(ISBLANK('Data Entry'!H784), "", 'Data Entry'!H784)</f>
      </c>
      <c r="I784">
        <f>IF(ISBLANK('Data Entry'!I784), "", 'Data Entry'!I784)</f>
      </c>
      <c r="J784">
        <f>IF(ISBLANK('Data Entry'!J784), "", 'Data Entry'!J784)</f>
      </c>
      <c r="K784">
        <f>IF(ISBLANK('Data Entry'!K784), "", 'Data Entry'!K784)</f>
      </c>
      <c r="L784">
        <f>IF(ISBLANK('Data Entry'!L784), "", 'Data Entry'!L784)</f>
      </c>
      <c r="M784">
        <f>IF(ISBLANK('Data Entry'!M784), "", 'Data Entry'!M784)</f>
      </c>
      <c r="N784">
        <f>IF(ISBLANK('Data Entry'!N784), "", 'Data Entry'!N784)</f>
      </c>
      <c r="O784">
        <f>IF(ISBLANK('Data Entry'!O784), "", 'Data Entry'!O784)</f>
      </c>
      <c r="P784">
        <f>IF(ISBLANK('Data Entry'!P784), "", 'Data Entry'!P784)</f>
      </c>
      <c r="Q784">
        <f>IF(ISBLANK('Data Entry'!Q784), "", 'Data Entry'!Q784)</f>
      </c>
      <c r="R784">
        <f>IF(ISBLANK('Data Entry'!R784), "", 'Data Entry'!R784)</f>
      </c>
      <c r="S784">
        <f>IF(ISBLANK('Data Entry'!S784), "", 'Data Entry'!S784)</f>
      </c>
      <c r="T784">
        <f>IF(ISBLANK('Data Entry'!T784), "", 'Data Entry'!T784)</f>
      </c>
      <c r="U784">
        <f>IF(ISBLANK('Data Entry'!U784), "", 'Data Entry'!U784)</f>
      </c>
      <c r="V784">
        <f>IF(ISBLANK('Data Entry'!V784), "", 'Data Entry'!V784)</f>
      </c>
      <c r="W784">
        <f>IF(ISBLANK('Data Entry'!W784), "", 'Data Entry'!W784)</f>
      </c>
      <c r="X784">
        <f>IF(ISBLANK('Data Entry'!X784), "", 'Data Entry'!X784)</f>
      </c>
      <c r="Y784">
        <f>IF(ISBLANK('Data Entry'!Y784), "", 'Data Entry'!Y784)</f>
      </c>
      <c r="Z784">
        <f>IF(ISBLANK('Data Entry'!Z784), "", 'Data Entry'!Z784)</f>
      </c>
      <c r="AA784">
        <f>IF(ISBLANK('Data Entry'![784), "", 'Data Entry'![784)</f>
      </c>
      <c r="AB784">
        <f>IF(ISBLANK('Data Entry'!\784), "", 'Data Entry'!\784)</f>
      </c>
      <c r="AC784">
        <f>IF(ISBLANK('Data Entry'!]784), "", 'Data Entry'!]784)</f>
      </c>
      <c r="AD784">
        <f>IF(ISBLANK('Data Entry'!^784), "", 'Data Entry'!^784)</f>
      </c>
      <c r="AE784">
        <f>IF(ISBLANK('Data Entry'!_784), "", 'Data Entry'!_784)</f>
      </c>
      <c r="AF784">
        <f>IF(ISBLANK('Data Entry'!`784), "", 'Data Entry'!`784)</f>
      </c>
      <c r="AG784">
        <f>IF(ISBLANK('Data Entry'!a784), "", 'Data Entry'!a784)</f>
      </c>
      <c r="AH784">
        <f>IF(ISBLANK('Data Entry'!b784), "", 'Data Entry'!b784)</f>
      </c>
      <c r="AI784">
        <f>IF(ISBLANK('Data Entry'!c784), "", 'Data Entry'!c784)</f>
      </c>
      <c r="AJ784">
        <f>IF(ISBLANK('Data Entry'!d784), "", 'Data Entry'!d784)</f>
      </c>
      <c r="AK784">
        <f>IF(ISBLANK('Data Entry'!e784), "", 'Data Entry'!e784)</f>
      </c>
      <c r="AL784">
        <f>IF(ISBLANK('Data Entry'!f784), "", 'Data Entry'!f784)</f>
      </c>
      <c r="AM784">
        <f>IF(ISBLANK('Data Entry'!g784), "", 'Data Entry'!g784)</f>
      </c>
      <c r="AN784">
        <f>IF(ISBLANK('Data Entry'!h784), "", 'Data Entry'!h784)</f>
      </c>
    </row>
    <row r="785" spans="1:40" x14ac:dyDescent="0.25">
      <c r="A785">
        <f>IF(ISBLANK('Data Entry'!A785), "", 'Data Entry'!A785)</f>
      </c>
      <c r="B785">
        <f>IF(ISBLANK('Data Entry'!B785), "", 'Data Entry'!B785)</f>
      </c>
      <c r="C785">
        <f>IF(ISBLANK('Data Entry'!C785), "", 'Data Entry'!C785)</f>
      </c>
      <c r="D785">
        <f>IF(ISBLANK('Data Entry'!D785), "", 'Data Entry'!D785)</f>
      </c>
      <c r="E785">
        <f>IF(ISBLANK('Data Entry'!E785), "", 'Data Entry'!E785)</f>
      </c>
      <c r="F785">
        <f>IF(ISBLANK('Data Entry'!F785), "", 'Data Entry'!F785)</f>
      </c>
      <c r="G785">
        <f>IF(ISBLANK('Data Entry'!G785), "", 'Data Entry'!G785)</f>
      </c>
      <c r="H785">
        <f>IF(ISBLANK('Data Entry'!H785), "", 'Data Entry'!H785)</f>
      </c>
      <c r="I785">
        <f>IF(ISBLANK('Data Entry'!I785), "", 'Data Entry'!I785)</f>
      </c>
      <c r="J785">
        <f>IF(ISBLANK('Data Entry'!J785), "", 'Data Entry'!J785)</f>
      </c>
      <c r="K785">
        <f>IF(ISBLANK('Data Entry'!K785), "", 'Data Entry'!K785)</f>
      </c>
      <c r="L785">
        <f>IF(ISBLANK('Data Entry'!L785), "", 'Data Entry'!L785)</f>
      </c>
      <c r="M785">
        <f>IF(ISBLANK('Data Entry'!M785), "", 'Data Entry'!M785)</f>
      </c>
      <c r="N785">
        <f>IF(ISBLANK('Data Entry'!N785), "", 'Data Entry'!N785)</f>
      </c>
      <c r="O785">
        <f>IF(ISBLANK('Data Entry'!O785), "", 'Data Entry'!O785)</f>
      </c>
      <c r="P785">
        <f>IF(ISBLANK('Data Entry'!P785), "", 'Data Entry'!P785)</f>
      </c>
      <c r="Q785">
        <f>IF(ISBLANK('Data Entry'!Q785), "", 'Data Entry'!Q785)</f>
      </c>
      <c r="R785">
        <f>IF(ISBLANK('Data Entry'!R785), "", 'Data Entry'!R785)</f>
      </c>
      <c r="S785">
        <f>IF(ISBLANK('Data Entry'!S785), "", 'Data Entry'!S785)</f>
      </c>
      <c r="T785">
        <f>IF(ISBLANK('Data Entry'!T785), "", 'Data Entry'!T785)</f>
      </c>
      <c r="U785">
        <f>IF(ISBLANK('Data Entry'!U785), "", 'Data Entry'!U785)</f>
      </c>
      <c r="V785">
        <f>IF(ISBLANK('Data Entry'!V785), "", 'Data Entry'!V785)</f>
      </c>
      <c r="W785">
        <f>IF(ISBLANK('Data Entry'!W785), "", 'Data Entry'!W785)</f>
      </c>
      <c r="X785">
        <f>IF(ISBLANK('Data Entry'!X785), "", 'Data Entry'!X785)</f>
      </c>
      <c r="Y785">
        <f>IF(ISBLANK('Data Entry'!Y785), "", 'Data Entry'!Y785)</f>
      </c>
      <c r="Z785">
        <f>IF(ISBLANK('Data Entry'!Z785), "", 'Data Entry'!Z785)</f>
      </c>
      <c r="AA785">
        <f>IF(ISBLANK('Data Entry'![785), "", 'Data Entry'![785)</f>
      </c>
      <c r="AB785">
        <f>IF(ISBLANK('Data Entry'!\785), "", 'Data Entry'!\785)</f>
      </c>
      <c r="AC785">
        <f>IF(ISBLANK('Data Entry'!]785), "", 'Data Entry'!]785)</f>
      </c>
      <c r="AD785">
        <f>IF(ISBLANK('Data Entry'!^785), "", 'Data Entry'!^785)</f>
      </c>
      <c r="AE785">
        <f>IF(ISBLANK('Data Entry'!_785), "", 'Data Entry'!_785)</f>
      </c>
      <c r="AF785">
        <f>IF(ISBLANK('Data Entry'!`785), "", 'Data Entry'!`785)</f>
      </c>
      <c r="AG785">
        <f>IF(ISBLANK('Data Entry'!a785), "", 'Data Entry'!a785)</f>
      </c>
      <c r="AH785">
        <f>IF(ISBLANK('Data Entry'!b785), "", 'Data Entry'!b785)</f>
      </c>
      <c r="AI785">
        <f>IF(ISBLANK('Data Entry'!c785), "", 'Data Entry'!c785)</f>
      </c>
      <c r="AJ785">
        <f>IF(ISBLANK('Data Entry'!d785), "", 'Data Entry'!d785)</f>
      </c>
      <c r="AK785">
        <f>IF(ISBLANK('Data Entry'!e785), "", 'Data Entry'!e785)</f>
      </c>
      <c r="AL785">
        <f>IF(ISBLANK('Data Entry'!f785), "", 'Data Entry'!f785)</f>
      </c>
      <c r="AM785">
        <f>IF(ISBLANK('Data Entry'!g785), "", 'Data Entry'!g785)</f>
      </c>
      <c r="AN785">
        <f>IF(ISBLANK('Data Entry'!h785), "", 'Data Entry'!h785)</f>
      </c>
    </row>
    <row r="786" spans="1:40" x14ac:dyDescent="0.25">
      <c r="A786">
        <f>IF(ISBLANK('Data Entry'!A786), "", 'Data Entry'!A786)</f>
      </c>
      <c r="B786">
        <f>IF(ISBLANK('Data Entry'!B786), "", 'Data Entry'!B786)</f>
      </c>
      <c r="C786">
        <f>IF(ISBLANK('Data Entry'!C786), "", 'Data Entry'!C786)</f>
      </c>
      <c r="D786">
        <f>IF(ISBLANK('Data Entry'!D786), "", 'Data Entry'!D786)</f>
      </c>
      <c r="E786">
        <f>IF(ISBLANK('Data Entry'!E786), "", 'Data Entry'!E786)</f>
      </c>
      <c r="F786">
        <f>IF(ISBLANK('Data Entry'!F786), "", 'Data Entry'!F786)</f>
      </c>
      <c r="G786">
        <f>IF(ISBLANK('Data Entry'!G786), "", 'Data Entry'!G786)</f>
      </c>
      <c r="H786">
        <f>IF(ISBLANK('Data Entry'!H786), "", 'Data Entry'!H786)</f>
      </c>
      <c r="I786">
        <f>IF(ISBLANK('Data Entry'!I786), "", 'Data Entry'!I786)</f>
      </c>
      <c r="J786">
        <f>IF(ISBLANK('Data Entry'!J786), "", 'Data Entry'!J786)</f>
      </c>
      <c r="K786">
        <f>IF(ISBLANK('Data Entry'!K786), "", 'Data Entry'!K786)</f>
      </c>
      <c r="L786">
        <f>IF(ISBLANK('Data Entry'!L786), "", 'Data Entry'!L786)</f>
      </c>
      <c r="M786">
        <f>IF(ISBLANK('Data Entry'!M786), "", 'Data Entry'!M786)</f>
      </c>
      <c r="N786">
        <f>IF(ISBLANK('Data Entry'!N786), "", 'Data Entry'!N786)</f>
      </c>
      <c r="O786">
        <f>IF(ISBLANK('Data Entry'!O786), "", 'Data Entry'!O786)</f>
      </c>
      <c r="P786">
        <f>IF(ISBLANK('Data Entry'!P786), "", 'Data Entry'!P786)</f>
      </c>
      <c r="Q786">
        <f>IF(ISBLANK('Data Entry'!Q786), "", 'Data Entry'!Q786)</f>
      </c>
      <c r="R786">
        <f>IF(ISBLANK('Data Entry'!R786), "", 'Data Entry'!R786)</f>
      </c>
      <c r="S786">
        <f>IF(ISBLANK('Data Entry'!S786), "", 'Data Entry'!S786)</f>
      </c>
      <c r="T786">
        <f>IF(ISBLANK('Data Entry'!T786), "", 'Data Entry'!T786)</f>
      </c>
      <c r="U786">
        <f>IF(ISBLANK('Data Entry'!U786), "", 'Data Entry'!U786)</f>
      </c>
      <c r="V786">
        <f>IF(ISBLANK('Data Entry'!V786), "", 'Data Entry'!V786)</f>
      </c>
      <c r="W786">
        <f>IF(ISBLANK('Data Entry'!W786), "", 'Data Entry'!W786)</f>
      </c>
      <c r="X786">
        <f>IF(ISBLANK('Data Entry'!X786), "", 'Data Entry'!X786)</f>
      </c>
      <c r="Y786">
        <f>IF(ISBLANK('Data Entry'!Y786), "", 'Data Entry'!Y786)</f>
      </c>
      <c r="Z786">
        <f>IF(ISBLANK('Data Entry'!Z786), "", 'Data Entry'!Z786)</f>
      </c>
      <c r="AA786">
        <f>IF(ISBLANK('Data Entry'![786), "", 'Data Entry'![786)</f>
      </c>
      <c r="AB786">
        <f>IF(ISBLANK('Data Entry'!\786), "", 'Data Entry'!\786)</f>
      </c>
      <c r="AC786">
        <f>IF(ISBLANK('Data Entry'!]786), "", 'Data Entry'!]786)</f>
      </c>
      <c r="AD786">
        <f>IF(ISBLANK('Data Entry'!^786), "", 'Data Entry'!^786)</f>
      </c>
      <c r="AE786">
        <f>IF(ISBLANK('Data Entry'!_786), "", 'Data Entry'!_786)</f>
      </c>
      <c r="AF786">
        <f>IF(ISBLANK('Data Entry'!`786), "", 'Data Entry'!`786)</f>
      </c>
      <c r="AG786">
        <f>IF(ISBLANK('Data Entry'!a786), "", 'Data Entry'!a786)</f>
      </c>
      <c r="AH786">
        <f>IF(ISBLANK('Data Entry'!b786), "", 'Data Entry'!b786)</f>
      </c>
      <c r="AI786">
        <f>IF(ISBLANK('Data Entry'!c786), "", 'Data Entry'!c786)</f>
      </c>
      <c r="AJ786">
        <f>IF(ISBLANK('Data Entry'!d786), "", 'Data Entry'!d786)</f>
      </c>
      <c r="AK786">
        <f>IF(ISBLANK('Data Entry'!e786), "", 'Data Entry'!e786)</f>
      </c>
      <c r="AL786">
        <f>IF(ISBLANK('Data Entry'!f786), "", 'Data Entry'!f786)</f>
      </c>
      <c r="AM786">
        <f>IF(ISBLANK('Data Entry'!g786), "", 'Data Entry'!g786)</f>
      </c>
      <c r="AN786">
        <f>IF(ISBLANK('Data Entry'!h786), "", 'Data Entry'!h786)</f>
      </c>
    </row>
    <row r="787" spans="1:40" x14ac:dyDescent="0.25">
      <c r="A787">
        <f>IF(ISBLANK('Data Entry'!A787), "", 'Data Entry'!A787)</f>
      </c>
      <c r="B787">
        <f>IF(ISBLANK('Data Entry'!B787), "", 'Data Entry'!B787)</f>
      </c>
      <c r="C787">
        <f>IF(ISBLANK('Data Entry'!C787), "", 'Data Entry'!C787)</f>
      </c>
      <c r="D787">
        <f>IF(ISBLANK('Data Entry'!D787), "", 'Data Entry'!D787)</f>
      </c>
      <c r="E787">
        <f>IF(ISBLANK('Data Entry'!E787), "", 'Data Entry'!E787)</f>
      </c>
      <c r="F787">
        <f>IF(ISBLANK('Data Entry'!F787), "", 'Data Entry'!F787)</f>
      </c>
      <c r="G787">
        <f>IF(ISBLANK('Data Entry'!G787), "", 'Data Entry'!G787)</f>
      </c>
      <c r="H787">
        <f>IF(ISBLANK('Data Entry'!H787), "", 'Data Entry'!H787)</f>
      </c>
      <c r="I787">
        <f>IF(ISBLANK('Data Entry'!I787), "", 'Data Entry'!I787)</f>
      </c>
      <c r="J787">
        <f>IF(ISBLANK('Data Entry'!J787), "", 'Data Entry'!J787)</f>
      </c>
      <c r="K787">
        <f>IF(ISBLANK('Data Entry'!K787), "", 'Data Entry'!K787)</f>
      </c>
      <c r="L787">
        <f>IF(ISBLANK('Data Entry'!L787), "", 'Data Entry'!L787)</f>
      </c>
      <c r="M787">
        <f>IF(ISBLANK('Data Entry'!M787), "", 'Data Entry'!M787)</f>
      </c>
      <c r="N787">
        <f>IF(ISBLANK('Data Entry'!N787), "", 'Data Entry'!N787)</f>
      </c>
      <c r="O787">
        <f>IF(ISBLANK('Data Entry'!O787), "", 'Data Entry'!O787)</f>
      </c>
      <c r="P787">
        <f>IF(ISBLANK('Data Entry'!P787), "", 'Data Entry'!P787)</f>
      </c>
      <c r="Q787">
        <f>IF(ISBLANK('Data Entry'!Q787), "", 'Data Entry'!Q787)</f>
      </c>
      <c r="R787">
        <f>IF(ISBLANK('Data Entry'!R787), "", 'Data Entry'!R787)</f>
      </c>
      <c r="S787">
        <f>IF(ISBLANK('Data Entry'!S787), "", 'Data Entry'!S787)</f>
      </c>
      <c r="T787">
        <f>IF(ISBLANK('Data Entry'!T787), "", 'Data Entry'!T787)</f>
      </c>
      <c r="U787">
        <f>IF(ISBLANK('Data Entry'!U787), "", 'Data Entry'!U787)</f>
      </c>
      <c r="V787">
        <f>IF(ISBLANK('Data Entry'!V787), "", 'Data Entry'!V787)</f>
      </c>
      <c r="W787">
        <f>IF(ISBLANK('Data Entry'!W787), "", 'Data Entry'!W787)</f>
      </c>
      <c r="X787">
        <f>IF(ISBLANK('Data Entry'!X787), "", 'Data Entry'!X787)</f>
      </c>
      <c r="Y787">
        <f>IF(ISBLANK('Data Entry'!Y787), "", 'Data Entry'!Y787)</f>
      </c>
      <c r="Z787">
        <f>IF(ISBLANK('Data Entry'!Z787), "", 'Data Entry'!Z787)</f>
      </c>
      <c r="AA787">
        <f>IF(ISBLANK('Data Entry'![787), "", 'Data Entry'![787)</f>
      </c>
      <c r="AB787">
        <f>IF(ISBLANK('Data Entry'!\787), "", 'Data Entry'!\787)</f>
      </c>
      <c r="AC787">
        <f>IF(ISBLANK('Data Entry'!]787), "", 'Data Entry'!]787)</f>
      </c>
      <c r="AD787">
        <f>IF(ISBLANK('Data Entry'!^787), "", 'Data Entry'!^787)</f>
      </c>
      <c r="AE787">
        <f>IF(ISBLANK('Data Entry'!_787), "", 'Data Entry'!_787)</f>
      </c>
      <c r="AF787">
        <f>IF(ISBLANK('Data Entry'!`787), "", 'Data Entry'!`787)</f>
      </c>
      <c r="AG787">
        <f>IF(ISBLANK('Data Entry'!a787), "", 'Data Entry'!a787)</f>
      </c>
      <c r="AH787">
        <f>IF(ISBLANK('Data Entry'!b787), "", 'Data Entry'!b787)</f>
      </c>
      <c r="AI787">
        <f>IF(ISBLANK('Data Entry'!c787), "", 'Data Entry'!c787)</f>
      </c>
      <c r="AJ787">
        <f>IF(ISBLANK('Data Entry'!d787), "", 'Data Entry'!d787)</f>
      </c>
      <c r="AK787">
        <f>IF(ISBLANK('Data Entry'!e787), "", 'Data Entry'!e787)</f>
      </c>
      <c r="AL787">
        <f>IF(ISBLANK('Data Entry'!f787), "", 'Data Entry'!f787)</f>
      </c>
      <c r="AM787">
        <f>IF(ISBLANK('Data Entry'!g787), "", 'Data Entry'!g787)</f>
      </c>
      <c r="AN787">
        <f>IF(ISBLANK('Data Entry'!h787), "", 'Data Entry'!h787)</f>
      </c>
    </row>
    <row r="788" spans="1:40" x14ac:dyDescent="0.25">
      <c r="A788">
        <f>IF(ISBLANK('Data Entry'!A788), "", 'Data Entry'!A788)</f>
      </c>
      <c r="B788">
        <f>IF(ISBLANK('Data Entry'!B788), "", 'Data Entry'!B788)</f>
      </c>
      <c r="C788">
        <f>IF(ISBLANK('Data Entry'!C788), "", 'Data Entry'!C788)</f>
      </c>
      <c r="D788">
        <f>IF(ISBLANK('Data Entry'!D788), "", 'Data Entry'!D788)</f>
      </c>
      <c r="E788">
        <f>IF(ISBLANK('Data Entry'!E788), "", 'Data Entry'!E788)</f>
      </c>
      <c r="F788">
        <f>IF(ISBLANK('Data Entry'!F788), "", 'Data Entry'!F788)</f>
      </c>
      <c r="G788">
        <f>IF(ISBLANK('Data Entry'!G788), "", 'Data Entry'!G788)</f>
      </c>
      <c r="H788">
        <f>IF(ISBLANK('Data Entry'!H788), "", 'Data Entry'!H788)</f>
      </c>
      <c r="I788">
        <f>IF(ISBLANK('Data Entry'!I788), "", 'Data Entry'!I788)</f>
      </c>
      <c r="J788">
        <f>IF(ISBLANK('Data Entry'!J788), "", 'Data Entry'!J788)</f>
      </c>
      <c r="K788">
        <f>IF(ISBLANK('Data Entry'!K788), "", 'Data Entry'!K788)</f>
      </c>
      <c r="L788">
        <f>IF(ISBLANK('Data Entry'!L788), "", 'Data Entry'!L788)</f>
      </c>
      <c r="M788">
        <f>IF(ISBLANK('Data Entry'!M788), "", 'Data Entry'!M788)</f>
      </c>
      <c r="N788">
        <f>IF(ISBLANK('Data Entry'!N788), "", 'Data Entry'!N788)</f>
      </c>
      <c r="O788">
        <f>IF(ISBLANK('Data Entry'!O788), "", 'Data Entry'!O788)</f>
      </c>
      <c r="P788">
        <f>IF(ISBLANK('Data Entry'!P788), "", 'Data Entry'!P788)</f>
      </c>
      <c r="Q788">
        <f>IF(ISBLANK('Data Entry'!Q788), "", 'Data Entry'!Q788)</f>
      </c>
      <c r="R788">
        <f>IF(ISBLANK('Data Entry'!R788), "", 'Data Entry'!R788)</f>
      </c>
      <c r="S788">
        <f>IF(ISBLANK('Data Entry'!S788), "", 'Data Entry'!S788)</f>
      </c>
      <c r="T788">
        <f>IF(ISBLANK('Data Entry'!T788), "", 'Data Entry'!T788)</f>
      </c>
      <c r="U788">
        <f>IF(ISBLANK('Data Entry'!U788), "", 'Data Entry'!U788)</f>
      </c>
      <c r="V788">
        <f>IF(ISBLANK('Data Entry'!V788), "", 'Data Entry'!V788)</f>
      </c>
      <c r="W788">
        <f>IF(ISBLANK('Data Entry'!W788), "", 'Data Entry'!W788)</f>
      </c>
      <c r="X788">
        <f>IF(ISBLANK('Data Entry'!X788), "", 'Data Entry'!X788)</f>
      </c>
      <c r="Y788">
        <f>IF(ISBLANK('Data Entry'!Y788), "", 'Data Entry'!Y788)</f>
      </c>
      <c r="Z788">
        <f>IF(ISBLANK('Data Entry'!Z788), "", 'Data Entry'!Z788)</f>
      </c>
      <c r="AA788">
        <f>IF(ISBLANK('Data Entry'![788), "", 'Data Entry'![788)</f>
      </c>
      <c r="AB788">
        <f>IF(ISBLANK('Data Entry'!\788), "", 'Data Entry'!\788)</f>
      </c>
      <c r="AC788">
        <f>IF(ISBLANK('Data Entry'!]788), "", 'Data Entry'!]788)</f>
      </c>
      <c r="AD788">
        <f>IF(ISBLANK('Data Entry'!^788), "", 'Data Entry'!^788)</f>
      </c>
      <c r="AE788">
        <f>IF(ISBLANK('Data Entry'!_788), "", 'Data Entry'!_788)</f>
      </c>
      <c r="AF788">
        <f>IF(ISBLANK('Data Entry'!`788), "", 'Data Entry'!`788)</f>
      </c>
      <c r="AG788">
        <f>IF(ISBLANK('Data Entry'!a788), "", 'Data Entry'!a788)</f>
      </c>
      <c r="AH788">
        <f>IF(ISBLANK('Data Entry'!b788), "", 'Data Entry'!b788)</f>
      </c>
      <c r="AI788">
        <f>IF(ISBLANK('Data Entry'!c788), "", 'Data Entry'!c788)</f>
      </c>
      <c r="AJ788">
        <f>IF(ISBLANK('Data Entry'!d788), "", 'Data Entry'!d788)</f>
      </c>
      <c r="AK788">
        <f>IF(ISBLANK('Data Entry'!e788), "", 'Data Entry'!e788)</f>
      </c>
      <c r="AL788">
        <f>IF(ISBLANK('Data Entry'!f788), "", 'Data Entry'!f788)</f>
      </c>
      <c r="AM788">
        <f>IF(ISBLANK('Data Entry'!g788), "", 'Data Entry'!g788)</f>
      </c>
      <c r="AN788">
        <f>IF(ISBLANK('Data Entry'!h788), "", 'Data Entry'!h788)</f>
      </c>
    </row>
    <row r="789" spans="1:40" x14ac:dyDescent="0.25">
      <c r="A789">
        <f>IF(ISBLANK('Data Entry'!A789), "", 'Data Entry'!A789)</f>
      </c>
      <c r="B789">
        <f>IF(ISBLANK('Data Entry'!B789), "", 'Data Entry'!B789)</f>
      </c>
      <c r="C789">
        <f>IF(ISBLANK('Data Entry'!C789), "", 'Data Entry'!C789)</f>
      </c>
      <c r="D789">
        <f>IF(ISBLANK('Data Entry'!D789), "", 'Data Entry'!D789)</f>
      </c>
      <c r="E789">
        <f>IF(ISBLANK('Data Entry'!E789), "", 'Data Entry'!E789)</f>
      </c>
      <c r="F789">
        <f>IF(ISBLANK('Data Entry'!F789), "", 'Data Entry'!F789)</f>
      </c>
      <c r="G789">
        <f>IF(ISBLANK('Data Entry'!G789), "", 'Data Entry'!G789)</f>
      </c>
      <c r="H789">
        <f>IF(ISBLANK('Data Entry'!H789), "", 'Data Entry'!H789)</f>
      </c>
      <c r="I789">
        <f>IF(ISBLANK('Data Entry'!I789), "", 'Data Entry'!I789)</f>
      </c>
      <c r="J789">
        <f>IF(ISBLANK('Data Entry'!J789), "", 'Data Entry'!J789)</f>
      </c>
      <c r="K789">
        <f>IF(ISBLANK('Data Entry'!K789), "", 'Data Entry'!K789)</f>
      </c>
      <c r="L789">
        <f>IF(ISBLANK('Data Entry'!L789), "", 'Data Entry'!L789)</f>
      </c>
      <c r="M789">
        <f>IF(ISBLANK('Data Entry'!M789), "", 'Data Entry'!M789)</f>
      </c>
      <c r="N789">
        <f>IF(ISBLANK('Data Entry'!N789), "", 'Data Entry'!N789)</f>
      </c>
      <c r="O789">
        <f>IF(ISBLANK('Data Entry'!O789), "", 'Data Entry'!O789)</f>
      </c>
      <c r="P789">
        <f>IF(ISBLANK('Data Entry'!P789), "", 'Data Entry'!P789)</f>
      </c>
      <c r="Q789">
        <f>IF(ISBLANK('Data Entry'!Q789), "", 'Data Entry'!Q789)</f>
      </c>
      <c r="R789">
        <f>IF(ISBLANK('Data Entry'!R789), "", 'Data Entry'!R789)</f>
      </c>
      <c r="S789">
        <f>IF(ISBLANK('Data Entry'!S789), "", 'Data Entry'!S789)</f>
      </c>
      <c r="T789">
        <f>IF(ISBLANK('Data Entry'!T789), "", 'Data Entry'!T789)</f>
      </c>
      <c r="U789">
        <f>IF(ISBLANK('Data Entry'!U789), "", 'Data Entry'!U789)</f>
      </c>
      <c r="V789">
        <f>IF(ISBLANK('Data Entry'!V789), "", 'Data Entry'!V789)</f>
      </c>
      <c r="W789">
        <f>IF(ISBLANK('Data Entry'!W789), "", 'Data Entry'!W789)</f>
      </c>
      <c r="X789">
        <f>IF(ISBLANK('Data Entry'!X789), "", 'Data Entry'!X789)</f>
      </c>
      <c r="Y789">
        <f>IF(ISBLANK('Data Entry'!Y789), "", 'Data Entry'!Y789)</f>
      </c>
      <c r="Z789">
        <f>IF(ISBLANK('Data Entry'!Z789), "", 'Data Entry'!Z789)</f>
      </c>
      <c r="AA789">
        <f>IF(ISBLANK('Data Entry'![789), "", 'Data Entry'![789)</f>
      </c>
      <c r="AB789">
        <f>IF(ISBLANK('Data Entry'!\789), "", 'Data Entry'!\789)</f>
      </c>
      <c r="AC789">
        <f>IF(ISBLANK('Data Entry'!]789), "", 'Data Entry'!]789)</f>
      </c>
      <c r="AD789">
        <f>IF(ISBLANK('Data Entry'!^789), "", 'Data Entry'!^789)</f>
      </c>
      <c r="AE789">
        <f>IF(ISBLANK('Data Entry'!_789), "", 'Data Entry'!_789)</f>
      </c>
      <c r="AF789">
        <f>IF(ISBLANK('Data Entry'!`789), "", 'Data Entry'!`789)</f>
      </c>
      <c r="AG789">
        <f>IF(ISBLANK('Data Entry'!a789), "", 'Data Entry'!a789)</f>
      </c>
      <c r="AH789">
        <f>IF(ISBLANK('Data Entry'!b789), "", 'Data Entry'!b789)</f>
      </c>
      <c r="AI789">
        <f>IF(ISBLANK('Data Entry'!c789), "", 'Data Entry'!c789)</f>
      </c>
      <c r="AJ789">
        <f>IF(ISBLANK('Data Entry'!d789), "", 'Data Entry'!d789)</f>
      </c>
      <c r="AK789">
        <f>IF(ISBLANK('Data Entry'!e789), "", 'Data Entry'!e789)</f>
      </c>
      <c r="AL789">
        <f>IF(ISBLANK('Data Entry'!f789), "", 'Data Entry'!f789)</f>
      </c>
      <c r="AM789">
        <f>IF(ISBLANK('Data Entry'!g789), "", 'Data Entry'!g789)</f>
      </c>
      <c r="AN789">
        <f>IF(ISBLANK('Data Entry'!h789), "", 'Data Entry'!h789)</f>
      </c>
    </row>
    <row r="790" spans="1:40" x14ac:dyDescent="0.25">
      <c r="A790">
        <f>IF(ISBLANK('Data Entry'!A790), "", 'Data Entry'!A790)</f>
      </c>
      <c r="B790">
        <f>IF(ISBLANK('Data Entry'!B790), "", 'Data Entry'!B790)</f>
      </c>
      <c r="C790">
        <f>IF(ISBLANK('Data Entry'!C790), "", 'Data Entry'!C790)</f>
      </c>
      <c r="D790">
        <f>IF(ISBLANK('Data Entry'!D790), "", 'Data Entry'!D790)</f>
      </c>
      <c r="E790">
        <f>IF(ISBLANK('Data Entry'!E790), "", 'Data Entry'!E790)</f>
      </c>
      <c r="F790">
        <f>IF(ISBLANK('Data Entry'!F790), "", 'Data Entry'!F790)</f>
      </c>
      <c r="G790">
        <f>IF(ISBLANK('Data Entry'!G790), "", 'Data Entry'!G790)</f>
      </c>
      <c r="H790">
        <f>IF(ISBLANK('Data Entry'!H790), "", 'Data Entry'!H790)</f>
      </c>
      <c r="I790">
        <f>IF(ISBLANK('Data Entry'!I790), "", 'Data Entry'!I790)</f>
      </c>
      <c r="J790">
        <f>IF(ISBLANK('Data Entry'!J790), "", 'Data Entry'!J790)</f>
      </c>
      <c r="K790">
        <f>IF(ISBLANK('Data Entry'!K790), "", 'Data Entry'!K790)</f>
      </c>
      <c r="L790">
        <f>IF(ISBLANK('Data Entry'!L790), "", 'Data Entry'!L790)</f>
      </c>
      <c r="M790">
        <f>IF(ISBLANK('Data Entry'!M790), "", 'Data Entry'!M790)</f>
      </c>
      <c r="N790">
        <f>IF(ISBLANK('Data Entry'!N790), "", 'Data Entry'!N790)</f>
      </c>
      <c r="O790">
        <f>IF(ISBLANK('Data Entry'!O790), "", 'Data Entry'!O790)</f>
      </c>
      <c r="P790">
        <f>IF(ISBLANK('Data Entry'!P790), "", 'Data Entry'!P790)</f>
      </c>
      <c r="Q790">
        <f>IF(ISBLANK('Data Entry'!Q790), "", 'Data Entry'!Q790)</f>
      </c>
      <c r="R790">
        <f>IF(ISBLANK('Data Entry'!R790), "", 'Data Entry'!R790)</f>
      </c>
      <c r="S790">
        <f>IF(ISBLANK('Data Entry'!S790), "", 'Data Entry'!S790)</f>
      </c>
      <c r="T790">
        <f>IF(ISBLANK('Data Entry'!T790), "", 'Data Entry'!T790)</f>
      </c>
      <c r="U790">
        <f>IF(ISBLANK('Data Entry'!U790), "", 'Data Entry'!U790)</f>
      </c>
      <c r="V790">
        <f>IF(ISBLANK('Data Entry'!V790), "", 'Data Entry'!V790)</f>
      </c>
      <c r="W790">
        <f>IF(ISBLANK('Data Entry'!W790), "", 'Data Entry'!W790)</f>
      </c>
      <c r="X790">
        <f>IF(ISBLANK('Data Entry'!X790), "", 'Data Entry'!X790)</f>
      </c>
      <c r="Y790">
        <f>IF(ISBLANK('Data Entry'!Y790), "", 'Data Entry'!Y790)</f>
      </c>
      <c r="Z790">
        <f>IF(ISBLANK('Data Entry'!Z790), "", 'Data Entry'!Z790)</f>
      </c>
      <c r="AA790">
        <f>IF(ISBLANK('Data Entry'![790), "", 'Data Entry'![790)</f>
      </c>
      <c r="AB790">
        <f>IF(ISBLANK('Data Entry'!\790), "", 'Data Entry'!\790)</f>
      </c>
      <c r="AC790">
        <f>IF(ISBLANK('Data Entry'!]790), "", 'Data Entry'!]790)</f>
      </c>
      <c r="AD790">
        <f>IF(ISBLANK('Data Entry'!^790), "", 'Data Entry'!^790)</f>
      </c>
      <c r="AE790">
        <f>IF(ISBLANK('Data Entry'!_790), "", 'Data Entry'!_790)</f>
      </c>
      <c r="AF790">
        <f>IF(ISBLANK('Data Entry'!`790), "", 'Data Entry'!`790)</f>
      </c>
      <c r="AG790">
        <f>IF(ISBLANK('Data Entry'!a790), "", 'Data Entry'!a790)</f>
      </c>
      <c r="AH790">
        <f>IF(ISBLANK('Data Entry'!b790), "", 'Data Entry'!b790)</f>
      </c>
      <c r="AI790">
        <f>IF(ISBLANK('Data Entry'!c790), "", 'Data Entry'!c790)</f>
      </c>
      <c r="AJ790">
        <f>IF(ISBLANK('Data Entry'!d790), "", 'Data Entry'!d790)</f>
      </c>
      <c r="AK790">
        <f>IF(ISBLANK('Data Entry'!e790), "", 'Data Entry'!e790)</f>
      </c>
      <c r="AL790">
        <f>IF(ISBLANK('Data Entry'!f790), "", 'Data Entry'!f790)</f>
      </c>
      <c r="AM790">
        <f>IF(ISBLANK('Data Entry'!g790), "", 'Data Entry'!g790)</f>
      </c>
      <c r="AN790">
        <f>IF(ISBLANK('Data Entry'!h790), "", 'Data Entry'!h790)</f>
      </c>
    </row>
    <row r="791" spans="1:40" x14ac:dyDescent="0.25">
      <c r="A791">
        <f>IF(ISBLANK('Data Entry'!A791), "", 'Data Entry'!A791)</f>
      </c>
      <c r="B791">
        <f>IF(ISBLANK('Data Entry'!B791), "", 'Data Entry'!B791)</f>
      </c>
      <c r="C791">
        <f>IF(ISBLANK('Data Entry'!C791), "", 'Data Entry'!C791)</f>
      </c>
      <c r="D791">
        <f>IF(ISBLANK('Data Entry'!D791), "", 'Data Entry'!D791)</f>
      </c>
      <c r="E791">
        <f>IF(ISBLANK('Data Entry'!E791), "", 'Data Entry'!E791)</f>
      </c>
      <c r="F791">
        <f>IF(ISBLANK('Data Entry'!F791), "", 'Data Entry'!F791)</f>
      </c>
      <c r="G791">
        <f>IF(ISBLANK('Data Entry'!G791), "", 'Data Entry'!G791)</f>
      </c>
      <c r="H791">
        <f>IF(ISBLANK('Data Entry'!H791), "", 'Data Entry'!H791)</f>
      </c>
      <c r="I791">
        <f>IF(ISBLANK('Data Entry'!I791), "", 'Data Entry'!I791)</f>
      </c>
      <c r="J791">
        <f>IF(ISBLANK('Data Entry'!J791), "", 'Data Entry'!J791)</f>
      </c>
      <c r="K791">
        <f>IF(ISBLANK('Data Entry'!K791), "", 'Data Entry'!K791)</f>
      </c>
      <c r="L791">
        <f>IF(ISBLANK('Data Entry'!L791), "", 'Data Entry'!L791)</f>
      </c>
      <c r="M791">
        <f>IF(ISBLANK('Data Entry'!M791), "", 'Data Entry'!M791)</f>
      </c>
      <c r="N791">
        <f>IF(ISBLANK('Data Entry'!N791), "", 'Data Entry'!N791)</f>
      </c>
      <c r="O791">
        <f>IF(ISBLANK('Data Entry'!O791), "", 'Data Entry'!O791)</f>
      </c>
      <c r="P791">
        <f>IF(ISBLANK('Data Entry'!P791), "", 'Data Entry'!P791)</f>
      </c>
      <c r="Q791">
        <f>IF(ISBLANK('Data Entry'!Q791), "", 'Data Entry'!Q791)</f>
      </c>
      <c r="R791">
        <f>IF(ISBLANK('Data Entry'!R791), "", 'Data Entry'!R791)</f>
      </c>
      <c r="S791">
        <f>IF(ISBLANK('Data Entry'!S791), "", 'Data Entry'!S791)</f>
      </c>
      <c r="T791">
        <f>IF(ISBLANK('Data Entry'!T791), "", 'Data Entry'!T791)</f>
      </c>
      <c r="U791">
        <f>IF(ISBLANK('Data Entry'!U791), "", 'Data Entry'!U791)</f>
      </c>
      <c r="V791">
        <f>IF(ISBLANK('Data Entry'!V791), "", 'Data Entry'!V791)</f>
      </c>
      <c r="W791">
        <f>IF(ISBLANK('Data Entry'!W791), "", 'Data Entry'!W791)</f>
      </c>
      <c r="X791">
        <f>IF(ISBLANK('Data Entry'!X791), "", 'Data Entry'!X791)</f>
      </c>
      <c r="Y791">
        <f>IF(ISBLANK('Data Entry'!Y791), "", 'Data Entry'!Y791)</f>
      </c>
      <c r="Z791">
        <f>IF(ISBLANK('Data Entry'!Z791), "", 'Data Entry'!Z791)</f>
      </c>
      <c r="AA791">
        <f>IF(ISBLANK('Data Entry'![791), "", 'Data Entry'![791)</f>
      </c>
      <c r="AB791">
        <f>IF(ISBLANK('Data Entry'!\791), "", 'Data Entry'!\791)</f>
      </c>
      <c r="AC791">
        <f>IF(ISBLANK('Data Entry'!]791), "", 'Data Entry'!]791)</f>
      </c>
      <c r="AD791">
        <f>IF(ISBLANK('Data Entry'!^791), "", 'Data Entry'!^791)</f>
      </c>
      <c r="AE791">
        <f>IF(ISBLANK('Data Entry'!_791), "", 'Data Entry'!_791)</f>
      </c>
      <c r="AF791">
        <f>IF(ISBLANK('Data Entry'!`791), "", 'Data Entry'!`791)</f>
      </c>
      <c r="AG791">
        <f>IF(ISBLANK('Data Entry'!a791), "", 'Data Entry'!a791)</f>
      </c>
      <c r="AH791">
        <f>IF(ISBLANK('Data Entry'!b791), "", 'Data Entry'!b791)</f>
      </c>
      <c r="AI791">
        <f>IF(ISBLANK('Data Entry'!c791), "", 'Data Entry'!c791)</f>
      </c>
      <c r="AJ791">
        <f>IF(ISBLANK('Data Entry'!d791), "", 'Data Entry'!d791)</f>
      </c>
      <c r="AK791">
        <f>IF(ISBLANK('Data Entry'!e791), "", 'Data Entry'!e791)</f>
      </c>
      <c r="AL791">
        <f>IF(ISBLANK('Data Entry'!f791), "", 'Data Entry'!f791)</f>
      </c>
      <c r="AM791">
        <f>IF(ISBLANK('Data Entry'!g791), "", 'Data Entry'!g791)</f>
      </c>
      <c r="AN791">
        <f>IF(ISBLANK('Data Entry'!h791), "", 'Data Entry'!h791)</f>
      </c>
    </row>
    <row r="792" spans="1:40" x14ac:dyDescent="0.25">
      <c r="A792">
        <f>IF(ISBLANK('Data Entry'!A792), "", 'Data Entry'!A792)</f>
      </c>
      <c r="B792">
        <f>IF(ISBLANK('Data Entry'!B792), "", 'Data Entry'!B792)</f>
      </c>
      <c r="C792">
        <f>IF(ISBLANK('Data Entry'!C792), "", 'Data Entry'!C792)</f>
      </c>
      <c r="D792">
        <f>IF(ISBLANK('Data Entry'!D792), "", 'Data Entry'!D792)</f>
      </c>
      <c r="E792">
        <f>IF(ISBLANK('Data Entry'!E792), "", 'Data Entry'!E792)</f>
      </c>
      <c r="F792">
        <f>IF(ISBLANK('Data Entry'!F792), "", 'Data Entry'!F792)</f>
      </c>
      <c r="G792">
        <f>IF(ISBLANK('Data Entry'!G792), "", 'Data Entry'!G792)</f>
      </c>
      <c r="H792">
        <f>IF(ISBLANK('Data Entry'!H792), "", 'Data Entry'!H792)</f>
      </c>
      <c r="I792">
        <f>IF(ISBLANK('Data Entry'!I792), "", 'Data Entry'!I792)</f>
      </c>
      <c r="J792">
        <f>IF(ISBLANK('Data Entry'!J792), "", 'Data Entry'!J792)</f>
      </c>
      <c r="K792">
        <f>IF(ISBLANK('Data Entry'!K792), "", 'Data Entry'!K792)</f>
      </c>
      <c r="L792">
        <f>IF(ISBLANK('Data Entry'!L792), "", 'Data Entry'!L792)</f>
      </c>
      <c r="M792">
        <f>IF(ISBLANK('Data Entry'!M792), "", 'Data Entry'!M792)</f>
      </c>
      <c r="N792">
        <f>IF(ISBLANK('Data Entry'!N792), "", 'Data Entry'!N792)</f>
      </c>
      <c r="O792">
        <f>IF(ISBLANK('Data Entry'!O792), "", 'Data Entry'!O792)</f>
      </c>
      <c r="P792">
        <f>IF(ISBLANK('Data Entry'!P792), "", 'Data Entry'!P792)</f>
      </c>
      <c r="Q792">
        <f>IF(ISBLANK('Data Entry'!Q792), "", 'Data Entry'!Q792)</f>
      </c>
      <c r="R792">
        <f>IF(ISBLANK('Data Entry'!R792), "", 'Data Entry'!R792)</f>
      </c>
      <c r="S792">
        <f>IF(ISBLANK('Data Entry'!S792), "", 'Data Entry'!S792)</f>
      </c>
      <c r="T792">
        <f>IF(ISBLANK('Data Entry'!T792), "", 'Data Entry'!T792)</f>
      </c>
      <c r="U792">
        <f>IF(ISBLANK('Data Entry'!U792), "", 'Data Entry'!U792)</f>
      </c>
      <c r="V792">
        <f>IF(ISBLANK('Data Entry'!V792), "", 'Data Entry'!V792)</f>
      </c>
      <c r="W792">
        <f>IF(ISBLANK('Data Entry'!W792), "", 'Data Entry'!W792)</f>
      </c>
      <c r="X792">
        <f>IF(ISBLANK('Data Entry'!X792), "", 'Data Entry'!X792)</f>
      </c>
      <c r="Y792">
        <f>IF(ISBLANK('Data Entry'!Y792), "", 'Data Entry'!Y792)</f>
      </c>
      <c r="Z792">
        <f>IF(ISBLANK('Data Entry'!Z792), "", 'Data Entry'!Z792)</f>
      </c>
      <c r="AA792">
        <f>IF(ISBLANK('Data Entry'![792), "", 'Data Entry'![792)</f>
      </c>
      <c r="AB792">
        <f>IF(ISBLANK('Data Entry'!\792), "", 'Data Entry'!\792)</f>
      </c>
      <c r="AC792">
        <f>IF(ISBLANK('Data Entry'!]792), "", 'Data Entry'!]792)</f>
      </c>
      <c r="AD792">
        <f>IF(ISBLANK('Data Entry'!^792), "", 'Data Entry'!^792)</f>
      </c>
      <c r="AE792">
        <f>IF(ISBLANK('Data Entry'!_792), "", 'Data Entry'!_792)</f>
      </c>
      <c r="AF792">
        <f>IF(ISBLANK('Data Entry'!`792), "", 'Data Entry'!`792)</f>
      </c>
      <c r="AG792">
        <f>IF(ISBLANK('Data Entry'!a792), "", 'Data Entry'!a792)</f>
      </c>
      <c r="AH792">
        <f>IF(ISBLANK('Data Entry'!b792), "", 'Data Entry'!b792)</f>
      </c>
      <c r="AI792">
        <f>IF(ISBLANK('Data Entry'!c792), "", 'Data Entry'!c792)</f>
      </c>
      <c r="AJ792">
        <f>IF(ISBLANK('Data Entry'!d792), "", 'Data Entry'!d792)</f>
      </c>
      <c r="AK792">
        <f>IF(ISBLANK('Data Entry'!e792), "", 'Data Entry'!e792)</f>
      </c>
      <c r="AL792">
        <f>IF(ISBLANK('Data Entry'!f792), "", 'Data Entry'!f792)</f>
      </c>
      <c r="AM792">
        <f>IF(ISBLANK('Data Entry'!g792), "", 'Data Entry'!g792)</f>
      </c>
      <c r="AN792">
        <f>IF(ISBLANK('Data Entry'!h792), "", 'Data Entry'!h792)</f>
      </c>
    </row>
    <row r="793" spans="1:40" x14ac:dyDescent="0.25">
      <c r="A793">
        <f>IF(ISBLANK('Data Entry'!A793), "", 'Data Entry'!A793)</f>
      </c>
      <c r="B793">
        <f>IF(ISBLANK('Data Entry'!B793), "", 'Data Entry'!B793)</f>
      </c>
      <c r="C793">
        <f>IF(ISBLANK('Data Entry'!C793), "", 'Data Entry'!C793)</f>
      </c>
      <c r="D793">
        <f>IF(ISBLANK('Data Entry'!D793), "", 'Data Entry'!D793)</f>
      </c>
      <c r="E793">
        <f>IF(ISBLANK('Data Entry'!E793), "", 'Data Entry'!E793)</f>
      </c>
      <c r="F793">
        <f>IF(ISBLANK('Data Entry'!F793), "", 'Data Entry'!F793)</f>
      </c>
      <c r="G793">
        <f>IF(ISBLANK('Data Entry'!G793), "", 'Data Entry'!G793)</f>
      </c>
      <c r="H793">
        <f>IF(ISBLANK('Data Entry'!H793), "", 'Data Entry'!H793)</f>
      </c>
      <c r="I793">
        <f>IF(ISBLANK('Data Entry'!I793), "", 'Data Entry'!I793)</f>
      </c>
      <c r="J793">
        <f>IF(ISBLANK('Data Entry'!J793), "", 'Data Entry'!J793)</f>
      </c>
      <c r="K793">
        <f>IF(ISBLANK('Data Entry'!K793), "", 'Data Entry'!K793)</f>
      </c>
      <c r="L793">
        <f>IF(ISBLANK('Data Entry'!L793), "", 'Data Entry'!L793)</f>
      </c>
      <c r="M793">
        <f>IF(ISBLANK('Data Entry'!M793), "", 'Data Entry'!M793)</f>
      </c>
      <c r="N793">
        <f>IF(ISBLANK('Data Entry'!N793), "", 'Data Entry'!N793)</f>
      </c>
      <c r="O793">
        <f>IF(ISBLANK('Data Entry'!O793), "", 'Data Entry'!O793)</f>
      </c>
      <c r="P793">
        <f>IF(ISBLANK('Data Entry'!P793), "", 'Data Entry'!P793)</f>
      </c>
      <c r="Q793">
        <f>IF(ISBLANK('Data Entry'!Q793), "", 'Data Entry'!Q793)</f>
      </c>
      <c r="R793">
        <f>IF(ISBLANK('Data Entry'!R793), "", 'Data Entry'!R793)</f>
      </c>
      <c r="S793">
        <f>IF(ISBLANK('Data Entry'!S793), "", 'Data Entry'!S793)</f>
      </c>
      <c r="T793">
        <f>IF(ISBLANK('Data Entry'!T793), "", 'Data Entry'!T793)</f>
      </c>
      <c r="U793">
        <f>IF(ISBLANK('Data Entry'!U793), "", 'Data Entry'!U793)</f>
      </c>
      <c r="V793">
        <f>IF(ISBLANK('Data Entry'!V793), "", 'Data Entry'!V793)</f>
      </c>
      <c r="W793">
        <f>IF(ISBLANK('Data Entry'!W793), "", 'Data Entry'!W793)</f>
      </c>
      <c r="X793">
        <f>IF(ISBLANK('Data Entry'!X793), "", 'Data Entry'!X793)</f>
      </c>
      <c r="Y793">
        <f>IF(ISBLANK('Data Entry'!Y793), "", 'Data Entry'!Y793)</f>
      </c>
      <c r="Z793">
        <f>IF(ISBLANK('Data Entry'!Z793), "", 'Data Entry'!Z793)</f>
      </c>
      <c r="AA793">
        <f>IF(ISBLANK('Data Entry'![793), "", 'Data Entry'![793)</f>
      </c>
      <c r="AB793">
        <f>IF(ISBLANK('Data Entry'!\793), "", 'Data Entry'!\793)</f>
      </c>
      <c r="AC793">
        <f>IF(ISBLANK('Data Entry'!]793), "", 'Data Entry'!]793)</f>
      </c>
      <c r="AD793">
        <f>IF(ISBLANK('Data Entry'!^793), "", 'Data Entry'!^793)</f>
      </c>
      <c r="AE793">
        <f>IF(ISBLANK('Data Entry'!_793), "", 'Data Entry'!_793)</f>
      </c>
      <c r="AF793">
        <f>IF(ISBLANK('Data Entry'!`793), "", 'Data Entry'!`793)</f>
      </c>
      <c r="AG793">
        <f>IF(ISBLANK('Data Entry'!a793), "", 'Data Entry'!a793)</f>
      </c>
      <c r="AH793">
        <f>IF(ISBLANK('Data Entry'!b793), "", 'Data Entry'!b793)</f>
      </c>
      <c r="AI793">
        <f>IF(ISBLANK('Data Entry'!c793), "", 'Data Entry'!c793)</f>
      </c>
      <c r="AJ793">
        <f>IF(ISBLANK('Data Entry'!d793), "", 'Data Entry'!d793)</f>
      </c>
      <c r="AK793">
        <f>IF(ISBLANK('Data Entry'!e793), "", 'Data Entry'!e793)</f>
      </c>
      <c r="AL793">
        <f>IF(ISBLANK('Data Entry'!f793), "", 'Data Entry'!f793)</f>
      </c>
      <c r="AM793">
        <f>IF(ISBLANK('Data Entry'!g793), "", 'Data Entry'!g793)</f>
      </c>
      <c r="AN793">
        <f>IF(ISBLANK('Data Entry'!h793), "", 'Data Entry'!h793)</f>
      </c>
    </row>
    <row r="794" spans="1:40" x14ac:dyDescent="0.25">
      <c r="A794">
        <f>IF(ISBLANK('Data Entry'!A794), "", 'Data Entry'!A794)</f>
      </c>
      <c r="B794">
        <f>IF(ISBLANK('Data Entry'!B794), "", 'Data Entry'!B794)</f>
      </c>
      <c r="C794">
        <f>IF(ISBLANK('Data Entry'!C794), "", 'Data Entry'!C794)</f>
      </c>
      <c r="D794">
        <f>IF(ISBLANK('Data Entry'!D794), "", 'Data Entry'!D794)</f>
      </c>
      <c r="E794">
        <f>IF(ISBLANK('Data Entry'!E794), "", 'Data Entry'!E794)</f>
      </c>
      <c r="F794">
        <f>IF(ISBLANK('Data Entry'!F794), "", 'Data Entry'!F794)</f>
      </c>
      <c r="G794">
        <f>IF(ISBLANK('Data Entry'!G794), "", 'Data Entry'!G794)</f>
      </c>
      <c r="H794">
        <f>IF(ISBLANK('Data Entry'!H794), "", 'Data Entry'!H794)</f>
      </c>
      <c r="I794">
        <f>IF(ISBLANK('Data Entry'!I794), "", 'Data Entry'!I794)</f>
      </c>
      <c r="J794">
        <f>IF(ISBLANK('Data Entry'!J794), "", 'Data Entry'!J794)</f>
      </c>
      <c r="K794">
        <f>IF(ISBLANK('Data Entry'!K794), "", 'Data Entry'!K794)</f>
      </c>
      <c r="L794">
        <f>IF(ISBLANK('Data Entry'!L794), "", 'Data Entry'!L794)</f>
      </c>
      <c r="M794">
        <f>IF(ISBLANK('Data Entry'!M794), "", 'Data Entry'!M794)</f>
      </c>
      <c r="N794">
        <f>IF(ISBLANK('Data Entry'!N794), "", 'Data Entry'!N794)</f>
      </c>
      <c r="O794">
        <f>IF(ISBLANK('Data Entry'!O794), "", 'Data Entry'!O794)</f>
      </c>
      <c r="P794">
        <f>IF(ISBLANK('Data Entry'!P794), "", 'Data Entry'!P794)</f>
      </c>
      <c r="Q794">
        <f>IF(ISBLANK('Data Entry'!Q794), "", 'Data Entry'!Q794)</f>
      </c>
      <c r="R794">
        <f>IF(ISBLANK('Data Entry'!R794), "", 'Data Entry'!R794)</f>
      </c>
      <c r="S794">
        <f>IF(ISBLANK('Data Entry'!S794), "", 'Data Entry'!S794)</f>
      </c>
      <c r="T794">
        <f>IF(ISBLANK('Data Entry'!T794), "", 'Data Entry'!T794)</f>
      </c>
      <c r="U794">
        <f>IF(ISBLANK('Data Entry'!U794), "", 'Data Entry'!U794)</f>
      </c>
      <c r="V794">
        <f>IF(ISBLANK('Data Entry'!V794), "", 'Data Entry'!V794)</f>
      </c>
      <c r="W794">
        <f>IF(ISBLANK('Data Entry'!W794), "", 'Data Entry'!W794)</f>
      </c>
      <c r="X794">
        <f>IF(ISBLANK('Data Entry'!X794), "", 'Data Entry'!X794)</f>
      </c>
      <c r="Y794">
        <f>IF(ISBLANK('Data Entry'!Y794), "", 'Data Entry'!Y794)</f>
      </c>
      <c r="Z794">
        <f>IF(ISBLANK('Data Entry'!Z794), "", 'Data Entry'!Z794)</f>
      </c>
      <c r="AA794">
        <f>IF(ISBLANK('Data Entry'![794), "", 'Data Entry'![794)</f>
      </c>
      <c r="AB794">
        <f>IF(ISBLANK('Data Entry'!\794), "", 'Data Entry'!\794)</f>
      </c>
      <c r="AC794">
        <f>IF(ISBLANK('Data Entry'!]794), "", 'Data Entry'!]794)</f>
      </c>
      <c r="AD794">
        <f>IF(ISBLANK('Data Entry'!^794), "", 'Data Entry'!^794)</f>
      </c>
      <c r="AE794">
        <f>IF(ISBLANK('Data Entry'!_794), "", 'Data Entry'!_794)</f>
      </c>
      <c r="AF794">
        <f>IF(ISBLANK('Data Entry'!`794), "", 'Data Entry'!`794)</f>
      </c>
      <c r="AG794">
        <f>IF(ISBLANK('Data Entry'!a794), "", 'Data Entry'!a794)</f>
      </c>
      <c r="AH794">
        <f>IF(ISBLANK('Data Entry'!b794), "", 'Data Entry'!b794)</f>
      </c>
      <c r="AI794">
        <f>IF(ISBLANK('Data Entry'!c794), "", 'Data Entry'!c794)</f>
      </c>
      <c r="AJ794">
        <f>IF(ISBLANK('Data Entry'!d794), "", 'Data Entry'!d794)</f>
      </c>
      <c r="AK794">
        <f>IF(ISBLANK('Data Entry'!e794), "", 'Data Entry'!e794)</f>
      </c>
      <c r="AL794">
        <f>IF(ISBLANK('Data Entry'!f794), "", 'Data Entry'!f794)</f>
      </c>
      <c r="AM794">
        <f>IF(ISBLANK('Data Entry'!g794), "", 'Data Entry'!g794)</f>
      </c>
      <c r="AN794">
        <f>IF(ISBLANK('Data Entry'!h794), "", 'Data Entry'!h794)</f>
      </c>
    </row>
    <row r="795" spans="1:40" x14ac:dyDescent="0.25">
      <c r="A795">
        <f>IF(ISBLANK('Data Entry'!A795), "", 'Data Entry'!A795)</f>
      </c>
      <c r="B795">
        <f>IF(ISBLANK('Data Entry'!B795), "", 'Data Entry'!B795)</f>
      </c>
      <c r="C795">
        <f>IF(ISBLANK('Data Entry'!C795), "", 'Data Entry'!C795)</f>
      </c>
      <c r="D795">
        <f>IF(ISBLANK('Data Entry'!D795), "", 'Data Entry'!D795)</f>
      </c>
      <c r="E795">
        <f>IF(ISBLANK('Data Entry'!E795), "", 'Data Entry'!E795)</f>
      </c>
      <c r="F795">
        <f>IF(ISBLANK('Data Entry'!F795), "", 'Data Entry'!F795)</f>
      </c>
      <c r="G795">
        <f>IF(ISBLANK('Data Entry'!G795), "", 'Data Entry'!G795)</f>
      </c>
      <c r="H795">
        <f>IF(ISBLANK('Data Entry'!H795), "", 'Data Entry'!H795)</f>
      </c>
      <c r="I795">
        <f>IF(ISBLANK('Data Entry'!I795), "", 'Data Entry'!I795)</f>
      </c>
      <c r="J795">
        <f>IF(ISBLANK('Data Entry'!J795), "", 'Data Entry'!J795)</f>
      </c>
      <c r="K795">
        <f>IF(ISBLANK('Data Entry'!K795), "", 'Data Entry'!K795)</f>
      </c>
      <c r="L795">
        <f>IF(ISBLANK('Data Entry'!L795), "", 'Data Entry'!L795)</f>
      </c>
      <c r="M795">
        <f>IF(ISBLANK('Data Entry'!M795), "", 'Data Entry'!M795)</f>
      </c>
      <c r="N795">
        <f>IF(ISBLANK('Data Entry'!N795), "", 'Data Entry'!N795)</f>
      </c>
      <c r="O795">
        <f>IF(ISBLANK('Data Entry'!O795), "", 'Data Entry'!O795)</f>
      </c>
      <c r="P795">
        <f>IF(ISBLANK('Data Entry'!P795), "", 'Data Entry'!P795)</f>
      </c>
      <c r="Q795">
        <f>IF(ISBLANK('Data Entry'!Q795), "", 'Data Entry'!Q795)</f>
      </c>
      <c r="R795">
        <f>IF(ISBLANK('Data Entry'!R795), "", 'Data Entry'!R795)</f>
      </c>
      <c r="S795">
        <f>IF(ISBLANK('Data Entry'!S795), "", 'Data Entry'!S795)</f>
      </c>
      <c r="T795">
        <f>IF(ISBLANK('Data Entry'!T795), "", 'Data Entry'!T795)</f>
      </c>
      <c r="U795">
        <f>IF(ISBLANK('Data Entry'!U795), "", 'Data Entry'!U795)</f>
      </c>
      <c r="V795">
        <f>IF(ISBLANK('Data Entry'!V795), "", 'Data Entry'!V795)</f>
      </c>
      <c r="W795">
        <f>IF(ISBLANK('Data Entry'!W795), "", 'Data Entry'!W795)</f>
      </c>
      <c r="X795">
        <f>IF(ISBLANK('Data Entry'!X795), "", 'Data Entry'!X795)</f>
      </c>
      <c r="Y795">
        <f>IF(ISBLANK('Data Entry'!Y795), "", 'Data Entry'!Y795)</f>
      </c>
      <c r="Z795">
        <f>IF(ISBLANK('Data Entry'!Z795), "", 'Data Entry'!Z795)</f>
      </c>
      <c r="AA795">
        <f>IF(ISBLANK('Data Entry'![795), "", 'Data Entry'![795)</f>
      </c>
      <c r="AB795">
        <f>IF(ISBLANK('Data Entry'!\795), "", 'Data Entry'!\795)</f>
      </c>
      <c r="AC795">
        <f>IF(ISBLANK('Data Entry'!]795), "", 'Data Entry'!]795)</f>
      </c>
      <c r="AD795">
        <f>IF(ISBLANK('Data Entry'!^795), "", 'Data Entry'!^795)</f>
      </c>
      <c r="AE795">
        <f>IF(ISBLANK('Data Entry'!_795), "", 'Data Entry'!_795)</f>
      </c>
      <c r="AF795">
        <f>IF(ISBLANK('Data Entry'!`795), "", 'Data Entry'!`795)</f>
      </c>
      <c r="AG795">
        <f>IF(ISBLANK('Data Entry'!a795), "", 'Data Entry'!a795)</f>
      </c>
      <c r="AH795">
        <f>IF(ISBLANK('Data Entry'!b795), "", 'Data Entry'!b795)</f>
      </c>
      <c r="AI795">
        <f>IF(ISBLANK('Data Entry'!c795), "", 'Data Entry'!c795)</f>
      </c>
      <c r="AJ795">
        <f>IF(ISBLANK('Data Entry'!d795), "", 'Data Entry'!d795)</f>
      </c>
      <c r="AK795">
        <f>IF(ISBLANK('Data Entry'!e795), "", 'Data Entry'!e795)</f>
      </c>
      <c r="AL795">
        <f>IF(ISBLANK('Data Entry'!f795), "", 'Data Entry'!f795)</f>
      </c>
      <c r="AM795">
        <f>IF(ISBLANK('Data Entry'!g795), "", 'Data Entry'!g795)</f>
      </c>
      <c r="AN795">
        <f>IF(ISBLANK('Data Entry'!h795), "", 'Data Entry'!h795)</f>
      </c>
    </row>
    <row r="796" spans="1:40" x14ac:dyDescent="0.25">
      <c r="A796">
        <f>IF(ISBLANK('Data Entry'!A796), "", 'Data Entry'!A796)</f>
      </c>
      <c r="B796">
        <f>IF(ISBLANK('Data Entry'!B796), "", 'Data Entry'!B796)</f>
      </c>
      <c r="C796">
        <f>IF(ISBLANK('Data Entry'!C796), "", 'Data Entry'!C796)</f>
      </c>
      <c r="D796">
        <f>IF(ISBLANK('Data Entry'!D796), "", 'Data Entry'!D796)</f>
      </c>
      <c r="E796">
        <f>IF(ISBLANK('Data Entry'!E796), "", 'Data Entry'!E796)</f>
      </c>
      <c r="F796">
        <f>IF(ISBLANK('Data Entry'!F796), "", 'Data Entry'!F796)</f>
      </c>
      <c r="G796">
        <f>IF(ISBLANK('Data Entry'!G796), "", 'Data Entry'!G796)</f>
      </c>
      <c r="H796">
        <f>IF(ISBLANK('Data Entry'!H796), "", 'Data Entry'!H796)</f>
      </c>
      <c r="I796">
        <f>IF(ISBLANK('Data Entry'!I796), "", 'Data Entry'!I796)</f>
      </c>
      <c r="J796">
        <f>IF(ISBLANK('Data Entry'!J796), "", 'Data Entry'!J796)</f>
      </c>
      <c r="K796">
        <f>IF(ISBLANK('Data Entry'!K796), "", 'Data Entry'!K796)</f>
      </c>
      <c r="L796">
        <f>IF(ISBLANK('Data Entry'!L796), "", 'Data Entry'!L796)</f>
      </c>
      <c r="M796">
        <f>IF(ISBLANK('Data Entry'!M796), "", 'Data Entry'!M796)</f>
      </c>
      <c r="N796">
        <f>IF(ISBLANK('Data Entry'!N796), "", 'Data Entry'!N796)</f>
      </c>
      <c r="O796">
        <f>IF(ISBLANK('Data Entry'!O796), "", 'Data Entry'!O796)</f>
      </c>
      <c r="P796">
        <f>IF(ISBLANK('Data Entry'!P796), "", 'Data Entry'!P796)</f>
      </c>
      <c r="Q796">
        <f>IF(ISBLANK('Data Entry'!Q796), "", 'Data Entry'!Q796)</f>
      </c>
      <c r="R796">
        <f>IF(ISBLANK('Data Entry'!R796), "", 'Data Entry'!R796)</f>
      </c>
      <c r="S796">
        <f>IF(ISBLANK('Data Entry'!S796), "", 'Data Entry'!S796)</f>
      </c>
      <c r="T796">
        <f>IF(ISBLANK('Data Entry'!T796), "", 'Data Entry'!T796)</f>
      </c>
      <c r="U796">
        <f>IF(ISBLANK('Data Entry'!U796), "", 'Data Entry'!U796)</f>
      </c>
      <c r="V796">
        <f>IF(ISBLANK('Data Entry'!V796), "", 'Data Entry'!V796)</f>
      </c>
      <c r="W796">
        <f>IF(ISBLANK('Data Entry'!W796), "", 'Data Entry'!W796)</f>
      </c>
      <c r="X796">
        <f>IF(ISBLANK('Data Entry'!X796), "", 'Data Entry'!X796)</f>
      </c>
      <c r="Y796">
        <f>IF(ISBLANK('Data Entry'!Y796), "", 'Data Entry'!Y796)</f>
      </c>
      <c r="Z796">
        <f>IF(ISBLANK('Data Entry'!Z796), "", 'Data Entry'!Z796)</f>
      </c>
      <c r="AA796">
        <f>IF(ISBLANK('Data Entry'![796), "", 'Data Entry'![796)</f>
      </c>
      <c r="AB796">
        <f>IF(ISBLANK('Data Entry'!\796), "", 'Data Entry'!\796)</f>
      </c>
      <c r="AC796">
        <f>IF(ISBLANK('Data Entry'!]796), "", 'Data Entry'!]796)</f>
      </c>
      <c r="AD796">
        <f>IF(ISBLANK('Data Entry'!^796), "", 'Data Entry'!^796)</f>
      </c>
      <c r="AE796">
        <f>IF(ISBLANK('Data Entry'!_796), "", 'Data Entry'!_796)</f>
      </c>
      <c r="AF796">
        <f>IF(ISBLANK('Data Entry'!`796), "", 'Data Entry'!`796)</f>
      </c>
      <c r="AG796">
        <f>IF(ISBLANK('Data Entry'!a796), "", 'Data Entry'!a796)</f>
      </c>
      <c r="AH796">
        <f>IF(ISBLANK('Data Entry'!b796), "", 'Data Entry'!b796)</f>
      </c>
      <c r="AI796">
        <f>IF(ISBLANK('Data Entry'!c796), "", 'Data Entry'!c796)</f>
      </c>
      <c r="AJ796">
        <f>IF(ISBLANK('Data Entry'!d796), "", 'Data Entry'!d796)</f>
      </c>
      <c r="AK796">
        <f>IF(ISBLANK('Data Entry'!e796), "", 'Data Entry'!e796)</f>
      </c>
      <c r="AL796">
        <f>IF(ISBLANK('Data Entry'!f796), "", 'Data Entry'!f796)</f>
      </c>
      <c r="AM796">
        <f>IF(ISBLANK('Data Entry'!g796), "", 'Data Entry'!g796)</f>
      </c>
      <c r="AN796">
        <f>IF(ISBLANK('Data Entry'!h796), "", 'Data Entry'!h796)</f>
      </c>
    </row>
    <row r="797" spans="1:40" x14ac:dyDescent="0.25">
      <c r="A797">
        <f>IF(ISBLANK('Data Entry'!A797), "", 'Data Entry'!A797)</f>
      </c>
      <c r="B797">
        <f>IF(ISBLANK('Data Entry'!B797), "", 'Data Entry'!B797)</f>
      </c>
      <c r="C797">
        <f>IF(ISBLANK('Data Entry'!C797), "", 'Data Entry'!C797)</f>
      </c>
      <c r="D797">
        <f>IF(ISBLANK('Data Entry'!D797), "", 'Data Entry'!D797)</f>
      </c>
      <c r="E797">
        <f>IF(ISBLANK('Data Entry'!E797), "", 'Data Entry'!E797)</f>
      </c>
      <c r="F797">
        <f>IF(ISBLANK('Data Entry'!F797), "", 'Data Entry'!F797)</f>
      </c>
      <c r="G797">
        <f>IF(ISBLANK('Data Entry'!G797), "", 'Data Entry'!G797)</f>
      </c>
      <c r="H797">
        <f>IF(ISBLANK('Data Entry'!H797), "", 'Data Entry'!H797)</f>
      </c>
      <c r="I797">
        <f>IF(ISBLANK('Data Entry'!I797), "", 'Data Entry'!I797)</f>
      </c>
      <c r="J797">
        <f>IF(ISBLANK('Data Entry'!J797), "", 'Data Entry'!J797)</f>
      </c>
      <c r="K797">
        <f>IF(ISBLANK('Data Entry'!K797), "", 'Data Entry'!K797)</f>
      </c>
      <c r="L797">
        <f>IF(ISBLANK('Data Entry'!L797), "", 'Data Entry'!L797)</f>
      </c>
      <c r="M797">
        <f>IF(ISBLANK('Data Entry'!M797), "", 'Data Entry'!M797)</f>
      </c>
      <c r="N797">
        <f>IF(ISBLANK('Data Entry'!N797), "", 'Data Entry'!N797)</f>
      </c>
      <c r="O797">
        <f>IF(ISBLANK('Data Entry'!O797), "", 'Data Entry'!O797)</f>
      </c>
      <c r="P797">
        <f>IF(ISBLANK('Data Entry'!P797), "", 'Data Entry'!P797)</f>
      </c>
      <c r="Q797">
        <f>IF(ISBLANK('Data Entry'!Q797), "", 'Data Entry'!Q797)</f>
      </c>
      <c r="R797">
        <f>IF(ISBLANK('Data Entry'!R797), "", 'Data Entry'!R797)</f>
      </c>
      <c r="S797">
        <f>IF(ISBLANK('Data Entry'!S797), "", 'Data Entry'!S797)</f>
      </c>
      <c r="T797">
        <f>IF(ISBLANK('Data Entry'!T797), "", 'Data Entry'!T797)</f>
      </c>
      <c r="U797">
        <f>IF(ISBLANK('Data Entry'!U797), "", 'Data Entry'!U797)</f>
      </c>
      <c r="V797">
        <f>IF(ISBLANK('Data Entry'!V797), "", 'Data Entry'!V797)</f>
      </c>
      <c r="W797">
        <f>IF(ISBLANK('Data Entry'!W797), "", 'Data Entry'!W797)</f>
      </c>
      <c r="X797">
        <f>IF(ISBLANK('Data Entry'!X797), "", 'Data Entry'!X797)</f>
      </c>
      <c r="Y797">
        <f>IF(ISBLANK('Data Entry'!Y797), "", 'Data Entry'!Y797)</f>
      </c>
      <c r="Z797">
        <f>IF(ISBLANK('Data Entry'!Z797), "", 'Data Entry'!Z797)</f>
      </c>
      <c r="AA797">
        <f>IF(ISBLANK('Data Entry'![797), "", 'Data Entry'![797)</f>
      </c>
      <c r="AB797">
        <f>IF(ISBLANK('Data Entry'!\797), "", 'Data Entry'!\797)</f>
      </c>
      <c r="AC797">
        <f>IF(ISBLANK('Data Entry'!]797), "", 'Data Entry'!]797)</f>
      </c>
      <c r="AD797">
        <f>IF(ISBLANK('Data Entry'!^797), "", 'Data Entry'!^797)</f>
      </c>
      <c r="AE797">
        <f>IF(ISBLANK('Data Entry'!_797), "", 'Data Entry'!_797)</f>
      </c>
      <c r="AF797">
        <f>IF(ISBLANK('Data Entry'!`797), "", 'Data Entry'!`797)</f>
      </c>
      <c r="AG797">
        <f>IF(ISBLANK('Data Entry'!a797), "", 'Data Entry'!a797)</f>
      </c>
      <c r="AH797">
        <f>IF(ISBLANK('Data Entry'!b797), "", 'Data Entry'!b797)</f>
      </c>
      <c r="AI797">
        <f>IF(ISBLANK('Data Entry'!c797), "", 'Data Entry'!c797)</f>
      </c>
      <c r="AJ797">
        <f>IF(ISBLANK('Data Entry'!d797), "", 'Data Entry'!d797)</f>
      </c>
      <c r="AK797">
        <f>IF(ISBLANK('Data Entry'!e797), "", 'Data Entry'!e797)</f>
      </c>
      <c r="AL797">
        <f>IF(ISBLANK('Data Entry'!f797), "", 'Data Entry'!f797)</f>
      </c>
      <c r="AM797">
        <f>IF(ISBLANK('Data Entry'!g797), "", 'Data Entry'!g797)</f>
      </c>
      <c r="AN797">
        <f>IF(ISBLANK('Data Entry'!h797), "", 'Data Entry'!h797)</f>
      </c>
    </row>
    <row r="798" spans="1:40" x14ac:dyDescent="0.25">
      <c r="A798">
        <f>IF(ISBLANK('Data Entry'!A798), "", 'Data Entry'!A798)</f>
      </c>
      <c r="B798">
        <f>IF(ISBLANK('Data Entry'!B798), "", 'Data Entry'!B798)</f>
      </c>
      <c r="C798">
        <f>IF(ISBLANK('Data Entry'!C798), "", 'Data Entry'!C798)</f>
      </c>
      <c r="D798">
        <f>IF(ISBLANK('Data Entry'!D798), "", 'Data Entry'!D798)</f>
      </c>
      <c r="E798">
        <f>IF(ISBLANK('Data Entry'!E798), "", 'Data Entry'!E798)</f>
      </c>
      <c r="F798">
        <f>IF(ISBLANK('Data Entry'!F798), "", 'Data Entry'!F798)</f>
      </c>
      <c r="G798">
        <f>IF(ISBLANK('Data Entry'!G798), "", 'Data Entry'!G798)</f>
      </c>
      <c r="H798">
        <f>IF(ISBLANK('Data Entry'!H798), "", 'Data Entry'!H798)</f>
      </c>
      <c r="I798">
        <f>IF(ISBLANK('Data Entry'!I798), "", 'Data Entry'!I798)</f>
      </c>
      <c r="J798">
        <f>IF(ISBLANK('Data Entry'!J798), "", 'Data Entry'!J798)</f>
      </c>
      <c r="K798">
        <f>IF(ISBLANK('Data Entry'!K798), "", 'Data Entry'!K798)</f>
      </c>
      <c r="L798">
        <f>IF(ISBLANK('Data Entry'!L798), "", 'Data Entry'!L798)</f>
      </c>
      <c r="M798">
        <f>IF(ISBLANK('Data Entry'!M798), "", 'Data Entry'!M798)</f>
      </c>
      <c r="N798">
        <f>IF(ISBLANK('Data Entry'!N798), "", 'Data Entry'!N798)</f>
      </c>
      <c r="O798">
        <f>IF(ISBLANK('Data Entry'!O798), "", 'Data Entry'!O798)</f>
      </c>
      <c r="P798">
        <f>IF(ISBLANK('Data Entry'!P798), "", 'Data Entry'!P798)</f>
      </c>
      <c r="Q798">
        <f>IF(ISBLANK('Data Entry'!Q798), "", 'Data Entry'!Q798)</f>
      </c>
      <c r="R798">
        <f>IF(ISBLANK('Data Entry'!R798), "", 'Data Entry'!R798)</f>
      </c>
      <c r="S798">
        <f>IF(ISBLANK('Data Entry'!S798), "", 'Data Entry'!S798)</f>
      </c>
      <c r="T798">
        <f>IF(ISBLANK('Data Entry'!T798), "", 'Data Entry'!T798)</f>
      </c>
      <c r="U798">
        <f>IF(ISBLANK('Data Entry'!U798), "", 'Data Entry'!U798)</f>
      </c>
      <c r="V798">
        <f>IF(ISBLANK('Data Entry'!V798), "", 'Data Entry'!V798)</f>
      </c>
      <c r="W798">
        <f>IF(ISBLANK('Data Entry'!W798), "", 'Data Entry'!W798)</f>
      </c>
      <c r="X798">
        <f>IF(ISBLANK('Data Entry'!X798), "", 'Data Entry'!X798)</f>
      </c>
      <c r="Y798">
        <f>IF(ISBLANK('Data Entry'!Y798), "", 'Data Entry'!Y798)</f>
      </c>
      <c r="Z798">
        <f>IF(ISBLANK('Data Entry'!Z798), "", 'Data Entry'!Z798)</f>
      </c>
      <c r="AA798">
        <f>IF(ISBLANK('Data Entry'![798), "", 'Data Entry'![798)</f>
      </c>
      <c r="AB798">
        <f>IF(ISBLANK('Data Entry'!\798), "", 'Data Entry'!\798)</f>
      </c>
      <c r="AC798">
        <f>IF(ISBLANK('Data Entry'!]798), "", 'Data Entry'!]798)</f>
      </c>
      <c r="AD798">
        <f>IF(ISBLANK('Data Entry'!^798), "", 'Data Entry'!^798)</f>
      </c>
      <c r="AE798">
        <f>IF(ISBLANK('Data Entry'!_798), "", 'Data Entry'!_798)</f>
      </c>
      <c r="AF798">
        <f>IF(ISBLANK('Data Entry'!`798), "", 'Data Entry'!`798)</f>
      </c>
      <c r="AG798">
        <f>IF(ISBLANK('Data Entry'!a798), "", 'Data Entry'!a798)</f>
      </c>
      <c r="AH798">
        <f>IF(ISBLANK('Data Entry'!b798), "", 'Data Entry'!b798)</f>
      </c>
      <c r="AI798">
        <f>IF(ISBLANK('Data Entry'!c798), "", 'Data Entry'!c798)</f>
      </c>
      <c r="AJ798">
        <f>IF(ISBLANK('Data Entry'!d798), "", 'Data Entry'!d798)</f>
      </c>
      <c r="AK798">
        <f>IF(ISBLANK('Data Entry'!e798), "", 'Data Entry'!e798)</f>
      </c>
      <c r="AL798">
        <f>IF(ISBLANK('Data Entry'!f798), "", 'Data Entry'!f798)</f>
      </c>
      <c r="AM798">
        <f>IF(ISBLANK('Data Entry'!g798), "", 'Data Entry'!g798)</f>
      </c>
      <c r="AN798">
        <f>IF(ISBLANK('Data Entry'!h798), "", 'Data Entry'!h798)</f>
      </c>
    </row>
    <row r="799" spans="1:40" x14ac:dyDescent="0.25">
      <c r="A799">
        <f>IF(ISBLANK('Data Entry'!A799), "", 'Data Entry'!A799)</f>
      </c>
      <c r="B799">
        <f>IF(ISBLANK('Data Entry'!B799), "", 'Data Entry'!B799)</f>
      </c>
      <c r="C799">
        <f>IF(ISBLANK('Data Entry'!C799), "", 'Data Entry'!C799)</f>
      </c>
      <c r="D799">
        <f>IF(ISBLANK('Data Entry'!D799), "", 'Data Entry'!D799)</f>
      </c>
      <c r="E799">
        <f>IF(ISBLANK('Data Entry'!E799), "", 'Data Entry'!E799)</f>
      </c>
      <c r="F799">
        <f>IF(ISBLANK('Data Entry'!F799), "", 'Data Entry'!F799)</f>
      </c>
      <c r="G799">
        <f>IF(ISBLANK('Data Entry'!G799), "", 'Data Entry'!G799)</f>
      </c>
      <c r="H799">
        <f>IF(ISBLANK('Data Entry'!H799), "", 'Data Entry'!H799)</f>
      </c>
      <c r="I799">
        <f>IF(ISBLANK('Data Entry'!I799), "", 'Data Entry'!I799)</f>
      </c>
      <c r="J799">
        <f>IF(ISBLANK('Data Entry'!J799), "", 'Data Entry'!J799)</f>
      </c>
      <c r="K799">
        <f>IF(ISBLANK('Data Entry'!K799), "", 'Data Entry'!K799)</f>
      </c>
      <c r="L799">
        <f>IF(ISBLANK('Data Entry'!L799), "", 'Data Entry'!L799)</f>
      </c>
      <c r="M799">
        <f>IF(ISBLANK('Data Entry'!M799), "", 'Data Entry'!M799)</f>
      </c>
      <c r="N799">
        <f>IF(ISBLANK('Data Entry'!N799), "", 'Data Entry'!N799)</f>
      </c>
      <c r="O799">
        <f>IF(ISBLANK('Data Entry'!O799), "", 'Data Entry'!O799)</f>
      </c>
      <c r="P799">
        <f>IF(ISBLANK('Data Entry'!P799), "", 'Data Entry'!P799)</f>
      </c>
      <c r="Q799">
        <f>IF(ISBLANK('Data Entry'!Q799), "", 'Data Entry'!Q799)</f>
      </c>
      <c r="R799">
        <f>IF(ISBLANK('Data Entry'!R799), "", 'Data Entry'!R799)</f>
      </c>
      <c r="S799">
        <f>IF(ISBLANK('Data Entry'!S799), "", 'Data Entry'!S799)</f>
      </c>
      <c r="T799">
        <f>IF(ISBLANK('Data Entry'!T799), "", 'Data Entry'!T799)</f>
      </c>
      <c r="U799">
        <f>IF(ISBLANK('Data Entry'!U799), "", 'Data Entry'!U799)</f>
      </c>
      <c r="V799">
        <f>IF(ISBLANK('Data Entry'!V799), "", 'Data Entry'!V799)</f>
      </c>
      <c r="W799">
        <f>IF(ISBLANK('Data Entry'!W799), "", 'Data Entry'!W799)</f>
      </c>
      <c r="X799">
        <f>IF(ISBLANK('Data Entry'!X799), "", 'Data Entry'!X799)</f>
      </c>
      <c r="Y799">
        <f>IF(ISBLANK('Data Entry'!Y799), "", 'Data Entry'!Y799)</f>
      </c>
      <c r="Z799">
        <f>IF(ISBLANK('Data Entry'!Z799), "", 'Data Entry'!Z799)</f>
      </c>
      <c r="AA799">
        <f>IF(ISBLANK('Data Entry'![799), "", 'Data Entry'![799)</f>
      </c>
      <c r="AB799">
        <f>IF(ISBLANK('Data Entry'!\799), "", 'Data Entry'!\799)</f>
      </c>
      <c r="AC799">
        <f>IF(ISBLANK('Data Entry'!]799), "", 'Data Entry'!]799)</f>
      </c>
      <c r="AD799">
        <f>IF(ISBLANK('Data Entry'!^799), "", 'Data Entry'!^799)</f>
      </c>
      <c r="AE799">
        <f>IF(ISBLANK('Data Entry'!_799), "", 'Data Entry'!_799)</f>
      </c>
      <c r="AF799">
        <f>IF(ISBLANK('Data Entry'!`799), "", 'Data Entry'!`799)</f>
      </c>
      <c r="AG799">
        <f>IF(ISBLANK('Data Entry'!a799), "", 'Data Entry'!a799)</f>
      </c>
      <c r="AH799">
        <f>IF(ISBLANK('Data Entry'!b799), "", 'Data Entry'!b799)</f>
      </c>
      <c r="AI799">
        <f>IF(ISBLANK('Data Entry'!c799), "", 'Data Entry'!c799)</f>
      </c>
      <c r="AJ799">
        <f>IF(ISBLANK('Data Entry'!d799), "", 'Data Entry'!d799)</f>
      </c>
      <c r="AK799">
        <f>IF(ISBLANK('Data Entry'!e799), "", 'Data Entry'!e799)</f>
      </c>
      <c r="AL799">
        <f>IF(ISBLANK('Data Entry'!f799), "", 'Data Entry'!f799)</f>
      </c>
      <c r="AM799">
        <f>IF(ISBLANK('Data Entry'!g799), "", 'Data Entry'!g799)</f>
      </c>
      <c r="AN799">
        <f>IF(ISBLANK('Data Entry'!h799), "", 'Data Entry'!h799)</f>
      </c>
    </row>
    <row r="800" spans="1:40" x14ac:dyDescent="0.25">
      <c r="A800">
        <f>IF(ISBLANK('Data Entry'!A800), "", 'Data Entry'!A800)</f>
      </c>
      <c r="B800">
        <f>IF(ISBLANK('Data Entry'!B800), "", 'Data Entry'!B800)</f>
      </c>
      <c r="C800">
        <f>IF(ISBLANK('Data Entry'!C800), "", 'Data Entry'!C800)</f>
      </c>
      <c r="D800">
        <f>IF(ISBLANK('Data Entry'!D800), "", 'Data Entry'!D800)</f>
      </c>
      <c r="E800">
        <f>IF(ISBLANK('Data Entry'!E800), "", 'Data Entry'!E800)</f>
      </c>
      <c r="F800">
        <f>IF(ISBLANK('Data Entry'!F800), "", 'Data Entry'!F800)</f>
      </c>
      <c r="G800">
        <f>IF(ISBLANK('Data Entry'!G800), "", 'Data Entry'!G800)</f>
      </c>
      <c r="H800">
        <f>IF(ISBLANK('Data Entry'!H800), "", 'Data Entry'!H800)</f>
      </c>
      <c r="I800">
        <f>IF(ISBLANK('Data Entry'!I800), "", 'Data Entry'!I800)</f>
      </c>
      <c r="J800">
        <f>IF(ISBLANK('Data Entry'!J800), "", 'Data Entry'!J800)</f>
      </c>
      <c r="K800">
        <f>IF(ISBLANK('Data Entry'!K800), "", 'Data Entry'!K800)</f>
      </c>
      <c r="L800">
        <f>IF(ISBLANK('Data Entry'!L800), "", 'Data Entry'!L800)</f>
      </c>
      <c r="M800">
        <f>IF(ISBLANK('Data Entry'!M800), "", 'Data Entry'!M800)</f>
      </c>
      <c r="N800">
        <f>IF(ISBLANK('Data Entry'!N800), "", 'Data Entry'!N800)</f>
      </c>
      <c r="O800">
        <f>IF(ISBLANK('Data Entry'!O800), "", 'Data Entry'!O800)</f>
      </c>
      <c r="P800">
        <f>IF(ISBLANK('Data Entry'!P800), "", 'Data Entry'!P800)</f>
      </c>
      <c r="Q800">
        <f>IF(ISBLANK('Data Entry'!Q800), "", 'Data Entry'!Q800)</f>
      </c>
      <c r="R800">
        <f>IF(ISBLANK('Data Entry'!R800), "", 'Data Entry'!R800)</f>
      </c>
      <c r="S800">
        <f>IF(ISBLANK('Data Entry'!S800), "", 'Data Entry'!S800)</f>
      </c>
      <c r="T800">
        <f>IF(ISBLANK('Data Entry'!T800), "", 'Data Entry'!T800)</f>
      </c>
      <c r="U800">
        <f>IF(ISBLANK('Data Entry'!U800), "", 'Data Entry'!U800)</f>
      </c>
      <c r="V800">
        <f>IF(ISBLANK('Data Entry'!V800), "", 'Data Entry'!V800)</f>
      </c>
      <c r="W800">
        <f>IF(ISBLANK('Data Entry'!W800), "", 'Data Entry'!W800)</f>
      </c>
      <c r="X800">
        <f>IF(ISBLANK('Data Entry'!X800), "", 'Data Entry'!X800)</f>
      </c>
      <c r="Y800">
        <f>IF(ISBLANK('Data Entry'!Y800), "", 'Data Entry'!Y800)</f>
      </c>
      <c r="Z800">
        <f>IF(ISBLANK('Data Entry'!Z800), "", 'Data Entry'!Z800)</f>
      </c>
      <c r="AA800">
        <f>IF(ISBLANK('Data Entry'![800), "", 'Data Entry'![800)</f>
      </c>
      <c r="AB800">
        <f>IF(ISBLANK('Data Entry'!\800), "", 'Data Entry'!\800)</f>
      </c>
      <c r="AC800">
        <f>IF(ISBLANK('Data Entry'!]800), "", 'Data Entry'!]800)</f>
      </c>
      <c r="AD800">
        <f>IF(ISBLANK('Data Entry'!^800), "", 'Data Entry'!^800)</f>
      </c>
      <c r="AE800">
        <f>IF(ISBLANK('Data Entry'!_800), "", 'Data Entry'!_800)</f>
      </c>
      <c r="AF800">
        <f>IF(ISBLANK('Data Entry'!`800), "", 'Data Entry'!`800)</f>
      </c>
      <c r="AG800">
        <f>IF(ISBLANK('Data Entry'!a800), "", 'Data Entry'!a800)</f>
      </c>
      <c r="AH800">
        <f>IF(ISBLANK('Data Entry'!b800), "", 'Data Entry'!b800)</f>
      </c>
      <c r="AI800">
        <f>IF(ISBLANK('Data Entry'!c800), "", 'Data Entry'!c800)</f>
      </c>
      <c r="AJ800">
        <f>IF(ISBLANK('Data Entry'!d800), "", 'Data Entry'!d800)</f>
      </c>
      <c r="AK800">
        <f>IF(ISBLANK('Data Entry'!e800), "", 'Data Entry'!e800)</f>
      </c>
      <c r="AL800">
        <f>IF(ISBLANK('Data Entry'!f800), "", 'Data Entry'!f800)</f>
      </c>
      <c r="AM800">
        <f>IF(ISBLANK('Data Entry'!g800), "", 'Data Entry'!g800)</f>
      </c>
      <c r="AN800">
        <f>IF(ISBLANK('Data Entry'!h800), "", 'Data Entry'!h800)</f>
      </c>
    </row>
    <row r="801" spans="1:40" x14ac:dyDescent="0.25">
      <c r="A801">
        <f>IF(ISBLANK('Data Entry'!A801), "", 'Data Entry'!A801)</f>
      </c>
      <c r="B801">
        <f>IF(ISBLANK('Data Entry'!B801), "", 'Data Entry'!B801)</f>
      </c>
      <c r="C801">
        <f>IF(ISBLANK('Data Entry'!C801), "", 'Data Entry'!C801)</f>
      </c>
      <c r="D801">
        <f>IF(ISBLANK('Data Entry'!D801), "", 'Data Entry'!D801)</f>
      </c>
      <c r="E801">
        <f>IF(ISBLANK('Data Entry'!E801), "", 'Data Entry'!E801)</f>
      </c>
      <c r="F801">
        <f>IF(ISBLANK('Data Entry'!F801), "", 'Data Entry'!F801)</f>
      </c>
      <c r="G801">
        <f>IF(ISBLANK('Data Entry'!G801), "", 'Data Entry'!G801)</f>
      </c>
      <c r="H801">
        <f>IF(ISBLANK('Data Entry'!H801), "", 'Data Entry'!H801)</f>
      </c>
      <c r="I801">
        <f>IF(ISBLANK('Data Entry'!I801), "", 'Data Entry'!I801)</f>
      </c>
      <c r="J801">
        <f>IF(ISBLANK('Data Entry'!J801), "", 'Data Entry'!J801)</f>
      </c>
      <c r="K801">
        <f>IF(ISBLANK('Data Entry'!K801), "", 'Data Entry'!K801)</f>
      </c>
      <c r="L801">
        <f>IF(ISBLANK('Data Entry'!L801), "", 'Data Entry'!L801)</f>
      </c>
      <c r="M801">
        <f>IF(ISBLANK('Data Entry'!M801), "", 'Data Entry'!M801)</f>
      </c>
      <c r="N801">
        <f>IF(ISBLANK('Data Entry'!N801), "", 'Data Entry'!N801)</f>
      </c>
      <c r="O801">
        <f>IF(ISBLANK('Data Entry'!O801), "", 'Data Entry'!O801)</f>
      </c>
      <c r="P801">
        <f>IF(ISBLANK('Data Entry'!P801), "", 'Data Entry'!P801)</f>
      </c>
      <c r="Q801">
        <f>IF(ISBLANK('Data Entry'!Q801), "", 'Data Entry'!Q801)</f>
      </c>
      <c r="R801">
        <f>IF(ISBLANK('Data Entry'!R801), "", 'Data Entry'!R801)</f>
      </c>
      <c r="S801">
        <f>IF(ISBLANK('Data Entry'!S801), "", 'Data Entry'!S801)</f>
      </c>
      <c r="T801">
        <f>IF(ISBLANK('Data Entry'!T801), "", 'Data Entry'!T801)</f>
      </c>
      <c r="U801">
        <f>IF(ISBLANK('Data Entry'!U801), "", 'Data Entry'!U801)</f>
      </c>
      <c r="V801">
        <f>IF(ISBLANK('Data Entry'!V801), "", 'Data Entry'!V801)</f>
      </c>
      <c r="W801">
        <f>IF(ISBLANK('Data Entry'!W801), "", 'Data Entry'!W801)</f>
      </c>
      <c r="X801">
        <f>IF(ISBLANK('Data Entry'!X801), "", 'Data Entry'!X801)</f>
      </c>
      <c r="Y801">
        <f>IF(ISBLANK('Data Entry'!Y801), "", 'Data Entry'!Y801)</f>
      </c>
      <c r="Z801">
        <f>IF(ISBLANK('Data Entry'!Z801), "", 'Data Entry'!Z801)</f>
      </c>
      <c r="AA801">
        <f>IF(ISBLANK('Data Entry'![801), "", 'Data Entry'![801)</f>
      </c>
      <c r="AB801">
        <f>IF(ISBLANK('Data Entry'!\801), "", 'Data Entry'!\801)</f>
      </c>
      <c r="AC801">
        <f>IF(ISBLANK('Data Entry'!]801), "", 'Data Entry'!]801)</f>
      </c>
      <c r="AD801">
        <f>IF(ISBLANK('Data Entry'!^801), "", 'Data Entry'!^801)</f>
      </c>
      <c r="AE801">
        <f>IF(ISBLANK('Data Entry'!_801), "", 'Data Entry'!_801)</f>
      </c>
      <c r="AF801">
        <f>IF(ISBLANK('Data Entry'!`801), "", 'Data Entry'!`801)</f>
      </c>
      <c r="AG801">
        <f>IF(ISBLANK('Data Entry'!a801), "", 'Data Entry'!a801)</f>
      </c>
      <c r="AH801">
        <f>IF(ISBLANK('Data Entry'!b801), "", 'Data Entry'!b801)</f>
      </c>
      <c r="AI801">
        <f>IF(ISBLANK('Data Entry'!c801), "", 'Data Entry'!c801)</f>
      </c>
      <c r="AJ801">
        <f>IF(ISBLANK('Data Entry'!d801), "", 'Data Entry'!d801)</f>
      </c>
      <c r="AK801">
        <f>IF(ISBLANK('Data Entry'!e801), "", 'Data Entry'!e801)</f>
      </c>
      <c r="AL801">
        <f>IF(ISBLANK('Data Entry'!f801), "", 'Data Entry'!f801)</f>
      </c>
      <c r="AM801">
        <f>IF(ISBLANK('Data Entry'!g801), "", 'Data Entry'!g801)</f>
      </c>
      <c r="AN801">
        <f>IF(ISBLANK('Data Entry'!h801), "", 'Data Entry'!h801)</f>
      </c>
    </row>
    <row r="802" spans="1:40" x14ac:dyDescent="0.25">
      <c r="A802">
        <f>IF(ISBLANK('Data Entry'!A802), "", 'Data Entry'!A802)</f>
      </c>
      <c r="B802">
        <f>IF(ISBLANK('Data Entry'!B802), "", 'Data Entry'!B802)</f>
      </c>
      <c r="C802">
        <f>IF(ISBLANK('Data Entry'!C802), "", 'Data Entry'!C802)</f>
      </c>
      <c r="D802">
        <f>IF(ISBLANK('Data Entry'!D802), "", 'Data Entry'!D802)</f>
      </c>
      <c r="E802">
        <f>IF(ISBLANK('Data Entry'!E802), "", 'Data Entry'!E802)</f>
      </c>
      <c r="F802">
        <f>IF(ISBLANK('Data Entry'!F802), "", 'Data Entry'!F802)</f>
      </c>
      <c r="G802">
        <f>IF(ISBLANK('Data Entry'!G802), "", 'Data Entry'!G802)</f>
      </c>
      <c r="H802">
        <f>IF(ISBLANK('Data Entry'!H802), "", 'Data Entry'!H802)</f>
      </c>
      <c r="I802">
        <f>IF(ISBLANK('Data Entry'!I802), "", 'Data Entry'!I802)</f>
      </c>
      <c r="J802">
        <f>IF(ISBLANK('Data Entry'!J802), "", 'Data Entry'!J802)</f>
      </c>
      <c r="K802">
        <f>IF(ISBLANK('Data Entry'!K802), "", 'Data Entry'!K802)</f>
      </c>
      <c r="L802">
        <f>IF(ISBLANK('Data Entry'!L802), "", 'Data Entry'!L802)</f>
      </c>
      <c r="M802">
        <f>IF(ISBLANK('Data Entry'!M802), "", 'Data Entry'!M802)</f>
      </c>
      <c r="N802">
        <f>IF(ISBLANK('Data Entry'!N802), "", 'Data Entry'!N802)</f>
      </c>
      <c r="O802">
        <f>IF(ISBLANK('Data Entry'!O802), "", 'Data Entry'!O802)</f>
      </c>
      <c r="P802">
        <f>IF(ISBLANK('Data Entry'!P802), "", 'Data Entry'!P802)</f>
      </c>
      <c r="Q802">
        <f>IF(ISBLANK('Data Entry'!Q802), "", 'Data Entry'!Q802)</f>
      </c>
      <c r="R802">
        <f>IF(ISBLANK('Data Entry'!R802), "", 'Data Entry'!R802)</f>
      </c>
      <c r="S802">
        <f>IF(ISBLANK('Data Entry'!S802), "", 'Data Entry'!S802)</f>
      </c>
      <c r="T802">
        <f>IF(ISBLANK('Data Entry'!T802), "", 'Data Entry'!T802)</f>
      </c>
      <c r="U802">
        <f>IF(ISBLANK('Data Entry'!U802), "", 'Data Entry'!U802)</f>
      </c>
      <c r="V802">
        <f>IF(ISBLANK('Data Entry'!V802), "", 'Data Entry'!V802)</f>
      </c>
      <c r="W802">
        <f>IF(ISBLANK('Data Entry'!W802), "", 'Data Entry'!W802)</f>
      </c>
      <c r="X802">
        <f>IF(ISBLANK('Data Entry'!X802), "", 'Data Entry'!X802)</f>
      </c>
      <c r="Y802">
        <f>IF(ISBLANK('Data Entry'!Y802), "", 'Data Entry'!Y802)</f>
      </c>
      <c r="Z802">
        <f>IF(ISBLANK('Data Entry'!Z802), "", 'Data Entry'!Z802)</f>
      </c>
      <c r="AA802">
        <f>IF(ISBLANK('Data Entry'![802), "", 'Data Entry'![802)</f>
      </c>
      <c r="AB802">
        <f>IF(ISBLANK('Data Entry'!\802), "", 'Data Entry'!\802)</f>
      </c>
      <c r="AC802">
        <f>IF(ISBLANK('Data Entry'!]802), "", 'Data Entry'!]802)</f>
      </c>
      <c r="AD802">
        <f>IF(ISBLANK('Data Entry'!^802), "", 'Data Entry'!^802)</f>
      </c>
      <c r="AE802">
        <f>IF(ISBLANK('Data Entry'!_802), "", 'Data Entry'!_802)</f>
      </c>
      <c r="AF802">
        <f>IF(ISBLANK('Data Entry'!`802), "", 'Data Entry'!`802)</f>
      </c>
      <c r="AG802">
        <f>IF(ISBLANK('Data Entry'!a802), "", 'Data Entry'!a802)</f>
      </c>
      <c r="AH802">
        <f>IF(ISBLANK('Data Entry'!b802), "", 'Data Entry'!b802)</f>
      </c>
      <c r="AI802">
        <f>IF(ISBLANK('Data Entry'!c802), "", 'Data Entry'!c802)</f>
      </c>
      <c r="AJ802">
        <f>IF(ISBLANK('Data Entry'!d802), "", 'Data Entry'!d802)</f>
      </c>
      <c r="AK802">
        <f>IF(ISBLANK('Data Entry'!e802), "", 'Data Entry'!e802)</f>
      </c>
      <c r="AL802">
        <f>IF(ISBLANK('Data Entry'!f802), "", 'Data Entry'!f802)</f>
      </c>
      <c r="AM802">
        <f>IF(ISBLANK('Data Entry'!g802), "", 'Data Entry'!g802)</f>
      </c>
      <c r="AN802">
        <f>IF(ISBLANK('Data Entry'!h802), "", 'Data Entry'!h802)</f>
      </c>
    </row>
    <row r="803" spans="1:40" x14ac:dyDescent="0.25">
      <c r="A803">
        <f>IF(ISBLANK('Data Entry'!A803), "", 'Data Entry'!A803)</f>
      </c>
      <c r="B803">
        <f>IF(ISBLANK('Data Entry'!B803), "", 'Data Entry'!B803)</f>
      </c>
      <c r="C803">
        <f>IF(ISBLANK('Data Entry'!C803), "", 'Data Entry'!C803)</f>
      </c>
      <c r="D803">
        <f>IF(ISBLANK('Data Entry'!D803), "", 'Data Entry'!D803)</f>
      </c>
      <c r="E803">
        <f>IF(ISBLANK('Data Entry'!E803), "", 'Data Entry'!E803)</f>
      </c>
      <c r="F803">
        <f>IF(ISBLANK('Data Entry'!F803), "", 'Data Entry'!F803)</f>
      </c>
      <c r="G803">
        <f>IF(ISBLANK('Data Entry'!G803), "", 'Data Entry'!G803)</f>
      </c>
      <c r="H803">
        <f>IF(ISBLANK('Data Entry'!H803), "", 'Data Entry'!H803)</f>
      </c>
      <c r="I803">
        <f>IF(ISBLANK('Data Entry'!I803), "", 'Data Entry'!I803)</f>
      </c>
      <c r="J803">
        <f>IF(ISBLANK('Data Entry'!J803), "", 'Data Entry'!J803)</f>
      </c>
      <c r="K803">
        <f>IF(ISBLANK('Data Entry'!K803), "", 'Data Entry'!K803)</f>
      </c>
      <c r="L803">
        <f>IF(ISBLANK('Data Entry'!L803), "", 'Data Entry'!L803)</f>
      </c>
      <c r="M803">
        <f>IF(ISBLANK('Data Entry'!M803), "", 'Data Entry'!M803)</f>
      </c>
      <c r="N803">
        <f>IF(ISBLANK('Data Entry'!N803), "", 'Data Entry'!N803)</f>
      </c>
      <c r="O803">
        <f>IF(ISBLANK('Data Entry'!O803), "", 'Data Entry'!O803)</f>
      </c>
      <c r="P803">
        <f>IF(ISBLANK('Data Entry'!P803), "", 'Data Entry'!P803)</f>
      </c>
      <c r="Q803">
        <f>IF(ISBLANK('Data Entry'!Q803), "", 'Data Entry'!Q803)</f>
      </c>
      <c r="R803">
        <f>IF(ISBLANK('Data Entry'!R803), "", 'Data Entry'!R803)</f>
      </c>
      <c r="S803">
        <f>IF(ISBLANK('Data Entry'!S803), "", 'Data Entry'!S803)</f>
      </c>
      <c r="T803">
        <f>IF(ISBLANK('Data Entry'!T803), "", 'Data Entry'!T803)</f>
      </c>
      <c r="U803">
        <f>IF(ISBLANK('Data Entry'!U803), "", 'Data Entry'!U803)</f>
      </c>
      <c r="V803">
        <f>IF(ISBLANK('Data Entry'!V803), "", 'Data Entry'!V803)</f>
      </c>
      <c r="W803">
        <f>IF(ISBLANK('Data Entry'!W803), "", 'Data Entry'!W803)</f>
      </c>
      <c r="X803">
        <f>IF(ISBLANK('Data Entry'!X803), "", 'Data Entry'!X803)</f>
      </c>
      <c r="Y803">
        <f>IF(ISBLANK('Data Entry'!Y803), "", 'Data Entry'!Y803)</f>
      </c>
      <c r="Z803">
        <f>IF(ISBLANK('Data Entry'!Z803), "", 'Data Entry'!Z803)</f>
      </c>
      <c r="AA803">
        <f>IF(ISBLANK('Data Entry'![803), "", 'Data Entry'![803)</f>
      </c>
      <c r="AB803">
        <f>IF(ISBLANK('Data Entry'!\803), "", 'Data Entry'!\803)</f>
      </c>
      <c r="AC803">
        <f>IF(ISBLANK('Data Entry'!]803), "", 'Data Entry'!]803)</f>
      </c>
      <c r="AD803">
        <f>IF(ISBLANK('Data Entry'!^803), "", 'Data Entry'!^803)</f>
      </c>
      <c r="AE803">
        <f>IF(ISBLANK('Data Entry'!_803), "", 'Data Entry'!_803)</f>
      </c>
      <c r="AF803">
        <f>IF(ISBLANK('Data Entry'!`803), "", 'Data Entry'!`803)</f>
      </c>
      <c r="AG803">
        <f>IF(ISBLANK('Data Entry'!a803), "", 'Data Entry'!a803)</f>
      </c>
      <c r="AH803">
        <f>IF(ISBLANK('Data Entry'!b803), "", 'Data Entry'!b803)</f>
      </c>
      <c r="AI803">
        <f>IF(ISBLANK('Data Entry'!c803), "", 'Data Entry'!c803)</f>
      </c>
      <c r="AJ803">
        <f>IF(ISBLANK('Data Entry'!d803), "", 'Data Entry'!d803)</f>
      </c>
      <c r="AK803">
        <f>IF(ISBLANK('Data Entry'!e803), "", 'Data Entry'!e803)</f>
      </c>
      <c r="AL803">
        <f>IF(ISBLANK('Data Entry'!f803), "", 'Data Entry'!f803)</f>
      </c>
      <c r="AM803">
        <f>IF(ISBLANK('Data Entry'!g803), "", 'Data Entry'!g803)</f>
      </c>
      <c r="AN803">
        <f>IF(ISBLANK('Data Entry'!h803), "", 'Data Entry'!h803)</f>
      </c>
    </row>
    <row r="804" spans="1:40" x14ac:dyDescent="0.25">
      <c r="A804">
        <f>IF(ISBLANK('Data Entry'!A804), "", 'Data Entry'!A804)</f>
      </c>
      <c r="B804">
        <f>IF(ISBLANK('Data Entry'!B804), "", 'Data Entry'!B804)</f>
      </c>
      <c r="C804">
        <f>IF(ISBLANK('Data Entry'!C804), "", 'Data Entry'!C804)</f>
      </c>
      <c r="D804">
        <f>IF(ISBLANK('Data Entry'!D804), "", 'Data Entry'!D804)</f>
      </c>
      <c r="E804">
        <f>IF(ISBLANK('Data Entry'!E804), "", 'Data Entry'!E804)</f>
      </c>
      <c r="F804">
        <f>IF(ISBLANK('Data Entry'!F804), "", 'Data Entry'!F804)</f>
      </c>
      <c r="G804">
        <f>IF(ISBLANK('Data Entry'!G804), "", 'Data Entry'!G804)</f>
      </c>
      <c r="H804">
        <f>IF(ISBLANK('Data Entry'!H804), "", 'Data Entry'!H804)</f>
      </c>
      <c r="I804">
        <f>IF(ISBLANK('Data Entry'!I804), "", 'Data Entry'!I804)</f>
      </c>
      <c r="J804">
        <f>IF(ISBLANK('Data Entry'!J804), "", 'Data Entry'!J804)</f>
      </c>
      <c r="K804">
        <f>IF(ISBLANK('Data Entry'!K804), "", 'Data Entry'!K804)</f>
      </c>
      <c r="L804">
        <f>IF(ISBLANK('Data Entry'!L804), "", 'Data Entry'!L804)</f>
      </c>
      <c r="M804">
        <f>IF(ISBLANK('Data Entry'!M804), "", 'Data Entry'!M804)</f>
      </c>
      <c r="N804">
        <f>IF(ISBLANK('Data Entry'!N804), "", 'Data Entry'!N804)</f>
      </c>
      <c r="O804">
        <f>IF(ISBLANK('Data Entry'!O804), "", 'Data Entry'!O804)</f>
      </c>
      <c r="P804">
        <f>IF(ISBLANK('Data Entry'!P804), "", 'Data Entry'!P804)</f>
      </c>
      <c r="Q804">
        <f>IF(ISBLANK('Data Entry'!Q804), "", 'Data Entry'!Q804)</f>
      </c>
      <c r="R804">
        <f>IF(ISBLANK('Data Entry'!R804), "", 'Data Entry'!R804)</f>
      </c>
      <c r="S804">
        <f>IF(ISBLANK('Data Entry'!S804), "", 'Data Entry'!S804)</f>
      </c>
      <c r="T804">
        <f>IF(ISBLANK('Data Entry'!T804), "", 'Data Entry'!T804)</f>
      </c>
      <c r="U804">
        <f>IF(ISBLANK('Data Entry'!U804), "", 'Data Entry'!U804)</f>
      </c>
      <c r="V804">
        <f>IF(ISBLANK('Data Entry'!V804), "", 'Data Entry'!V804)</f>
      </c>
      <c r="W804">
        <f>IF(ISBLANK('Data Entry'!W804), "", 'Data Entry'!W804)</f>
      </c>
      <c r="X804">
        <f>IF(ISBLANK('Data Entry'!X804), "", 'Data Entry'!X804)</f>
      </c>
      <c r="Y804">
        <f>IF(ISBLANK('Data Entry'!Y804), "", 'Data Entry'!Y804)</f>
      </c>
      <c r="Z804">
        <f>IF(ISBLANK('Data Entry'!Z804), "", 'Data Entry'!Z804)</f>
      </c>
      <c r="AA804">
        <f>IF(ISBLANK('Data Entry'![804), "", 'Data Entry'![804)</f>
      </c>
      <c r="AB804">
        <f>IF(ISBLANK('Data Entry'!\804), "", 'Data Entry'!\804)</f>
      </c>
      <c r="AC804">
        <f>IF(ISBLANK('Data Entry'!]804), "", 'Data Entry'!]804)</f>
      </c>
      <c r="AD804">
        <f>IF(ISBLANK('Data Entry'!^804), "", 'Data Entry'!^804)</f>
      </c>
      <c r="AE804">
        <f>IF(ISBLANK('Data Entry'!_804), "", 'Data Entry'!_804)</f>
      </c>
      <c r="AF804">
        <f>IF(ISBLANK('Data Entry'!`804), "", 'Data Entry'!`804)</f>
      </c>
      <c r="AG804">
        <f>IF(ISBLANK('Data Entry'!a804), "", 'Data Entry'!a804)</f>
      </c>
      <c r="AH804">
        <f>IF(ISBLANK('Data Entry'!b804), "", 'Data Entry'!b804)</f>
      </c>
      <c r="AI804">
        <f>IF(ISBLANK('Data Entry'!c804), "", 'Data Entry'!c804)</f>
      </c>
      <c r="AJ804">
        <f>IF(ISBLANK('Data Entry'!d804), "", 'Data Entry'!d804)</f>
      </c>
      <c r="AK804">
        <f>IF(ISBLANK('Data Entry'!e804), "", 'Data Entry'!e804)</f>
      </c>
      <c r="AL804">
        <f>IF(ISBLANK('Data Entry'!f804), "", 'Data Entry'!f804)</f>
      </c>
      <c r="AM804">
        <f>IF(ISBLANK('Data Entry'!g804), "", 'Data Entry'!g804)</f>
      </c>
      <c r="AN804">
        <f>IF(ISBLANK('Data Entry'!h804), "", 'Data Entry'!h804)</f>
      </c>
    </row>
    <row r="805" spans="1:40" x14ac:dyDescent="0.25">
      <c r="A805">
        <f>IF(ISBLANK('Data Entry'!A805), "", 'Data Entry'!A805)</f>
      </c>
      <c r="B805">
        <f>IF(ISBLANK('Data Entry'!B805), "", 'Data Entry'!B805)</f>
      </c>
      <c r="C805">
        <f>IF(ISBLANK('Data Entry'!C805), "", 'Data Entry'!C805)</f>
      </c>
      <c r="D805">
        <f>IF(ISBLANK('Data Entry'!D805), "", 'Data Entry'!D805)</f>
      </c>
      <c r="E805">
        <f>IF(ISBLANK('Data Entry'!E805), "", 'Data Entry'!E805)</f>
      </c>
      <c r="F805">
        <f>IF(ISBLANK('Data Entry'!F805), "", 'Data Entry'!F805)</f>
      </c>
      <c r="G805">
        <f>IF(ISBLANK('Data Entry'!G805), "", 'Data Entry'!G805)</f>
      </c>
      <c r="H805">
        <f>IF(ISBLANK('Data Entry'!H805), "", 'Data Entry'!H805)</f>
      </c>
      <c r="I805">
        <f>IF(ISBLANK('Data Entry'!I805), "", 'Data Entry'!I805)</f>
      </c>
      <c r="J805">
        <f>IF(ISBLANK('Data Entry'!J805), "", 'Data Entry'!J805)</f>
      </c>
      <c r="K805">
        <f>IF(ISBLANK('Data Entry'!K805), "", 'Data Entry'!K805)</f>
      </c>
      <c r="L805">
        <f>IF(ISBLANK('Data Entry'!L805), "", 'Data Entry'!L805)</f>
      </c>
      <c r="M805">
        <f>IF(ISBLANK('Data Entry'!M805), "", 'Data Entry'!M805)</f>
      </c>
      <c r="N805">
        <f>IF(ISBLANK('Data Entry'!N805), "", 'Data Entry'!N805)</f>
      </c>
      <c r="O805">
        <f>IF(ISBLANK('Data Entry'!O805), "", 'Data Entry'!O805)</f>
      </c>
      <c r="P805">
        <f>IF(ISBLANK('Data Entry'!P805), "", 'Data Entry'!P805)</f>
      </c>
      <c r="Q805">
        <f>IF(ISBLANK('Data Entry'!Q805), "", 'Data Entry'!Q805)</f>
      </c>
      <c r="R805">
        <f>IF(ISBLANK('Data Entry'!R805), "", 'Data Entry'!R805)</f>
      </c>
      <c r="S805">
        <f>IF(ISBLANK('Data Entry'!S805), "", 'Data Entry'!S805)</f>
      </c>
      <c r="T805">
        <f>IF(ISBLANK('Data Entry'!T805), "", 'Data Entry'!T805)</f>
      </c>
      <c r="U805">
        <f>IF(ISBLANK('Data Entry'!U805), "", 'Data Entry'!U805)</f>
      </c>
      <c r="V805">
        <f>IF(ISBLANK('Data Entry'!V805), "", 'Data Entry'!V805)</f>
      </c>
      <c r="W805">
        <f>IF(ISBLANK('Data Entry'!W805), "", 'Data Entry'!W805)</f>
      </c>
      <c r="X805">
        <f>IF(ISBLANK('Data Entry'!X805), "", 'Data Entry'!X805)</f>
      </c>
      <c r="Y805">
        <f>IF(ISBLANK('Data Entry'!Y805), "", 'Data Entry'!Y805)</f>
      </c>
      <c r="Z805">
        <f>IF(ISBLANK('Data Entry'!Z805), "", 'Data Entry'!Z805)</f>
      </c>
      <c r="AA805">
        <f>IF(ISBLANK('Data Entry'![805), "", 'Data Entry'![805)</f>
      </c>
      <c r="AB805">
        <f>IF(ISBLANK('Data Entry'!\805), "", 'Data Entry'!\805)</f>
      </c>
      <c r="AC805">
        <f>IF(ISBLANK('Data Entry'!]805), "", 'Data Entry'!]805)</f>
      </c>
      <c r="AD805">
        <f>IF(ISBLANK('Data Entry'!^805), "", 'Data Entry'!^805)</f>
      </c>
      <c r="AE805">
        <f>IF(ISBLANK('Data Entry'!_805), "", 'Data Entry'!_805)</f>
      </c>
      <c r="AF805">
        <f>IF(ISBLANK('Data Entry'!`805), "", 'Data Entry'!`805)</f>
      </c>
      <c r="AG805">
        <f>IF(ISBLANK('Data Entry'!a805), "", 'Data Entry'!a805)</f>
      </c>
      <c r="AH805">
        <f>IF(ISBLANK('Data Entry'!b805), "", 'Data Entry'!b805)</f>
      </c>
      <c r="AI805">
        <f>IF(ISBLANK('Data Entry'!c805), "", 'Data Entry'!c805)</f>
      </c>
      <c r="AJ805">
        <f>IF(ISBLANK('Data Entry'!d805), "", 'Data Entry'!d805)</f>
      </c>
      <c r="AK805">
        <f>IF(ISBLANK('Data Entry'!e805), "", 'Data Entry'!e805)</f>
      </c>
      <c r="AL805">
        <f>IF(ISBLANK('Data Entry'!f805), "", 'Data Entry'!f805)</f>
      </c>
      <c r="AM805">
        <f>IF(ISBLANK('Data Entry'!g805), "", 'Data Entry'!g805)</f>
      </c>
      <c r="AN805">
        <f>IF(ISBLANK('Data Entry'!h805), "", 'Data Entry'!h805)</f>
      </c>
    </row>
    <row r="806" spans="1:40" x14ac:dyDescent="0.25">
      <c r="A806">
        <f>IF(ISBLANK('Data Entry'!A806), "", 'Data Entry'!A806)</f>
      </c>
      <c r="B806">
        <f>IF(ISBLANK('Data Entry'!B806), "", 'Data Entry'!B806)</f>
      </c>
      <c r="C806">
        <f>IF(ISBLANK('Data Entry'!C806), "", 'Data Entry'!C806)</f>
      </c>
      <c r="D806">
        <f>IF(ISBLANK('Data Entry'!D806), "", 'Data Entry'!D806)</f>
      </c>
      <c r="E806">
        <f>IF(ISBLANK('Data Entry'!E806), "", 'Data Entry'!E806)</f>
      </c>
      <c r="F806">
        <f>IF(ISBLANK('Data Entry'!F806), "", 'Data Entry'!F806)</f>
      </c>
      <c r="G806">
        <f>IF(ISBLANK('Data Entry'!G806), "", 'Data Entry'!G806)</f>
      </c>
      <c r="H806">
        <f>IF(ISBLANK('Data Entry'!H806), "", 'Data Entry'!H806)</f>
      </c>
      <c r="I806">
        <f>IF(ISBLANK('Data Entry'!I806), "", 'Data Entry'!I806)</f>
      </c>
      <c r="J806">
        <f>IF(ISBLANK('Data Entry'!J806), "", 'Data Entry'!J806)</f>
      </c>
      <c r="K806">
        <f>IF(ISBLANK('Data Entry'!K806), "", 'Data Entry'!K806)</f>
      </c>
      <c r="L806">
        <f>IF(ISBLANK('Data Entry'!L806), "", 'Data Entry'!L806)</f>
      </c>
      <c r="M806">
        <f>IF(ISBLANK('Data Entry'!M806), "", 'Data Entry'!M806)</f>
      </c>
      <c r="N806">
        <f>IF(ISBLANK('Data Entry'!N806), "", 'Data Entry'!N806)</f>
      </c>
      <c r="O806">
        <f>IF(ISBLANK('Data Entry'!O806), "", 'Data Entry'!O806)</f>
      </c>
      <c r="P806">
        <f>IF(ISBLANK('Data Entry'!P806), "", 'Data Entry'!P806)</f>
      </c>
      <c r="Q806">
        <f>IF(ISBLANK('Data Entry'!Q806), "", 'Data Entry'!Q806)</f>
      </c>
      <c r="R806">
        <f>IF(ISBLANK('Data Entry'!R806), "", 'Data Entry'!R806)</f>
      </c>
      <c r="S806">
        <f>IF(ISBLANK('Data Entry'!S806), "", 'Data Entry'!S806)</f>
      </c>
      <c r="T806">
        <f>IF(ISBLANK('Data Entry'!T806), "", 'Data Entry'!T806)</f>
      </c>
      <c r="U806">
        <f>IF(ISBLANK('Data Entry'!U806), "", 'Data Entry'!U806)</f>
      </c>
      <c r="V806">
        <f>IF(ISBLANK('Data Entry'!V806), "", 'Data Entry'!V806)</f>
      </c>
      <c r="W806">
        <f>IF(ISBLANK('Data Entry'!W806), "", 'Data Entry'!W806)</f>
      </c>
      <c r="X806">
        <f>IF(ISBLANK('Data Entry'!X806), "", 'Data Entry'!X806)</f>
      </c>
      <c r="Y806">
        <f>IF(ISBLANK('Data Entry'!Y806), "", 'Data Entry'!Y806)</f>
      </c>
      <c r="Z806">
        <f>IF(ISBLANK('Data Entry'!Z806), "", 'Data Entry'!Z806)</f>
      </c>
      <c r="AA806">
        <f>IF(ISBLANK('Data Entry'![806), "", 'Data Entry'![806)</f>
      </c>
      <c r="AB806">
        <f>IF(ISBLANK('Data Entry'!\806), "", 'Data Entry'!\806)</f>
      </c>
      <c r="AC806">
        <f>IF(ISBLANK('Data Entry'!]806), "", 'Data Entry'!]806)</f>
      </c>
      <c r="AD806">
        <f>IF(ISBLANK('Data Entry'!^806), "", 'Data Entry'!^806)</f>
      </c>
      <c r="AE806">
        <f>IF(ISBLANK('Data Entry'!_806), "", 'Data Entry'!_806)</f>
      </c>
      <c r="AF806">
        <f>IF(ISBLANK('Data Entry'!`806), "", 'Data Entry'!`806)</f>
      </c>
      <c r="AG806">
        <f>IF(ISBLANK('Data Entry'!a806), "", 'Data Entry'!a806)</f>
      </c>
      <c r="AH806">
        <f>IF(ISBLANK('Data Entry'!b806), "", 'Data Entry'!b806)</f>
      </c>
      <c r="AI806">
        <f>IF(ISBLANK('Data Entry'!c806), "", 'Data Entry'!c806)</f>
      </c>
      <c r="AJ806">
        <f>IF(ISBLANK('Data Entry'!d806), "", 'Data Entry'!d806)</f>
      </c>
      <c r="AK806">
        <f>IF(ISBLANK('Data Entry'!e806), "", 'Data Entry'!e806)</f>
      </c>
      <c r="AL806">
        <f>IF(ISBLANK('Data Entry'!f806), "", 'Data Entry'!f806)</f>
      </c>
      <c r="AM806">
        <f>IF(ISBLANK('Data Entry'!g806), "", 'Data Entry'!g806)</f>
      </c>
      <c r="AN806">
        <f>IF(ISBLANK('Data Entry'!h806), "", 'Data Entry'!h806)</f>
      </c>
    </row>
    <row r="807" spans="1:40" x14ac:dyDescent="0.25">
      <c r="A807">
        <f>IF(ISBLANK('Data Entry'!A807), "", 'Data Entry'!A807)</f>
      </c>
      <c r="B807">
        <f>IF(ISBLANK('Data Entry'!B807), "", 'Data Entry'!B807)</f>
      </c>
      <c r="C807">
        <f>IF(ISBLANK('Data Entry'!C807), "", 'Data Entry'!C807)</f>
      </c>
      <c r="D807">
        <f>IF(ISBLANK('Data Entry'!D807), "", 'Data Entry'!D807)</f>
      </c>
      <c r="E807">
        <f>IF(ISBLANK('Data Entry'!E807), "", 'Data Entry'!E807)</f>
      </c>
      <c r="F807">
        <f>IF(ISBLANK('Data Entry'!F807), "", 'Data Entry'!F807)</f>
      </c>
      <c r="G807">
        <f>IF(ISBLANK('Data Entry'!G807), "", 'Data Entry'!G807)</f>
      </c>
      <c r="H807">
        <f>IF(ISBLANK('Data Entry'!H807), "", 'Data Entry'!H807)</f>
      </c>
      <c r="I807">
        <f>IF(ISBLANK('Data Entry'!I807), "", 'Data Entry'!I807)</f>
      </c>
      <c r="J807">
        <f>IF(ISBLANK('Data Entry'!J807), "", 'Data Entry'!J807)</f>
      </c>
      <c r="K807">
        <f>IF(ISBLANK('Data Entry'!K807), "", 'Data Entry'!K807)</f>
      </c>
      <c r="L807">
        <f>IF(ISBLANK('Data Entry'!L807), "", 'Data Entry'!L807)</f>
      </c>
      <c r="M807">
        <f>IF(ISBLANK('Data Entry'!M807), "", 'Data Entry'!M807)</f>
      </c>
      <c r="N807">
        <f>IF(ISBLANK('Data Entry'!N807), "", 'Data Entry'!N807)</f>
      </c>
      <c r="O807">
        <f>IF(ISBLANK('Data Entry'!O807), "", 'Data Entry'!O807)</f>
      </c>
      <c r="P807">
        <f>IF(ISBLANK('Data Entry'!P807), "", 'Data Entry'!P807)</f>
      </c>
      <c r="Q807">
        <f>IF(ISBLANK('Data Entry'!Q807), "", 'Data Entry'!Q807)</f>
      </c>
      <c r="R807">
        <f>IF(ISBLANK('Data Entry'!R807), "", 'Data Entry'!R807)</f>
      </c>
      <c r="S807">
        <f>IF(ISBLANK('Data Entry'!S807), "", 'Data Entry'!S807)</f>
      </c>
      <c r="T807">
        <f>IF(ISBLANK('Data Entry'!T807), "", 'Data Entry'!T807)</f>
      </c>
      <c r="U807">
        <f>IF(ISBLANK('Data Entry'!U807), "", 'Data Entry'!U807)</f>
      </c>
      <c r="V807">
        <f>IF(ISBLANK('Data Entry'!V807), "", 'Data Entry'!V807)</f>
      </c>
      <c r="W807">
        <f>IF(ISBLANK('Data Entry'!W807), "", 'Data Entry'!W807)</f>
      </c>
      <c r="X807">
        <f>IF(ISBLANK('Data Entry'!X807), "", 'Data Entry'!X807)</f>
      </c>
      <c r="Y807">
        <f>IF(ISBLANK('Data Entry'!Y807), "", 'Data Entry'!Y807)</f>
      </c>
      <c r="Z807">
        <f>IF(ISBLANK('Data Entry'!Z807), "", 'Data Entry'!Z807)</f>
      </c>
      <c r="AA807">
        <f>IF(ISBLANK('Data Entry'![807), "", 'Data Entry'![807)</f>
      </c>
      <c r="AB807">
        <f>IF(ISBLANK('Data Entry'!\807), "", 'Data Entry'!\807)</f>
      </c>
      <c r="AC807">
        <f>IF(ISBLANK('Data Entry'!]807), "", 'Data Entry'!]807)</f>
      </c>
      <c r="AD807">
        <f>IF(ISBLANK('Data Entry'!^807), "", 'Data Entry'!^807)</f>
      </c>
      <c r="AE807">
        <f>IF(ISBLANK('Data Entry'!_807), "", 'Data Entry'!_807)</f>
      </c>
      <c r="AF807">
        <f>IF(ISBLANK('Data Entry'!`807), "", 'Data Entry'!`807)</f>
      </c>
      <c r="AG807">
        <f>IF(ISBLANK('Data Entry'!a807), "", 'Data Entry'!a807)</f>
      </c>
      <c r="AH807">
        <f>IF(ISBLANK('Data Entry'!b807), "", 'Data Entry'!b807)</f>
      </c>
      <c r="AI807">
        <f>IF(ISBLANK('Data Entry'!c807), "", 'Data Entry'!c807)</f>
      </c>
      <c r="AJ807">
        <f>IF(ISBLANK('Data Entry'!d807), "", 'Data Entry'!d807)</f>
      </c>
      <c r="AK807">
        <f>IF(ISBLANK('Data Entry'!e807), "", 'Data Entry'!e807)</f>
      </c>
      <c r="AL807">
        <f>IF(ISBLANK('Data Entry'!f807), "", 'Data Entry'!f807)</f>
      </c>
      <c r="AM807">
        <f>IF(ISBLANK('Data Entry'!g807), "", 'Data Entry'!g807)</f>
      </c>
      <c r="AN807">
        <f>IF(ISBLANK('Data Entry'!h807), "", 'Data Entry'!h807)</f>
      </c>
    </row>
    <row r="808" spans="1:40" x14ac:dyDescent="0.25">
      <c r="A808">
        <f>IF(ISBLANK('Data Entry'!A808), "", 'Data Entry'!A808)</f>
      </c>
      <c r="B808">
        <f>IF(ISBLANK('Data Entry'!B808), "", 'Data Entry'!B808)</f>
      </c>
      <c r="C808">
        <f>IF(ISBLANK('Data Entry'!C808), "", 'Data Entry'!C808)</f>
      </c>
      <c r="D808">
        <f>IF(ISBLANK('Data Entry'!D808), "", 'Data Entry'!D808)</f>
      </c>
      <c r="E808">
        <f>IF(ISBLANK('Data Entry'!E808), "", 'Data Entry'!E808)</f>
      </c>
      <c r="F808">
        <f>IF(ISBLANK('Data Entry'!F808), "", 'Data Entry'!F808)</f>
      </c>
      <c r="G808">
        <f>IF(ISBLANK('Data Entry'!G808), "", 'Data Entry'!G808)</f>
      </c>
      <c r="H808">
        <f>IF(ISBLANK('Data Entry'!H808), "", 'Data Entry'!H808)</f>
      </c>
      <c r="I808">
        <f>IF(ISBLANK('Data Entry'!I808), "", 'Data Entry'!I808)</f>
      </c>
      <c r="J808">
        <f>IF(ISBLANK('Data Entry'!J808), "", 'Data Entry'!J808)</f>
      </c>
      <c r="K808">
        <f>IF(ISBLANK('Data Entry'!K808), "", 'Data Entry'!K808)</f>
      </c>
      <c r="L808">
        <f>IF(ISBLANK('Data Entry'!L808), "", 'Data Entry'!L808)</f>
      </c>
      <c r="M808">
        <f>IF(ISBLANK('Data Entry'!M808), "", 'Data Entry'!M808)</f>
      </c>
      <c r="N808">
        <f>IF(ISBLANK('Data Entry'!N808), "", 'Data Entry'!N808)</f>
      </c>
      <c r="O808">
        <f>IF(ISBLANK('Data Entry'!O808), "", 'Data Entry'!O808)</f>
      </c>
      <c r="P808">
        <f>IF(ISBLANK('Data Entry'!P808), "", 'Data Entry'!P808)</f>
      </c>
      <c r="Q808">
        <f>IF(ISBLANK('Data Entry'!Q808), "", 'Data Entry'!Q808)</f>
      </c>
      <c r="R808">
        <f>IF(ISBLANK('Data Entry'!R808), "", 'Data Entry'!R808)</f>
      </c>
      <c r="S808">
        <f>IF(ISBLANK('Data Entry'!S808), "", 'Data Entry'!S808)</f>
      </c>
      <c r="T808">
        <f>IF(ISBLANK('Data Entry'!T808), "", 'Data Entry'!T808)</f>
      </c>
      <c r="U808">
        <f>IF(ISBLANK('Data Entry'!U808), "", 'Data Entry'!U808)</f>
      </c>
      <c r="V808">
        <f>IF(ISBLANK('Data Entry'!V808), "", 'Data Entry'!V808)</f>
      </c>
      <c r="W808">
        <f>IF(ISBLANK('Data Entry'!W808), "", 'Data Entry'!W808)</f>
      </c>
      <c r="X808">
        <f>IF(ISBLANK('Data Entry'!X808), "", 'Data Entry'!X808)</f>
      </c>
      <c r="Y808">
        <f>IF(ISBLANK('Data Entry'!Y808), "", 'Data Entry'!Y808)</f>
      </c>
      <c r="Z808">
        <f>IF(ISBLANK('Data Entry'!Z808), "", 'Data Entry'!Z808)</f>
      </c>
      <c r="AA808">
        <f>IF(ISBLANK('Data Entry'![808), "", 'Data Entry'![808)</f>
      </c>
      <c r="AB808">
        <f>IF(ISBLANK('Data Entry'!\808), "", 'Data Entry'!\808)</f>
      </c>
      <c r="AC808">
        <f>IF(ISBLANK('Data Entry'!]808), "", 'Data Entry'!]808)</f>
      </c>
      <c r="AD808">
        <f>IF(ISBLANK('Data Entry'!^808), "", 'Data Entry'!^808)</f>
      </c>
      <c r="AE808">
        <f>IF(ISBLANK('Data Entry'!_808), "", 'Data Entry'!_808)</f>
      </c>
      <c r="AF808">
        <f>IF(ISBLANK('Data Entry'!`808), "", 'Data Entry'!`808)</f>
      </c>
      <c r="AG808">
        <f>IF(ISBLANK('Data Entry'!a808), "", 'Data Entry'!a808)</f>
      </c>
      <c r="AH808">
        <f>IF(ISBLANK('Data Entry'!b808), "", 'Data Entry'!b808)</f>
      </c>
      <c r="AI808">
        <f>IF(ISBLANK('Data Entry'!c808), "", 'Data Entry'!c808)</f>
      </c>
      <c r="AJ808">
        <f>IF(ISBLANK('Data Entry'!d808), "", 'Data Entry'!d808)</f>
      </c>
      <c r="AK808">
        <f>IF(ISBLANK('Data Entry'!e808), "", 'Data Entry'!e808)</f>
      </c>
      <c r="AL808">
        <f>IF(ISBLANK('Data Entry'!f808), "", 'Data Entry'!f808)</f>
      </c>
      <c r="AM808">
        <f>IF(ISBLANK('Data Entry'!g808), "", 'Data Entry'!g808)</f>
      </c>
      <c r="AN808">
        <f>IF(ISBLANK('Data Entry'!h808), "", 'Data Entry'!h808)</f>
      </c>
    </row>
    <row r="809" spans="1:40" x14ac:dyDescent="0.25">
      <c r="A809">
        <f>IF(ISBLANK('Data Entry'!A809), "", 'Data Entry'!A809)</f>
      </c>
      <c r="B809">
        <f>IF(ISBLANK('Data Entry'!B809), "", 'Data Entry'!B809)</f>
      </c>
      <c r="C809">
        <f>IF(ISBLANK('Data Entry'!C809), "", 'Data Entry'!C809)</f>
      </c>
      <c r="D809">
        <f>IF(ISBLANK('Data Entry'!D809), "", 'Data Entry'!D809)</f>
      </c>
      <c r="E809">
        <f>IF(ISBLANK('Data Entry'!E809), "", 'Data Entry'!E809)</f>
      </c>
      <c r="F809">
        <f>IF(ISBLANK('Data Entry'!F809), "", 'Data Entry'!F809)</f>
      </c>
      <c r="G809">
        <f>IF(ISBLANK('Data Entry'!G809), "", 'Data Entry'!G809)</f>
      </c>
      <c r="H809">
        <f>IF(ISBLANK('Data Entry'!H809), "", 'Data Entry'!H809)</f>
      </c>
      <c r="I809">
        <f>IF(ISBLANK('Data Entry'!I809), "", 'Data Entry'!I809)</f>
      </c>
      <c r="J809">
        <f>IF(ISBLANK('Data Entry'!J809), "", 'Data Entry'!J809)</f>
      </c>
      <c r="K809">
        <f>IF(ISBLANK('Data Entry'!K809), "", 'Data Entry'!K809)</f>
      </c>
      <c r="L809">
        <f>IF(ISBLANK('Data Entry'!L809), "", 'Data Entry'!L809)</f>
      </c>
      <c r="M809">
        <f>IF(ISBLANK('Data Entry'!M809), "", 'Data Entry'!M809)</f>
      </c>
      <c r="N809">
        <f>IF(ISBLANK('Data Entry'!N809), "", 'Data Entry'!N809)</f>
      </c>
      <c r="O809">
        <f>IF(ISBLANK('Data Entry'!O809), "", 'Data Entry'!O809)</f>
      </c>
      <c r="P809">
        <f>IF(ISBLANK('Data Entry'!P809), "", 'Data Entry'!P809)</f>
      </c>
      <c r="Q809">
        <f>IF(ISBLANK('Data Entry'!Q809), "", 'Data Entry'!Q809)</f>
      </c>
      <c r="R809">
        <f>IF(ISBLANK('Data Entry'!R809), "", 'Data Entry'!R809)</f>
      </c>
      <c r="S809">
        <f>IF(ISBLANK('Data Entry'!S809), "", 'Data Entry'!S809)</f>
      </c>
      <c r="T809">
        <f>IF(ISBLANK('Data Entry'!T809), "", 'Data Entry'!T809)</f>
      </c>
      <c r="U809">
        <f>IF(ISBLANK('Data Entry'!U809), "", 'Data Entry'!U809)</f>
      </c>
      <c r="V809">
        <f>IF(ISBLANK('Data Entry'!V809), "", 'Data Entry'!V809)</f>
      </c>
      <c r="W809">
        <f>IF(ISBLANK('Data Entry'!W809), "", 'Data Entry'!W809)</f>
      </c>
      <c r="X809">
        <f>IF(ISBLANK('Data Entry'!X809), "", 'Data Entry'!X809)</f>
      </c>
      <c r="Y809">
        <f>IF(ISBLANK('Data Entry'!Y809), "", 'Data Entry'!Y809)</f>
      </c>
      <c r="Z809">
        <f>IF(ISBLANK('Data Entry'!Z809), "", 'Data Entry'!Z809)</f>
      </c>
      <c r="AA809">
        <f>IF(ISBLANK('Data Entry'![809), "", 'Data Entry'![809)</f>
      </c>
      <c r="AB809">
        <f>IF(ISBLANK('Data Entry'!\809), "", 'Data Entry'!\809)</f>
      </c>
      <c r="AC809">
        <f>IF(ISBLANK('Data Entry'!]809), "", 'Data Entry'!]809)</f>
      </c>
      <c r="AD809">
        <f>IF(ISBLANK('Data Entry'!^809), "", 'Data Entry'!^809)</f>
      </c>
      <c r="AE809">
        <f>IF(ISBLANK('Data Entry'!_809), "", 'Data Entry'!_809)</f>
      </c>
      <c r="AF809">
        <f>IF(ISBLANK('Data Entry'!`809), "", 'Data Entry'!`809)</f>
      </c>
      <c r="AG809">
        <f>IF(ISBLANK('Data Entry'!a809), "", 'Data Entry'!a809)</f>
      </c>
      <c r="AH809">
        <f>IF(ISBLANK('Data Entry'!b809), "", 'Data Entry'!b809)</f>
      </c>
      <c r="AI809">
        <f>IF(ISBLANK('Data Entry'!c809), "", 'Data Entry'!c809)</f>
      </c>
      <c r="AJ809">
        <f>IF(ISBLANK('Data Entry'!d809), "", 'Data Entry'!d809)</f>
      </c>
      <c r="AK809">
        <f>IF(ISBLANK('Data Entry'!e809), "", 'Data Entry'!e809)</f>
      </c>
      <c r="AL809">
        <f>IF(ISBLANK('Data Entry'!f809), "", 'Data Entry'!f809)</f>
      </c>
      <c r="AM809">
        <f>IF(ISBLANK('Data Entry'!g809), "", 'Data Entry'!g809)</f>
      </c>
      <c r="AN809">
        <f>IF(ISBLANK('Data Entry'!h809), "", 'Data Entry'!h809)</f>
      </c>
    </row>
    <row r="810" spans="1:40" x14ac:dyDescent="0.25">
      <c r="A810">
        <f>IF(ISBLANK('Data Entry'!A810), "", 'Data Entry'!A810)</f>
      </c>
      <c r="B810">
        <f>IF(ISBLANK('Data Entry'!B810), "", 'Data Entry'!B810)</f>
      </c>
      <c r="C810">
        <f>IF(ISBLANK('Data Entry'!C810), "", 'Data Entry'!C810)</f>
      </c>
      <c r="D810">
        <f>IF(ISBLANK('Data Entry'!D810), "", 'Data Entry'!D810)</f>
      </c>
      <c r="E810">
        <f>IF(ISBLANK('Data Entry'!E810), "", 'Data Entry'!E810)</f>
      </c>
      <c r="F810">
        <f>IF(ISBLANK('Data Entry'!F810), "", 'Data Entry'!F810)</f>
      </c>
      <c r="G810">
        <f>IF(ISBLANK('Data Entry'!G810), "", 'Data Entry'!G810)</f>
      </c>
      <c r="H810">
        <f>IF(ISBLANK('Data Entry'!H810), "", 'Data Entry'!H810)</f>
      </c>
      <c r="I810">
        <f>IF(ISBLANK('Data Entry'!I810), "", 'Data Entry'!I810)</f>
      </c>
      <c r="J810">
        <f>IF(ISBLANK('Data Entry'!J810), "", 'Data Entry'!J810)</f>
      </c>
      <c r="K810">
        <f>IF(ISBLANK('Data Entry'!K810), "", 'Data Entry'!K810)</f>
      </c>
      <c r="L810">
        <f>IF(ISBLANK('Data Entry'!L810), "", 'Data Entry'!L810)</f>
      </c>
      <c r="M810">
        <f>IF(ISBLANK('Data Entry'!M810), "", 'Data Entry'!M810)</f>
      </c>
      <c r="N810">
        <f>IF(ISBLANK('Data Entry'!N810), "", 'Data Entry'!N810)</f>
      </c>
      <c r="O810">
        <f>IF(ISBLANK('Data Entry'!O810), "", 'Data Entry'!O810)</f>
      </c>
      <c r="P810">
        <f>IF(ISBLANK('Data Entry'!P810), "", 'Data Entry'!P810)</f>
      </c>
      <c r="Q810">
        <f>IF(ISBLANK('Data Entry'!Q810), "", 'Data Entry'!Q810)</f>
      </c>
      <c r="R810">
        <f>IF(ISBLANK('Data Entry'!R810), "", 'Data Entry'!R810)</f>
      </c>
      <c r="S810">
        <f>IF(ISBLANK('Data Entry'!S810), "", 'Data Entry'!S810)</f>
      </c>
      <c r="T810">
        <f>IF(ISBLANK('Data Entry'!T810), "", 'Data Entry'!T810)</f>
      </c>
      <c r="U810">
        <f>IF(ISBLANK('Data Entry'!U810), "", 'Data Entry'!U810)</f>
      </c>
      <c r="V810">
        <f>IF(ISBLANK('Data Entry'!V810), "", 'Data Entry'!V810)</f>
      </c>
      <c r="W810">
        <f>IF(ISBLANK('Data Entry'!W810), "", 'Data Entry'!W810)</f>
      </c>
      <c r="X810">
        <f>IF(ISBLANK('Data Entry'!X810), "", 'Data Entry'!X810)</f>
      </c>
      <c r="Y810">
        <f>IF(ISBLANK('Data Entry'!Y810), "", 'Data Entry'!Y810)</f>
      </c>
      <c r="Z810">
        <f>IF(ISBLANK('Data Entry'!Z810), "", 'Data Entry'!Z810)</f>
      </c>
      <c r="AA810">
        <f>IF(ISBLANK('Data Entry'![810), "", 'Data Entry'![810)</f>
      </c>
      <c r="AB810">
        <f>IF(ISBLANK('Data Entry'!\810), "", 'Data Entry'!\810)</f>
      </c>
      <c r="AC810">
        <f>IF(ISBLANK('Data Entry'!]810), "", 'Data Entry'!]810)</f>
      </c>
      <c r="AD810">
        <f>IF(ISBLANK('Data Entry'!^810), "", 'Data Entry'!^810)</f>
      </c>
      <c r="AE810">
        <f>IF(ISBLANK('Data Entry'!_810), "", 'Data Entry'!_810)</f>
      </c>
      <c r="AF810">
        <f>IF(ISBLANK('Data Entry'!`810), "", 'Data Entry'!`810)</f>
      </c>
      <c r="AG810">
        <f>IF(ISBLANK('Data Entry'!a810), "", 'Data Entry'!a810)</f>
      </c>
      <c r="AH810">
        <f>IF(ISBLANK('Data Entry'!b810), "", 'Data Entry'!b810)</f>
      </c>
      <c r="AI810">
        <f>IF(ISBLANK('Data Entry'!c810), "", 'Data Entry'!c810)</f>
      </c>
      <c r="AJ810">
        <f>IF(ISBLANK('Data Entry'!d810), "", 'Data Entry'!d810)</f>
      </c>
      <c r="AK810">
        <f>IF(ISBLANK('Data Entry'!e810), "", 'Data Entry'!e810)</f>
      </c>
      <c r="AL810">
        <f>IF(ISBLANK('Data Entry'!f810), "", 'Data Entry'!f810)</f>
      </c>
      <c r="AM810">
        <f>IF(ISBLANK('Data Entry'!g810), "", 'Data Entry'!g810)</f>
      </c>
      <c r="AN810">
        <f>IF(ISBLANK('Data Entry'!h810), "", 'Data Entry'!h810)</f>
      </c>
    </row>
    <row r="811" spans="1:40" x14ac:dyDescent="0.25">
      <c r="A811">
        <f>IF(ISBLANK('Data Entry'!A811), "", 'Data Entry'!A811)</f>
      </c>
      <c r="B811">
        <f>IF(ISBLANK('Data Entry'!B811), "", 'Data Entry'!B811)</f>
      </c>
      <c r="C811">
        <f>IF(ISBLANK('Data Entry'!C811), "", 'Data Entry'!C811)</f>
      </c>
      <c r="D811">
        <f>IF(ISBLANK('Data Entry'!D811), "", 'Data Entry'!D811)</f>
      </c>
      <c r="E811">
        <f>IF(ISBLANK('Data Entry'!E811), "", 'Data Entry'!E811)</f>
      </c>
      <c r="F811">
        <f>IF(ISBLANK('Data Entry'!F811), "", 'Data Entry'!F811)</f>
      </c>
      <c r="G811">
        <f>IF(ISBLANK('Data Entry'!G811), "", 'Data Entry'!G811)</f>
      </c>
      <c r="H811">
        <f>IF(ISBLANK('Data Entry'!H811), "", 'Data Entry'!H811)</f>
      </c>
      <c r="I811">
        <f>IF(ISBLANK('Data Entry'!I811), "", 'Data Entry'!I811)</f>
      </c>
      <c r="J811">
        <f>IF(ISBLANK('Data Entry'!J811), "", 'Data Entry'!J811)</f>
      </c>
      <c r="K811">
        <f>IF(ISBLANK('Data Entry'!K811), "", 'Data Entry'!K811)</f>
      </c>
      <c r="L811">
        <f>IF(ISBLANK('Data Entry'!L811), "", 'Data Entry'!L811)</f>
      </c>
      <c r="M811">
        <f>IF(ISBLANK('Data Entry'!M811), "", 'Data Entry'!M811)</f>
      </c>
      <c r="N811">
        <f>IF(ISBLANK('Data Entry'!N811), "", 'Data Entry'!N811)</f>
      </c>
      <c r="O811">
        <f>IF(ISBLANK('Data Entry'!O811), "", 'Data Entry'!O811)</f>
      </c>
      <c r="P811">
        <f>IF(ISBLANK('Data Entry'!P811), "", 'Data Entry'!P811)</f>
      </c>
      <c r="Q811">
        <f>IF(ISBLANK('Data Entry'!Q811), "", 'Data Entry'!Q811)</f>
      </c>
      <c r="R811">
        <f>IF(ISBLANK('Data Entry'!R811), "", 'Data Entry'!R811)</f>
      </c>
      <c r="S811">
        <f>IF(ISBLANK('Data Entry'!S811), "", 'Data Entry'!S811)</f>
      </c>
      <c r="T811">
        <f>IF(ISBLANK('Data Entry'!T811), "", 'Data Entry'!T811)</f>
      </c>
      <c r="U811">
        <f>IF(ISBLANK('Data Entry'!U811), "", 'Data Entry'!U811)</f>
      </c>
      <c r="V811">
        <f>IF(ISBLANK('Data Entry'!V811), "", 'Data Entry'!V811)</f>
      </c>
      <c r="W811">
        <f>IF(ISBLANK('Data Entry'!W811), "", 'Data Entry'!W811)</f>
      </c>
      <c r="X811">
        <f>IF(ISBLANK('Data Entry'!X811), "", 'Data Entry'!X811)</f>
      </c>
      <c r="Y811">
        <f>IF(ISBLANK('Data Entry'!Y811), "", 'Data Entry'!Y811)</f>
      </c>
      <c r="Z811">
        <f>IF(ISBLANK('Data Entry'!Z811), "", 'Data Entry'!Z811)</f>
      </c>
      <c r="AA811">
        <f>IF(ISBLANK('Data Entry'![811), "", 'Data Entry'![811)</f>
      </c>
      <c r="AB811">
        <f>IF(ISBLANK('Data Entry'!\811), "", 'Data Entry'!\811)</f>
      </c>
      <c r="AC811">
        <f>IF(ISBLANK('Data Entry'!]811), "", 'Data Entry'!]811)</f>
      </c>
      <c r="AD811">
        <f>IF(ISBLANK('Data Entry'!^811), "", 'Data Entry'!^811)</f>
      </c>
      <c r="AE811">
        <f>IF(ISBLANK('Data Entry'!_811), "", 'Data Entry'!_811)</f>
      </c>
      <c r="AF811">
        <f>IF(ISBLANK('Data Entry'!`811), "", 'Data Entry'!`811)</f>
      </c>
      <c r="AG811">
        <f>IF(ISBLANK('Data Entry'!a811), "", 'Data Entry'!a811)</f>
      </c>
      <c r="AH811">
        <f>IF(ISBLANK('Data Entry'!b811), "", 'Data Entry'!b811)</f>
      </c>
      <c r="AI811">
        <f>IF(ISBLANK('Data Entry'!c811), "", 'Data Entry'!c811)</f>
      </c>
      <c r="AJ811">
        <f>IF(ISBLANK('Data Entry'!d811), "", 'Data Entry'!d811)</f>
      </c>
      <c r="AK811">
        <f>IF(ISBLANK('Data Entry'!e811), "", 'Data Entry'!e811)</f>
      </c>
      <c r="AL811">
        <f>IF(ISBLANK('Data Entry'!f811), "", 'Data Entry'!f811)</f>
      </c>
      <c r="AM811">
        <f>IF(ISBLANK('Data Entry'!g811), "", 'Data Entry'!g811)</f>
      </c>
      <c r="AN811">
        <f>IF(ISBLANK('Data Entry'!h811), "", 'Data Entry'!h811)</f>
      </c>
    </row>
    <row r="812" spans="1:40" x14ac:dyDescent="0.25">
      <c r="A812">
        <f>IF(ISBLANK('Data Entry'!A812), "", 'Data Entry'!A812)</f>
      </c>
      <c r="B812">
        <f>IF(ISBLANK('Data Entry'!B812), "", 'Data Entry'!B812)</f>
      </c>
      <c r="C812">
        <f>IF(ISBLANK('Data Entry'!C812), "", 'Data Entry'!C812)</f>
      </c>
      <c r="D812">
        <f>IF(ISBLANK('Data Entry'!D812), "", 'Data Entry'!D812)</f>
      </c>
      <c r="E812">
        <f>IF(ISBLANK('Data Entry'!E812), "", 'Data Entry'!E812)</f>
      </c>
      <c r="F812">
        <f>IF(ISBLANK('Data Entry'!F812), "", 'Data Entry'!F812)</f>
      </c>
      <c r="G812">
        <f>IF(ISBLANK('Data Entry'!G812), "", 'Data Entry'!G812)</f>
      </c>
      <c r="H812">
        <f>IF(ISBLANK('Data Entry'!H812), "", 'Data Entry'!H812)</f>
      </c>
      <c r="I812">
        <f>IF(ISBLANK('Data Entry'!I812), "", 'Data Entry'!I812)</f>
      </c>
      <c r="J812">
        <f>IF(ISBLANK('Data Entry'!J812), "", 'Data Entry'!J812)</f>
      </c>
      <c r="K812">
        <f>IF(ISBLANK('Data Entry'!K812), "", 'Data Entry'!K812)</f>
      </c>
      <c r="L812">
        <f>IF(ISBLANK('Data Entry'!L812), "", 'Data Entry'!L812)</f>
      </c>
      <c r="M812">
        <f>IF(ISBLANK('Data Entry'!M812), "", 'Data Entry'!M812)</f>
      </c>
      <c r="N812">
        <f>IF(ISBLANK('Data Entry'!N812), "", 'Data Entry'!N812)</f>
      </c>
      <c r="O812">
        <f>IF(ISBLANK('Data Entry'!O812), "", 'Data Entry'!O812)</f>
      </c>
      <c r="P812">
        <f>IF(ISBLANK('Data Entry'!P812), "", 'Data Entry'!P812)</f>
      </c>
      <c r="Q812">
        <f>IF(ISBLANK('Data Entry'!Q812), "", 'Data Entry'!Q812)</f>
      </c>
      <c r="R812">
        <f>IF(ISBLANK('Data Entry'!R812), "", 'Data Entry'!R812)</f>
      </c>
      <c r="S812">
        <f>IF(ISBLANK('Data Entry'!S812), "", 'Data Entry'!S812)</f>
      </c>
      <c r="T812">
        <f>IF(ISBLANK('Data Entry'!T812), "", 'Data Entry'!T812)</f>
      </c>
      <c r="U812">
        <f>IF(ISBLANK('Data Entry'!U812), "", 'Data Entry'!U812)</f>
      </c>
      <c r="V812">
        <f>IF(ISBLANK('Data Entry'!V812), "", 'Data Entry'!V812)</f>
      </c>
      <c r="W812">
        <f>IF(ISBLANK('Data Entry'!W812), "", 'Data Entry'!W812)</f>
      </c>
      <c r="X812">
        <f>IF(ISBLANK('Data Entry'!X812), "", 'Data Entry'!X812)</f>
      </c>
      <c r="Y812">
        <f>IF(ISBLANK('Data Entry'!Y812), "", 'Data Entry'!Y812)</f>
      </c>
      <c r="Z812">
        <f>IF(ISBLANK('Data Entry'!Z812), "", 'Data Entry'!Z812)</f>
      </c>
      <c r="AA812">
        <f>IF(ISBLANK('Data Entry'![812), "", 'Data Entry'![812)</f>
      </c>
      <c r="AB812">
        <f>IF(ISBLANK('Data Entry'!\812), "", 'Data Entry'!\812)</f>
      </c>
      <c r="AC812">
        <f>IF(ISBLANK('Data Entry'!]812), "", 'Data Entry'!]812)</f>
      </c>
      <c r="AD812">
        <f>IF(ISBLANK('Data Entry'!^812), "", 'Data Entry'!^812)</f>
      </c>
      <c r="AE812">
        <f>IF(ISBLANK('Data Entry'!_812), "", 'Data Entry'!_812)</f>
      </c>
      <c r="AF812">
        <f>IF(ISBLANK('Data Entry'!`812), "", 'Data Entry'!`812)</f>
      </c>
      <c r="AG812">
        <f>IF(ISBLANK('Data Entry'!a812), "", 'Data Entry'!a812)</f>
      </c>
      <c r="AH812">
        <f>IF(ISBLANK('Data Entry'!b812), "", 'Data Entry'!b812)</f>
      </c>
      <c r="AI812">
        <f>IF(ISBLANK('Data Entry'!c812), "", 'Data Entry'!c812)</f>
      </c>
      <c r="AJ812">
        <f>IF(ISBLANK('Data Entry'!d812), "", 'Data Entry'!d812)</f>
      </c>
      <c r="AK812">
        <f>IF(ISBLANK('Data Entry'!e812), "", 'Data Entry'!e812)</f>
      </c>
      <c r="AL812">
        <f>IF(ISBLANK('Data Entry'!f812), "", 'Data Entry'!f812)</f>
      </c>
      <c r="AM812">
        <f>IF(ISBLANK('Data Entry'!g812), "", 'Data Entry'!g812)</f>
      </c>
      <c r="AN812">
        <f>IF(ISBLANK('Data Entry'!h812), "", 'Data Entry'!h812)</f>
      </c>
    </row>
    <row r="813" spans="1:40" x14ac:dyDescent="0.25">
      <c r="A813">
        <f>IF(ISBLANK('Data Entry'!A813), "", 'Data Entry'!A813)</f>
      </c>
      <c r="B813">
        <f>IF(ISBLANK('Data Entry'!B813), "", 'Data Entry'!B813)</f>
      </c>
      <c r="C813">
        <f>IF(ISBLANK('Data Entry'!C813), "", 'Data Entry'!C813)</f>
      </c>
      <c r="D813">
        <f>IF(ISBLANK('Data Entry'!D813), "", 'Data Entry'!D813)</f>
      </c>
      <c r="E813">
        <f>IF(ISBLANK('Data Entry'!E813), "", 'Data Entry'!E813)</f>
      </c>
      <c r="F813">
        <f>IF(ISBLANK('Data Entry'!F813), "", 'Data Entry'!F813)</f>
      </c>
      <c r="G813">
        <f>IF(ISBLANK('Data Entry'!G813), "", 'Data Entry'!G813)</f>
      </c>
      <c r="H813">
        <f>IF(ISBLANK('Data Entry'!H813), "", 'Data Entry'!H813)</f>
      </c>
      <c r="I813">
        <f>IF(ISBLANK('Data Entry'!I813), "", 'Data Entry'!I813)</f>
      </c>
      <c r="J813">
        <f>IF(ISBLANK('Data Entry'!J813), "", 'Data Entry'!J813)</f>
      </c>
      <c r="K813">
        <f>IF(ISBLANK('Data Entry'!K813), "", 'Data Entry'!K813)</f>
      </c>
      <c r="L813">
        <f>IF(ISBLANK('Data Entry'!L813), "", 'Data Entry'!L813)</f>
      </c>
      <c r="M813">
        <f>IF(ISBLANK('Data Entry'!M813), "", 'Data Entry'!M813)</f>
      </c>
      <c r="N813">
        <f>IF(ISBLANK('Data Entry'!N813), "", 'Data Entry'!N813)</f>
      </c>
      <c r="O813">
        <f>IF(ISBLANK('Data Entry'!O813), "", 'Data Entry'!O813)</f>
      </c>
      <c r="P813">
        <f>IF(ISBLANK('Data Entry'!P813), "", 'Data Entry'!P813)</f>
      </c>
      <c r="Q813">
        <f>IF(ISBLANK('Data Entry'!Q813), "", 'Data Entry'!Q813)</f>
      </c>
      <c r="R813">
        <f>IF(ISBLANK('Data Entry'!R813), "", 'Data Entry'!R813)</f>
      </c>
      <c r="S813">
        <f>IF(ISBLANK('Data Entry'!S813), "", 'Data Entry'!S813)</f>
      </c>
      <c r="T813">
        <f>IF(ISBLANK('Data Entry'!T813), "", 'Data Entry'!T813)</f>
      </c>
      <c r="U813">
        <f>IF(ISBLANK('Data Entry'!U813), "", 'Data Entry'!U813)</f>
      </c>
      <c r="V813">
        <f>IF(ISBLANK('Data Entry'!V813), "", 'Data Entry'!V813)</f>
      </c>
      <c r="W813">
        <f>IF(ISBLANK('Data Entry'!W813), "", 'Data Entry'!W813)</f>
      </c>
      <c r="X813">
        <f>IF(ISBLANK('Data Entry'!X813), "", 'Data Entry'!X813)</f>
      </c>
      <c r="Y813">
        <f>IF(ISBLANK('Data Entry'!Y813), "", 'Data Entry'!Y813)</f>
      </c>
      <c r="Z813">
        <f>IF(ISBLANK('Data Entry'!Z813), "", 'Data Entry'!Z813)</f>
      </c>
      <c r="AA813">
        <f>IF(ISBLANK('Data Entry'![813), "", 'Data Entry'![813)</f>
      </c>
      <c r="AB813">
        <f>IF(ISBLANK('Data Entry'!\813), "", 'Data Entry'!\813)</f>
      </c>
      <c r="AC813">
        <f>IF(ISBLANK('Data Entry'!]813), "", 'Data Entry'!]813)</f>
      </c>
      <c r="AD813">
        <f>IF(ISBLANK('Data Entry'!^813), "", 'Data Entry'!^813)</f>
      </c>
      <c r="AE813">
        <f>IF(ISBLANK('Data Entry'!_813), "", 'Data Entry'!_813)</f>
      </c>
      <c r="AF813">
        <f>IF(ISBLANK('Data Entry'!`813), "", 'Data Entry'!`813)</f>
      </c>
      <c r="AG813">
        <f>IF(ISBLANK('Data Entry'!a813), "", 'Data Entry'!a813)</f>
      </c>
      <c r="AH813">
        <f>IF(ISBLANK('Data Entry'!b813), "", 'Data Entry'!b813)</f>
      </c>
      <c r="AI813">
        <f>IF(ISBLANK('Data Entry'!c813), "", 'Data Entry'!c813)</f>
      </c>
      <c r="AJ813">
        <f>IF(ISBLANK('Data Entry'!d813), "", 'Data Entry'!d813)</f>
      </c>
      <c r="AK813">
        <f>IF(ISBLANK('Data Entry'!e813), "", 'Data Entry'!e813)</f>
      </c>
      <c r="AL813">
        <f>IF(ISBLANK('Data Entry'!f813), "", 'Data Entry'!f813)</f>
      </c>
      <c r="AM813">
        <f>IF(ISBLANK('Data Entry'!g813), "", 'Data Entry'!g813)</f>
      </c>
      <c r="AN813">
        <f>IF(ISBLANK('Data Entry'!h813), "", 'Data Entry'!h813)</f>
      </c>
    </row>
    <row r="814" spans="1:40" x14ac:dyDescent="0.25">
      <c r="A814">
        <f>IF(ISBLANK('Data Entry'!A814), "", 'Data Entry'!A814)</f>
      </c>
      <c r="B814">
        <f>IF(ISBLANK('Data Entry'!B814), "", 'Data Entry'!B814)</f>
      </c>
      <c r="C814">
        <f>IF(ISBLANK('Data Entry'!C814), "", 'Data Entry'!C814)</f>
      </c>
      <c r="D814">
        <f>IF(ISBLANK('Data Entry'!D814), "", 'Data Entry'!D814)</f>
      </c>
      <c r="E814">
        <f>IF(ISBLANK('Data Entry'!E814), "", 'Data Entry'!E814)</f>
      </c>
      <c r="F814">
        <f>IF(ISBLANK('Data Entry'!F814), "", 'Data Entry'!F814)</f>
      </c>
      <c r="G814">
        <f>IF(ISBLANK('Data Entry'!G814), "", 'Data Entry'!G814)</f>
      </c>
      <c r="H814">
        <f>IF(ISBLANK('Data Entry'!H814), "", 'Data Entry'!H814)</f>
      </c>
      <c r="I814">
        <f>IF(ISBLANK('Data Entry'!I814), "", 'Data Entry'!I814)</f>
      </c>
      <c r="J814">
        <f>IF(ISBLANK('Data Entry'!J814), "", 'Data Entry'!J814)</f>
      </c>
      <c r="K814">
        <f>IF(ISBLANK('Data Entry'!K814), "", 'Data Entry'!K814)</f>
      </c>
      <c r="L814">
        <f>IF(ISBLANK('Data Entry'!L814), "", 'Data Entry'!L814)</f>
      </c>
      <c r="M814">
        <f>IF(ISBLANK('Data Entry'!M814), "", 'Data Entry'!M814)</f>
      </c>
      <c r="N814">
        <f>IF(ISBLANK('Data Entry'!N814), "", 'Data Entry'!N814)</f>
      </c>
      <c r="O814">
        <f>IF(ISBLANK('Data Entry'!O814), "", 'Data Entry'!O814)</f>
      </c>
      <c r="P814">
        <f>IF(ISBLANK('Data Entry'!P814), "", 'Data Entry'!P814)</f>
      </c>
      <c r="Q814">
        <f>IF(ISBLANK('Data Entry'!Q814), "", 'Data Entry'!Q814)</f>
      </c>
      <c r="R814">
        <f>IF(ISBLANK('Data Entry'!R814), "", 'Data Entry'!R814)</f>
      </c>
      <c r="S814">
        <f>IF(ISBLANK('Data Entry'!S814), "", 'Data Entry'!S814)</f>
      </c>
      <c r="T814">
        <f>IF(ISBLANK('Data Entry'!T814), "", 'Data Entry'!T814)</f>
      </c>
      <c r="U814">
        <f>IF(ISBLANK('Data Entry'!U814), "", 'Data Entry'!U814)</f>
      </c>
      <c r="V814">
        <f>IF(ISBLANK('Data Entry'!V814), "", 'Data Entry'!V814)</f>
      </c>
      <c r="W814">
        <f>IF(ISBLANK('Data Entry'!W814), "", 'Data Entry'!W814)</f>
      </c>
      <c r="X814">
        <f>IF(ISBLANK('Data Entry'!X814), "", 'Data Entry'!X814)</f>
      </c>
      <c r="Y814">
        <f>IF(ISBLANK('Data Entry'!Y814), "", 'Data Entry'!Y814)</f>
      </c>
      <c r="Z814">
        <f>IF(ISBLANK('Data Entry'!Z814), "", 'Data Entry'!Z814)</f>
      </c>
      <c r="AA814">
        <f>IF(ISBLANK('Data Entry'![814), "", 'Data Entry'![814)</f>
      </c>
      <c r="AB814">
        <f>IF(ISBLANK('Data Entry'!\814), "", 'Data Entry'!\814)</f>
      </c>
      <c r="AC814">
        <f>IF(ISBLANK('Data Entry'!]814), "", 'Data Entry'!]814)</f>
      </c>
      <c r="AD814">
        <f>IF(ISBLANK('Data Entry'!^814), "", 'Data Entry'!^814)</f>
      </c>
      <c r="AE814">
        <f>IF(ISBLANK('Data Entry'!_814), "", 'Data Entry'!_814)</f>
      </c>
      <c r="AF814">
        <f>IF(ISBLANK('Data Entry'!`814), "", 'Data Entry'!`814)</f>
      </c>
      <c r="AG814">
        <f>IF(ISBLANK('Data Entry'!a814), "", 'Data Entry'!a814)</f>
      </c>
      <c r="AH814">
        <f>IF(ISBLANK('Data Entry'!b814), "", 'Data Entry'!b814)</f>
      </c>
      <c r="AI814">
        <f>IF(ISBLANK('Data Entry'!c814), "", 'Data Entry'!c814)</f>
      </c>
      <c r="AJ814">
        <f>IF(ISBLANK('Data Entry'!d814), "", 'Data Entry'!d814)</f>
      </c>
      <c r="AK814">
        <f>IF(ISBLANK('Data Entry'!e814), "", 'Data Entry'!e814)</f>
      </c>
      <c r="AL814">
        <f>IF(ISBLANK('Data Entry'!f814), "", 'Data Entry'!f814)</f>
      </c>
      <c r="AM814">
        <f>IF(ISBLANK('Data Entry'!g814), "", 'Data Entry'!g814)</f>
      </c>
      <c r="AN814">
        <f>IF(ISBLANK('Data Entry'!h814), "", 'Data Entry'!h814)</f>
      </c>
    </row>
    <row r="815" spans="1:40" x14ac:dyDescent="0.25">
      <c r="A815">
        <f>IF(ISBLANK('Data Entry'!A815), "", 'Data Entry'!A815)</f>
      </c>
      <c r="B815">
        <f>IF(ISBLANK('Data Entry'!B815), "", 'Data Entry'!B815)</f>
      </c>
      <c r="C815">
        <f>IF(ISBLANK('Data Entry'!C815), "", 'Data Entry'!C815)</f>
      </c>
      <c r="D815">
        <f>IF(ISBLANK('Data Entry'!D815), "", 'Data Entry'!D815)</f>
      </c>
      <c r="E815">
        <f>IF(ISBLANK('Data Entry'!E815), "", 'Data Entry'!E815)</f>
      </c>
      <c r="F815">
        <f>IF(ISBLANK('Data Entry'!F815), "", 'Data Entry'!F815)</f>
      </c>
      <c r="G815">
        <f>IF(ISBLANK('Data Entry'!G815), "", 'Data Entry'!G815)</f>
      </c>
      <c r="H815">
        <f>IF(ISBLANK('Data Entry'!H815), "", 'Data Entry'!H815)</f>
      </c>
      <c r="I815">
        <f>IF(ISBLANK('Data Entry'!I815), "", 'Data Entry'!I815)</f>
      </c>
      <c r="J815">
        <f>IF(ISBLANK('Data Entry'!J815), "", 'Data Entry'!J815)</f>
      </c>
      <c r="K815">
        <f>IF(ISBLANK('Data Entry'!K815), "", 'Data Entry'!K815)</f>
      </c>
      <c r="L815">
        <f>IF(ISBLANK('Data Entry'!L815), "", 'Data Entry'!L815)</f>
      </c>
      <c r="M815">
        <f>IF(ISBLANK('Data Entry'!M815), "", 'Data Entry'!M815)</f>
      </c>
      <c r="N815">
        <f>IF(ISBLANK('Data Entry'!N815), "", 'Data Entry'!N815)</f>
      </c>
      <c r="O815">
        <f>IF(ISBLANK('Data Entry'!O815), "", 'Data Entry'!O815)</f>
      </c>
      <c r="P815">
        <f>IF(ISBLANK('Data Entry'!P815), "", 'Data Entry'!P815)</f>
      </c>
      <c r="Q815">
        <f>IF(ISBLANK('Data Entry'!Q815), "", 'Data Entry'!Q815)</f>
      </c>
      <c r="R815">
        <f>IF(ISBLANK('Data Entry'!R815), "", 'Data Entry'!R815)</f>
      </c>
      <c r="S815">
        <f>IF(ISBLANK('Data Entry'!S815), "", 'Data Entry'!S815)</f>
      </c>
      <c r="T815">
        <f>IF(ISBLANK('Data Entry'!T815), "", 'Data Entry'!T815)</f>
      </c>
      <c r="U815">
        <f>IF(ISBLANK('Data Entry'!U815), "", 'Data Entry'!U815)</f>
      </c>
      <c r="V815">
        <f>IF(ISBLANK('Data Entry'!V815), "", 'Data Entry'!V815)</f>
      </c>
      <c r="W815">
        <f>IF(ISBLANK('Data Entry'!W815), "", 'Data Entry'!W815)</f>
      </c>
      <c r="X815">
        <f>IF(ISBLANK('Data Entry'!X815), "", 'Data Entry'!X815)</f>
      </c>
      <c r="Y815">
        <f>IF(ISBLANK('Data Entry'!Y815), "", 'Data Entry'!Y815)</f>
      </c>
      <c r="Z815">
        <f>IF(ISBLANK('Data Entry'!Z815), "", 'Data Entry'!Z815)</f>
      </c>
      <c r="AA815">
        <f>IF(ISBLANK('Data Entry'![815), "", 'Data Entry'![815)</f>
      </c>
      <c r="AB815">
        <f>IF(ISBLANK('Data Entry'!\815), "", 'Data Entry'!\815)</f>
      </c>
      <c r="AC815">
        <f>IF(ISBLANK('Data Entry'!]815), "", 'Data Entry'!]815)</f>
      </c>
      <c r="AD815">
        <f>IF(ISBLANK('Data Entry'!^815), "", 'Data Entry'!^815)</f>
      </c>
      <c r="AE815">
        <f>IF(ISBLANK('Data Entry'!_815), "", 'Data Entry'!_815)</f>
      </c>
      <c r="AF815">
        <f>IF(ISBLANK('Data Entry'!`815), "", 'Data Entry'!`815)</f>
      </c>
      <c r="AG815">
        <f>IF(ISBLANK('Data Entry'!a815), "", 'Data Entry'!a815)</f>
      </c>
      <c r="AH815">
        <f>IF(ISBLANK('Data Entry'!b815), "", 'Data Entry'!b815)</f>
      </c>
      <c r="AI815">
        <f>IF(ISBLANK('Data Entry'!c815), "", 'Data Entry'!c815)</f>
      </c>
      <c r="AJ815">
        <f>IF(ISBLANK('Data Entry'!d815), "", 'Data Entry'!d815)</f>
      </c>
      <c r="AK815">
        <f>IF(ISBLANK('Data Entry'!e815), "", 'Data Entry'!e815)</f>
      </c>
      <c r="AL815">
        <f>IF(ISBLANK('Data Entry'!f815), "", 'Data Entry'!f815)</f>
      </c>
      <c r="AM815">
        <f>IF(ISBLANK('Data Entry'!g815), "", 'Data Entry'!g815)</f>
      </c>
      <c r="AN815">
        <f>IF(ISBLANK('Data Entry'!h815), "", 'Data Entry'!h815)</f>
      </c>
    </row>
    <row r="816" spans="1:40" x14ac:dyDescent="0.25">
      <c r="A816">
        <f>IF(ISBLANK('Data Entry'!A816), "", 'Data Entry'!A816)</f>
      </c>
      <c r="B816">
        <f>IF(ISBLANK('Data Entry'!B816), "", 'Data Entry'!B816)</f>
      </c>
      <c r="C816">
        <f>IF(ISBLANK('Data Entry'!C816), "", 'Data Entry'!C816)</f>
      </c>
      <c r="D816">
        <f>IF(ISBLANK('Data Entry'!D816), "", 'Data Entry'!D816)</f>
      </c>
      <c r="E816">
        <f>IF(ISBLANK('Data Entry'!E816), "", 'Data Entry'!E816)</f>
      </c>
      <c r="F816">
        <f>IF(ISBLANK('Data Entry'!F816), "", 'Data Entry'!F816)</f>
      </c>
      <c r="G816">
        <f>IF(ISBLANK('Data Entry'!G816), "", 'Data Entry'!G816)</f>
      </c>
      <c r="H816">
        <f>IF(ISBLANK('Data Entry'!H816), "", 'Data Entry'!H816)</f>
      </c>
      <c r="I816">
        <f>IF(ISBLANK('Data Entry'!I816), "", 'Data Entry'!I816)</f>
      </c>
      <c r="J816">
        <f>IF(ISBLANK('Data Entry'!J816), "", 'Data Entry'!J816)</f>
      </c>
      <c r="K816">
        <f>IF(ISBLANK('Data Entry'!K816), "", 'Data Entry'!K816)</f>
      </c>
      <c r="L816">
        <f>IF(ISBLANK('Data Entry'!L816), "", 'Data Entry'!L816)</f>
      </c>
      <c r="M816">
        <f>IF(ISBLANK('Data Entry'!M816), "", 'Data Entry'!M816)</f>
      </c>
      <c r="N816">
        <f>IF(ISBLANK('Data Entry'!N816), "", 'Data Entry'!N816)</f>
      </c>
      <c r="O816">
        <f>IF(ISBLANK('Data Entry'!O816), "", 'Data Entry'!O816)</f>
      </c>
      <c r="P816">
        <f>IF(ISBLANK('Data Entry'!P816), "", 'Data Entry'!P816)</f>
      </c>
      <c r="Q816">
        <f>IF(ISBLANK('Data Entry'!Q816), "", 'Data Entry'!Q816)</f>
      </c>
      <c r="R816">
        <f>IF(ISBLANK('Data Entry'!R816), "", 'Data Entry'!R816)</f>
      </c>
      <c r="S816">
        <f>IF(ISBLANK('Data Entry'!S816), "", 'Data Entry'!S816)</f>
      </c>
      <c r="T816">
        <f>IF(ISBLANK('Data Entry'!T816), "", 'Data Entry'!T816)</f>
      </c>
      <c r="U816">
        <f>IF(ISBLANK('Data Entry'!U816), "", 'Data Entry'!U816)</f>
      </c>
      <c r="V816">
        <f>IF(ISBLANK('Data Entry'!V816), "", 'Data Entry'!V816)</f>
      </c>
      <c r="W816">
        <f>IF(ISBLANK('Data Entry'!W816), "", 'Data Entry'!W816)</f>
      </c>
      <c r="X816">
        <f>IF(ISBLANK('Data Entry'!X816), "", 'Data Entry'!X816)</f>
      </c>
      <c r="Y816">
        <f>IF(ISBLANK('Data Entry'!Y816), "", 'Data Entry'!Y816)</f>
      </c>
      <c r="Z816">
        <f>IF(ISBLANK('Data Entry'!Z816), "", 'Data Entry'!Z816)</f>
      </c>
      <c r="AA816">
        <f>IF(ISBLANK('Data Entry'![816), "", 'Data Entry'![816)</f>
      </c>
      <c r="AB816">
        <f>IF(ISBLANK('Data Entry'!\816), "", 'Data Entry'!\816)</f>
      </c>
      <c r="AC816">
        <f>IF(ISBLANK('Data Entry'!]816), "", 'Data Entry'!]816)</f>
      </c>
      <c r="AD816">
        <f>IF(ISBLANK('Data Entry'!^816), "", 'Data Entry'!^816)</f>
      </c>
      <c r="AE816">
        <f>IF(ISBLANK('Data Entry'!_816), "", 'Data Entry'!_816)</f>
      </c>
      <c r="AF816">
        <f>IF(ISBLANK('Data Entry'!`816), "", 'Data Entry'!`816)</f>
      </c>
      <c r="AG816">
        <f>IF(ISBLANK('Data Entry'!a816), "", 'Data Entry'!a816)</f>
      </c>
      <c r="AH816">
        <f>IF(ISBLANK('Data Entry'!b816), "", 'Data Entry'!b816)</f>
      </c>
      <c r="AI816">
        <f>IF(ISBLANK('Data Entry'!c816), "", 'Data Entry'!c816)</f>
      </c>
      <c r="AJ816">
        <f>IF(ISBLANK('Data Entry'!d816), "", 'Data Entry'!d816)</f>
      </c>
      <c r="AK816">
        <f>IF(ISBLANK('Data Entry'!e816), "", 'Data Entry'!e816)</f>
      </c>
      <c r="AL816">
        <f>IF(ISBLANK('Data Entry'!f816), "", 'Data Entry'!f816)</f>
      </c>
      <c r="AM816">
        <f>IF(ISBLANK('Data Entry'!g816), "", 'Data Entry'!g816)</f>
      </c>
      <c r="AN816">
        <f>IF(ISBLANK('Data Entry'!h816), "", 'Data Entry'!h816)</f>
      </c>
    </row>
    <row r="817" spans="1:40" x14ac:dyDescent="0.25">
      <c r="A817">
        <f>IF(ISBLANK('Data Entry'!A817), "", 'Data Entry'!A817)</f>
      </c>
      <c r="B817">
        <f>IF(ISBLANK('Data Entry'!B817), "", 'Data Entry'!B817)</f>
      </c>
      <c r="C817">
        <f>IF(ISBLANK('Data Entry'!C817), "", 'Data Entry'!C817)</f>
      </c>
      <c r="D817">
        <f>IF(ISBLANK('Data Entry'!D817), "", 'Data Entry'!D817)</f>
      </c>
      <c r="E817">
        <f>IF(ISBLANK('Data Entry'!E817), "", 'Data Entry'!E817)</f>
      </c>
      <c r="F817">
        <f>IF(ISBLANK('Data Entry'!F817), "", 'Data Entry'!F817)</f>
      </c>
      <c r="G817">
        <f>IF(ISBLANK('Data Entry'!G817), "", 'Data Entry'!G817)</f>
      </c>
      <c r="H817">
        <f>IF(ISBLANK('Data Entry'!H817), "", 'Data Entry'!H817)</f>
      </c>
      <c r="I817">
        <f>IF(ISBLANK('Data Entry'!I817), "", 'Data Entry'!I817)</f>
      </c>
      <c r="J817">
        <f>IF(ISBLANK('Data Entry'!J817), "", 'Data Entry'!J817)</f>
      </c>
      <c r="K817">
        <f>IF(ISBLANK('Data Entry'!K817), "", 'Data Entry'!K817)</f>
      </c>
      <c r="L817">
        <f>IF(ISBLANK('Data Entry'!L817), "", 'Data Entry'!L817)</f>
      </c>
      <c r="M817">
        <f>IF(ISBLANK('Data Entry'!M817), "", 'Data Entry'!M817)</f>
      </c>
      <c r="N817">
        <f>IF(ISBLANK('Data Entry'!N817), "", 'Data Entry'!N817)</f>
      </c>
      <c r="O817">
        <f>IF(ISBLANK('Data Entry'!O817), "", 'Data Entry'!O817)</f>
      </c>
      <c r="P817">
        <f>IF(ISBLANK('Data Entry'!P817), "", 'Data Entry'!P817)</f>
      </c>
      <c r="Q817">
        <f>IF(ISBLANK('Data Entry'!Q817), "", 'Data Entry'!Q817)</f>
      </c>
      <c r="R817">
        <f>IF(ISBLANK('Data Entry'!R817), "", 'Data Entry'!R817)</f>
      </c>
      <c r="S817">
        <f>IF(ISBLANK('Data Entry'!S817), "", 'Data Entry'!S817)</f>
      </c>
      <c r="T817">
        <f>IF(ISBLANK('Data Entry'!T817), "", 'Data Entry'!T817)</f>
      </c>
      <c r="U817">
        <f>IF(ISBLANK('Data Entry'!U817), "", 'Data Entry'!U817)</f>
      </c>
      <c r="V817">
        <f>IF(ISBLANK('Data Entry'!V817), "", 'Data Entry'!V817)</f>
      </c>
      <c r="W817">
        <f>IF(ISBLANK('Data Entry'!W817), "", 'Data Entry'!W817)</f>
      </c>
      <c r="X817">
        <f>IF(ISBLANK('Data Entry'!X817), "", 'Data Entry'!X817)</f>
      </c>
      <c r="Y817">
        <f>IF(ISBLANK('Data Entry'!Y817), "", 'Data Entry'!Y817)</f>
      </c>
      <c r="Z817">
        <f>IF(ISBLANK('Data Entry'!Z817), "", 'Data Entry'!Z817)</f>
      </c>
      <c r="AA817">
        <f>IF(ISBLANK('Data Entry'![817), "", 'Data Entry'![817)</f>
      </c>
      <c r="AB817">
        <f>IF(ISBLANK('Data Entry'!\817), "", 'Data Entry'!\817)</f>
      </c>
      <c r="AC817">
        <f>IF(ISBLANK('Data Entry'!]817), "", 'Data Entry'!]817)</f>
      </c>
      <c r="AD817">
        <f>IF(ISBLANK('Data Entry'!^817), "", 'Data Entry'!^817)</f>
      </c>
      <c r="AE817">
        <f>IF(ISBLANK('Data Entry'!_817), "", 'Data Entry'!_817)</f>
      </c>
      <c r="AF817">
        <f>IF(ISBLANK('Data Entry'!`817), "", 'Data Entry'!`817)</f>
      </c>
      <c r="AG817">
        <f>IF(ISBLANK('Data Entry'!a817), "", 'Data Entry'!a817)</f>
      </c>
      <c r="AH817">
        <f>IF(ISBLANK('Data Entry'!b817), "", 'Data Entry'!b817)</f>
      </c>
      <c r="AI817">
        <f>IF(ISBLANK('Data Entry'!c817), "", 'Data Entry'!c817)</f>
      </c>
      <c r="AJ817">
        <f>IF(ISBLANK('Data Entry'!d817), "", 'Data Entry'!d817)</f>
      </c>
      <c r="AK817">
        <f>IF(ISBLANK('Data Entry'!e817), "", 'Data Entry'!e817)</f>
      </c>
      <c r="AL817">
        <f>IF(ISBLANK('Data Entry'!f817), "", 'Data Entry'!f817)</f>
      </c>
      <c r="AM817">
        <f>IF(ISBLANK('Data Entry'!g817), "", 'Data Entry'!g817)</f>
      </c>
      <c r="AN817">
        <f>IF(ISBLANK('Data Entry'!h817), "", 'Data Entry'!h817)</f>
      </c>
    </row>
    <row r="818" spans="1:40" x14ac:dyDescent="0.25">
      <c r="A818">
        <f>IF(ISBLANK('Data Entry'!A818), "", 'Data Entry'!A818)</f>
      </c>
      <c r="B818">
        <f>IF(ISBLANK('Data Entry'!B818), "", 'Data Entry'!B818)</f>
      </c>
      <c r="C818">
        <f>IF(ISBLANK('Data Entry'!C818), "", 'Data Entry'!C818)</f>
      </c>
      <c r="D818">
        <f>IF(ISBLANK('Data Entry'!D818), "", 'Data Entry'!D818)</f>
      </c>
      <c r="E818">
        <f>IF(ISBLANK('Data Entry'!E818), "", 'Data Entry'!E818)</f>
      </c>
      <c r="F818">
        <f>IF(ISBLANK('Data Entry'!F818), "", 'Data Entry'!F818)</f>
      </c>
      <c r="G818">
        <f>IF(ISBLANK('Data Entry'!G818), "", 'Data Entry'!G818)</f>
      </c>
      <c r="H818">
        <f>IF(ISBLANK('Data Entry'!H818), "", 'Data Entry'!H818)</f>
      </c>
      <c r="I818">
        <f>IF(ISBLANK('Data Entry'!I818), "", 'Data Entry'!I818)</f>
      </c>
      <c r="J818">
        <f>IF(ISBLANK('Data Entry'!J818), "", 'Data Entry'!J818)</f>
      </c>
      <c r="K818">
        <f>IF(ISBLANK('Data Entry'!K818), "", 'Data Entry'!K818)</f>
      </c>
      <c r="L818">
        <f>IF(ISBLANK('Data Entry'!L818), "", 'Data Entry'!L818)</f>
      </c>
      <c r="M818">
        <f>IF(ISBLANK('Data Entry'!M818), "", 'Data Entry'!M818)</f>
      </c>
      <c r="N818">
        <f>IF(ISBLANK('Data Entry'!N818), "", 'Data Entry'!N818)</f>
      </c>
      <c r="O818">
        <f>IF(ISBLANK('Data Entry'!O818), "", 'Data Entry'!O818)</f>
      </c>
      <c r="P818">
        <f>IF(ISBLANK('Data Entry'!P818), "", 'Data Entry'!P818)</f>
      </c>
      <c r="Q818">
        <f>IF(ISBLANK('Data Entry'!Q818), "", 'Data Entry'!Q818)</f>
      </c>
      <c r="R818">
        <f>IF(ISBLANK('Data Entry'!R818), "", 'Data Entry'!R818)</f>
      </c>
      <c r="S818">
        <f>IF(ISBLANK('Data Entry'!S818), "", 'Data Entry'!S818)</f>
      </c>
      <c r="T818">
        <f>IF(ISBLANK('Data Entry'!T818), "", 'Data Entry'!T818)</f>
      </c>
      <c r="U818">
        <f>IF(ISBLANK('Data Entry'!U818), "", 'Data Entry'!U818)</f>
      </c>
      <c r="V818">
        <f>IF(ISBLANK('Data Entry'!V818), "", 'Data Entry'!V818)</f>
      </c>
      <c r="W818">
        <f>IF(ISBLANK('Data Entry'!W818), "", 'Data Entry'!W818)</f>
      </c>
      <c r="X818">
        <f>IF(ISBLANK('Data Entry'!X818), "", 'Data Entry'!X818)</f>
      </c>
      <c r="Y818">
        <f>IF(ISBLANK('Data Entry'!Y818), "", 'Data Entry'!Y818)</f>
      </c>
      <c r="Z818">
        <f>IF(ISBLANK('Data Entry'!Z818), "", 'Data Entry'!Z818)</f>
      </c>
      <c r="AA818">
        <f>IF(ISBLANK('Data Entry'![818), "", 'Data Entry'![818)</f>
      </c>
      <c r="AB818">
        <f>IF(ISBLANK('Data Entry'!\818), "", 'Data Entry'!\818)</f>
      </c>
      <c r="AC818">
        <f>IF(ISBLANK('Data Entry'!]818), "", 'Data Entry'!]818)</f>
      </c>
      <c r="AD818">
        <f>IF(ISBLANK('Data Entry'!^818), "", 'Data Entry'!^818)</f>
      </c>
      <c r="AE818">
        <f>IF(ISBLANK('Data Entry'!_818), "", 'Data Entry'!_818)</f>
      </c>
      <c r="AF818">
        <f>IF(ISBLANK('Data Entry'!`818), "", 'Data Entry'!`818)</f>
      </c>
      <c r="AG818">
        <f>IF(ISBLANK('Data Entry'!a818), "", 'Data Entry'!a818)</f>
      </c>
      <c r="AH818">
        <f>IF(ISBLANK('Data Entry'!b818), "", 'Data Entry'!b818)</f>
      </c>
      <c r="AI818">
        <f>IF(ISBLANK('Data Entry'!c818), "", 'Data Entry'!c818)</f>
      </c>
      <c r="AJ818">
        <f>IF(ISBLANK('Data Entry'!d818), "", 'Data Entry'!d818)</f>
      </c>
      <c r="AK818">
        <f>IF(ISBLANK('Data Entry'!e818), "", 'Data Entry'!e818)</f>
      </c>
      <c r="AL818">
        <f>IF(ISBLANK('Data Entry'!f818), "", 'Data Entry'!f818)</f>
      </c>
      <c r="AM818">
        <f>IF(ISBLANK('Data Entry'!g818), "", 'Data Entry'!g818)</f>
      </c>
      <c r="AN818">
        <f>IF(ISBLANK('Data Entry'!h818), "", 'Data Entry'!h818)</f>
      </c>
    </row>
    <row r="819" spans="1:40" x14ac:dyDescent="0.25">
      <c r="A819">
        <f>IF(ISBLANK('Data Entry'!A819), "", 'Data Entry'!A819)</f>
      </c>
      <c r="B819">
        <f>IF(ISBLANK('Data Entry'!B819), "", 'Data Entry'!B819)</f>
      </c>
      <c r="C819">
        <f>IF(ISBLANK('Data Entry'!C819), "", 'Data Entry'!C819)</f>
      </c>
      <c r="D819">
        <f>IF(ISBLANK('Data Entry'!D819), "", 'Data Entry'!D819)</f>
      </c>
      <c r="E819">
        <f>IF(ISBLANK('Data Entry'!E819), "", 'Data Entry'!E819)</f>
      </c>
      <c r="F819">
        <f>IF(ISBLANK('Data Entry'!F819), "", 'Data Entry'!F819)</f>
      </c>
      <c r="G819">
        <f>IF(ISBLANK('Data Entry'!G819), "", 'Data Entry'!G819)</f>
      </c>
      <c r="H819">
        <f>IF(ISBLANK('Data Entry'!H819), "", 'Data Entry'!H819)</f>
      </c>
      <c r="I819">
        <f>IF(ISBLANK('Data Entry'!I819), "", 'Data Entry'!I819)</f>
      </c>
      <c r="J819">
        <f>IF(ISBLANK('Data Entry'!J819), "", 'Data Entry'!J819)</f>
      </c>
      <c r="K819">
        <f>IF(ISBLANK('Data Entry'!K819), "", 'Data Entry'!K819)</f>
      </c>
      <c r="L819">
        <f>IF(ISBLANK('Data Entry'!L819), "", 'Data Entry'!L819)</f>
      </c>
      <c r="M819">
        <f>IF(ISBLANK('Data Entry'!M819), "", 'Data Entry'!M819)</f>
      </c>
      <c r="N819">
        <f>IF(ISBLANK('Data Entry'!N819), "", 'Data Entry'!N819)</f>
      </c>
      <c r="O819">
        <f>IF(ISBLANK('Data Entry'!O819), "", 'Data Entry'!O819)</f>
      </c>
      <c r="P819">
        <f>IF(ISBLANK('Data Entry'!P819), "", 'Data Entry'!P819)</f>
      </c>
      <c r="Q819">
        <f>IF(ISBLANK('Data Entry'!Q819), "", 'Data Entry'!Q819)</f>
      </c>
      <c r="R819">
        <f>IF(ISBLANK('Data Entry'!R819), "", 'Data Entry'!R819)</f>
      </c>
      <c r="S819">
        <f>IF(ISBLANK('Data Entry'!S819), "", 'Data Entry'!S819)</f>
      </c>
      <c r="T819">
        <f>IF(ISBLANK('Data Entry'!T819), "", 'Data Entry'!T819)</f>
      </c>
      <c r="U819">
        <f>IF(ISBLANK('Data Entry'!U819), "", 'Data Entry'!U819)</f>
      </c>
      <c r="V819">
        <f>IF(ISBLANK('Data Entry'!V819), "", 'Data Entry'!V819)</f>
      </c>
      <c r="W819">
        <f>IF(ISBLANK('Data Entry'!W819), "", 'Data Entry'!W819)</f>
      </c>
      <c r="X819">
        <f>IF(ISBLANK('Data Entry'!X819), "", 'Data Entry'!X819)</f>
      </c>
      <c r="Y819">
        <f>IF(ISBLANK('Data Entry'!Y819), "", 'Data Entry'!Y819)</f>
      </c>
      <c r="Z819">
        <f>IF(ISBLANK('Data Entry'!Z819), "", 'Data Entry'!Z819)</f>
      </c>
      <c r="AA819">
        <f>IF(ISBLANK('Data Entry'![819), "", 'Data Entry'![819)</f>
      </c>
      <c r="AB819">
        <f>IF(ISBLANK('Data Entry'!\819), "", 'Data Entry'!\819)</f>
      </c>
      <c r="AC819">
        <f>IF(ISBLANK('Data Entry'!]819), "", 'Data Entry'!]819)</f>
      </c>
      <c r="AD819">
        <f>IF(ISBLANK('Data Entry'!^819), "", 'Data Entry'!^819)</f>
      </c>
      <c r="AE819">
        <f>IF(ISBLANK('Data Entry'!_819), "", 'Data Entry'!_819)</f>
      </c>
      <c r="AF819">
        <f>IF(ISBLANK('Data Entry'!`819), "", 'Data Entry'!`819)</f>
      </c>
      <c r="AG819">
        <f>IF(ISBLANK('Data Entry'!a819), "", 'Data Entry'!a819)</f>
      </c>
      <c r="AH819">
        <f>IF(ISBLANK('Data Entry'!b819), "", 'Data Entry'!b819)</f>
      </c>
      <c r="AI819">
        <f>IF(ISBLANK('Data Entry'!c819), "", 'Data Entry'!c819)</f>
      </c>
      <c r="AJ819">
        <f>IF(ISBLANK('Data Entry'!d819), "", 'Data Entry'!d819)</f>
      </c>
      <c r="AK819">
        <f>IF(ISBLANK('Data Entry'!e819), "", 'Data Entry'!e819)</f>
      </c>
      <c r="AL819">
        <f>IF(ISBLANK('Data Entry'!f819), "", 'Data Entry'!f819)</f>
      </c>
      <c r="AM819">
        <f>IF(ISBLANK('Data Entry'!g819), "", 'Data Entry'!g819)</f>
      </c>
      <c r="AN819">
        <f>IF(ISBLANK('Data Entry'!h819), "", 'Data Entry'!h819)</f>
      </c>
    </row>
    <row r="820" spans="1:40" x14ac:dyDescent="0.25">
      <c r="A820">
        <f>IF(ISBLANK('Data Entry'!A820), "", 'Data Entry'!A820)</f>
      </c>
      <c r="B820">
        <f>IF(ISBLANK('Data Entry'!B820), "", 'Data Entry'!B820)</f>
      </c>
      <c r="C820">
        <f>IF(ISBLANK('Data Entry'!C820), "", 'Data Entry'!C820)</f>
      </c>
      <c r="D820">
        <f>IF(ISBLANK('Data Entry'!D820), "", 'Data Entry'!D820)</f>
      </c>
      <c r="E820">
        <f>IF(ISBLANK('Data Entry'!E820), "", 'Data Entry'!E820)</f>
      </c>
      <c r="F820">
        <f>IF(ISBLANK('Data Entry'!F820), "", 'Data Entry'!F820)</f>
      </c>
      <c r="G820">
        <f>IF(ISBLANK('Data Entry'!G820), "", 'Data Entry'!G820)</f>
      </c>
      <c r="H820">
        <f>IF(ISBLANK('Data Entry'!H820), "", 'Data Entry'!H820)</f>
      </c>
      <c r="I820">
        <f>IF(ISBLANK('Data Entry'!I820), "", 'Data Entry'!I820)</f>
      </c>
      <c r="J820">
        <f>IF(ISBLANK('Data Entry'!J820), "", 'Data Entry'!J820)</f>
      </c>
      <c r="K820">
        <f>IF(ISBLANK('Data Entry'!K820), "", 'Data Entry'!K820)</f>
      </c>
      <c r="L820">
        <f>IF(ISBLANK('Data Entry'!L820), "", 'Data Entry'!L820)</f>
      </c>
      <c r="M820">
        <f>IF(ISBLANK('Data Entry'!M820), "", 'Data Entry'!M820)</f>
      </c>
      <c r="N820">
        <f>IF(ISBLANK('Data Entry'!N820), "", 'Data Entry'!N820)</f>
      </c>
      <c r="O820">
        <f>IF(ISBLANK('Data Entry'!O820), "", 'Data Entry'!O820)</f>
      </c>
      <c r="P820">
        <f>IF(ISBLANK('Data Entry'!P820), "", 'Data Entry'!P820)</f>
      </c>
      <c r="Q820">
        <f>IF(ISBLANK('Data Entry'!Q820), "", 'Data Entry'!Q820)</f>
      </c>
      <c r="R820">
        <f>IF(ISBLANK('Data Entry'!R820), "", 'Data Entry'!R820)</f>
      </c>
      <c r="S820">
        <f>IF(ISBLANK('Data Entry'!S820), "", 'Data Entry'!S820)</f>
      </c>
      <c r="T820">
        <f>IF(ISBLANK('Data Entry'!T820), "", 'Data Entry'!T820)</f>
      </c>
      <c r="U820">
        <f>IF(ISBLANK('Data Entry'!U820), "", 'Data Entry'!U820)</f>
      </c>
      <c r="V820">
        <f>IF(ISBLANK('Data Entry'!V820), "", 'Data Entry'!V820)</f>
      </c>
      <c r="W820">
        <f>IF(ISBLANK('Data Entry'!W820), "", 'Data Entry'!W820)</f>
      </c>
      <c r="X820">
        <f>IF(ISBLANK('Data Entry'!X820), "", 'Data Entry'!X820)</f>
      </c>
      <c r="Y820">
        <f>IF(ISBLANK('Data Entry'!Y820), "", 'Data Entry'!Y820)</f>
      </c>
      <c r="Z820">
        <f>IF(ISBLANK('Data Entry'!Z820), "", 'Data Entry'!Z820)</f>
      </c>
      <c r="AA820">
        <f>IF(ISBLANK('Data Entry'![820), "", 'Data Entry'![820)</f>
      </c>
      <c r="AB820">
        <f>IF(ISBLANK('Data Entry'!\820), "", 'Data Entry'!\820)</f>
      </c>
      <c r="AC820">
        <f>IF(ISBLANK('Data Entry'!]820), "", 'Data Entry'!]820)</f>
      </c>
      <c r="AD820">
        <f>IF(ISBLANK('Data Entry'!^820), "", 'Data Entry'!^820)</f>
      </c>
      <c r="AE820">
        <f>IF(ISBLANK('Data Entry'!_820), "", 'Data Entry'!_820)</f>
      </c>
      <c r="AF820">
        <f>IF(ISBLANK('Data Entry'!`820), "", 'Data Entry'!`820)</f>
      </c>
      <c r="AG820">
        <f>IF(ISBLANK('Data Entry'!a820), "", 'Data Entry'!a820)</f>
      </c>
      <c r="AH820">
        <f>IF(ISBLANK('Data Entry'!b820), "", 'Data Entry'!b820)</f>
      </c>
      <c r="AI820">
        <f>IF(ISBLANK('Data Entry'!c820), "", 'Data Entry'!c820)</f>
      </c>
      <c r="AJ820">
        <f>IF(ISBLANK('Data Entry'!d820), "", 'Data Entry'!d820)</f>
      </c>
      <c r="AK820">
        <f>IF(ISBLANK('Data Entry'!e820), "", 'Data Entry'!e820)</f>
      </c>
      <c r="AL820">
        <f>IF(ISBLANK('Data Entry'!f820), "", 'Data Entry'!f820)</f>
      </c>
      <c r="AM820">
        <f>IF(ISBLANK('Data Entry'!g820), "", 'Data Entry'!g820)</f>
      </c>
      <c r="AN820">
        <f>IF(ISBLANK('Data Entry'!h820), "", 'Data Entry'!h820)</f>
      </c>
    </row>
    <row r="821" spans="1:40" x14ac:dyDescent="0.25">
      <c r="A821">
        <f>IF(ISBLANK('Data Entry'!A821), "", 'Data Entry'!A821)</f>
      </c>
      <c r="B821">
        <f>IF(ISBLANK('Data Entry'!B821), "", 'Data Entry'!B821)</f>
      </c>
      <c r="C821">
        <f>IF(ISBLANK('Data Entry'!C821), "", 'Data Entry'!C821)</f>
      </c>
      <c r="D821">
        <f>IF(ISBLANK('Data Entry'!D821), "", 'Data Entry'!D821)</f>
      </c>
      <c r="E821">
        <f>IF(ISBLANK('Data Entry'!E821), "", 'Data Entry'!E821)</f>
      </c>
      <c r="F821">
        <f>IF(ISBLANK('Data Entry'!F821), "", 'Data Entry'!F821)</f>
      </c>
      <c r="G821">
        <f>IF(ISBLANK('Data Entry'!G821), "", 'Data Entry'!G821)</f>
      </c>
      <c r="H821">
        <f>IF(ISBLANK('Data Entry'!H821), "", 'Data Entry'!H821)</f>
      </c>
      <c r="I821">
        <f>IF(ISBLANK('Data Entry'!I821), "", 'Data Entry'!I821)</f>
      </c>
      <c r="J821">
        <f>IF(ISBLANK('Data Entry'!J821), "", 'Data Entry'!J821)</f>
      </c>
      <c r="K821">
        <f>IF(ISBLANK('Data Entry'!K821), "", 'Data Entry'!K821)</f>
      </c>
      <c r="L821">
        <f>IF(ISBLANK('Data Entry'!L821), "", 'Data Entry'!L821)</f>
      </c>
      <c r="M821">
        <f>IF(ISBLANK('Data Entry'!M821), "", 'Data Entry'!M821)</f>
      </c>
      <c r="N821">
        <f>IF(ISBLANK('Data Entry'!N821), "", 'Data Entry'!N821)</f>
      </c>
      <c r="O821">
        <f>IF(ISBLANK('Data Entry'!O821), "", 'Data Entry'!O821)</f>
      </c>
      <c r="P821">
        <f>IF(ISBLANK('Data Entry'!P821), "", 'Data Entry'!P821)</f>
      </c>
      <c r="Q821">
        <f>IF(ISBLANK('Data Entry'!Q821), "", 'Data Entry'!Q821)</f>
      </c>
      <c r="R821">
        <f>IF(ISBLANK('Data Entry'!R821), "", 'Data Entry'!R821)</f>
      </c>
      <c r="S821">
        <f>IF(ISBLANK('Data Entry'!S821), "", 'Data Entry'!S821)</f>
      </c>
      <c r="T821">
        <f>IF(ISBLANK('Data Entry'!T821), "", 'Data Entry'!T821)</f>
      </c>
      <c r="U821">
        <f>IF(ISBLANK('Data Entry'!U821), "", 'Data Entry'!U821)</f>
      </c>
      <c r="V821">
        <f>IF(ISBLANK('Data Entry'!V821), "", 'Data Entry'!V821)</f>
      </c>
      <c r="W821">
        <f>IF(ISBLANK('Data Entry'!W821), "", 'Data Entry'!W821)</f>
      </c>
      <c r="X821">
        <f>IF(ISBLANK('Data Entry'!X821), "", 'Data Entry'!X821)</f>
      </c>
      <c r="Y821">
        <f>IF(ISBLANK('Data Entry'!Y821), "", 'Data Entry'!Y821)</f>
      </c>
      <c r="Z821">
        <f>IF(ISBLANK('Data Entry'!Z821), "", 'Data Entry'!Z821)</f>
      </c>
      <c r="AA821">
        <f>IF(ISBLANK('Data Entry'![821), "", 'Data Entry'![821)</f>
      </c>
      <c r="AB821">
        <f>IF(ISBLANK('Data Entry'!\821), "", 'Data Entry'!\821)</f>
      </c>
      <c r="AC821">
        <f>IF(ISBLANK('Data Entry'!]821), "", 'Data Entry'!]821)</f>
      </c>
      <c r="AD821">
        <f>IF(ISBLANK('Data Entry'!^821), "", 'Data Entry'!^821)</f>
      </c>
      <c r="AE821">
        <f>IF(ISBLANK('Data Entry'!_821), "", 'Data Entry'!_821)</f>
      </c>
      <c r="AF821">
        <f>IF(ISBLANK('Data Entry'!`821), "", 'Data Entry'!`821)</f>
      </c>
      <c r="AG821">
        <f>IF(ISBLANK('Data Entry'!a821), "", 'Data Entry'!a821)</f>
      </c>
      <c r="AH821">
        <f>IF(ISBLANK('Data Entry'!b821), "", 'Data Entry'!b821)</f>
      </c>
      <c r="AI821">
        <f>IF(ISBLANK('Data Entry'!c821), "", 'Data Entry'!c821)</f>
      </c>
      <c r="AJ821">
        <f>IF(ISBLANK('Data Entry'!d821), "", 'Data Entry'!d821)</f>
      </c>
      <c r="AK821">
        <f>IF(ISBLANK('Data Entry'!e821), "", 'Data Entry'!e821)</f>
      </c>
      <c r="AL821">
        <f>IF(ISBLANK('Data Entry'!f821), "", 'Data Entry'!f821)</f>
      </c>
      <c r="AM821">
        <f>IF(ISBLANK('Data Entry'!g821), "", 'Data Entry'!g821)</f>
      </c>
      <c r="AN821">
        <f>IF(ISBLANK('Data Entry'!h821), "", 'Data Entry'!h821)</f>
      </c>
    </row>
    <row r="822" spans="1:40" x14ac:dyDescent="0.25">
      <c r="A822">
        <f>IF(ISBLANK('Data Entry'!A822), "", 'Data Entry'!A822)</f>
      </c>
      <c r="B822">
        <f>IF(ISBLANK('Data Entry'!B822), "", 'Data Entry'!B822)</f>
      </c>
      <c r="C822">
        <f>IF(ISBLANK('Data Entry'!C822), "", 'Data Entry'!C822)</f>
      </c>
      <c r="D822">
        <f>IF(ISBLANK('Data Entry'!D822), "", 'Data Entry'!D822)</f>
      </c>
      <c r="E822">
        <f>IF(ISBLANK('Data Entry'!E822), "", 'Data Entry'!E822)</f>
      </c>
      <c r="F822">
        <f>IF(ISBLANK('Data Entry'!F822), "", 'Data Entry'!F822)</f>
      </c>
      <c r="G822">
        <f>IF(ISBLANK('Data Entry'!G822), "", 'Data Entry'!G822)</f>
      </c>
      <c r="H822">
        <f>IF(ISBLANK('Data Entry'!H822), "", 'Data Entry'!H822)</f>
      </c>
      <c r="I822">
        <f>IF(ISBLANK('Data Entry'!I822), "", 'Data Entry'!I822)</f>
      </c>
      <c r="J822">
        <f>IF(ISBLANK('Data Entry'!J822), "", 'Data Entry'!J822)</f>
      </c>
      <c r="K822">
        <f>IF(ISBLANK('Data Entry'!K822), "", 'Data Entry'!K822)</f>
      </c>
      <c r="L822">
        <f>IF(ISBLANK('Data Entry'!L822), "", 'Data Entry'!L822)</f>
      </c>
      <c r="M822">
        <f>IF(ISBLANK('Data Entry'!M822), "", 'Data Entry'!M822)</f>
      </c>
      <c r="N822">
        <f>IF(ISBLANK('Data Entry'!N822), "", 'Data Entry'!N822)</f>
      </c>
      <c r="O822">
        <f>IF(ISBLANK('Data Entry'!O822), "", 'Data Entry'!O822)</f>
      </c>
      <c r="P822">
        <f>IF(ISBLANK('Data Entry'!P822), "", 'Data Entry'!P822)</f>
      </c>
      <c r="Q822">
        <f>IF(ISBLANK('Data Entry'!Q822), "", 'Data Entry'!Q822)</f>
      </c>
      <c r="R822">
        <f>IF(ISBLANK('Data Entry'!R822), "", 'Data Entry'!R822)</f>
      </c>
      <c r="S822">
        <f>IF(ISBLANK('Data Entry'!S822), "", 'Data Entry'!S822)</f>
      </c>
      <c r="T822">
        <f>IF(ISBLANK('Data Entry'!T822), "", 'Data Entry'!T822)</f>
      </c>
      <c r="U822">
        <f>IF(ISBLANK('Data Entry'!U822), "", 'Data Entry'!U822)</f>
      </c>
      <c r="V822">
        <f>IF(ISBLANK('Data Entry'!V822), "", 'Data Entry'!V822)</f>
      </c>
      <c r="W822">
        <f>IF(ISBLANK('Data Entry'!W822), "", 'Data Entry'!W822)</f>
      </c>
      <c r="X822">
        <f>IF(ISBLANK('Data Entry'!X822), "", 'Data Entry'!X822)</f>
      </c>
      <c r="Y822">
        <f>IF(ISBLANK('Data Entry'!Y822), "", 'Data Entry'!Y822)</f>
      </c>
      <c r="Z822">
        <f>IF(ISBLANK('Data Entry'!Z822), "", 'Data Entry'!Z822)</f>
      </c>
      <c r="AA822">
        <f>IF(ISBLANK('Data Entry'![822), "", 'Data Entry'![822)</f>
      </c>
      <c r="AB822">
        <f>IF(ISBLANK('Data Entry'!\822), "", 'Data Entry'!\822)</f>
      </c>
      <c r="AC822">
        <f>IF(ISBLANK('Data Entry'!]822), "", 'Data Entry'!]822)</f>
      </c>
      <c r="AD822">
        <f>IF(ISBLANK('Data Entry'!^822), "", 'Data Entry'!^822)</f>
      </c>
      <c r="AE822">
        <f>IF(ISBLANK('Data Entry'!_822), "", 'Data Entry'!_822)</f>
      </c>
      <c r="AF822">
        <f>IF(ISBLANK('Data Entry'!`822), "", 'Data Entry'!`822)</f>
      </c>
      <c r="AG822">
        <f>IF(ISBLANK('Data Entry'!a822), "", 'Data Entry'!a822)</f>
      </c>
      <c r="AH822">
        <f>IF(ISBLANK('Data Entry'!b822), "", 'Data Entry'!b822)</f>
      </c>
      <c r="AI822">
        <f>IF(ISBLANK('Data Entry'!c822), "", 'Data Entry'!c822)</f>
      </c>
      <c r="AJ822">
        <f>IF(ISBLANK('Data Entry'!d822), "", 'Data Entry'!d822)</f>
      </c>
      <c r="AK822">
        <f>IF(ISBLANK('Data Entry'!e822), "", 'Data Entry'!e822)</f>
      </c>
      <c r="AL822">
        <f>IF(ISBLANK('Data Entry'!f822), "", 'Data Entry'!f822)</f>
      </c>
      <c r="AM822">
        <f>IF(ISBLANK('Data Entry'!g822), "", 'Data Entry'!g822)</f>
      </c>
      <c r="AN822">
        <f>IF(ISBLANK('Data Entry'!h822), "", 'Data Entry'!h822)</f>
      </c>
    </row>
    <row r="823" spans="1:40" x14ac:dyDescent="0.25">
      <c r="A823">
        <f>IF(ISBLANK('Data Entry'!A823), "", 'Data Entry'!A823)</f>
      </c>
      <c r="B823">
        <f>IF(ISBLANK('Data Entry'!B823), "", 'Data Entry'!B823)</f>
      </c>
      <c r="C823">
        <f>IF(ISBLANK('Data Entry'!C823), "", 'Data Entry'!C823)</f>
      </c>
      <c r="D823">
        <f>IF(ISBLANK('Data Entry'!D823), "", 'Data Entry'!D823)</f>
      </c>
      <c r="E823">
        <f>IF(ISBLANK('Data Entry'!E823), "", 'Data Entry'!E823)</f>
      </c>
      <c r="F823">
        <f>IF(ISBLANK('Data Entry'!F823), "", 'Data Entry'!F823)</f>
      </c>
      <c r="G823">
        <f>IF(ISBLANK('Data Entry'!G823), "", 'Data Entry'!G823)</f>
      </c>
      <c r="H823">
        <f>IF(ISBLANK('Data Entry'!H823), "", 'Data Entry'!H823)</f>
      </c>
      <c r="I823">
        <f>IF(ISBLANK('Data Entry'!I823), "", 'Data Entry'!I823)</f>
      </c>
      <c r="J823">
        <f>IF(ISBLANK('Data Entry'!J823), "", 'Data Entry'!J823)</f>
      </c>
      <c r="K823">
        <f>IF(ISBLANK('Data Entry'!K823), "", 'Data Entry'!K823)</f>
      </c>
      <c r="L823">
        <f>IF(ISBLANK('Data Entry'!L823), "", 'Data Entry'!L823)</f>
      </c>
      <c r="M823">
        <f>IF(ISBLANK('Data Entry'!M823), "", 'Data Entry'!M823)</f>
      </c>
      <c r="N823">
        <f>IF(ISBLANK('Data Entry'!N823), "", 'Data Entry'!N823)</f>
      </c>
      <c r="O823">
        <f>IF(ISBLANK('Data Entry'!O823), "", 'Data Entry'!O823)</f>
      </c>
      <c r="P823">
        <f>IF(ISBLANK('Data Entry'!P823), "", 'Data Entry'!P823)</f>
      </c>
      <c r="Q823">
        <f>IF(ISBLANK('Data Entry'!Q823), "", 'Data Entry'!Q823)</f>
      </c>
      <c r="R823">
        <f>IF(ISBLANK('Data Entry'!R823), "", 'Data Entry'!R823)</f>
      </c>
      <c r="S823">
        <f>IF(ISBLANK('Data Entry'!S823), "", 'Data Entry'!S823)</f>
      </c>
      <c r="T823">
        <f>IF(ISBLANK('Data Entry'!T823), "", 'Data Entry'!T823)</f>
      </c>
      <c r="U823">
        <f>IF(ISBLANK('Data Entry'!U823), "", 'Data Entry'!U823)</f>
      </c>
      <c r="V823">
        <f>IF(ISBLANK('Data Entry'!V823), "", 'Data Entry'!V823)</f>
      </c>
      <c r="W823">
        <f>IF(ISBLANK('Data Entry'!W823), "", 'Data Entry'!W823)</f>
      </c>
      <c r="X823">
        <f>IF(ISBLANK('Data Entry'!X823), "", 'Data Entry'!X823)</f>
      </c>
      <c r="Y823">
        <f>IF(ISBLANK('Data Entry'!Y823), "", 'Data Entry'!Y823)</f>
      </c>
      <c r="Z823">
        <f>IF(ISBLANK('Data Entry'!Z823), "", 'Data Entry'!Z823)</f>
      </c>
      <c r="AA823">
        <f>IF(ISBLANK('Data Entry'![823), "", 'Data Entry'![823)</f>
      </c>
      <c r="AB823">
        <f>IF(ISBLANK('Data Entry'!\823), "", 'Data Entry'!\823)</f>
      </c>
      <c r="AC823">
        <f>IF(ISBLANK('Data Entry'!]823), "", 'Data Entry'!]823)</f>
      </c>
      <c r="AD823">
        <f>IF(ISBLANK('Data Entry'!^823), "", 'Data Entry'!^823)</f>
      </c>
      <c r="AE823">
        <f>IF(ISBLANK('Data Entry'!_823), "", 'Data Entry'!_823)</f>
      </c>
      <c r="AF823">
        <f>IF(ISBLANK('Data Entry'!`823), "", 'Data Entry'!`823)</f>
      </c>
      <c r="AG823">
        <f>IF(ISBLANK('Data Entry'!a823), "", 'Data Entry'!a823)</f>
      </c>
      <c r="AH823">
        <f>IF(ISBLANK('Data Entry'!b823), "", 'Data Entry'!b823)</f>
      </c>
      <c r="AI823">
        <f>IF(ISBLANK('Data Entry'!c823), "", 'Data Entry'!c823)</f>
      </c>
      <c r="AJ823">
        <f>IF(ISBLANK('Data Entry'!d823), "", 'Data Entry'!d823)</f>
      </c>
      <c r="AK823">
        <f>IF(ISBLANK('Data Entry'!e823), "", 'Data Entry'!e823)</f>
      </c>
      <c r="AL823">
        <f>IF(ISBLANK('Data Entry'!f823), "", 'Data Entry'!f823)</f>
      </c>
      <c r="AM823">
        <f>IF(ISBLANK('Data Entry'!g823), "", 'Data Entry'!g823)</f>
      </c>
      <c r="AN823">
        <f>IF(ISBLANK('Data Entry'!h823), "", 'Data Entry'!h823)</f>
      </c>
    </row>
    <row r="824" spans="1:40" x14ac:dyDescent="0.25">
      <c r="A824">
        <f>IF(ISBLANK('Data Entry'!A824), "", 'Data Entry'!A824)</f>
      </c>
      <c r="B824">
        <f>IF(ISBLANK('Data Entry'!B824), "", 'Data Entry'!B824)</f>
      </c>
      <c r="C824">
        <f>IF(ISBLANK('Data Entry'!C824), "", 'Data Entry'!C824)</f>
      </c>
      <c r="D824">
        <f>IF(ISBLANK('Data Entry'!D824), "", 'Data Entry'!D824)</f>
      </c>
      <c r="E824">
        <f>IF(ISBLANK('Data Entry'!E824), "", 'Data Entry'!E824)</f>
      </c>
      <c r="F824">
        <f>IF(ISBLANK('Data Entry'!F824), "", 'Data Entry'!F824)</f>
      </c>
      <c r="G824">
        <f>IF(ISBLANK('Data Entry'!G824), "", 'Data Entry'!G824)</f>
      </c>
      <c r="H824">
        <f>IF(ISBLANK('Data Entry'!H824), "", 'Data Entry'!H824)</f>
      </c>
      <c r="I824">
        <f>IF(ISBLANK('Data Entry'!I824), "", 'Data Entry'!I824)</f>
      </c>
      <c r="J824">
        <f>IF(ISBLANK('Data Entry'!J824), "", 'Data Entry'!J824)</f>
      </c>
      <c r="K824">
        <f>IF(ISBLANK('Data Entry'!K824), "", 'Data Entry'!K824)</f>
      </c>
      <c r="L824">
        <f>IF(ISBLANK('Data Entry'!L824), "", 'Data Entry'!L824)</f>
      </c>
      <c r="M824">
        <f>IF(ISBLANK('Data Entry'!M824), "", 'Data Entry'!M824)</f>
      </c>
      <c r="N824">
        <f>IF(ISBLANK('Data Entry'!N824), "", 'Data Entry'!N824)</f>
      </c>
      <c r="O824">
        <f>IF(ISBLANK('Data Entry'!O824), "", 'Data Entry'!O824)</f>
      </c>
      <c r="P824">
        <f>IF(ISBLANK('Data Entry'!P824), "", 'Data Entry'!P824)</f>
      </c>
      <c r="Q824">
        <f>IF(ISBLANK('Data Entry'!Q824), "", 'Data Entry'!Q824)</f>
      </c>
      <c r="R824">
        <f>IF(ISBLANK('Data Entry'!R824), "", 'Data Entry'!R824)</f>
      </c>
      <c r="S824">
        <f>IF(ISBLANK('Data Entry'!S824), "", 'Data Entry'!S824)</f>
      </c>
      <c r="T824">
        <f>IF(ISBLANK('Data Entry'!T824), "", 'Data Entry'!T824)</f>
      </c>
      <c r="U824">
        <f>IF(ISBLANK('Data Entry'!U824), "", 'Data Entry'!U824)</f>
      </c>
      <c r="V824">
        <f>IF(ISBLANK('Data Entry'!V824), "", 'Data Entry'!V824)</f>
      </c>
      <c r="W824">
        <f>IF(ISBLANK('Data Entry'!W824), "", 'Data Entry'!W824)</f>
      </c>
      <c r="X824">
        <f>IF(ISBLANK('Data Entry'!X824), "", 'Data Entry'!X824)</f>
      </c>
      <c r="Y824">
        <f>IF(ISBLANK('Data Entry'!Y824), "", 'Data Entry'!Y824)</f>
      </c>
      <c r="Z824">
        <f>IF(ISBLANK('Data Entry'!Z824), "", 'Data Entry'!Z824)</f>
      </c>
      <c r="AA824">
        <f>IF(ISBLANK('Data Entry'![824), "", 'Data Entry'![824)</f>
      </c>
      <c r="AB824">
        <f>IF(ISBLANK('Data Entry'!\824), "", 'Data Entry'!\824)</f>
      </c>
      <c r="AC824">
        <f>IF(ISBLANK('Data Entry'!]824), "", 'Data Entry'!]824)</f>
      </c>
      <c r="AD824">
        <f>IF(ISBLANK('Data Entry'!^824), "", 'Data Entry'!^824)</f>
      </c>
      <c r="AE824">
        <f>IF(ISBLANK('Data Entry'!_824), "", 'Data Entry'!_824)</f>
      </c>
      <c r="AF824">
        <f>IF(ISBLANK('Data Entry'!`824), "", 'Data Entry'!`824)</f>
      </c>
      <c r="AG824">
        <f>IF(ISBLANK('Data Entry'!a824), "", 'Data Entry'!a824)</f>
      </c>
      <c r="AH824">
        <f>IF(ISBLANK('Data Entry'!b824), "", 'Data Entry'!b824)</f>
      </c>
      <c r="AI824">
        <f>IF(ISBLANK('Data Entry'!c824), "", 'Data Entry'!c824)</f>
      </c>
      <c r="AJ824">
        <f>IF(ISBLANK('Data Entry'!d824), "", 'Data Entry'!d824)</f>
      </c>
      <c r="AK824">
        <f>IF(ISBLANK('Data Entry'!e824), "", 'Data Entry'!e824)</f>
      </c>
      <c r="AL824">
        <f>IF(ISBLANK('Data Entry'!f824), "", 'Data Entry'!f824)</f>
      </c>
      <c r="AM824">
        <f>IF(ISBLANK('Data Entry'!g824), "", 'Data Entry'!g824)</f>
      </c>
      <c r="AN824">
        <f>IF(ISBLANK('Data Entry'!h824), "", 'Data Entry'!h824)</f>
      </c>
    </row>
    <row r="825" spans="1:40" x14ac:dyDescent="0.25">
      <c r="A825">
        <f>IF(ISBLANK('Data Entry'!A825), "", 'Data Entry'!A825)</f>
      </c>
      <c r="B825">
        <f>IF(ISBLANK('Data Entry'!B825), "", 'Data Entry'!B825)</f>
      </c>
      <c r="C825">
        <f>IF(ISBLANK('Data Entry'!C825), "", 'Data Entry'!C825)</f>
      </c>
      <c r="D825">
        <f>IF(ISBLANK('Data Entry'!D825), "", 'Data Entry'!D825)</f>
      </c>
      <c r="E825">
        <f>IF(ISBLANK('Data Entry'!E825), "", 'Data Entry'!E825)</f>
      </c>
      <c r="F825">
        <f>IF(ISBLANK('Data Entry'!F825), "", 'Data Entry'!F825)</f>
      </c>
      <c r="G825">
        <f>IF(ISBLANK('Data Entry'!G825), "", 'Data Entry'!G825)</f>
      </c>
      <c r="H825">
        <f>IF(ISBLANK('Data Entry'!H825), "", 'Data Entry'!H825)</f>
      </c>
      <c r="I825">
        <f>IF(ISBLANK('Data Entry'!I825), "", 'Data Entry'!I825)</f>
      </c>
      <c r="J825">
        <f>IF(ISBLANK('Data Entry'!J825), "", 'Data Entry'!J825)</f>
      </c>
      <c r="K825">
        <f>IF(ISBLANK('Data Entry'!K825), "", 'Data Entry'!K825)</f>
      </c>
      <c r="L825">
        <f>IF(ISBLANK('Data Entry'!L825), "", 'Data Entry'!L825)</f>
      </c>
      <c r="M825">
        <f>IF(ISBLANK('Data Entry'!M825), "", 'Data Entry'!M825)</f>
      </c>
      <c r="N825">
        <f>IF(ISBLANK('Data Entry'!N825), "", 'Data Entry'!N825)</f>
      </c>
      <c r="O825">
        <f>IF(ISBLANK('Data Entry'!O825), "", 'Data Entry'!O825)</f>
      </c>
      <c r="P825">
        <f>IF(ISBLANK('Data Entry'!P825), "", 'Data Entry'!P825)</f>
      </c>
      <c r="Q825">
        <f>IF(ISBLANK('Data Entry'!Q825), "", 'Data Entry'!Q825)</f>
      </c>
      <c r="R825">
        <f>IF(ISBLANK('Data Entry'!R825), "", 'Data Entry'!R825)</f>
      </c>
      <c r="S825">
        <f>IF(ISBLANK('Data Entry'!S825), "", 'Data Entry'!S825)</f>
      </c>
      <c r="T825">
        <f>IF(ISBLANK('Data Entry'!T825), "", 'Data Entry'!T825)</f>
      </c>
      <c r="U825">
        <f>IF(ISBLANK('Data Entry'!U825), "", 'Data Entry'!U825)</f>
      </c>
      <c r="V825">
        <f>IF(ISBLANK('Data Entry'!V825), "", 'Data Entry'!V825)</f>
      </c>
      <c r="W825">
        <f>IF(ISBLANK('Data Entry'!W825), "", 'Data Entry'!W825)</f>
      </c>
      <c r="X825">
        <f>IF(ISBLANK('Data Entry'!X825), "", 'Data Entry'!X825)</f>
      </c>
      <c r="Y825">
        <f>IF(ISBLANK('Data Entry'!Y825), "", 'Data Entry'!Y825)</f>
      </c>
      <c r="Z825">
        <f>IF(ISBLANK('Data Entry'!Z825), "", 'Data Entry'!Z825)</f>
      </c>
      <c r="AA825">
        <f>IF(ISBLANK('Data Entry'![825), "", 'Data Entry'![825)</f>
      </c>
      <c r="AB825">
        <f>IF(ISBLANK('Data Entry'!\825), "", 'Data Entry'!\825)</f>
      </c>
      <c r="AC825">
        <f>IF(ISBLANK('Data Entry'!]825), "", 'Data Entry'!]825)</f>
      </c>
      <c r="AD825">
        <f>IF(ISBLANK('Data Entry'!^825), "", 'Data Entry'!^825)</f>
      </c>
      <c r="AE825">
        <f>IF(ISBLANK('Data Entry'!_825), "", 'Data Entry'!_825)</f>
      </c>
      <c r="AF825">
        <f>IF(ISBLANK('Data Entry'!`825), "", 'Data Entry'!`825)</f>
      </c>
      <c r="AG825">
        <f>IF(ISBLANK('Data Entry'!a825), "", 'Data Entry'!a825)</f>
      </c>
      <c r="AH825">
        <f>IF(ISBLANK('Data Entry'!b825), "", 'Data Entry'!b825)</f>
      </c>
      <c r="AI825">
        <f>IF(ISBLANK('Data Entry'!c825), "", 'Data Entry'!c825)</f>
      </c>
      <c r="AJ825">
        <f>IF(ISBLANK('Data Entry'!d825), "", 'Data Entry'!d825)</f>
      </c>
      <c r="AK825">
        <f>IF(ISBLANK('Data Entry'!e825), "", 'Data Entry'!e825)</f>
      </c>
      <c r="AL825">
        <f>IF(ISBLANK('Data Entry'!f825), "", 'Data Entry'!f825)</f>
      </c>
      <c r="AM825">
        <f>IF(ISBLANK('Data Entry'!g825), "", 'Data Entry'!g825)</f>
      </c>
      <c r="AN825">
        <f>IF(ISBLANK('Data Entry'!h825), "", 'Data Entry'!h825)</f>
      </c>
    </row>
    <row r="826" spans="1:40" x14ac:dyDescent="0.25">
      <c r="A826">
        <f>IF(ISBLANK('Data Entry'!A826), "", 'Data Entry'!A826)</f>
      </c>
      <c r="B826">
        <f>IF(ISBLANK('Data Entry'!B826), "", 'Data Entry'!B826)</f>
      </c>
      <c r="C826">
        <f>IF(ISBLANK('Data Entry'!C826), "", 'Data Entry'!C826)</f>
      </c>
      <c r="D826">
        <f>IF(ISBLANK('Data Entry'!D826), "", 'Data Entry'!D826)</f>
      </c>
      <c r="E826">
        <f>IF(ISBLANK('Data Entry'!E826), "", 'Data Entry'!E826)</f>
      </c>
      <c r="F826">
        <f>IF(ISBLANK('Data Entry'!F826), "", 'Data Entry'!F826)</f>
      </c>
      <c r="G826">
        <f>IF(ISBLANK('Data Entry'!G826), "", 'Data Entry'!G826)</f>
      </c>
      <c r="H826">
        <f>IF(ISBLANK('Data Entry'!H826), "", 'Data Entry'!H826)</f>
      </c>
      <c r="I826">
        <f>IF(ISBLANK('Data Entry'!I826), "", 'Data Entry'!I826)</f>
      </c>
      <c r="J826">
        <f>IF(ISBLANK('Data Entry'!J826), "", 'Data Entry'!J826)</f>
      </c>
      <c r="K826">
        <f>IF(ISBLANK('Data Entry'!K826), "", 'Data Entry'!K826)</f>
      </c>
      <c r="L826">
        <f>IF(ISBLANK('Data Entry'!L826), "", 'Data Entry'!L826)</f>
      </c>
      <c r="M826">
        <f>IF(ISBLANK('Data Entry'!M826), "", 'Data Entry'!M826)</f>
      </c>
      <c r="N826">
        <f>IF(ISBLANK('Data Entry'!N826), "", 'Data Entry'!N826)</f>
      </c>
      <c r="O826">
        <f>IF(ISBLANK('Data Entry'!O826), "", 'Data Entry'!O826)</f>
      </c>
      <c r="P826">
        <f>IF(ISBLANK('Data Entry'!P826), "", 'Data Entry'!P826)</f>
      </c>
      <c r="Q826">
        <f>IF(ISBLANK('Data Entry'!Q826), "", 'Data Entry'!Q826)</f>
      </c>
      <c r="R826">
        <f>IF(ISBLANK('Data Entry'!R826), "", 'Data Entry'!R826)</f>
      </c>
      <c r="S826">
        <f>IF(ISBLANK('Data Entry'!S826), "", 'Data Entry'!S826)</f>
      </c>
      <c r="T826">
        <f>IF(ISBLANK('Data Entry'!T826), "", 'Data Entry'!T826)</f>
      </c>
      <c r="U826">
        <f>IF(ISBLANK('Data Entry'!U826), "", 'Data Entry'!U826)</f>
      </c>
      <c r="V826">
        <f>IF(ISBLANK('Data Entry'!V826), "", 'Data Entry'!V826)</f>
      </c>
      <c r="W826">
        <f>IF(ISBLANK('Data Entry'!W826), "", 'Data Entry'!W826)</f>
      </c>
      <c r="X826">
        <f>IF(ISBLANK('Data Entry'!X826), "", 'Data Entry'!X826)</f>
      </c>
      <c r="Y826">
        <f>IF(ISBLANK('Data Entry'!Y826), "", 'Data Entry'!Y826)</f>
      </c>
      <c r="Z826">
        <f>IF(ISBLANK('Data Entry'!Z826), "", 'Data Entry'!Z826)</f>
      </c>
      <c r="AA826">
        <f>IF(ISBLANK('Data Entry'![826), "", 'Data Entry'![826)</f>
      </c>
      <c r="AB826">
        <f>IF(ISBLANK('Data Entry'!\826), "", 'Data Entry'!\826)</f>
      </c>
      <c r="AC826">
        <f>IF(ISBLANK('Data Entry'!]826), "", 'Data Entry'!]826)</f>
      </c>
      <c r="AD826">
        <f>IF(ISBLANK('Data Entry'!^826), "", 'Data Entry'!^826)</f>
      </c>
      <c r="AE826">
        <f>IF(ISBLANK('Data Entry'!_826), "", 'Data Entry'!_826)</f>
      </c>
      <c r="AF826">
        <f>IF(ISBLANK('Data Entry'!`826), "", 'Data Entry'!`826)</f>
      </c>
      <c r="AG826">
        <f>IF(ISBLANK('Data Entry'!a826), "", 'Data Entry'!a826)</f>
      </c>
      <c r="AH826">
        <f>IF(ISBLANK('Data Entry'!b826), "", 'Data Entry'!b826)</f>
      </c>
      <c r="AI826">
        <f>IF(ISBLANK('Data Entry'!c826), "", 'Data Entry'!c826)</f>
      </c>
      <c r="AJ826">
        <f>IF(ISBLANK('Data Entry'!d826), "", 'Data Entry'!d826)</f>
      </c>
      <c r="AK826">
        <f>IF(ISBLANK('Data Entry'!e826), "", 'Data Entry'!e826)</f>
      </c>
      <c r="AL826">
        <f>IF(ISBLANK('Data Entry'!f826), "", 'Data Entry'!f826)</f>
      </c>
      <c r="AM826">
        <f>IF(ISBLANK('Data Entry'!g826), "", 'Data Entry'!g826)</f>
      </c>
      <c r="AN826">
        <f>IF(ISBLANK('Data Entry'!h826), "", 'Data Entry'!h826)</f>
      </c>
    </row>
    <row r="827" spans="1:40" x14ac:dyDescent="0.25">
      <c r="A827">
        <f>IF(ISBLANK('Data Entry'!A827), "", 'Data Entry'!A827)</f>
      </c>
      <c r="B827">
        <f>IF(ISBLANK('Data Entry'!B827), "", 'Data Entry'!B827)</f>
      </c>
      <c r="C827">
        <f>IF(ISBLANK('Data Entry'!C827), "", 'Data Entry'!C827)</f>
      </c>
      <c r="D827">
        <f>IF(ISBLANK('Data Entry'!D827), "", 'Data Entry'!D827)</f>
      </c>
      <c r="E827">
        <f>IF(ISBLANK('Data Entry'!E827), "", 'Data Entry'!E827)</f>
      </c>
      <c r="F827">
        <f>IF(ISBLANK('Data Entry'!F827), "", 'Data Entry'!F827)</f>
      </c>
      <c r="G827">
        <f>IF(ISBLANK('Data Entry'!G827), "", 'Data Entry'!G827)</f>
      </c>
      <c r="H827">
        <f>IF(ISBLANK('Data Entry'!H827), "", 'Data Entry'!H827)</f>
      </c>
      <c r="I827">
        <f>IF(ISBLANK('Data Entry'!I827), "", 'Data Entry'!I827)</f>
      </c>
      <c r="J827">
        <f>IF(ISBLANK('Data Entry'!J827), "", 'Data Entry'!J827)</f>
      </c>
      <c r="K827">
        <f>IF(ISBLANK('Data Entry'!K827), "", 'Data Entry'!K827)</f>
      </c>
      <c r="L827">
        <f>IF(ISBLANK('Data Entry'!L827), "", 'Data Entry'!L827)</f>
      </c>
      <c r="M827">
        <f>IF(ISBLANK('Data Entry'!M827), "", 'Data Entry'!M827)</f>
      </c>
      <c r="N827">
        <f>IF(ISBLANK('Data Entry'!N827), "", 'Data Entry'!N827)</f>
      </c>
      <c r="O827">
        <f>IF(ISBLANK('Data Entry'!O827), "", 'Data Entry'!O827)</f>
      </c>
      <c r="P827">
        <f>IF(ISBLANK('Data Entry'!P827), "", 'Data Entry'!P827)</f>
      </c>
      <c r="Q827">
        <f>IF(ISBLANK('Data Entry'!Q827), "", 'Data Entry'!Q827)</f>
      </c>
      <c r="R827">
        <f>IF(ISBLANK('Data Entry'!R827), "", 'Data Entry'!R827)</f>
      </c>
      <c r="S827">
        <f>IF(ISBLANK('Data Entry'!S827), "", 'Data Entry'!S827)</f>
      </c>
      <c r="T827">
        <f>IF(ISBLANK('Data Entry'!T827), "", 'Data Entry'!T827)</f>
      </c>
      <c r="U827">
        <f>IF(ISBLANK('Data Entry'!U827), "", 'Data Entry'!U827)</f>
      </c>
      <c r="V827">
        <f>IF(ISBLANK('Data Entry'!V827), "", 'Data Entry'!V827)</f>
      </c>
      <c r="W827">
        <f>IF(ISBLANK('Data Entry'!W827), "", 'Data Entry'!W827)</f>
      </c>
      <c r="X827">
        <f>IF(ISBLANK('Data Entry'!X827), "", 'Data Entry'!X827)</f>
      </c>
      <c r="Y827">
        <f>IF(ISBLANK('Data Entry'!Y827), "", 'Data Entry'!Y827)</f>
      </c>
      <c r="Z827">
        <f>IF(ISBLANK('Data Entry'!Z827), "", 'Data Entry'!Z827)</f>
      </c>
      <c r="AA827">
        <f>IF(ISBLANK('Data Entry'![827), "", 'Data Entry'![827)</f>
      </c>
      <c r="AB827">
        <f>IF(ISBLANK('Data Entry'!\827), "", 'Data Entry'!\827)</f>
      </c>
      <c r="AC827">
        <f>IF(ISBLANK('Data Entry'!]827), "", 'Data Entry'!]827)</f>
      </c>
      <c r="AD827">
        <f>IF(ISBLANK('Data Entry'!^827), "", 'Data Entry'!^827)</f>
      </c>
      <c r="AE827">
        <f>IF(ISBLANK('Data Entry'!_827), "", 'Data Entry'!_827)</f>
      </c>
      <c r="AF827">
        <f>IF(ISBLANK('Data Entry'!`827), "", 'Data Entry'!`827)</f>
      </c>
      <c r="AG827">
        <f>IF(ISBLANK('Data Entry'!a827), "", 'Data Entry'!a827)</f>
      </c>
      <c r="AH827">
        <f>IF(ISBLANK('Data Entry'!b827), "", 'Data Entry'!b827)</f>
      </c>
      <c r="AI827">
        <f>IF(ISBLANK('Data Entry'!c827), "", 'Data Entry'!c827)</f>
      </c>
      <c r="AJ827">
        <f>IF(ISBLANK('Data Entry'!d827), "", 'Data Entry'!d827)</f>
      </c>
      <c r="AK827">
        <f>IF(ISBLANK('Data Entry'!e827), "", 'Data Entry'!e827)</f>
      </c>
      <c r="AL827">
        <f>IF(ISBLANK('Data Entry'!f827), "", 'Data Entry'!f827)</f>
      </c>
      <c r="AM827">
        <f>IF(ISBLANK('Data Entry'!g827), "", 'Data Entry'!g827)</f>
      </c>
      <c r="AN827">
        <f>IF(ISBLANK('Data Entry'!h827), "", 'Data Entry'!h827)</f>
      </c>
    </row>
    <row r="828" spans="1:40" x14ac:dyDescent="0.25">
      <c r="A828">
        <f>IF(ISBLANK('Data Entry'!A828), "", 'Data Entry'!A828)</f>
      </c>
      <c r="B828">
        <f>IF(ISBLANK('Data Entry'!B828), "", 'Data Entry'!B828)</f>
      </c>
      <c r="C828">
        <f>IF(ISBLANK('Data Entry'!C828), "", 'Data Entry'!C828)</f>
      </c>
      <c r="D828">
        <f>IF(ISBLANK('Data Entry'!D828), "", 'Data Entry'!D828)</f>
      </c>
      <c r="E828">
        <f>IF(ISBLANK('Data Entry'!E828), "", 'Data Entry'!E828)</f>
      </c>
      <c r="F828">
        <f>IF(ISBLANK('Data Entry'!F828), "", 'Data Entry'!F828)</f>
      </c>
      <c r="G828">
        <f>IF(ISBLANK('Data Entry'!G828), "", 'Data Entry'!G828)</f>
      </c>
      <c r="H828">
        <f>IF(ISBLANK('Data Entry'!H828), "", 'Data Entry'!H828)</f>
      </c>
      <c r="I828">
        <f>IF(ISBLANK('Data Entry'!I828), "", 'Data Entry'!I828)</f>
      </c>
      <c r="J828">
        <f>IF(ISBLANK('Data Entry'!J828), "", 'Data Entry'!J828)</f>
      </c>
      <c r="K828">
        <f>IF(ISBLANK('Data Entry'!K828), "", 'Data Entry'!K828)</f>
      </c>
      <c r="L828">
        <f>IF(ISBLANK('Data Entry'!L828), "", 'Data Entry'!L828)</f>
      </c>
      <c r="M828">
        <f>IF(ISBLANK('Data Entry'!M828), "", 'Data Entry'!M828)</f>
      </c>
      <c r="N828">
        <f>IF(ISBLANK('Data Entry'!N828), "", 'Data Entry'!N828)</f>
      </c>
      <c r="O828">
        <f>IF(ISBLANK('Data Entry'!O828), "", 'Data Entry'!O828)</f>
      </c>
      <c r="P828">
        <f>IF(ISBLANK('Data Entry'!P828), "", 'Data Entry'!P828)</f>
      </c>
      <c r="Q828">
        <f>IF(ISBLANK('Data Entry'!Q828), "", 'Data Entry'!Q828)</f>
      </c>
      <c r="R828">
        <f>IF(ISBLANK('Data Entry'!R828), "", 'Data Entry'!R828)</f>
      </c>
      <c r="S828">
        <f>IF(ISBLANK('Data Entry'!S828), "", 'Data Entry'!S828)</f>
      </c>
      <c r="T828">
        <f>IF(ISBLANK('Data Entry'!T828), "", 'Data Entry'!T828)</f>
      </c>
      <c r="U828">
        <f>IF(ISBLANK('Data Entry'!U828), "", 'Data Entry'!U828)</f>
      </c>
      <c r="V828">
        <f>IF(ISBLANK('Data Entry'!V828), "", 'Data Entry'!V828)</f>
      </c>
      <c r="W828">
        <f>IF(ISBLANK('Data Entry'!W828), "", 'Data Entry'!W828)</f>
      </c>
      <c r="X828">
        <f>IF(ISBLANK('Data Entry'!X828), "", 'Data Entry'!X828)</f>
      </c>
      <c r="Y828">
        <f>IF(ISBLANK('Data Entry'!Y828), "", 'Data Entry'!Y828)</f>
      </c>
      <c r="Z828">
        <f>IF(ISBLANK('Data Entry'!Z828), "", 'Data Entry'!Z828)</f>
      </c>
      <c r="AA828">
        <f>IF(ISBLANK('Data Entry'![828), "", 'Data Entry'![828)</f>
      </c>
      <c r="AB828">
        <f>IF(ISBLANK('Data Entry'!\828), "", 'Data Entry'!\828)</f>
      </c>
      <c r="AC828">
        <f>IF(ISBLANK('Data Entry'!]828), "", 'Data Entry'!]828)</f>
      </c>
      <c r="AD828">
        <f>IF(ISBLANK('Data Entry'!^828), "", 'Data Entry'!^828)</f>
      </c>
      <c r="AE828">
        <f>IF(ISBLANK('Data Entry'!_828), "", 'Data Entry'!_828)</f>
      </c>
      <c r="AF828">
        <f>IF(ISBLANK('Data Entry'!`828), "", 'Data Entry'!`828)</f>
      </c>
      <c r="AG828">
        <f>IF(ISBLANK('Data Entry'!a828), "", 'Data Entry'!a828)</f>
      </c>
      <c r="AH828">
        <f>IF(ISBLANK('Data Entry'!b828), "", 'Data Entry'!b828)</f>
      </c>
      <c r="AI828">
        <f>IF(ISBLANK('Data Entry'!c828), "", 'Data Entry'!c828)</f>
      </c>
      <c r="AJ828">
        <f>IF(ISBLANK('Data Entry'!d828), "", 'Data Entry'!d828)</f>
      </c>
      <c r="AK828">
        <f>IF(ISBLANK('Data Entry'!e828), "", 'Data Entry'!e828)</f>
      </c>
      <c r="AL828">
        <f>IF(ISBLANK('Data Entry'!f828), "", 'Data Entry'!f828)</f>
      </c>
      <c r="AM828">
        <f>IF(ISBLANK('Data Entry'!g828), "", 'Data Entry'!g828)</f>
      </c>
      <c r="AN828">
        <f>IF(ISBLANK('Data Entry'!h828), "", 'Data Entry'!h828)</f>
      </c>
    </row>
    <row r="829" spans="1:40" x14ac:dyDescent="0.25">
      <c r="A829">
        <f>IF(ISBLANK('Data Entry'!A829), "", 'Data Entry'!A829)</f>
      </c>
      <c r="B829">
        <f>IF(ISBLANK('Data Entry'!B829), "", 'Data Entry'!B829)</f>
      </c>
      <c r="C829">
        <f>IF(ISBLANK('Data Entry'!C829), "", 'Data Entry'!C829)</f>
      </c>
      <c r="D829">
        <f>IF(ISBLANK('Data Entry'!D829), "", 'Data Entry'!D829)</f>
      </c>
      <c r="E829">
        <f>IF(ISBLANK('Data Entry'!E829), "", 'Data Entry'!E829)</f>
      </c>
      <c r="F829">
        <f>IF(ISBLANK('Data Entry'!F829), "", 'Data Entry'!F829)</f>
      </c>
      <c r="G829">
        <f>IF(ISBLANK('Data Entry'!G829), "", 'Data Entry'!G829)</f>
      </c>
      <c r="H829">
        <f>IF(ISBLANK('Data Entry'!H829), "", 'Data Entry'!H829)</f>
      </c>
      <c r="I829">
        <f>IF(ISBLANK('Data Entry'!I829), "", 'Data Entry'!I829)</f>
      </c>
      <c r="J829">
        <f>IF(ISBLANK('Data Entry'!J829), "", 'Data Entry'!J829)</f>
      </c>
      <c r="K829">
        <f>IF(ISBLANK('Data Entry'!K829), "", 'Data Entry'!K829)</f>
      </c>
      <c r="L829">
        <f>IF(ISBLANK('Data Entry'!L829), "", 'Data Entry'!L829)</f>
      </c>
      <c r="M829">
        <f>IF(ISBLANK('Data Entry'!M829), "", 'Data Entry'!M829)</f>
      </c>
      <c r="N829">
        <f>IF(ISBLANK('Data Entry'!N829), "", 'Data Entry'!N829)</f>
      </c>
      <c r="O829">
        <f>IF(ISBLANK('Data Entry'!O829), "", 'Data Entry'!O829)</f>
      </c>
      <c r="P829">
        <f>IF(ISBLANK('Data Entry'!P829), "", 'Data Entry'!P829)</f>
      </c>
      <c r="Q829">
        <f>IF(ISBLANK('Data Entry'!Q829), "", 'Data Entry'!Q829)</f>
      </c>
      <c r="R829">
        <f>IF(ISBLANK('Data Entry'!R829), "", 'Data Entry'!R829)</f>
      </c>
      <c r="S829">
        <f>IF(ISBLANK('Data Entry'!S829), "", 'Data Entry'!S829)</f>
      </c>
      <c r="T829">
        <f>IF(ISBLANK('Data Entry'!T829), "", 'Data Entry'!T829)</f>
      </c>
      <c r="U829">
        <f>IF(ISBLANK('Data Entry'!U829), "", 'Data Entry'!U829)</f>
      </c>
      <c r="V829">
        <f>IF(ISBLANK('Data Entry'!V829), "", 'Data Entry'!V829)</f>
      </c>
      <c r="W829">
        <f>IF(ISBLANK('Data Entry'!W829), "", 'Data Entry'!W829)</f>
      </c>
      <c r="X829">
        <f>IF(ISBLANK('Data Entry'!X829), "", 'Data Entry'!X829)</f>
      </c>
      <c r="Y829">
        <f>IF(ISBLANK('Data Entry'!Y829), "", 'Data Entry'!Y829)</f>
      </c>
      <c r="Z829">
        <f>IF(ISBLANK('Data Entry'!Z829), "", 'Data Entry'!Z829)</f>
      </c>
      <c r="AA829">
        <f>IF(ISBLANK('Data Entry'![829), "", 'Data Entry'![829)</f>
      </c>
      <c r="AB829">
        <f>IF(ISBLANK('Data Entry'!\829), "", 'Data Entry'!\829)</f>
      </c>
      <c r="AC829">
        <f>IF(ISBLANK('Data Entry'!]829), "", 'Data Entry'!]829)</f>
      </c>
      <c r="AD829">
        <f>IF(ISBLANK('Data Entry'!^829), "", 'Data Entry'!^829)</f>
      </c>
      <c r="AE829">
        <f>IF(ISBLANK('Data Entry'!_829), "", 'Data Entry'!_829)</f>
      </c>
      <c r="AF829">
        <f>IF(ISBLANK('Data Entry'!`829), "", 'Data Entry'!`829)</f>
      </c>
      <c r="AG829">
        <f>IF(ISBLANK('Data Entry'!a829), "", 'Data Entry'!a829)</f>
      </c>
      <c r="AH829">
        <f>IF(ISBLANK('Data Entry'!b829), "", 'Data Entry'!b829)</f>
      </c>
      <c r="AI829">
        <f>IF(ISBLANK('Data Entry'!c829), "", 'Data Entry'!c829)</f>
      </c>
      <c r="AJ829">
        <f>IF(ISBLANK('Data Entry'!d829), "", 'Data Entry'!d829)</f>
      </c>
      <c r="AK829">
        <f>IF(ISBLANK('Data Entry'!e829), "", 'Data Entry'!e829)</f>
      </c>
      <c r="AL829">
        <f>IF(ISBLANK('Data Entry'!f829), "", 'Data Entry'!f829)</f>
      </c>
      <c r="AM829">
        <f>IF(ISBLANK('Data Entry'!g829), "", 'Data Entry'!g829)</f>
      </c>
      <c r="AN829">
        <f>IF(ISBLANK('Data Entry'!h829), "", 'Data Entry'!h829)</f>
      </c>
    </row>
    <row r="830" spans="1:40" x14ac:dyDescent="0.25">
      <c r="A830">
        <f>IF(ISBLANK('Data Entry'!A830), "", 'Data Entry'!A830)</f>
      </c>
      <c r="B830">
        <f>IF(ISBLANK('Data Entry'!B830), "", 'Data Entry'!B830)</f>
      </c>
      <c r="C830">
        <f>IF(ISBLANK('Data Entry'!C830), "", 'Data Entry'!C830)</f>
      </c>
      <c r="D830">
        <f>IF(ISBLANK('Data Entry'!D830), "", 'Data Entry'!D830)</f>
      </c>
      <c r="E830">
        <f>IF(ISBLANK('Data Entry'!E830), "", 'Data Entry'!E830)</f>
      </c>
      <c r="F830">
        <f>IF(ISBLANK('Data Entry'!F830), "", 'Data Entry'!F830)</f>
      </c>
      <c r="G830">
        <f>IF(ISBLANK('Data Entry'!G830), "", 'Data Entry'!G830)</f>
      </c>
      <c r="H830">
        <f>IF(ISBLANK('Data Entry'!H830), "", 'Data Entry'!H830)</f>
      </c>
      <c r="I830">
        <f>IF(ISBLANK('Data Entry'!I830), "", 'Data Entry'!I830)</f>
      </c>
      <c r="J830">
        <f>IF(ISBLANK('Data Entry'!J830), "", 'Data Entry'!J830)</f>
      </c>
      <c r="K830">
        <f>IF(ISBLANK('Data Entry'!K830), "", 'Data Entry'!K830)</f>
      </c>
      <c r="L830">
        <f>IF(ISBLANK('Data Entry'!L830), "", 'Data Entry'!L830)</f>
      </c>
      <c r="M830">
        <f>IF(ISBLANK('Data Entry'!M830), "", 'Data Entry'!M830)</f>
      </c>
      <c r="N830">
        <f>IF(ISBLANK('Data Entry'!N830), "", 'Data Entry'!N830)</f>
      </c>
      <c r="O830">
        <f>IF(ISBLANK('Data Entry'!O830), "", 'Data Entry'!O830)</f>
      </c>
      <c r="P830">
        <f>IF(ISBLANK('Data Entry'!P830), "", 'Data Entry'!P830)</f>
      </c>
      <c r="Q830">
        <f>IF(ISBLANK('Data Entry'!Q830), "", 'Data Entry'!Q830)</f>
      </c>
      <c r="R830">
        <f>IF(ISBLANK('Data Entry'!R830), "", 'Data Entry'!R830)</f>
      </c>
      <c r="S830">
        <f>IF(ISBLANK('Data Entry'!S830), "", 'Data Entry'!S830)</f>
      </c>
      <c r="T830">
        <f>IF(ISBLANK('Data Entry'!T830), "", 'Data Entry'!T830)</f>
      </c>
      <c r="U830">
        <f>IF(ISBLANK('Data Entry'!U830), "", 'Data Entry'!U830)</f>
      </c>
      <c r="V830">
        <f>IF(ISBLANK('Data Entry'!V830), "", 'Data Entry'!V830)</f>
      </c>
      <c r="W830">
        <f>IF(ISBLANK('Data Entry'!W830), "", 'Data Entry'!W830)</f>
      </c>
      <c r="X830">
        <f>IF(ISBLANK('Data Entry'!X830), "", 'Data Entry'!X830)</f>
      </c>
      <c r="Y830">
        <f>IF(ISBLANK('Data Entry'!Y830), "", 'Data Entry'!Y830)</f>
      </c>
      <c r="Z830">
        <f>IF(ISBLANK('Data Entry'!Z830), "", 'Data Entry'!Z830)</f>
      </c>
      <c r="AA830">
        <f>IF(ISBLANK('Data Entry'![830), "", 'Data Entry'![830)</f>
      </c>
      <c r="AB830">
        <f>IF(ISBLANK('Data Entry'!\830), "", 'Data Entry'!\830)</f>
      </c>
      <c r="AC830">
        <f>IF(ISBLANK('Data Entry'!]830), "", 'Data Entry'!]830)</f>
      </c>
      <c r="AD830">
        <f>IF(ISBLANK('Data Entry'!^830), "", 'Data Entry'!^830)</f>
      </c>
      <c r="AE830">
        <f>IF(ISBLANK('Data Entry'!_830), "", 'Data Entry'!_830)</f>
      </c>
      <c r="AF830">
        <f>IF(ISBLANK('Data Entry'!`830), "", 'Data Entry'!`830)</f>
      </c>
      <c r="AG830">
        <f>IF(ISBLANK('Data Entry'!a830), "", 'Data Entry'!a830)</f>
      </c>
      <c r="AH830">
        <f>IF(ISBLANK('Data Entry'!b830), "", 'Data Entry'!b830)</f>
      </c>
      <c r="AI830">
        <f>IF(ISBLANK('Data Entry'!c830), "", 'Data Entry'!c830)</f>
      </c>
      <c r="AJ830">
        <f>IF(ISBLANK('Data Entry'!d830), "", 'Data Entry'!d830)</f>
      </c>
      <c r="AK830">
        <f>IF(ISBLANK('Data Entry'!e830), "", 'Data Entry'!e830)</f>
      </c>
      <c r="AL830">
        <f>IF(ISBLANK('Data Entry'!f830), "", 'Data Entry'!f830)</f>
      </c>
      <c r="AM830">
        <f>IF(ISBLANK('Data Entry'!g830), "", 'Data Entry'!g830)</f>
      </c>
      <c r="AN830">
        <f>IF(ISBLANK('Data Entry'!h830), "", 'Data Entry'!h830)</f>
      </c>
    </row>
    <row r="831" spans="1:40" x14ac:dyDescent="0.25">
      <c r="A831">
        <f>IF(ISBLANK('Data Entry'!A831), "", 'Data Entry'!A831)</f>
      </c>
      <c r="B831">
        <f>IF(ISBLANK('Data Entry'!B831), "", 'Data Entry'!B831)</f>
      </c>
      <c r="C831">
        <f>IF(ISBLANK('Data Entry'!C831), "", 'Data Entry'!C831)</f>
      </c>
      <c r="D831">
        <f>IF(ISBLANK('Data Entry'!D831), "", 'Data Entry'!D831)</f>
      </c>
      <c r="E831">
        <f>IF(ISBLANK('Data Entry'!E831), "", 'Data Entry'!E831)</f>
      </c>
      <c r="F831">
        <f>IF(ISBLANK('Data Entry'!F831), "", 'Data Entry'!F831)</f>
      </c>
      <c r="G831">
        <f>IF(ISBLANK('Data Entry'!G831), "", 'Data Entry'!G831)</f>
      </c>
      <c r="H831">
        <f>IF(ISBLANK('Data Entry'!H831), "", 'Data Entry'!H831)</f>
      </c>
      <c r="I831">
        <f>IF(ISBLANK('Data Entry'!I831), "", 'Data Entry'!I831)</f>
      </c>
      <c r="J831">
        <f>IF(ISBLANK('Data Entry'!J831), "", 'Data Entry'!J831)</f>
      </c>
      <c r="K831">
        <f>IF(ISBLANK('Data Entry'!K831), "", 'Data Entry'!K831)</f>
      </c>
      <c r="L831">
        <f>IF(ISBLANK('Data Entry'!L831), "", 'Data Entry'!L831)</f>
      </c>
      <c r="M831">
        <f>IF(ISBLANK('Data Entry'!M831), "", 'Data Entry'!M831)</f>
      </c>
      <c r="N831">
        <f>IF(ISBLANK('Data Entry'!N831), "", 'Data Entry'!N831)</f>
      </c>
      <c r="O831">
        <f>IF(ISBLANK('Data Entry'!O831), "", 'Data Entry'!O831)</f>
      </c>
      <c r="P831">
        <f>IF(ISBLANK('Data Entry'!P831), "", 'Data Entry'!P831)</f>
      </c>
      <c r="Q831">
        <f>IF(ISBLANK('Data Entry'!Q831), "", 'Data Entry'!Q831)</f>
      </c>
      <c r="R831">
        <f>IF(ISBLANK('Data Entry'!R831), "", 'Data Entry'!R831)</f>
      </c>
      <c r="S831">
        <f>IF(ISBLANK('Data Entry'!S831), "", 'Data Entry'!S831)</f>
      </c>
      <c r="T831">
        <f>IF(ISBLANK('Data Entry'!T831), "", 'Data Entry'!T831)</f>
      </c>
      <c r="U831">
        <f>IF(ISBLANK('Data Entry'!U831), "", 'Data Entry'!U831)</f>
      </c>
      <c r="V831">
        <f>IF(ISBLANK('Data Entry'!V831), "", 'Data Entry'!V831)</f>
      </c>
      <c r="W831">
        <f>IF(ISBLANK('Data Entry'!W831), "", 'Data Entry'!W831)</f>
      </c>
      <c r="X831">
        <f>IF(ISBLANK('Data Entry'!X831), "", 'Data Entry'!X831)</f>
      </c>
      <c r="Y831">
        <f>IF(ISBLANK('Data Entry'!Y831), "", 'Data Entry'!Y831)</f>
      </c>
      <c r="Z831">
        <f>IF(ISBLANK('Data Entry'!Z831), "", 'Data Entry'!Z831)</f>
      </c>
      <c r="AA831">
        <f>IF(ISBLANK('Data Entry'![831), "", 'Data Entry'![831)</f>
      </c>
      <c r="AB831">
        <f>IF(ISBLANK('Data Entry'!\831), "", 'Data Entry'!\831)</f>
      </c>
      <c r="AC831">
        <f>IF(ISBLANK('Data Entry'!]831), "", 'Data Entry'!]831)</f>
      </c>
      <c r="AD831">
        <f>IF(ISBLANK('Data Entry'!^831), "", 'Data Entry'!^831)</f>
      </c>
      <c r="AE831">
        <f>IF(ISBLANK('Data Entry'!_831), "", 'Data Entry'!_831)</f>
      </c>
      <c r="AF831">
        <f>IF(ISBLANK('Data Entry'!`831), "", 'Data Entry'!`831)</f>
      </c>
      <c r="AG831">
        <f>IF(ISBLANK('Data Entry'!a831), "", 'Data Entry'!a831)</f>
      </c>
      <c r="AH831">
        <f>IF(ISBLANK('Data Entry'!b831), "", 'Data Entry'!b831)</f>
      </c>
      <c r="AI831">
        <f>IF(ISBLANK('Data Entry'!c831), "", 'Data Entry'!c831)</f>
      </c>
      <c r="AJ831">
        <f>IF(ISBLANK('Data Entry'!d831), "", 'Data Entry'!d831)</f>
      </c>
      <c r="AK831">
        <f>IF(ISBLANK('Data Entry'!e831), "", 'Data Entry'!e831)</f>
      </c>
      <c r="AL831">
        <f>IF(ISBLANK('Data Entry'!f831), "", 'Data Entry'!f831)</f>
      </c>
      <c r="AM831">
        <f>IF(ISBLANK('Data Entry'!g831), "", 'Data Entry'!g831)</f>
      </c>
      <c r="AN831">
        <f>IF(ISBLANK('Data Entry'!h831), "", 'Data Entry'!h831)</f>
      </c>
    </row>
    <row r="832" spans="1:40" x14ac:dyDescent="0.25">
      <c r="A832">
        <f>IF(ISBLANK('Data Entry'!A832), "", 'Data Entry'!A832)</f>
      </c>
      <c r="B832">
        <f>IF(ISBLANK('Data Entry'!B832), "", 'Data Entry'!B832)</f>
      </c>
      <c r="C832">
        <f>IF(ISBLANK('Data Entry'!C832), "", 'Data Entry'!C832)</f>
      </c>
      <c r="D832">
        <f>IF(ISBLANK('Data Entry'!D832), "", 'Data Entry'!D832)</f>
      </c>
      <c r="E832">
        <f>IF(ISBLANK('Data Entry'!E832), "", 'Data Entry'!E832)</f>
      </c>
      <c r="F832">
        <f>IF(ISBLANK('Data Entry'!F832), "", 'Data Entry'!F832)</f>
      </c>
      <c r="G832">
        <f>IF(ISBLANK('Data Entry'!G832), "", 'Data Entry'!G832)</f>
      </c>
      <c r="H832">
        <f>IF(ISBLANK('Data Entry'!H832), "", 'Data Entry'!H832)</f>
      </c>
      <c r="I832">
        <f>IF(ISBLANK('Data Entry'!I832), "", 'Data Entry'!I832)</f>
      </c>
      <c r="J832">
        <f>IF(ISBLANK('Data Entry'!J832), "", 'Data Entry'!J832)</f>
      </c>
      <c r="K832">
        <f>IF(ISBLANK('Data Entry'!K832), "", 'Data Entry'!K832)</f>
      </c>
      <c r="L832">
        <f>IF(ISBLANK('Data Entry'!L832), "", 'Data Entry'!L832)</f>
      </c>
      <c r="M832">
        <f>IF(ISBLANK('Data Entry'!M832), "", 'Data Entry'!M832)</f>
      </c>
      <c r="N832">
        <f>IF(ISBLANK('Data Entry'!N832), "", 'Data Entry'!N832)</f>
      </c>
      <c r="O832">
        <f>IF(ISBLANK('Data Entry'!O832), "", 'Data Entry'!O832)</f>
      </c>
      <c r="P832">
        <f>IF(ISBLANK('Data Entry'!P832), "", 'Data Entry'!P832)</f>
      </c>
      <c r="Q832">
        <f>IF(ISBLANK('Data Entry'!Q832), "", 'Data Entry'!Q832)</f>
      </c>
      <c r="R832">
        <f>IF(ISBLANK('Data Entry'!R832), "", 'Data Entry'!R832)</f>
      </c>
      <c r="S832">
        <f>IF(ISBLANK('Data Entry'!S832), "", 'Data Entry'!S832)</f>
      </c>
      <c r="T832">
        <f>IF(ISBLANK('Data Entry'!T832), "", 'Data Entry'!T832)</f>
      </c>
      <c r="U832">
        <f>IF(ISBLANK('Data Entry'!U832), "", 'Data Entry'!U832)</f>
      </c>
      <c r="V832">
        <f>IF(ISBLANK('Data Entry'!V832), "", 'Data Entry'!V832)</f>
      </c>
      <c r="W832">
        <f>IF(ISBLANK('Data Entry'!W832), "", 'Data Entry'!W832)</f>
      </c>
      <c r="X832">
        <f>IF(ISBLANK('Data Entry'!X832), "", 'Data Entry'!X832)</f>
      </c>
      <c r="Y832">
        <f>IF(ISBLANK('Data Entry'!Y832), "", 'Data Entry'!Y832)</f>
      </c>
      <c r="Z832">
        <f>IF(ISBLANK('Data Entry'!Z832), "", 'Data Entry'!Z832)</f>
      </c>
      <c r="AA832">
        <f>IF(ISBLANK('Data Entry'![832), "", 'Data Entry'![832)</f>
      </c>
      <c r="AB832">
        <f>IF(ISBLANK('Data Entry'!\832), "", 'Data Entry'!\832)</f>
      </c>
      <c r="AC832">
        <f>IF(ISBLANK('Data Entry'!]832), "", 'Data Entry'!]832)</f>
      </c>
      <c r="AD832">
        <f>IF(ISBLANK('Data Entry'!^832), "", 'Data Entry'!^832)</f>
      </c>
      <c r="AE832">
        <f>IF(ISBLANK('Data Entry'!_832), "", 'Data Entry'!_832)</f>
      </c>
      <c r="AF832">
        <f>IF(ISBLANK('Data Entry'!`832), "", 'Data Entry'!`832)</f>
      </c>
      <c r="AG832">
        <f>IF(ISBLANK('Data Entry'!a832), "", 'Data Entry'!a832)</f>
      </c>
      <c r="AH832">
        <f>IF(ISBLANK('Data Entry'!b832), "", 'Data Entry'!b832)</f>
      </c>
      <c r="AI832">
        <f>IF(ISBLANK('Data Entry'!c832), "", 'Data Entry'!c832)</f>
      </c>
      <c r="AJ832">
        <f>IF(ISBLANK('Data Entry'!d832), "", 'Data Entry'!d832)</f>
      </c>
      <c r="AK832">
        <f>IF(ISBLANK('Data Entry'!e832), "", 'Data Entry'!e832)</f>
      </c>
      <c r="AL832">
        <f>IF(ISBLANK('Data Entry'!f832), "", 'Data Entry'!f832)</f>
      </c>
      <c r="AM832">
        <f>IF(ISBLANK('Data Entry'!g832), "", 'Data Entry'!g832)</f>
      </c>
      <c r="AN832">
        <f>IF(ISBLANK('Data Entry'!h832), "", 'Data Entry'!h832)</f>
      </c>
    </row>
    <row r="833" spans="1:40" x14ac:dyDescent="0.25">
      <c r="A833">
        <f>IF(ISBLANK('Data Entry'!A833), "", 'Data Entry'!A833)</f>
      </c>
      <c r="B833">
        <f>IF(ISBLANK('Data Entry'!B833), "", 'Data Entry'!B833)</f>
      </c>
      <c r="C833">
        <f>IF(ISBLANK('Data Entry'!C833), "", 'Data Entry'!C833)</f>
      </c>
      <c r="D833">
        <f>IF(ISBLANK('Data Entry'!D833), "", 'Data Entry'!D833)</f>
      </c>
      <c r="E833">
        <f>IF(ISBLANK('Data Entry'!E833), "", 'Data Entry'!E833)</f>
      </c>
      <c r="F833">
        <f>IF(ISBLANK('Data Entry'!F833), "", 'Data Entry'!F833)</f>
      </c>
      <c r="G833">
        <f>IF(ISBLANK('Data Entry'!G833), "", 'Data Entry'!G833)</f>
      </c>
      <c r="H833">
        <f>IF(ISBLANK('Data Entry'!H833), "", 'Data Entry'!H833)</f>
      </c>
      <c r="I833">
        <f>IF(ISBLANK('Data Entry'!I833), "", 'Data Entry'!I833)</f>
      </c>
      <c r="J833">
        <f>IF(ISBLANK('Data Entry'!J833), "", 'Data Entry'!J833)</f>
      </c>
      <c r="K833">
        <f>IF(ISBLANK('Data Entry'!K833), "", 'Data Entry'!K833)</f>
      </c>
      <c r="L833">
        <f>IF(ISBLANK('Data Entry'!L833), "", 'Data Entry'!L833)</f>
      </c>
      <c r="M833">
        <f>IF(ISBLANK('Data Entry'!M833), "", 'Data Entry'!M833)</f>
      </c>
      <c r="N833">
        <f>IF(ISBLANK('Data Entry'!N833), "", 'Data Entry'!N833)</f>
      </c>
      <c r="O833">
        <f>IF(ISBLANK('Data Entry'!O833), "", 'Data Entry'!O833)</f>
      </c>
      <c r="P833">
        <f>IF(ISBLANK('Data Entry'!P833), "", 'Data Entry'!P833)</f>
      </c>
      <c r="Q833">
        <f>IF(ISBLANK('Data Entry'!Q833), "", 'Data Entry'!Q833)</f>
      </c>
      <c r="R833">
        <f>IF(ISBLANK('Data Entry'!R833), "", 'Data Entry'!R833)</f>
      </c>
      <c r="S833">
        <f>IF(ISBLANK('Data Entry'!S833), "", 'Data Entry'!S833)</f>
      </c>
      <c r="T833">
        <f>IF(ISBLANK('Data Entry'!T833), "", 'Data Entry'!T833)</f>
      </c>
      <c r="U833">
        <f>IF(ISBLANK('Data Entry'!U833), "", 'Data Entry'!U833)</f>
      </c>
      <c r="V833">
        <f>IF(ISBLANK('Data Entry'!V833), "", 'Data Entry'!V833)</f>
      </c>
      <c r="W833">
        <f>IF(ISBLANK('Data Entry'!W833), "", 'Data Entry'!W833)</f>
      </c>
      <c r="X833">
        <f>IF(ISBLANK('Data Entry'!X833), "", 'Data Entry'!X833)</f>
      </c>
      <c r="Y833">
        <f>IF(ISBLANK('Data Entry'!Y833), "", 'Data Entry'!Y833)</f>
      </c>
      <c r="Z833">
        <f>IF(ISBLANK('Data Entry'!Z833), "", 'Data Entry'!Z833)</f>
      </c>
      <c r="AA833">
        <f>IF(ISBLANK('Data Entry'![833), "", 'Data Entry'![833)</f>
      </c>
      <c r="AB833">
        <f>IF(ISBLANK('Data Entry'!\833), "", 'Data Entry'!\833)</f>
      </c>
      <c r="AC833">
        <f>IF(ISBLANK('Data Entry'!]833), "", 'Data Entry'!]833)</f>
      </c>
      <c r="AD833">
        <f>IF(ISBLANK('Data Entry'!^833), "", 'Data Entry'!^833)</f>
      </c>
      <c r="AE833">
        <f>IF(ISBLANK('Data Entry'!_833), "", 'Data Entry'!_833)</f>
      </c>
      <c r="AF833">
        <f>IF(ISBLANK('Data Entry'!`833), "", 'Data Entry'!`833)</f>
      </c>
      <c r="AG833">
        <f>IF(ISBLANK('Data Entry'!a833), "", 'Data Entry'!a833)</f>
      </c>
      <c r="AH833">
        <f>IF(ISBLANK('Data Entry'!b833), "", 'Data Entry'!b833)</f>
      </c>
      <c r="AI833">
        <f>IF(ISBLANK('Data Entry'!c833), "", 'Data Entry'!c833)</f>
      </c>
      <c r="AJ833">
        <f>IF(ISBLANK('Data Entry'!d833), "", 'Data Entry'!d833)</f>
      </c>
      <c r="AK833">
        <f>IF(ISBLANK('Data Entry'!e833), "", 'Data Entry'!e833)</f>
      </c>
      <c r="AL833">
        <f>IF(ISBLANK('Data Entry'!f833), "", 'Data Entry'!f833)</f>
      </c>
      <c r="AM833">
        <f>IF(ISBLANK('Data Entry'!g833), "", 'Data Entry'!g833)</f>
      </c>
      <c r="AN833">
        <f>IF(ISBLANK('Data Entry'!h833), "", 'Data Entry'!h833)</f>
      </c>
    </row>
    <row r="834" spans="1:40" x14ac:dyDescent="0.25">
      <c r="A834">
        <f>IF(ISBLANK('Data Entry'!A834), "", 'Data Entry'!A834)</f>
      </c>
      <c r="B834">
        <f>IF(ISBLANK('Data Entry'!B834), "", 'Data Entry'!B834)</f>
      </c>
      <c r="C834">
        <f>IF(ISBLANK('Data Entry'!C834), "", 'Data Entry'!C834)</f>
      </c>
      <c r="D834">
        <f>IF(ISBLANK('Data Entry'!D834), "", 'Data Entry'!D834)</f>
      </c>
      <c r="E834">
        <f>IF(ISBLANK('Data Entry'!E834), "", 'Data Entry'!E834)</f>
      </c>
      <c r="F834">
        <f>IF(ISBLANK('Data Entry'!F834), "", 'Data Entry'!F834)</f>
      </c>
      <c r="G834">
        <f>IF(ISBLANK('Data Entry'!G834), "", 'Data Entry'!G834)</f>
      </c>
      <c r="H834">
        <f>IF(ISBLANK('Data Entry'!H834), "", 'Data Entry'!H834)</f>
      </c>
      <c r="I834">
        <f>IF(ISBLANK('Data Entry'!I834), "", 'Data Entry'!I834)</f>
      </c>
      <c r="J834">
        <f>IF(ISBLANK('Data Entry'!J834), "", 'Data Entry'!J834)</f>
      </c>
      <c r="K834">
        <f>IF(ISBLANK('Data Entry'!K834), "", 'Data Entry'!K834)</f>
      </c>
      <c r="L834">
        <f>IF(ISBLANK('Data Entry'!L834), "", 'Data Entry'!L834)</f>
      </c>
      <c r="M834">
        <f>IF(ISBLANK('Data Entry'!M834), "", 'Data Entry'!M834)</f>
      </c>
      <c r="N834">
        <f>IF(ISBLANK('Data Entry'!N834), "", 'Data Entry'!N834)</f>
      </c>
      <c r="O834">
        <f>IF(ISBLANK('Data Entry'!O834), "", 'Data Entry'!O834)</f>
      </c>
      <c r="P834">
        <f>IF(ISBLANK('Data Entry'!P834), "", 'Data Entry'!P834)</f>
      </c>
      <c r="Q834">
        <f>IF(ISBLANK('Data Entry'!Q834), "", 'Data Entry'!Q834)</f>
      </c>
      <c r="R834">
        <f>IF(ISBLANK('Data Entry'!R834), "", 'Data Entry'!R834)</f>
      </c>
      <c r="S834">
        <f>IF(ISBLANK('Data Entry'!S834), "", 'Data Entry'!S834)</f>
      </c>
      <c r="T834">
        <f>IF(ISBLANK('Data Entry'!T834), "", 'Data Entry'!T834)</f>
      </c>
      <c r="U834">
        <f>IF(ISBLANK('Data Entry'!U834), "", 'Data Entry'!U834)</f>
      </c>
      <c r="V834">
        <f>IF(ISBLANK('Data Entry'!V834), "", 'Data Entry'!V834)</f>
      </c>
      <c r="W834">
        <f>IF(ISBLANK('Data Entry'!W834), "", 'Data Entry'!W834)</f>
      </c>
      <c r="X834">
        <f>IF(ISBLANK('Data Entry'!X834), "", 'Data Entry'!X834)</f>
      </c>
      <c r="Y834">
        <f>IF(ISBLANK('Data Entry'!Y834), "", 'Data Entry'!Y834)</f>
      </c>
      <c r="Z834">
        <f>IF(ISBLANK('Data Entry'!Z834), "", 'Data Entry'!Z834)</f>
      </c>
      <c r="AA834">
        <f>IF(ISBLANK('Data Entry'![834), "", 'Data Entry'![834)</f>
      </c>
      <c r="AB834">
        <f>IF(ISBLANK('Data Entry'!\834), "", 'Data Entry'!\834)</f>
      </c>
      <c r="AC834">
        <f>IF(ISBLANK('Data Entry'!]834), "", 'Data Entry'!]834)</f>
      </c>
      <c r="AD834">
        <f>IF(ISBLANK('Data Entry'!^834), "", 'Data Entry'!^834)</f>
      </c>
      <c r="AE834">
        <f>IF(ISBLANK('Data Entry'!_834), "", 'Data Entry'!_834)</f>
      </c>
      <c r="AF834">
        <f>IF(ISBLANK('Data Entry'!`834), "", 'Data Entry'!`834)</f>
      </c>
      <c r="AG834">
        <f>IF(ISBLANK('Data Entry'!a834), "", 'Data Entry'!a834)</f>
      </c>
      <c r="AH834">
        <f>IF(ISBLANK('Data Entry'!b834), "", 'Data Entry'!b834)</f>
      </c>
      <c r="AI834">
        <f>IF(ISBLANK('Data Entry'!c834), "", 'Data Entry'!c834)</f>
      </c>
      <c r="AJ834">
        <f>IF(ISBLANK('Data Entry'!d834), "", 'Data Entry'!d834)</f>
      </c>
      <c r="AK834">
        <f>IF(ISBLANK('Data Entry'!e834), "", 'Data Entry'!e834)</f>
      </c>
      <c r="AL834">
        <f>IF(ISBLANK('Data Entry'!f834), "", 'Data Entry'!f834)</f>
      </c>
      <c r="AM834">
        <f>IF(ISBLANK('Data Entry'!g834), "", 'Data Entry'!g834)</f>
      </c>
      <c r="AN834">
        <f>IF(ISBLANK('Data Entry'!h834), "", 'Data Entry'!h834)</f>
      </c>
    </row>
    <row r="835" spans="1:40" x14ac:dyDescent="0.25">
      <c r="A835">
        <f>IF(ISBLANK('Data Entry'!A835), "", 'Data Entry'!A835)</f>
      </c>
      <c r="B835">
        <f>IF(ISBLANK('Data Entry'!B835), "", 'Data Entry'!B835)</f>
      </c>
      <c r="C835">
        <f>IF(ISBLANK('Data Entry'!C835), "", 'Data Entry'!C835)</f>
      </c>
      <c r="D835">
        <f>IF(ISBLANK('Data Entry'!D835), "", 'Data Entry'!D835)</f>
      </c>
      <c r="E835">
        <f>IF(ISBLANK('Data Entry'!E835), "", 'Data Entry'!E835)</f>
      </c>
      <c r="F835">
        <f>IF(ISBLANK('Data Entry'!F835), "", 'Data Entry'!F835)</f>
      </c>
      <c r="G835">
        <f>IF(ISBLANK('Data Entry'!G835), "", 'Data Entry'!G835)</f>
      </c>
      <c r="H835">
        <f>IF(ISBLANK('Data Entry'!H835), "", 'Data Entry'!H835)</f>
      </c>
      <c r="I835">
        <f>IF(ISBLANK('Data Entry'!I835), "", 'Data Entry'!I835)</f>
      </c>
      <c r="J835">
        <f>IF(ISBLANK('Data Entry'!J835), "", 'Data Entry'!J835)</f>
      </c>
      <c r="K835">
        <f>IF(ISBLANK('Data Entry'!K835), "", 'Data Entry'!K835)</f>
      </c>
      <c r="L835">
        <f>IF(ISBLANK('Data Entry'!L835), "", 'Data Entry'!L835)</f>
      </c>
      <c r="M835">
        <f>IF(ISBLANK('Data Entry'!M835), "", 'Data Entry'!M835)</f>
      </c>
      <c r="N835">
        <f>IF(ISBLANK('Data Entry'!N835), "", 'Data Entry'!N835)</f>
      </c>
      <c r="O835">
        <f>IF(ISBLANK('Data Entry'!O835), "", 'Data Entry'!O835)</f>
      </c>
      <c r="P835">
        <f>IF(ISBLANK('Data Entry'!P835), "", 'Data Entry'!P835)</f>
      </c>
      <c r="Q835">
        <f>IF(ISBLANK('Data Entry'!Q835), "", 'Data Entry'!Q835)</f>
      </c>
      <c r="R835">
        <f>IF(ISBLANK('Data Entry'!R835), "", 'Data Entry'!R835)</f>
      </c>
      <c r="S835">
        <f>IF(ISBLANK('Data Entry'!S835), "", 'Data Entry'!S835)</f>
      </c>
      <c r="T835">
        <f>IF(ISBLANK('Data Entry'!T835), "", 'Data Entry'!T835)</f>
      </c>
      <c r="U835">
        <f>IF(ISBLANK('Data Entry'!U835), "", 'Data Entry'!U835)</f>
      </c>
      <c r="V835">
        <f>IF(ISBLANK('Data Entry'!V835), "", 'Data Entry'!V835)</f>
      </c>
      <c r="W835">
        <f>IF(ISBLANK('Data Entry'!W835), "", 'Data Entry'!W835)</f>
      </c>
      <c r="X835">
        <f>IF(ISBLANK('Data Entry'!X835), "", 'Data Entry'!X835)</f>
      </c>
      <c r="Y835">
        <f>IF(ISBLANK('Data Entry'!Y835), "", 'Data Entry'!Y835)</f>
      </c>
      <c r="Z835">
        <f>IF(ISBLANK('Data Entry'!Z835), "", 'Data Entry'!Z835)</f>
      </c>
      <c r="AA835">
        <f>IF(ISBLANK('Data Entry'![835), "", 'Data Entry'![835)</f>
      </c>
      <c r="AB835">
        <f>IF(ISBLANK('Data Entry'!\835), "", 'Data Entry'!\835)</f>
      </c>
      <c r="AC835">
        <f>IF(ISBLANK('Data Entry'!]835), "", 'Data Entry'!]835)</f>
      </c>
      <c r="AD835">
        <f>IF(ISBLANK('Data Entry'!^835), "", 'Data Entry'!^835)</f>
      </c>
      <c r="AE835">
        <f>IF(ISBLANK('Data Entry'!_835), "", 'Data Entry'!_835)</f>
      </c>
      <c r="AF835">
        <f>IF(ISBLANK('Data Entry'!`835), "", 'Data Entry'!`835)</f>
      </c>
      <c r="AG835">
        <f>IF(ISBLANK('Data Entry'!a835), "", 'Data Entry'!a835)</f>
      </c>
      <c r="AH835">
        <f>IF(ISBLANK('Data Entry'!b835), "", 'Data Entry'!b835)</f>
      </c>
      <c r="AI835">
        <f>IF(ISBLANK('Data Entry'!c835), "", 'Data Entry'!c835)</f>
      </c>
      <c r="AJ835">
        <f>IF(ISBLANK('Data Entry'!d835), "", 'Data Entry'!d835)</f>
      </c>
      <c r="AK835">
        <f>IF(ISBLANK('Data Entry'!e835), "", 'Data Entry'!e835)</f>
      </c>
      <c r="AL835">
        <f>IF(ISBLANK('Data Entry'!f835), "", 'Data Entry'!f835)</f>
      </c>
      <c r="AM835">
        <f>IF(ISBLANK('Data Entry'!g835), "", 'Data Entry'!g835)</f>
      </c>
      <c r="AN835">
        <f>IF(ISBLANK('Data Entry'!h835), "", 'Data Entry'!h835)</f>
      </c>
    </row>
    <row r="836" spans="1:40" x14ac:dyDescent="0.25">
      <c r="A836">
        <f>IF(ISBLANK('Data Entry'!A836), "", 'Data Entry'!A836)</f>
      </c>
      <c r="B836">
        <f>IF(ISBLANK('Data Entry'!B836), "", 'Data Entry'!B836)</f>
      </c>
      <c r="C836">
        <f>IF(ISBLANK('Data Entry'!C836), "", 'Data Entry'!C836)</f>
      </c>
      <c r="D836">
        <f>IF(ISBLANK('Data Entry'!D836), "", 'Data Entry'!D836)</f>
      </c>
      <c r="E836">
        <f>IF(ISBLANK('Data Entry'!E836), "", 'Data Entry'!E836)</f>
      </c>
      <c r="F836">
        <f>IF(ISBLANK('Data Entry'!F836), "", 'Data Entry'!F836)</f>
      </c>
      <c r="G836">
        <f>IF(ISBLANK('Data Entry'!G836), "", 'Data Entry'!G836)</f>
      </c>
      <c r="H836">
        <f>IF(ISBLANK('Data Entry'!H836), "", 'Data Entry'!H836)</f>
      </c>
      <c r="I836">
        <f>IF(ISBLANK('Data Entry'!I836), "", 'Data Entry'!I836)</f>
      </c>
      <c r="J836">
        <f>IF(ISBLANK('Data Entry'!J836), "", 'Data Entry'!J836)</f>
      </c>
      <c r="K836">
        <f>IF(ISBLANK('Data Entry'!K836), "", 'Data Entry'!K836)</f>
      </c>
      <c r="L836">
        <f>IF(ISBLANK('Data Entry'!L836), "", 'Data Entry'!L836)</f>
      </c>
      <c r="M836">
        <f>IF(ISBLANK('Data Entry'!M836), "", 'Data Entry'!M836)</f>
      </c>
      <c r="N836">
        <f>IF(ISBLANK('Data Entry'!N836), "", 'Data Entry'!N836)</f>
      </c>
      <c r="O836">
        <f>IF(ISBLANK('Data Entry'!O836), "", 'Data Entry'!O836)</f>
      </c>
      <c r="P836">
        <f>IF(ISBLANK('Data Entry'!P836), "", 'Data Entry'!P836)</f>
      </c>
      <c r="Q836">
        <f>IF(ISBLANK('Data Entry'!Q836), "", 'Data Entry'!Q836)</f>
      </c>
      <c r="R836">
        <f>IF(ISBLANK('Data Entry'!R836), "", 'Data Entry'!R836)</f>
      </c>
      <c r="S836">
        <f>IF(ISBLANK('Data Entry'!S836), "", 'Data Entry'!S836)</f>
      </c>
      <c r="T836">
        <f>IF(ISBLANK('Data Entry'!T836), "", 'Data Entry'!T836)</f>
      </c>
      <c r="U836">
        <f>IF(ISBLANK('Data Entry'!U836), "", 'Data Entry'!U836)</f>
      </c>
      <c r="V836">
        <f>IF(ISBLANK('Data Entry'!V836), "", 'Data Entry'!V836)</f>
      </c>
      <c r="W836">
        <f>IF(ISBLANK('Data Entry'!W836), "", 'Data Entry'!W836)</f>
      </c>
      <c r="X836">
        <f>IF(ISBLANK('Data Entry'!X836), "", 'Data Entry'!X836)</f>
      </c>
      <c r="Y836">
        <f>IF(ISBLANK('Data Entry'!Y836), "", 'Data Entry'!Y836)</f>
      </c>
      <c r="Z836">
        <f>IF(ISBLANK('Data Entry'!Z836), "", 'Data Entry'!Z836)</f>
      </c>
      <c r="AA836">
        <f>IF(ISBLANK('Data Entry'![836), "", 'Data Entry'![836)</f>
      </c>
      <c r="AB836">
        <f>IF(ISBLANK('Data Entry'!\836), "", 'Data Entry'!\836)</f>
      </c>
      <c r="AC836">
        <f>IF(ISBLANK('Data Entry'!]836), "", 'Data Entry'!]836)</f>
      </c>
      <c r="AD836">
        <f>IF(ISBLANK('Data Entry'!^836), "", 'Data Entry'!^836)</f>
      </c>
      <c r="AE836">
        <f>IF(ISBLANK('Data Entry'!_836), "", 'Data Entry'!_836)</f>
      </c>
      <c r="AF836">
        <f>IF(ISBLANK('Data Entry'!`836), "", 'Data Entry'!`836)</f>
      </c>
      <c r="AG836">
        <f>IF(ISBLANK('Data Entry'!a836), "", 'Data Entry'!a836)</f>
      </c>
      <c r="AH836">
        <f>IF(ISBLANK('Data Entry'!b836), "", 'Data Entry'!b836)</f>
      </c>
      <c r="AI836">
        <f>IF(ISBLANK('Data Entry'!c836), "", 'Data Entry'!c836)</f>
      </c>
      <c r="AJ836">
        <f>IF(ISBLANK('Data Entry'!d836), "", 'Data Entry'!d836)</f>
      </c>
      <c r="AK836">
        <f>IF(ISBLANK('Data Entry'!e836), "", 'Data Entry'!e836)</f>
      </c>
      <c r="AL836">
        <f>IF(ISBLANK('Data Entry'!f836), "", 'Data Entry'!f836)</f>
      </c>
      <c r="AM836">
        <f>IF(ISBLANK('Data Entry'!g836), "", 'Data Entry'!g836)</f>
      </c>
      <c r="AN836">
        <f>IF(ISBLANK('Data Entry'!h836), "", 'Data Entry'!h836)</f>
      </c>
    </row>
    <row r="837" spans="1:40" x14ac:dyDescent="0.25">
      <c r="A837">
        <f>IF(ISBLANK('Data Entry'!A837), "", 'Data Entry'!A837)</f>
      </c>
      <c r="B837">
        <f>IF(ISBLANK('Data Entry'!B837), "", 'Data Entry'!B837)</f>
      </c>
      <c r="C837">
        <f>IF(ISBLANK('Data Entry'!C837), "", 'Data Entry'!C837)</f>
      </c>
      <c r="D837">
        <f>IF(ISBLANK('Data Entry'!D837), "", 'Data Entry'!D837)</f>
      </c>
      <c r="E837">
        <f>IF(ISBLANK('Data Entry'!E837), "", 'Data Entry'!E837)</f>
      </c>
      <c r="F837">
        <f>IF(ISBLANK('Data Entry'!F837), "", 'Data Entry'!F837)</f>
      </c>
      <c r="G837">
        <f>IF(ISBLANK('Data Entry'!G837), "", 'Data Entry'!G837)</f>
      </c>
      <c r="H837">
        <f>IF(ISBLANK('Data Entry'!H837), "", 'Data Entry'!H837)</f>
      </c>
      <c r="I837">
        <f>IF(ISBLANK('Data Entry'!I837), "", 'Data Entry'!I837)</f>
      </c>
      <c r="J837">
        <f>IF(ISBLANK('Data Entry'!J837), "", 'Data Entry'!J837)</f>
      </c>
      <c r="K837">
        <f>IF(ISBLANK('Data Entry'!K837), "", 'Data Entry'!K837)</f>
      </c>
      <c r="L837">
        <f>IF(ISBLANK('Data Entry'!L837), "", 'Data Entry'!L837)</f>
      </c>
      <c r="M837">
        <f>IF(ISBLANK('Data Entry'!M837), "", 'Data Entry'!M837)</f>
      </c>
      <c r="N837">
        <f>IF(ISBLANK('Data Entry'!N837), "", 'Data Entry'!N837)</f>
      </c>
      <c r="O837">
        <f>IF(ISBLANK('Data Entry'!O837), "", 'Data Entry'!O837)</f>
      </c>
      <c r="P837">
        <f>IF(ISBLANK('Data Entry'!P837), "", 'Data Entry'!P837)</f>
      </c>
      <c r="Q837">
        <f>IF(ISBLANK('Data Entry'!Q837), "", 'Data Entry'!Q837)</f>
      </c>
      <c r="R837">
        <f>IF(ISBLANK('Data Entry'!R837), "", 'Data Entry'!R837)</f>
      </c>
      <c r="S837">
        <f>IF(ISBLANK('Data Entry'!S837), "", 'Data Entry'!S837)</f>
      </c>
      <c r="T837">
        <f>IF(ISBLANK('Data Entry'!T837), "", 'Data Entry'!T837)</f>
      </c>
      <c r="U837">
        <f>IF(ISBLANK('Data Entry'!U837), "", 'Data Entry'!U837)</f>
      </c>
      <c r="V837">
        <f>IF(ISBLANK('Data Entry'!V837), "", 'Data Entry'!V837)</f>
      </c>
      <c r="W837">
        <f>IF(ISBLANK('Data Entry'!W837), "", 'Data Entry'!W837)</f>
      </c>
      <c r="X837">
        <f>IF(ISBLANK('Data Entry'!X837), "", 'Data Entry'!X837)</f>
      </c>
      <c r="Y837">
        <f>IF(ISBLANK('Data Entry'!Y837), "", 'Data Entry'!Y837)</f>
      </c>
      <c r="Z837">
        <f>IF(ISBLANK('Data Entry'!Z837), "", 'Data Entry'!Z837)</f>
      </c>
      <c r="AA837">
        <f>IF(ISBLANK('Data Entry'![837), "", 'Data Entry'![837)</f>
      </c>
      <c r="AB837">
        <f>IF(ISBLANK('Data Entry'!\837), "", 'Data Entry'!\837)</f>
      </c>
      <c r="AC837">
        <f>IF(ISBLANK('Data Entry'!]837), "", 'Data Entry'!]837)</f>
      </c>
      <c r="AD837">
        <f>IF(ISBLANK('Data Entry'!^837), "", 'Data Entry'!^837)</f>
      </c>
      <c r="AE837">
        <f>IF(ISBLANK('Data Entry'!_837), "", 'Data Entry'!_837)</f>
      </c>
      <c r="AF837">
        <f>IF(ISBLANK('Data Entry'!`837), "", 'Data Entry'!`837)</f>
      </c>
      <c r="AG837">
        <f>IF(ISBLANK('Data Entry'!a837), "", 'Data Entry'!a837)</f>
      </c>
      <c r="AH837">
        <f>IF(ISBLANK('Data Entry'!b837), "", 'Data Entry'!b837)</f>
      </c>
      <c r="AI837">
        <f>IF(ISBLANK('Data Entry'!c837), "", 'Data Entry'!c837)</f>
      </c>
      <c r="AJ837">
        <f>IF(ISBLANK('Data Entry'!d837), "", 'Data Entry'!d837)</f>
      </c>
      <c r="AK837">
        <f>IF(ISBLANK('Data Entry'!e837), "", 'Data Entry'!e837)</f>
      </c>
      <c r="AL837">
        <f>IF(ISBLANK('Data Entry'!f837), "", 'Data Entry'!f837)</f>
      </c>
      <c r="AM837">
        <f>IF(ISBLANK('Data Entry'!g837), "", 'Data Entry'!g837)</f>
      </c>
      <c r="AN837">
        <f>IF(ISBLANK('Data Entry'!h837), "", 'Data Entry'!h837)</f>
      </c>
    </row>
    <row r="838" spans="1:40" x14ac:dyDescent="0.25">
      <c r="A838">
        <f>IF(ISBLANK('Data Entry'!A838), "", 'Data Entry'!A838)</f>
      </c>
      <c r="B838">
        <f>IF(ISBLANK('Data Entry'!B838), "", 'Data Entry'!B838)</f>
      </c>
      <c r="C838">
        <f>IF(ISBLANK('Data Entry'!C838), "", 'Data Entry'!C838)</f>
      </c>
      <c r="D838">
        <f>IF(ISBLANK('Data Entry'!D838), "", 'Data Entry'!D838)</f>
      </c>
      <c r="E838">
        <f>IF(ISBLANK('Data Entry'!E838), "", 'Data Entry'!E838)</f>
      </c>
      <c r="F838">
        <f>IF(ISBLANK('Data Entry'!F838), "", 'Data Entry'!F838)</f>
      </c>
      <c r="G838">
        <f>IF(ISBLANK('Data Entry'!G838), "", 'Data Entry'!G838)</f>
      </c>
      <c r="H838">
        <f>IF(ISBLANK('Data Entry'!H838), "", 'Data Entry'!H838)</f>
      </c>
      <c r="I838">
        <f>IF(ISBLANK('Data Entry'!I838), "", 'Data Entry'!I838)</f>
      </c>
      <c r="J838">
        <f>IF(ISBLANK('Data Entry'!J838), "", 'Data Entry'!J838)</f>
      </c>
      <c r="K838">
        <f>IF(ISBLANK('Data Entry'!K838), "", 'Data Entry'!K838)</f>
      </c>
      <c r="L838">
        <f>IF(ISBLANK('Data Entry'!L838), "", 'Data Entry'!L838)</f>
      </c>
      <c r="M838">
        <f>IF(ISBLANK('Data Entry'!M838), "", 'Data Entry'!M838)</f>
      </c>
      <c r="N838">
        <f>IF(ISBLANK('Data Entry'!N838), "", 'Data Entry'!N838)</f>
      </c>
      <c r="O838">
        <f>IF(ISBLANK('Data Entry'!O838), "", 'Data Entry'!O838)</f>
      </c>
      <c r="P838">
        <f>IF(ISBLANK('Data Entry'!P838), "", 'Data Entry'!P838)</f>
      </c>
      <c r="Q838">
        <f>IF(ISBLANK('Data Entry'!Q838), "", 'Data Entry'!Q838)</f>
      </c>
      <c r="R838">
        <f>IF(ISBLANK('Data Entry'!R838), "", 'Data Entry'!R838)</f>
      </c>
      <c r="S838">
        <f>IF(ISBLANK('Data Entry'!S838), "", 'Data Entry'!S838)</f>
      </c>
      <c r="T838">
        <f>IF(ISBLANK('Data Entry'!T838), "", 'Data Entry'!T838)</f>
      </c>
      <c r="U838">
        <f>IF(ISBLANK('Data Entry'!U838), "", 'Data Entry'!U838)</f>
      </c>
      <c r="V838">
        <f>IF(ISBLANK('Data Entry'!V838), "", 'Data Entry'!V838)</f>
      </c>
      <c r="W838">
        <f>IF(ISBLANK('Data Entry'!W838), "", 'Data Entry'!W838)</f>
      </c>
      <c r="X838">
        <f>IF(ISBLANK('Data Entry'!X838), "", 'Data Entry'!X838)</f>
      </c>
      <c r="Y838">
        <f>IF(ISBLANK('Data Entry'!Y838), "", 'Data Entry'!Y838)</f>
      </c>
      <c r="Z838">
        <f>IF(ISBLANK('Data Entry'!Z838), "", 'Data Entry'!Z838)</f>
      </c>
      <c r="AA838">
        <f>IF(ISBLANK('Data Entry'![838), "", 'Data Entry'![838)</f>
      </c>
      <c r="AB838">
        <f>IF(ISBLANK('Data Entry'!\838), "", 'Data Entry'!\838)</f>
      </c>
      <c r="AC838">
        <f>IF(ISBLANK('Data Entry'!]838), "", 'Data Entry'!]838)</f>
      </c>
      <c r="AD838">
        <f>IF(ISBLANK('Data Entry'!^838), "", 'Data Entry'!^838)</f>
      </c>
      <c r="AE838">
        <f>IF(ISBLANK('Data Entry'!_838), "", 'Data Entry'!_838)</f>
      </c>
      <c r="AF838">
        <f>IF(ISBLANK('Data Entry'!`838), "", 'Data Entry'!`838)</f>
      </c>
      <c r="AG838">
        <f>IF(ISBLANK('Data Entry'!a838), "", 'Data Entry'!a838)</f>
      </c>
      <c r="AH838">
        <f>IF(ISBLANK('Data Entry'!b838), "", 'Data Entry'!b838)</f>
      </c>
      <c r="AI838">
        <f>IF(ISBLANK('Data Entry'!c838), "", 'Data Entry'!c838)</f>
      </c>
      <c r="AJ838">
        <f>IF(ISBLANK('Data Entry'!d838), "", 'Data Entry'!d838)</f>
      </c>
      <c r="AK838">
        <f>IF(ISBLANK('Data Entry'!e838), "", 'Data Entry'!e838)</f>
      </c>
      <c r="AL838">
        <f>IF(ISBLANK('Data Entry'!f838), "", 'Data Entry'!f838)</f>
      </c>
      <c r="AM838">
        <f>IF(ISBLANK('Data Entry'!g838), "", 'Data Entry'!g838)</f>
      </c>
      <c r="AN838">
        <f>IF(ISBLANK('Data Entry'!h838), "", 'Data Entry'!h838)</f>
      </c>
    </row>
    <row r="839" spans="1:40" x14ac:dyDescent="0.25">
      <c r="A839">
        <f>IF(ISBLANK('Data Entry'!A839), "", 'Data Entry'!A839)</f>
      </c>
      <c r="B839">
        <f>IF(ISBLANK('Data Entry'!B839), "", 'Data Entry'!B839)</f>
      </c>
      <c r="C839">
        <f>IF(ISBLANK('Data Entry'!C839), "", 'Data Entry'!C839)</f>
      </c>
      <c r="D839">
        <f>IF(ISBLANK('Data Entry'!D839), "", 'Data Entry'!D839)</f>
      </c>
      <c r="E839">
        <f>IF(ISBLANK('Data Entry'!E839), "", 'Data Entry'!E839)</f>
      </c>
      <c r="F839">
        <f>IF(ISBLANK('Data Entry'!F839), "", 'Data Entry'!F839)</f>
      </c>
      <c r="G839">
        <f>IF(ISBLANK('Data Entry'!G839), "", 'Data Entry'!G839)</f>
      </c>
      <c r="H839">
        <f>IF(ISBLANK('Data Entry'!H839), "", 'Data Entry'!H839)</f>
      </c>
      <c r="I839">
        <f>IF(ISBLANK('Data Entry'!I839), "", 'Data Entry'!I839)</f>
      </c>
      <c r="J839">
        <f>IF(ISBLANK('Data Entry'!J839), "", 'Data Entry'!J839)</f>
      </c>
      <c r="K839">
        <f>IF(ISBLANK('Data Entry'!K839), "", 'Data Entry'!K839)</f>
      </c>
      <c r="L839">
        <f>IF(ISBLANK('Data Entry'!L839), "", 'Data Entry'!L839)</f>
      </c>
      <c r="M839">
        <f>IF(ISBLANK('Data Entry'!M839), "", 'Data Entry'!M839)</f>
      </c>
      <c r="N839">
        <f>IF(ISBLANK('Data Entry'!N839), "", 'Data Entry'!N839)</f>
      </c>
      <c r="O839">
        <f>IF(ISBLANK('Data Entry'!O839), "", 'Data Entry'!O839)</f>
      </c>
      <c r="P839">
        <f>IF(ISBLANK('Data Entry'!P839), "", 'Data Entry'!P839)</f>
      </c>
      <c r="Q839">
        <f>IF(ISBLANK('Data Entry'!Q839), "", 'Data Entry'!Q839)</f>
      </c>
      <c r="R839">
        <f>IF(ISBLANK('Data Entry'!R839), "", 'Data Entry'!R839)</f>
      </c>
      <c r="S839">
        <f>IF(ISBLANK('Data Entry'!S839), "", 'Data Entry'!S839)</f>
      </c>
      <c r="T839">
        <f>IF(ISBLANK('Data Entry'!T839), "", 'Data Entry'!T839)</f>
      </c>
      <c r="U839">
        <f>IF(ISBLANK('Data Entry'!U839), "", 'Data Entry'!U839)</f>
      </c>
      <c r="V839">
        <f>IF(ISBLANK('Data Entry'!V839), "", 'Data Entry'!V839)</f>
      </c>
      <c r="W839">
        <f>IF(ISBLANK('Data Entry'!W839), "", 'Data Entry'!W839)</f>
      </c>
      <c r="X839">
        <f>IF(ISBLANK('Data Entry'!X839), "", 'Data Entry'!X839)</f>
      </c>
      <c r="Y839">
        <f>IF(ISBLANK('Data Entry'!Y839), "", 'Data Entry'!Y839)</f>
      </c>
      <c r="Z839">
        <f>IF(ISBLANK('Data Entry'!Z839), "", 'Data Entry'!Z839)</f>
      </c>
      <c r="AA839">
        <f>IF(ISBLANK('Data Entry'![839), "", 'Data Entry'![839)</f>
      </c>
      <c r="AB839">
        <f>IF(ISBLANK('Data Entry'!\839), "", 'Data Entry'!\839)</f>
      </c>
      <c r="AC839">
        <f>IF(ISBLANK('Data Entry'!]839), "", 'Data Entry'!]839)</f>
      </c>
      <c r="AD839">
        <f>IF(ISBLANK('Data Entry'!^839), "", 'Data Entry'!^839)</f>
      </c>
      <c r="AE839">
        <f>IF(ISBLANK('Data Entry'!_839), "", 'Data Entry'!_839)</f>
      </c>
      <c r="AF839">
        <f>IF(ISBLANK('Data Entry'!`839), "", 'Data Entry'!`839)</f>
      </c>
      <c r="AG839">
        <f>IF(ISBLANK('Data Entry'!a839), "", 'Data Entry'!a839)</f>
      </c>
      <c r="AH839">
        <f>IF(ISBLANK('Data Entry'!b839), "", 'Data Entry'!b839)</f>
      </c>
      <c r="AI839">
        <f>IF(ISBLANK('Data Entry'!c839), "", 'Data Entry'!c839)</f>
      </c>
      <c r="AJ839">
        <f>IF(ISBLANK('Data Entry'!d839), "", 'Data Entry'!d839)</f>
      </c>
      <c r="AK839">
        <f>IF(ISBLANK('Data Entry'!e839), "", 'Data Entry'!e839)</f>
      </c>
      <c r="AL839">
        <f>IF(ISBLANK('Data Entry'!f839), "", 'Data Entry'!f839)</f>
      </c>
      <c r="AM839">
        <f>IF(ISBLANK('Data Entry'!g839), "", 'Data Entry'!g839)</f>
      </c>
      <c r="AN839">
        <f>IF(ISBLANK('Data Entry'!h839), "", 'Data Entry'!h839)</f>
      </c>
    </row>
    <row r="840" spans="1:40" x14ac:dyDescent="0.25">
      <c r="A840">
        <f>IF(ISBLANK('Data Entry'!A840), "", 'Data Entry'!A840)</f>
      </c>
      <c r="B840">
        <f>IF(ISBLANK('Data Entry'!B840), "", 'Data Entry'!B840)</f>
      </c>
      <c r="C840">
        <f>IF(ISBLANK('Data Entry'!C840), "", 'Data Entry'!C840)</f>
      </c>
      <c r="D840">
        <f>IF(ISBLANK('Data Entry'!D840), "", 'Data Entry'!D840)</f>
      </c>
      <c r="E840">
        <f>IF(ISBLANK('Data Entry'!E840), "", 'Data Entry'!E840)</f>
      </c>
      <c r="F840">
        <f>IF(ISBLANK('Data Entry'!F840), "", 'Data Entry'!F840)</f>
      </c>
      <c r="G840">
        <f>IF(ISBLANK('Data Entry'!G840), "", 'Data Entry'!G840)</f>
      </c>
      <c r="H840">
        <f>IF(ISBLANK('Data Entry'!H840), "", 'Data Entry'!H840)</f>
      </c>
      <c r="I840">
        <f>IF(ISBLANK('Data Entry'!I840), "", 'Data Entry'!I840)</f>
      </c>
      <c r="J840">
        <f>IF(ISBLANK('Data Entry'!J840), "", 'Data Entry'!J840)</f>
      </c>
      <c r="K840">
        <f>IF(ISBLANK('Data Entry'!K840), "", 'Data Entry'!K840)</f>
      </c>
      <c r="L840">
        <f>IF(ISBLANK('Data Entry'!L840), "", 'Data Entry'!L840)</f>
      </c>
      <c r="M840">
        <f>IF(ISBLANK('Data Entry'!M840), "", 'Data Entry'!M840)</f>
      </c>
      <c r="N840">
        <f>IF(ISBLANK('Data Entry'!N840), "", 'Data Entry'!N840)</f>
      </c>
      <c r="O840">
        <f>IF(ISBLANK('Data Entry'!O840), "", 'Data Entry'!O840)</f>
      </c>
      <c r="P840">
        <f>IF(ISBLANK('Data Entry'!P840), "", 'Data Entry'!P840)</f>
      </c>
      <c r="Q840">
        <f>IF(ISBLANK('Data Entry'!Q840), "", 'Data Entry'!Q840)</f>
      </c>
      <c r="R840">
        <f>IF(ISBLANK('Data Entry'!R840), "", 'Data Entry'!R840)</f>
      </c>
      <c r="S840">
        <f>IF(ISBLANK('Data Entry'!S840), "", 'Data Entry'!S840)</f>
      </c>
      <c r="T840">
        <f>IF(ISBLANK('Data Entry'!T840), "", 'Data Entry'!T840)</f>
      </c>
      <c r="U840">
        <f>IF(ISBLANK('Data Entry'!U840), "", 'Data Entry'!U840)</f>
      </c>
      <c r="V840">
        <f>IF(ISBLANK('Data Entry'!V840), "", 'Data Entry'!V840)</f>
      </c>
      <c r="W840">
        <f>IF(ISBLANK('Data Entry'!W840), "", 'Data Entry'!W840)</f>
      </c>
      <c r="X840">
        <f>IF(ISBLANK('Data Entry'!X840), "", 'Data Entry'!X840)</f>
      </c>
      <c r="Y840">
        <f>IF(ISBLANK('Data Entry'!Y840), "", 'Data Entry'!Y840)</f>
      </c>
      <c r="Z840">
        <f>IF(ISBLANK('Data Entry'!Z840), "", 'Data Entry'!Z840)</f>
      </c>
      <c r="AA840">
        <f>IF(ISBLANK('Data Entry'![840), "", 'Data Entry'![840)</f>
      </c>
      <c r="AB840">
        <f>IF(ISBLANK('Data Entry'!\840), "", 'Data Entry'!\840)</f>
      </c>
      <c r="AC840">
        <f>IF(ISBLANK('Data Entry'!]840), "", 'Data Entry'!]840)</f>
      </c>
      <c r="AD840">
        <f>IF(ISBLANK('Data Entry'!^840), "", 'Data Entry'!^840)</f>
      </c>
      <c r="AE840">
        <f>IF(ISBLANK('Data Entry'!_840), "", 'Data Entry'!_840)</f>
      </c>
      <c r="AF840">
        <f>IF(ISBLANK('Data Entry'!`840), "", 'Data Entry'!`840)</f>
      </c>
      <c r="AG840">
        <f>IF(ISBLANK('Data Entry'!a840), "", 'Data Entry'!a840)</f>
      </c>
      <c r="AH840">
        <f>IF(ISBLANK('Data Entry'!b840), "", 'Data Entry'!b840)</f>
      </c>
      <c r="AI840">
        <f>IF(ISBLANK('Data Entry'!c840), "", 'Data Entry'!c840)</f>
      </c>
      <c r="AJ840">
        <f>IF(ISBLANK('Data Entry'!d840), "", 'Data Entry'!d840)</f>
      </c>
      <c r="AK840">
        <f>IF(ISBLANK('Data Entry'!e840), "", 'Data Entry'!e840)</f>
      </c>
      <c r="AL840">
        <f>IF(ISBLANK('Data Entry'!f840), "", 'Data Entry'!f840)</f>
      </c>
      <c r="AM840">
        <f>IF(ISBLANK('Data Entry'!g840), "", 'Data Entry'!g840)</f>
      </c>
      <c r="AN840">
        <f>IF(ISBLANK('Data Entry'!h840), "", 'Data Entry'!h840)</f>
      </c>
    </row>
    <row r="841" spans="1:40" x14ac:dyDescent="0.25">
      <c r="A841">
        <f>IF(ISBLANK('Data Entry'!A841), "", 'Data Entry'!A841)</f>
      </c>
      <c r="B841">
        <f>IF(ISBLANK('Data Entry'!B841), "", 'Data Entry'!B841)</f>
      </c>
      <c r="C841">
        <f>IF(ISBLANK('Data Entry'!C841), "", 'Data Entry'!C841)</f>
      </c>
      <c r="D841">
        <f>IF(ISBLANK('Data Entry'!D841), "", 'Data Entry'!D841)</f>
      </c>
      <c r="E841">
        <f>IF(ISBLANK('Data Entry'!E841), "", 'Data Entry'!E841)</f>
      </c>
      <c r="F841">
        <f>IF(ISBLANK('Data Entry'!F841), "", 'Data Entry'!F841)</f>
      </c>
      <c r="G841">
        <f>IF(ISBLANK('Data Entry'!G841), "", 'Data Entry'!G841)</f>
      </c>
      <c r="H841">
        <f>IF(ISBLANK('Data Entry'!H841), "", 'Data Entry'!H841)</f>
      </c>
      <c r="I841">
        <f>IF(ISBLANK('Data Entry'!I841), "", 'Data Entry'!I841)</f>
      </c>
      <c r="J841">
        <f>IF(ISBLANK('Data Entry'!J841), "", 'Data Entry'!J841)</f>
      </c>
      <c r="K841">
        <f>IF(ISBLANK('Data Entry'!K841), "", 'Data Entry'!K841)</f>
      </c>
      <c r="L841">
        <f>IF(ISBLANK('Data Entry'!L841), "", 'Data Entry'!L841)</f>
      </c>
      <c r="M841">
        <f>IF(ISBLANK('Data Entry'!M841), "", 'Data Entry'!M841)</f>
      </c>
      <c r="N841">
        <f>IF(ISBLANK('Data Entry'!N841), "", 'Data Entry'!N841)</f>
      </c>
      <c r="O841">
        <f>IF(ISBLANK('Data Entry'!O841), "", 'Data Entry'!O841)</f>
      </c>
      <c r="P841">
        <f>IF(ISBLANK('Data Entry'!P841), "", 'Data Entry'!P841)</f>
      </c>
      <c r="Q841">
        <f>IF(ISBLANK('Data Entry'!Q841), "", 'Data Entry'!Q841)</f>
      </c>
      <c r="R841">
        <f>IF(ISBLANK('Data Entry'!R841), "", 'Data Entry'!R841)</f>
      </c>
      <c r="S841">
        <f>IF(ISBLANK('Data Entry'!S841), "", 'Data Entry'!S841)</f>
      </c>
      <c r="T841">
        <f>IF(ISBLANK('Data Entry'!T841), "", 'Data Entry'!T841)</f>
      </c>
      <c r="U841">
        <f>IF(ISBLANK('Data Entry'!U841), "", 'Data Entry'!U841)</f>
      </c>
      <c r="V841">
        <f>IF(ISBLANK('Data Entry'!V841), "", 'Data Entry'!V841)</f>
      </c>
      <c r="W841">
        <f>IF(ISBLANK('Data Entry'!W841), "", 'Data Entry'!W841)</f>
      </c>
      <c r="X841">
        <f>IF(ISBLANK('Data Entry'!X841), "", 'Data Entry'!X841)</f>
      </c>
      <c r="Y841">
        <f>IF(ISBLANK('Data Entry'!Y841), "", 'Data Entry'!Y841)</f>
      </c>
      <c r="Z841">
        <f>IF(ISBLANK('Data Entry'!Z841), "", 'Data Entry'!Z841)</f>
      </c>
      <c r="AA841">
        <f>IF(ISBLANK('Data Entry'![841), "", 'Data Entry'![841)</f>
      </c>
      <c r="AB841">
        <f>IF(ISBLANK('Data Entry'!\841), "", 'Data Entry'!\841)</f>
      </c>
      <c r="AC841">
        <f>IF(ISBLANK('Data Entry'!]841), "", 'Data Entry'!]841)</f>
      </c>
      <c r="AD841">
        <f>IF(ISBLANK('Data Entry'!^841), "", 'Data Entry'!^841)</f>
      </c>
      <c r="AE841">
        <f>IF(ISBLANK('Data Entry'!_841), "", 'Data Entry'!_841)</f>
      </c>
      <c r="AF841">
        <f>IF(ISBLANK('Data Entry'!`841), "", 'Data Entry'!`841)</f>
      </c>
      <c r="AG841">
        <f>IF(ISBLANK('Data Entry'!a841), "", 'Data Entry'!a841)</f>
      </c>
      <c r="AH841">
        <f>IF(ISBLANK('Data Entry'!b841), "", 'Data Entry'!b841)</f>
      </c>
      <c r="AI841">
        <f>IF(ISBLANK('Data Entry'!c841), "", 'Data Entry'!c841)</f>
      </c>
      <c r="AJ841">
        <f>IF(ISBLANK('Data Entry'!d841), "", 'Data Entry'!d841)</f>
      </c>
      <c r="AK841">
        <f>IF(ISBLANK('Data Entry'!e841), "", 'Data Entry'!e841)</f>
      </c>
      <c r="AL841">
        <f>IF(ISBLANK('Data Entry'!f841), "", 'Data Entry'!f841)</f>
      </c>
      <c r="AM841">
        <f>IF(ISBLANK('Data Entry'!g841), "", 'Data Entry'!g841)</f>
      </c>
      <c r="AN841">
        <f>IF(ISBLANK('Data Entry'!h841), "", 'Data Entry'!h841)</f>
      </c>
    </row>
    <row r="842" spans="1:40" x14ac:dyDescent="0.25">
      <c r="A842">
        <f>IF(ISBLANK('Data Entry'!A842), "", 'Data Entry'!A842)</f>
      </c>
      <c r="B842">
        <f>IF(ISBLANK('Data Entry'!B842), "", 'Data Entry'!B842)</f>
      </c>
      <c r="C842">
        <f>IF(ISBLANK('Data Entry'!C842), "", 'Data Entry'!C842)</f>
      </c>
      <c r="D842">
        <f>IF(ISBLANK('Data Entry'!D842), "", 'Data Entry'!D842)</f>
      </c>
      <c r="E842">
        <f>IF(ISBLANK('Data Entry'!E842), "", 'Data Entry'!E842)</f>
      </c>
      <c r="F842">
        <f>IF(ISBLANK('Data Entry'!F842), "", 'Data Entry'!F842)</f>
      </c>
      <c r="G842">
        <f>IF(ISBLANK('Data Entry'!G842), "", 'Data Entry'!G842)</f>
      </c>
      <c r="H842">
        <f>IF(ISBLANK('Data Entry'!H842), "", 'Data Entry'!H842)</f>
      </c>
      <c r="I842">
        <f>IF(ISBLANK('Data Entry'!I842), "", 'Data Entry'!I842)</f>
      </c>
      <c r="J842">
        <f>IF(ISBLANK('Data Entry'!J842), "", 'Data Entry'!J842)</f>
      </c>
      <c r="K842">
        <f>IF(ISBLANK('Data Entry'!K842), "", 'Data Entry'!K842)</f>
      </c>
      <c r="L842">
        <f>IF(ISBLANK('Data Entry'!L842), "", 'Data Entry'!L842)</f>
      </c>
      <c r="M842">
        <f>IF(ISBLANK('Data Entry'!M842), "", 'Data Entry'!M842)</f>
      </c>
      <c r="N842">
        <f>IF(ISBLANK('Data Entry'!N842), "", 'Data Entry'!N842)</f>
      </c>
      <c r="O842">
        <f>IF(ISBLANK('Data Entry'!O842), "", 'Data Entry'!O842)</f>
      </c>
      <c r="P842">
        <f>IF(ISBLANK('Data Entry'!P842), "", 'Data Entry'!P842)</f>
      </c>
      <c r="Q842">
        <f>IF(ISBLANK('Data Entry'!Q842), "", 'Data Entry'!Q842)</f>
      </c>
      <c r="R842">
        <f>IF(ISBLANK('Data Entry'!R842), "", 'Data Entry'!R842)</f>
      </c>
      <c r="S842">
        <f>IF(ISBLANK('Data Entry'!S842), "", 'Data Entry'!S842)</f>
      </c>
      <c r="T842">
        <f>IF(ISBLANK('Data Entry'!T842), "", 'Data Entry'!T842)</f>
      </c>
      <c r="U842">
        <f>IF(ISBLANK('Data Entry'!U842), "", 'Data Entry'!U842)</f>
      </c>
      <c r="V842">
        <f>IF(ISBLANK('Data Entry'!V842), "", 'Data Entry'!V842)</f>
      </c>
      <c r="W842">
        <f>IF(ISBLANK('Data Entry'!W842), "", 'Data Entry'!W842)</f>
      </c>
      <c r="X842">
        <f>IF(ISBLANK('Data Entry'!X842), "", 'Data Entry'!X842)</f>
      </c>
      <c r="Y842">
        <f>IF(ISBLANK('Data Entry'!Y842), "", 'Data Entry'!Y842)</f>
      </c>
      <c r="Z842">
        <f>IF(ISBLANK('Data Entry'!Z842), "", 'Data Entry'!Z842)</f>
      </c>
      <c r="AA842">
        <f>IF(ISBLANK('Data Entry'![842), "", 'Data Entry'![842)</f>
      </c>
      <c r="AB842">
        <f>IF(ISBLANK('Data Entry'!\842), "", 'Data Entry'!\842)</f>
      </c>
      <c r="AC842">
        <f>IF(ISBLANK('Data Entry'!]842), "", 'Data Entry'!]842)</f>
      </c>
      <c r="AD842">
        <f>IF(ISBLANK('Data Entry'!^842), "", 'Data Entry'!^842)</f>
      </c>
      <c r="AE842">
        <f>IF(ISBLANK('Data Entry'!_842), "", 'Data Entry'!_842)</f>
      </c>
      <c r="AF842">
        <f>IF(ISBLANK('Data Entry'!`842), "", 'Data Entry'!`842)</f>
      </c>
      <c r="AG842">
        <f>IF(ISBLANK('Data Entry'!a842), "", 'Data Entry'!a842)</f>
      </c>
      <c r="AH842">
        <f>IF(ISBLANK('Data Entry'!b842), "", 'Data Entry'!b842)</f>
      </c>
      <c r="AI842">
        <f>IF(ISBLANK('Data Entry'!c842), "", 'Data Entry'!c842)</f>
      </c>
      <c r="AJ842">
        <f>IF(ISBLANK('Data Entry'!d842), "", 'Data Entry'!d842)</f>
      </c>
      <c r="AK842">
        <f>IF(ISBLANK('Data Entry'!e842), "", 'Data Entry'!e842)</f>
      </c>
      <c r="AL842">
        <f>IF(ISBLANK('Data Entry'!f842), "", 'Data Entry'!f842)</f>
      </c>
      <c r="AM842">
        <f>IF(ISBLANK('Data Entry'!g842), "", 'Data Entry'!g842)</f>
      </c>
      <c r="AN842">
        <f>IF(ISBLANK('Data Entry'!h842), "", 'Data Entry'!h842)</f>
      </c>
    </row>
    <row r="843" spans="1:40" x14ac:dyDescent="0.25">
      <c r="A843">
        <f>IF(ISBLANK('Data Entry'!A843), "", 'Data Entry'!A843)</f>
      </c>
      <c r="B843">
        <f>IF(ISBLANK('Data Entry'!B843), "", 'Data Entry'!B843)</f>
      </c>
      <c r="C843">
        <f>IF(ISBLANK('Data Entry'!C843), "", 'Data Entry'!C843)</f>
      </c>
      <c r="D843">
        <f>IF(ISBLANK('Data Entry'!D843), "", 'Data Entry'!D843)</f>
      </c>
      <c r="E843">
        <f>IF(ISBLANK('Data Entry'!E843), "", 'Data Entry'!E843)</f>
      </c>
      <c r="F843">
        <f>IF(ISBLANK('Data Entry'!F843), "", 'Data Entry'!F843)</f>
      </c>
      <c r="G843">
        <f>IF(ISBLANK('Data Entry'!G843), "", 'Data Entry'!G843)</f>
      </c>
      <c r="H843">
        <f>IF(ISBLANK('Data Entry'!H843), "", 'Data Entry'!H843)</f>
      </c>
      <c r="I843">
        <f>IF(ISBLANK('Data Entry'!I843), "", 'Data Entry'!I843)</f>
      </c>
      <c r="J843">
        <f>IF(ISBLANK('Data Entry'!J843), "", 'Data Entry'!J843)</f>
      </c>
      <c r="K843">
        <f>IF(ISBLANK('Data Entry'!K843), "", 'Data Entry'!K843)</f>
      </c>
      <c r="L843">
        <f>IF(ISBLANK('Data Entry'!L843), "", 'Data Entry'!L843)</f>
      </c>
      <c r="M843">
        <f>IF(ISBLANK('Data Entry'!M843), "", 'Data Entry'!M843)</f>
      </c>
      <c r="N843">
        <f>IF(ISBLANK('Data Entry'!N843), "", 'Data Entry'!N843)</f>
      </c>
      <c r="O843">
        <f>IF(ISBLANK('Data Entry'!O843), "", 'Data Entry'!O843)</f>
      </c>
      <c r="P843">
        <f>IF(ISBLANK('Data Entry'!P843), "", 'Data Entry'!P843)</f>
      </c>
      <c r="Q843">
        <f>IF(ISBLANK('Data Entry'!Q843), "", 'Data Entry'!Q843)</f>
      </c>
      <c r="R843">
        <f>IF(ISBLANK('Data Entry'!R843), "", 'Data Entry'!R843)</f>
      </c>
      <c r="S843">
        <f>IF(ISBLANK('Data Entry'!S843), "", 'Data Entry'!S843)</f>
      </c>
      <c r="T843">
        <f>IF(ISBLANK('Data Entry'!T843), "", 'Data Entry'!T843)</f>
      </c>
      <c r="U843">
        <f>IF(ISBLANK('Data Entry'!U843), "", 'Data Entry'!U843)</f>
      </c>
      <c r="V843">
        <f>IF(ISBLANK('Data Entry'!V843), "", 'Data Entry'!V843)</f>
      </c>
      <c r="W843">
        <f>IF(ISBLANK('Data Entry'!W843), "", 'Data Entry'!W843)</f>
      </c>
      <c r="X843">
        <f>IF(ISBLANK('Data Entry'!X843), "", 'Data Entry'!X843)</f>
      </c>
      <c r="Y843">
        <f>IF(ISBLANK('Data Entry'!Y843), "", 'Data Entry'!Y843)</f>
      </c>
      <c r="Z843">
        <f>IF(ISBLANK('Data Entry'!Z843), "", 'Data Entry'!Z843)</f>
      </c>
      <c r="AA843">
        <f>IF(ISBLANK('Data Entry'![843), "", 'Data Entry'![843)</f>
      </c>
      <c r="AB843">
        <f>IF(ISBLANK('Data Entry'!\843), "", 'Data Entry'!\843)</f>
      </c>
      <c r="AC843">
        <f>IF(ISBLANK('Data Entry'!]843), "", 'Data Entry'!]843)</f>
      </c>
      <c r="AD843">
        <f>IF(ISBLANK('Data Entry'!^843), "", 'Data Entry'!^843)</f>
      </c>
      <c r="AE843">
        <f>IF(ISBLANK('Data Entry'!_843), "", 'Data Entry'!_843)</f>
      </c>
      <c r="AF843">
        <f>IF(ISBLANK('Data Entry'!`843), "", 'Data Entry'!`843)</f>
      </c>
      <c r="AG843">
        <f>IF(ISBLANK('Data Entry'!a843), "", 'Data Entry'!a843)</f>
      </c>
      <c r="AH843">
        <f>IF(ISBLANK('Data Entry'!b843), "", 'Data Entry'!b843)</f>
      </c>
      <c r="AI843">
        <f>IF(ISBLANK('Data Entry'!c843), "", 'Data Entry'!c843)</f>
      </c>
      <c r="AJ843">
        <f>IF(ISBLANK('Data Entry'!d843), "", 'Data Entry'!d843)</f>
      </c>
      <c r="AK843">
        <f>IF(ISBLANK('Data Entry'!e843), "", 'Data Entry'!e843)</f>
      </c>
      <c r="AL843">
        <f>IF(ISBLANK('Data Entry'!f843), "", 'Data Entry'!f843)</f>
      </c>
      <c r="AM843">
        <f>IF(ISBLANK('Data Entry'!g843), "", 'Data Entry'!g843)</f>
      </c>
      <c r="AN843">
        <f>IF(ISBLANK('Data Entry'!h843), "", 'Data Entry'!h843)</f>
      </c>
    </row>
    <row r="844" spans="1:40" x14ac:dyDescent="0.25">
      <c r="A844">
        <f>IF(ISBLANK('Data Entry'!A844), "", 'Data Entry'!A844)</f>
      </c>
      <c r="B844">
        <f>IF(ISBLANK('Data Entry'!B844), "", 'Data Entry'!B844)</f>
      </c>
      <c r="C844">
        <f>IF(ISBLANK('Data Entry'!C844), "", 'Data Entry'!C844)</f>
      </c>
      <c r="D844">
        <f>IF(ISBLANK('Data Entry'!D844), "", 'Data Entry'!D844)</f>
      </c>
      <c r="E844">
        <f>IF(ISBLANK('Data Entry'!E844), "", 'Data Entry'!E844)</f>
      </c>
      <c r="F844">
        <f>IF(ISBLANK('Data Entry'!F844), "", 'Data Entry'!F844)</f>
      </c>
      <c r="G844">
        <f>IF(ISBLANK('Data Entry'!G844), "", 'Data Entry'!G844)</f>
      </c>
      <c r="H844">
        <f>IF(ISBLANK('Data Entry'!H844), "", 'Data Entry'!H844)</f>
      </c>
      <c r="I844">
        <f>IF(ISBLANK('Data Entry'!I844), "", 'Data Entry'!I844)</f>
      </c>
      <c r="J844">
        <f>IF(ISBLANK('Data Entry'!J844), "", 'Data Entry'!J844)</f>
      </c>
      <c r="K844">
        <f>IF(ISBLANK('Data Entry'!K844), "", 'Data Entry'!K844)</f>
      </c>
      <c r="L844">
        <f>IF(ISBLANK('Data Entry'!L844), "", 'Data Entry'!L844)</f>
      </c>
      <c r="M844">
        <f>IF(ISBLANK('Data Entry'!M844), "", 'Data Entry'!M844)</f>
      </c>
      <c r="N844">
        <f>IF(ISBLANK('Data Entry'!N844), "", 'Data Entry'!N844)</f>
      </c>
      <c r="O844">
        <f>IF(ISBLANK('Data Entry'!O844), "", 'Data Entry'!O844)</f>
      </c>
      <c r="P844">
        <f>IF(ISBLANK('Data Entry'!P844), "", 'Data Entry'!P844)</f>
      </c>
      <c r="Q844">
        <f>IF(ISBLANK('Data Entry'!Q844), "", 'Data Entry'!Q844)</f>
      </c>
      <c r="R844">
        <f>IF(ISBLANK('Data Entry'!R844), "", 'Data Entry'!R844)</f>
      </c>
      <c r="S844">
        <f>IF(ISBLANK('Data Entry'!S844), "", 'Data Entry'!S844)</f>
      </c>
      <c r="T844">
        <f>IF(ISBLANK('Data Entry'!T844), "", 'Data Entry'!T844)</f>
      </c>
      <c r="U844">
        <f>IF(ISBLANK('Data Entry'!U844), "", 'Data Entry'!U844)</f>
      </c>
      <c r="V844">
        <f>IF(ISBLANK('Data Entry'!V844), "", 'Data Entry'!V844)</f>
      </c>
      <c r="W844">
        <f>IF(ISBLANK('Data Entry'!W844), "", 'Data Entry'!W844)</f>
      </c>
      <c r="X844">
        <f>IF(ISBLANK('Data Entry'!X844), "", 'Data Entry'!X844)</f>
      </c>
      <c r="Y844">
        <f>IF(ISBLANK('Data Entry'!Y844), "", 'Data Entry'!Y844)</f>
      </c>
      <c r="Z844">
        <f>IF(ISBLANK('Data Entry'!Z844), "", 'Data Entry'!Z844)</f>
      </c>
      <c r="AA844">
        <f>IF(ISBLANK('Data Entry'![844), "", 'Data Entry'![844)</f>
      </c>
      <c r="AB844">
        <f>IF(ISBLANK('Data Entry'!\844), "", 'Data Entry'!\844)</f>
      </c>
      <c r="AC844">
        <f>IF(ISBLANK('Data Entry'!]844), "", 'Data Entry'!]844)</f>
      </c>
      <c r="AD844">
        <f>IF(ISBLANK('Data Entry'!^844), "", 'Data Entry'!^844)</f>
      </c>
      <c r="AE844">
        <f>IF(ISBLANK('Data Entry'!_844), "", 'Data Entry'!_844)</f>
      </c>
      <c r="AF844">
        <f>IF(ISBLANK('Data Entry'!`844), "", 'Data Entry'!`844)</f>
      </c>
      <c r="AG844">
        <f>IF(ISBLANK('Data Entry'!a844), "", 'Data Entry'!a844)</f>
      </c>
      <c r="AH844">
        <f>IF(ISBLANK('Data Entry'!b844), "", 'Data Entry'!b844)</f>
      </c>
      <c r="AI844">
        <f>IF(ISBLANK('Data Entry'!c844), "", 'Data Entry'!c844)</f>
      </c>
      <c r="AJ844">
        <f>IF(ISBLANK('Data Entry'!d844), "", 'Data Entry'!d844)</f>
      </c>
      <c r="AK844">
        <f>IF(ISBLANK('Data Entry'!e844), "", 'Data Entry'!e844)</f>
      </c>
      <c r="AL844">
        <f>IF(ISBLANK('Data Entry'!f844), "", 'Data Entry'!f844)</f>
      </c>
      <c r="AM844">
        <f>IF(ISBLANK('Data Entry'!g844), "", 'Data Entry'!g844)</f>
      </c>
      <c r="AN844">
        <f>IF(ISBLANK('Data Entry'!h844), "", 'Data Entry'!h844)</f>
      </c>
    </row>
    <row r="845" spans="1:40" x14ac:dyDescent="0.25">
      <c r="A845">
        <f>IF(ISBLANK('Data Entry'!A845), "", 'Data Entry'!A845)</f>
      </c>
      <c r="B845">
        <f>IF(ISBLANK('Data Entry'!B845), "", 'Data Entry'!B845)</f>
      </c>
      <c r="C845">
        <f>IF(ISBLANK('Data Entry'!C845), "", 'Data Entry'!C845)</f>
      </c>
      <c r="D845">
        <f>IF(ISBLANK('Data Entry'!D845), "", 'Data Entry'!D845)</f>
      </c>
      <c r="E845">
        <f>IF(ISBLANK('Data Entry'!E845), "", 'Data Entry'!E845)</f>
      </c>
      <c r="F845">
        <f>IF(ISBLANK('Data Entry'!F845), "", 'Data Entry'!F845)</f>
      </c>
      <c r="G845">
        <f>IF(ISBLANK('Data Entry'!G845), "", 'Data Entry'!G845)</f>
      </c>
      <c r="H845">
        <f>IF(ISBLANK('Data Entry'!H845), "", 'Data Entry'!H845)</f>
      </c>
      <c r="I845">
        <f>IF(ISBLANK('Data Entry'!I845), "", 'Data Entry'!I845)</f>
      </c>
      <c r="J845">
        <f>IF(ISBLANK('Data Entry'!J845), "", 'Data Entry'!J845)</f>
      </c>
      <c r="K845">
        <f>IF(ISBLANK('Data Entry'!K845), "", 'Data Entry'!K845)</f>
      </c>
      <c r="L845">
        <f>IF(ISBLANK('Data Entry'!L845), "", 'Data Entry'!L845)</f>
      </c>
      <c r="M845">
        <f>IF(ISBLANK('Data Entry'!M845), "", 'Data Entry'!M845)</f>
      </c>
      <c r="N845">
        <f>IF(ISBLANK('Data Entry'!N845), "", 'Data Entry'!N845)</f>
      </c>
      <c r="O845">
        <f>IF(ISBLANK('Data Entry'!O845), "", 'Data Entry'!O845)</f>
      </c>
      <c r="P845">
        <f>IF(ISBLANK('Data Entry'!P845), "", 'Data Entry'!P845)</f>
      </c>
      <c r="Q845">
        <f>IF(ISBLANK('Data Entry'!Q845), "", 'Data Entry'!Q845)</f>
      </c>
      <c r="R845">
        <f>IF(ISBLANK('Data Entry'!R845), "", 'Data Entry'!R845)</f>
      </c>
      <c r="S845">
        <f>IF(ISBLANK('Data Entry'!S845), "", 'Data Entry'!S845)</f>
      </c>
      <c r="T845">
        <f>IF(ISBLANK('Data Entry'!T845), "", 'Data Entry'!T845)</f>
      </c>
      <c r="U845">
        <f>IF(ISBLANK('Data Entry'!U845), "", 'Data Entry'!U845)</f>
      </c>
      <c r="V845">
        <f>IF(ISBLANK('Data Entry'!V845), "", 'Data Entry'!V845)</f>
      </c>
      <c r="W845">
        <f>IF(ISBLANK('Data Entry'!W845), "", 'Data Entry'!W845)</f>
      </c>
      <c r="X845">
        <f>IF(ISBLANK('Data Entry'!X845), "", 'Data Entry'!X845)</f>
      </c>
      <c r="Y845">
        <f>IF(ISBLANK('Data Entry'!Y845), "", 'Data Entry'!Y845)</f>
      </c>
      <c r="Z845">
        <f>IF(ISBLANK('Data Entry'!Z845), "", 'Data Entry'!Z845)</f>
      </c>
      <c r="AA845">
        <f>IF(ISBLANK('Data Entry'![845), "", 'Data Entry'![845)</f>
      </c>
      <c r="AB845">
        <f>IF(ISBLANK('Data Entry'!\845), "", 'Data Entry'!\845)</f>
      </c>
      <c r="AC845">
        <f>IF(ISBLANK('Data Entry'!]845), "", 'Data Entry'!]845)</f>
      </c>
      <c r="AD845">
        <f>IF(ISBLANK('Data Entry'!^845), "", 'Data Entry'!^845)</f>
      </c>
      <c r="AE845">
        <f>IF(ISBLANK('Data Entry'!_845), "", 'Data Entry'!_845)</f>
      </c>
      <c r="AF845">
        <f>IF(ISBLANK('Data Entry'!`845), "", 'Data Entry'!`845)</f>
      </c>
      <c r="AG845">
        <f>IF(ISBLANK('Data Entry'!a845), "", 'Data Entry'!a845)</f>
      </c>
      <c r="AH845">
        <f>IF(ISBLANK('Data Entry'!b845), "", 'Data Entry'!b845)</f>
      </c>
      <c r="AI845">
        <f>IF(ISBLANK('Data Entry'!c845), "", 'Data Entry'!c845)</f>
      </c>
      <c r="AJ845">
        <f>IF(ISBLANK('Data Entry'!d845), "", 'Data Entry'!d845)</f>
      </c>
      <c r="AK845">
        <f>IF(ISBLANK('Data Entry'!e845), "", 'Data Entry'!e845)</f>
      </c>
      <c r="AL845">
        <f>IF(ISBLANK('Data Entry'!f845), "", 'Data Entry'!f845)</f>
      </c>
      <c r="AM845">
        <f>IF(ISBLANK('Data Entry'!g845), "", 'Data Entry'!g845)</f>
      </c>
      <c r="AN845">
        <f>IF(ISBLANK('Data Entry'!h845), "", 'Data Entry'!h845)</f>
      </c>
    </row>
    <row r="846" spans="1:40" x14ac:dyDescent="0.25">
      <c r="A846">
        <f>IF(ISBLANK('Data Entry'!A846), "", 'Data Entry'!A846)</f>
      </c>
      <c r="B846">
        <f>IF(ISBLANK('Data Entry'!B846), "", 'Data Entry'!B846)</f>
      </c>
      <c r="C846">
        <f>IF(ISBLANK('Data Entry'!C846), "", 'Data Entry'!C846)</f>
      </c>
      <c r="D846">
        <f>IF(ISBLANK('Data Entry'!D846), "", 'Data Entry'!D846)</f>
      </c>
      <c r="E846">
        <f>IF(ISBLANK('Data Entry'!E846), "", 'Data Entry'!E846)</f>
      </c>
      <c r="F846">
        <f>IF(ISBLANK('Data Entry'!F846), "", 'Data Entry'!F846)</f>
      </c>
      <c r="G846">
        <f>IF(ISBLANK('Data Entry'!G846), "", 'Data Entry'!G846)</f>
      </c>
      <c r="H846">
        <f>IF(ISBLANK('Data Entry'!H846), "", 'Data Entry'!H846)</f>
      </c>
      <c r="I846">
        <f>IF(ISBLANK('Data Entry'!I846), "", 'Data Entry'!I846)</f>
      </c>
      <c r="J846">
        <f>IF(ISBLANK('Data Entry'!J846), "", 'Data Entry'!J846)</f>
      </c>
      <c r="K846">
        <f>IF(ISBLANK('Data Entry'!K846), "", 'Data Entry'!K846)</f>
      </c>
      <c r="L846">
        <f>IF(ISBLANK('Data Entry'!L846), "", 'Data Entry'!L846)</f>
      </c>
      <c r="M846">
        <f>IF(ISBLANK('Data Entry'!M846), "", 'Data Entry'!M846)</f>
      </c>
      <c r="N846">
        <f>IF(ISBLANK('Data Entry'!N846), "", 'Data Entry'!N846)</f>
      </c>
      <c r="O846">
        <f>IF(ISBLANK('Data Entry'!O846), "", 'Data Entry'!O846)</f>
      </c>
      <c r="P846">
        <f>IF(ISBLANK('Data Entry'!P846), "", 'Data Entry'!P846)</f>
      </c>
      <c r="Q846">
        <f>IF(ISBLANK('Data Entry'!Q846), "", 'Data Entry'!Q846)</f>
      </c>
      <c r="R846">
        <f>IF(ISBLANK('Data Entry'!R846), "", 'Data Entry'!R846)</f>
      </c>
      <c r="S846">
        <f>IF(ISBLANK('Data Entry'!S846), "", 'Data Entry'!S846)</f>
      </c>
      <c r="T846">
        <f>IF(ISBLANK('Data Entry'!T846), "", 'Data Entry'!T846)</f>
      </c>
      <c r="U846">
        <f>IF(ISBLANK('Data Entry'!U846), "", 'Data Entry'!U846)</f>
      </c>
      <c r="V846">
        <f>IF(ISBLANK('Data Entry'!V846), "", 'Data Entry'!V846)</f>
      </c>
      <c r="W846">
        <f>IF(ISBLANK('Data Entry'!W846), "", 'Data Entry'!W846)</f>
      </c>
      <c r="X846">
        <f>IF(ISBLANK('Data Entry'!X846), "", 'Data Entry'!X846)</f>
      </c>
      <c r="Y846">
        <f>IF(ISBLANK('Data Entry'!Y846), "", 'Data Entry'!Y846)</f>
      </c>
      <c r="Z846">
        <f>IF(ISBLANK('Data Entry'!Z846), "", 'Data Entry'!Z846)</f>
      </c>
      <c r="AA846">
        <f>IF(ISBLANK('Data Entry'![846), "", 'Data Entry'![846)</f>
      </c>
      <c r="AB846">
        <f>IF(ISBLANK('Data Entry'!\846), "", 'Data Entry'!\846)</f>
      </c>
      <c r="AC846">
        <f>IF(ISBLANK('Data Entry'!]846), "", 'Data Entry'!]846)</f>
      </c>
      <c r="AD846">
        <f>IF(ISBLANK('Data Entry'!^846), "", 'Data Entry'!^846)</f>
      </c>
      <c r="AE846">
        <f>IF(ISBLANK('Data Entry'!_846), "", 'Data Entry'!_846)</f>
      </c>
      <c r="AF846">
        <f>IF(ISBLANK('Data Entry'!`846), "", 'Data Entry'!`846)</f>
      </c>
      <c r="AG846">
        <f>IF(ISBLANK('Data Entry'!a846), "", 'Data Entry'!a846)</f>
      </c>
      <c r="AH846">
        <f>IF(ISBLANK('Data Entry'!b846), "", 'Data Entry'!b846)</f>
      </c>
      <c r="AI846">
        <f>IF(ISBLANK('Data Entry'!c846), "", 'Data Entry'!c846)</f>
      </c>
      <c r="AJ846">
        <f>IF(ISBLANK('Data Entry'!d846), "", 'Data Entry'!d846)</f>
      </c>
      <c r="AK846">
        <f>IF(ISBLANK('Data Entry'!e846), "", 'Data Entry'!e846)</f>
      </c>
      <c r="AL846">
        <f>IF(ISBLANK('Data Entry'!f846), "", 'Data Entry'!f846)</f>
      </c>
      <c r="AM846">
        <f>IF(ISBLANK('Data Entry'!g846), "", 'Data Entry'!g846)</f>
      </c>
      <c r="AN846">
        <f>IF(ISBLANK('Data Entry'!h846), "", 'Data Entry'!h846)</f>
      </c>
    </row>
    <row r="847" spans="1:40" x14ac:dyDescent="0.25">
      <c r="A847">
        <f>IF(ISBLANK('Data Entry'!A847), "", 'Data Entry'!A847)</f>
      </c>
      <c r="B847">
        <f>IF(ISBLANK('Data Entry'!B847), "", 'Data Entry'!B847)</f>
      </c>
      <c r="C847">
        <f>IF(ISBLANK('Data Entry'!C847), "", 'Data Entry'!C847)</f>
      </c>
      <c r="D847">
        <f>IF(ISBLANK('Data Entry'!D847), "", 'Data Entry'!D847)</f>
      </c>
      <c r="E847">
        <f>IF(ISBLANK('Data Entry'!E847), "", 'Data Entry'!E847)</f>
      </c>
      <c r="F847">
        <f>IF(ISBLANK('Data Entry'!F847), "", 'Data Entry'!F847)</f>
      </c>
      <c r="G847">
        <f>IF(ISBLANK('Data Entry'!G847), "", 'Data Entry'!G847)</f>
      </c>
      <c r="H847">
        <f>IF(ISBLANK('Data Entry'!H847), "", 'Data Entry'!H847)</f>
      </c>
      <c r="I847">
        <f>IF(ISBLANK('Data Entry'!I847), "", 'Data Entry'!I847)</f>
      </c>
      <c r="J847">
        <f>IF(ISBLANK('Data Entry'!J847), "", 'Data Entry'!J847)</f>
      </c>
      <c r="K847">
        <f>IF(ISBLANK('Data Entry'!K847), "", 'Data Entry'!K847)</f>
      </c>
      <c r="L847">
        <f>IF(ISBLANK('Data Entry'!L847), "", 'Data Entry'!L847)</f>
      </c>
      <c r="M847">
        <f>IF(ISBLANK('Data Entry'!M847), "", 'Data Entry'!M847)</f>
      </c>
      <c r="N847">
        <f>IF(ISBLANK('Data Entry'!N847), "", 'Data Entry'!N847)</f>
      </c>
      <c r="O847">
        <f>IF(ISBLANK('Data Entry'!O847), "", 'Data Entry'!O847)</f>
      </c>
      <c r="P847">
        <f>IF(ISBLANK('Data Entry'!P847), "", 'Data Entry'!P847)</f>
      </c>
      <c r="Q847">
        <f>IF(ISBLANK('Data Entry'!Q847), "", 'Data Entry'!Q847)</f>
      </c>
      <c r="R847">
        <f>IF(ISBLANK('Data Entry'!R847), "", 'Data Entry'!R847)</f>
      </c>
      <c r="S847">
        <f>IF(ISBLANK('Data Entry'!S847), "", 'Data Entry'!S847)</f>
      </c>
      <c r="T847">
        <f>IF(ISBLANK('Data Entry'!T847), "", 'Data Entry'!T847)</f>
      </c>
      <c r="U847">
        <f>IF(ISBLANK('Data Entry'!U847), "", 'Data Entry'!U847)</f>
      </c>
      <c r="V847">
        <f>IF(ISBLANK('Data Entry'!V847), "", 'Data Entry'!V847)</f>
      </c>
      <c r="W847">
        <f>IF(ISBLANK('Data Entry'!W847), "", 'Data Entry'!W847)</f>
      </c>
      <c r="X847">
        <f>IF(ISBLANK('Data Entry'!X847), "", 'Data Entry'!X847)</f>
      </c>
      <c r="Y847">
        <f>IF(ISBLANK('Data Entry'!Y847), "", 'Data Entry'!Y847)</f>
      </c>
      <c r="Z847">
        <f>IF(ISBLANK('Data Entry'!Z847), "", 'Data Entry'!Z847)</f>
      </c>
      <c r="AA847">
        <f>IF(ISBLANK('Data Entry'![847), "", 'Data Entry'![847)</f>
      </c>
      <c r="AB847">
        <f>IF(ISBLANK('Data Entry'!\847), "", 'Data Entry'!\847)</f>
      </c>
      <c r="AC847">
        <f>IF(ISBLANK('Data Entry'!]847), "", 'Data Entry'!]847)</f>
      </c>
      <c r="AD847">
        <f>IF(ISBLANK('Data Entry'!^847), "", 'Data Entry'!^847)</f>
      </c>
      <c r="AE847">
        <f>IF(ISBLANK('Data Entry'!_847), "", 'Data Entry'!_847)</f>
      </c>
      <c r="AF847">
        <f>IF(ISBLANK('Data Entry'!`847), "", 'Data Entry'!`847)</f>
      </c>
      <c r="AG847">
        <f>IF(ISBLANK('Data Entry'!a847), "", 'Data Entry'!a847)</f>
      </c>
      <c r="AH847">
        <f>IF(ISBLANK('Data Entry'!b847), "", 'Data Entry'!b847)</f>
      </c>
      <c r="AI847">
        <f>IF(ISBLANK('Data Entry'!c847), "", 'Data Entry'!c847)</f>
      </c>
      <c r="AJ847">
        <f>IF(ISBLANK('Data Entry'!d847), "", 'Data Entry'!d847)</f>
      </c>
      <c r="AK847">
        <f>IF(ISBLANK('Data Entry'!e847), "", 'Data Entry'!e847)</f>
      </c>
      <c r="AL847">
        <f>IF(ISBLANK('Data Entry'!f847), "", 'Data Entry'!f847)</f>
      </c>
      <c r="AM847">
        <f>IF(ISBLANK('Data Entry'!g847), "", 'Data Entry'!g847)</f>
      </c>
      <c r="AN847">
        <f>IF(ISBLANK('Data Entry'!h847), "", 'Data Entry'!h847)</f>
      </c>
    </row>
    <row r="848" spans="1:40" x14ac:dyDescent="0.25">
      <c r="A848">
        <f>IF(ISBLANK('Data Entry'!A848), "", 'Data Entry'!A848)</f>
      </c>
      <c r="B848">
        <f>IF(ISBLANK('Data Entry'!B848), "", 'Data Entry'!B848)</f>
      </c>
      <c r="C848">
        <f>IF(ISBLANK('Data Entry'!C848), "", 'Data Entry'!C848)</f>
      </c>
      <c r="D848">
        <f>IF(ISBLANK('Data Entry'!D848), "", 'Data Entry'!D848)</f>
      </c>
      <c r="E848">
        <f>IF(ISBLANK('Data Entry'!E848), "", 'Data Entry'!E848)</f>
      </c>
      <c r="F848">
        <f>IF(ISBLANK('Data Entry'!F848), "", 'Data Entry'!F848)</f>
      </c>
      <c r="G848">
        <f>IF(ISBLANK('Data Entry'!G848), "", 'Data Entry'!G848)</f>
      </c>
      <c r="H848">
        <f>IF(ISBLANK('Data Entry'!H848), "", 'Data Entry'!H848)</f>
      </c>
      <c r="I848">
        <f>IF(ISBLANK('Data Entry'!I848), "", 'Data Entry'!I848)</f>
      </c>
      <c r="J848">
        <f>IF(ISBLANK('Data Entry'!J848), "", 'Data Entry'!J848)</f>
      </c>
      <c r="K848">
        <f>IF(ISBLANK('Data Entry'!K848), "", 'Data Entry'!K848)</f>
      </c>
      <c r="L848">
        <f>IF(ISBLANK('Data Entry'!L848), "", 'Data Entry'!L848)</f>
      </c>
      <c r="M848">
        <f>IF(ISBLANK('Data Entry'!M848), "", 'Data Entry'!M848)</f>
      </c>
      <c r="N848">
        <f>IF(ISBLANK('Data Entry'!N848), "", 'Data Entry'!N848)</f>
      </c>
      <c r="O848">
        <f>IF(ISBLANK('Data Entry'!O848), "", 'Data Entry'!O848)</f>
      </c>
      <c r="P848">
        <f>IF(ISBLANK('Data Entry'!P848), "", 'Data Entry'!P848)</f>
      </c>
      <c r="Q848">
        <f>IF(ISBLANK('Data Entry'!Q848), "", 'Data Entry'!Q848)</f>
      </c>
      <c r="R848">
        <f>IF(ISBLANK('Data Entry'!R848), "", 'Data Entry'!R848)</f>
      </c>
      <c r="S848">
        <f>IF(ISBLANK('Data Entry'!S848), "", 'Data Entry'!S848)</f>
      </c>
      <c r="T848">
        <f>IF(ISBLANK('Data Entry'!T848), "", 'Data Entry'!T848)</f>
      </c>
      <c r="U848">
        <f>IF(ISBLANK('Data Entry'!U848), "", 'Data Entry'!U848)</f>
      </c>
      <c r="V848">
        <f>IF(ISBLANK('Data Entry'!V848), "", 'Data Entry'!V848)</f>
      </c>
      <c r="W848">
        <f>IF(ISBLANK('Data Entry'!W848), "", 'Data Entry'!W848)</f>
      </c>
      <c r="X848">
        <f>IF(ISBLANK('Data Entry'!X848), "", 'Data Entry'!X848)</f>
      </c>
      <c r="Y848">
        <f>IF(ISBLANK('Data Entry'!Y848), "", 'Data Entry'!Y848)</f>
      </c>
      <c r="Z848">
        <f>IF(ISBLANK('Data Entry'!Z848), "", 'Data Entry'!Z848)</f>
      </c>
      <c r="AA848">
        <f>IF(ISBLANK('Data Entry'![848), "", 'Data Entry'![848)</f>
      </c>
      <c r="AB848">
        <f>IF(ISBLANK('Data Entry'!\848), "", 'Data Entry'!\848)</f>
      </c>
      <c r="AC848">
        <f>IF(ISBLANK('Data Entry'!]848), "", 'Data Entry'!]848)</f>
      </c>
      <c r="AD848">
        <f>IF(ISBLANK('Data Entry'!^848), "", 'Data Entry'!^848)</f>
      </c>
      <c r="AE848">
        <f>IF(ISBLANK('Data Entry'!_848), "", 'Data Entry'!_848)</f>
      </c>
      <c r="AF848">
        <f>IF(ISBLANK('Data Entry'!`848), "", 'Data Entry'!`848)</f>
      </c>
      <c r="AG848">
        <f>IF(ISBLANK('Data Entry'!a848), "", 'Data Entry'!a848)</f>
      </c>
      <c r="AH848">
        <f>IF(ISBLANK('Data Entry'!b848), "", 'Data Entry'!b848)</f>
      </c>
      <c r="AI848">
        <f>IF(ISBLANK('Data Entry'!c848), "", 'Data Entry'!c848)</f>
      </c>
      <c r="AJ848">
        <f>IF(ISBLANK('Data Entry'!d848), "", 'Data Entry'!d848)</f>
      </c>
      <c r="AK848">
        <f>IF(ISBLANK('Data Entry'!e848), "", 'Data Entry'!e848)</f>
      </c>
      <c r="AL848">
        <f>IF(ISBLANK('Data Entry'!f848), "", 'Data Entry'!f848)</f>
      </c>
      <c r="AM848">
        <f>IF(ISBLANK('Data Entry'!g848), "", 'Data Entry'!g848)</f>
      </c>
      <c r="AN848">
        <f>IF(ISBLANK('Data Entry'!h848), "", 'Data Entry'!h848)</f>
      </c>
    </row>
    <row r="849" spans="1:40" x14ac:dyDescent="0.25">
      <c r="A849">
        <f>IF(ISBLANK('Data Entry'!A849), "", 'Data Entry'!A849)</f>
      </c>
      <c r="B849">
        <f>IF(ISBLANK('Data Entry'!B849), "", 'Data Entry'!B849)</f>
      </c>
      <c r="C849">
        <f>IF(ISBLANK('Data Entry'!C849), "", 'Data Entry'!C849)</f>
      </c>
      <c r="D849">
        <f>IF(ISBLANK('Data Entry'!D849), "", 'Data Entry'!D849)</f>
      </c>
      <c r="E849">
        <f>IF(ISBLANK('Data Entry'!E849), "", 'Data Entry'!E849)</f>
      </c>
      <c r="F849">
        <f>IF(ISBLANK('Data Entry'!F849), "", 'Data Entry'!F849)</f>
      </c>
      <c r="G849">
        <f>IF(ISBLANK('Data Entry'!G849), "", 'Data Entry'!G849)</f>
      </c>
      <c r="H849">
        <f>IF(ISBLANK('Data Entry'!H849), "", 'Data Entry'!H849)</f>
      </c>
      <c r="I849">
        <f>IF(ISBLANK('Data Entry'!I849), "", 'Data Entry'!I849)</f>
      </c>
      <c r="J849">
        <f>IF(ISBLANK('Data Entry'!J849), "", 'Data Entry'!J849)</f>
      </c>
      <c r="K849">
        <f>IF(ISBLANK('Data Entry'!K849), "", 'Data Entry'!K849)</f>
      </c>
      <c r="L849">
        <f>IF(ISBLANK('Data Entry'!L849), "", 'Data Entry'!L849)</f>
      </c>
      <c r="M849">
        <f>IF(ISBLANK('Data Entry'!M849), "", 'Data Entry'!M849)</f>
      </c>
      <c r="N849">
        <f>IF(ISBLANK('Data Entry'!N849), "", 'Data Entry'!N849)</f>
      </c>
      <c r="O849">
        <f>IF(ISBLANK('Data Entry'!O849), "", 'Data Entry'!O849)</f>
      </c>
      <c r="P849">
        <f>IF(ISBLANK('Data Entry'!P849), "", 'Data Entry'!P849)</f>
      </c>
      <c r="Q849">
        <f>IF(ISBLANK('Data Entry'!Q849), "", 'Data Entry'!Q849)</f>
      </c>
      <c r="R849">
        <f>IF(ISBLANK('Data Entry'!R849), "", 'Data Entry'!R849)</f>
      </c>
      <c r="S849">
        <f>IF(ISBLANK('Data Entry'!S849), "", 'Data Entry'!S849)</f>
      </c>
      <c r="T849">
        <f>IF(ISBLANK('Data Entry'!T849), "", 'Data Entry'!T849)</f>
      </c>
      <c r="U849">
        <f>IF(ISBLANK('Data Entry'!U849), "", 'Data Entry'!U849)</f>
      </c>
      <c r="V849">
        <f>IF(ISBLANK('Data Entry'!V849), "", 'Data Entry'!V849)</f>
      </c>
      <c r="W849">
        <f>IF(ISBLANK('Data Entry'!W849), "", 'Data Entry'!W849)</f>
      </c>
      <c r="X849">
        <f>IF(ISBLANK('Data Entry'!X849), "", 'Data Entry'!X849)</f>
      </c>
      <c r="Y849">
        <f>IF(ISBLANK('Data Entry'!Y849), "", 'Data Entry'!Y849)</f>
      </c>
      <c r="Z849">
        <f>IF(ISBLANK('Data Entry'!Z849), "", 'Data Entry'!Z849)</f>
      </c>
      <c r="AA849">
        <f>IF(ISBLANK('Data Entry'![849), "", 'Data Entry'![849)</f>
      </c>
      <c r="AB849">
        <f>IF(ISBLANK('Data Entry'!\849), "", 'Data Entry'!\849)</f>
      </c>
      <c r="AC849">
        <f>IF(ISBLANK('Data Entry'!]849), "", 'Data Entry'!]849)</f>
      </c>
      <c r="AD849">
        <f>IF(ISBLANK('Data Entry'!^849), "", 'Data Entry'!^849)</f>
      </c>
      <c r="AE849">
        <f>IF(ISBLANK('Data Entry'!_849), "", 'Data Entry'!_849)</f>
      </c>
      <c r="AF849">
        <f>IF(ISBLANK('Data Entry'!`849), "", 'Data Entry'!`849)</f>
      </c>
      <c r="AG849">
        <f>IF(ISBLANK('Data Entry'!a849), "", 'Data Entry'!a849)</f>
      </c>
      <c r="AH849">
        <f>IF(ISBLANK('Data Entry'!b849), "", 'Data Entry'!b849)</f>
      </c>
      <c r="AI849">
        <f>IF(ISBLANK('Data Entry'!c849), "", 'Data Entry'!c849)</f>
      </c>
      <c r="AJ849">
        <f>IF(ISBLANK('Data Entry'!d849), "", 'Data Entry'!d849)</f>
      </c>
      <c r="AK849">
        <f>IF(ISBLANK('Data Entry'!e849), "", 'Data Entry'!e849)</f>
      </c>
      <c r="AL849">
        <f>IF(ISBLANK('Data Entry'!f849), "", 'Data Entry'!f849)</f>
      </c>
      <c r="AM849">
        <f>IF(ISBLANK('Data Entry'!g849), "", 'Data Entry'!g849)</f>
      </c>
      <c r="AN849">
        <f>IF(ISBLANK('Data Entry'!h849), "", 'Data Entry'!h849)</f>
      </c>
    </row>
    <row r="850" spans="1:40" x14ac:dyDescent="0.25">
      <c r="A850">
        <f>IF(ISBLANK('Data Entry'!A850), "", 'Data Entry'!A850)</f>
      </c>
      <c r="B850">
        <f>IF(ISBLANK('Data Entry'!B850), "", 'Data Entry'!B850)</f>
      </c>
      <c r="C850">
        <f>IF(ISBLANK('Data Entry'!C850), "", 'Data Entry'!C850)</f>
      </c>
      <c r="D850">
        <f>IF(ISBLANK('Data Entry'!D850), "", 'Data Entry'!D850)</f>
      </c>
      <c r="E850">
        <f>IF(ISBLANK('Data Entry'!E850), "", 'Data Entry'!E850)</f>
      </c>
      <c r="F850">
        <f>IF(ISBLANK('Data Entry'!F850), "", 'Data Entry'!F850)</f>
      </c>
      <c r="G850">
        <f>IF(ISBLANK('Data Entry'!G850), "", 'Data Entry'!G850)</f>
      </c>
      <c r="H850">
        <f>IF(ISBLANK('Data Entry'!H850), "", 'Data Entry'!H850)</f>
      </c>
      <c r="I850">
        <f>IF(ISBLANK('Data Entry'!I850), "", 'Data Entry'!I850)</f>
      </c>
      <c r="J850">
        <f>IF(ISBLANK('Data Entry'!J850), "", 'Data Entry'!J850)</f>
      </c>
      <c r="K850">
        <f>IF(ISBLANK('Data Entry'!K850), "", 'Data Entry'!K850)</f>
      </c>
      <c r="L850">
        <f>IF(ISBLANK('Data Entry'!L850), "", 'Data Entry'!L850)</f>
      </c>
      <c r="M850">
        <f>IF(ISBLANK('Data Entry'!M850), "", 'Data Entry'!M850)</f>
      </c>
      <c r="N850">
        <f>IF(ISBLANK('Data Entry'!N850), "", 'Data Entry'!N850)</f>
      </c>
      <c r="O850">
        <f>IF(ISBLANK('Data Entry'!O850), "", 'Data Entry'!O850)</f>
      </c>
      <c r="P850">
        <f>IF(ISBLANK('Data Entry'!P850), "", 'Data Entry'!P850)</f>
      </c>
      <c r="Q850">
        <f>IF(ISBLANK('Data Entry'!Q850), "", 'Data Entry'!Q850)</f>
      </c>
      <c r="R850">
        <f>IF(ISBLANK('Data Entry'!R850), "", 'Data Entry'!R850)</f>
      </c>
      <c r="S850">
        <f>IF(ISBLANK('Data Entry'!S850), "", 'Data Entry'!S850)</f>
      </c>
      <c r="T850">
        <f>IF(ISBLANK('Data Entry'!T850), "", 'Data Entry'!T850)</f>
      </c>
      <c r="U850">
        <f>IF(ISBLANK('Data Entry'!U850), "", 'Data Entry'!U850)</f>
      </c>
      <c r="V850">
        <f>IF(ISBLANK('Data Entry'!V850), "", 'Data Entry'!V850)</f>
      </c>
      <c r="W850">
        <f>IF(ISBLANK('Data Entry'!W850), "", 'Data Entry'!W850)</f>
      </c>
      <c r="X850">
        <f>IF(ISBLANK('Data Entry'!X850), "", 'Data Entry'!X850)</f>
      </c>
      <c r="Y850">
        <f>IF(ISBLANK('Data Entry'!Y850), "", 'Data Entry'!Y850)</f>
      </c>
      <c r="Z850">
        <f>IF(ISBLANK('Data Entry'!Z850), "", 'Data Entry'!Z850)</f>
      </c>
      <c r="AA850">
        <f>IF(ISBLANK('Data Entry'![850), "", 'Data Entry'![850)</f>
      </c>
      <c r="AB850">
        <f>IF(ISBLANK('Data Entry'!\850), "", 'Data Entry'!\850)</f>
      </c>
      <c r="AC850">
        <f>IF(ISBLANK('Data Entry'!]850), "", 'Data Entry'!]850)</f>
      </c>
      <c r="AD850">
        <f>IF(ISBLANK('Data Entry'!^850), "", 'Data Entry'!^850)</f>
      </c>
      <c r="AE850">
        <f>IF(ISBLANK('Data Entry'!_850), "", 'Data Entry'!_850)</f>
      </c>
      <c r="AF850">
        <f>IF(ISBLANK('Data Entry'!`850), "", 'Data Entry'!`850)</f>
      </c>
      <c r="AG850">
        <f>IF(ISBLANK('Data Entry'!a850), "", 'Data Entry'!a850)</f>
      </c>
      <c r="AH850">
        <f>IF(ISBLANK('Data Entry'!b850), "", 'Data Entry'!b850)</f>
      </c>
      <c r="AI850">
        <f>IF(ISBLANK('Data Entry'!c850), "", 'Data Entry'!c850)</f>
      </c>
      <c r="AJ850">
        <f>IF(ISBLANK('Data Entry'!d850), "", 'Data Entry'!d850)</f>
      </c>
      <c r="AK850">
        <f>IF(ISBLANK('Data Entry'!e850), "", 'Data Entry'!e850)</f>
      </c>
      <c r="AL850">
        <f>IF(ISBLANK('Data Entry'!f850), "", 'Data Entry'!f850)</f>
      </c>
      <c r="AM850">
        <f>IF(ISBLANK('Data Entry'!g850), "", 'Data Entry'!g850)</f>
      </c>
      <c r="AN850">
        <f>IF(ISBLANK('Data Entry'!h850), "", 'Data Entry'!h850)</f>
      </c>
    </row>
    <row r="851" spans="1:40" x14ac:dyDescent="0.25">
      <c r="A851">
        <f>IF(ISBLANK('Data Entry'!A851), "", 'Data Entry'!A851)</f>
      </c>
      <c r="B851">
        <f>IF(ISBLANK('Data Entry'!B851), "", 'Data Entry'!B851)</f>
      </c>
      <c r="C851">
        <f>IF(ISBLANK('Data Entry'!C851), "", 'Data Entry'!C851)</f>
      </c>
      <c r="D851">
        <f>IF(ISBLANK('Data Entry'!D851), "", 'Data Entry'!D851)</f>
      </c>
      <c r="E851">
        <f>IF(ISBLANK('Data Entry'!E851), "", 'Data Entry'!E851)</f>
      </c>
      <c r="F851">
        <f>IF(ISBLANK('Data Entry'!F851), "", 'Data Entry'!F851)</f>
      </c>
      <c r="G851">
        <f>IF(ISBLANK('Data Entry'!G851), "", 'Data Entry'!G851)</f>
      </c>
      <c r="H851">
        <f>IF(ISBLANK('Data Entry'!H851), "", 'Data Entry'!H851)</f>
      </c>
      <c r="I851">
        <f>IF(ISBLANK('Data Entry'!I851), "", 'Data Entry'!I851)</f>
      </c>
      <c r="J851">
        <f>IF(ISBLANK('Data Entry'!J851), "", 'Data Entry'!J851)</f>
      </c>
      <c r="K851">
        <f>IF(ISBLANK('Data Entry'!K851), "", 'Data Entry'!K851)</f>
      </c>
      <c r="L851">
        <f>IF(ISBLANK('Data Entry'!L851), "", 'Data Entry'!L851)</f>
      </c>
      <c r="M851">
        <f>IF(ISBLANK('Data Entry'!M851), "", 'Data Entry'!M851)</f>
      </c>
      <c r="N851">
        <f>IF(ISBLANK('Data Entry'!N851), "", 'Data Entry'!N851)</f>
      </c>
      <c r="O851">
        <f>IF(ISBLANK('Data Entry'!O851), "", 'Data Entry'!O851)</f>
      </c>
      <c r="P851">
        <f>IF(ISBLANK('Data Entry'!P851), "", 'Data Entry'!P851)</f>
      </c>
      <c r="Q851">
        <f>IF(ISBLANK('Data Entry'!Q851), "", 'Data Entry'!Q851)</f>
      </c>
      <c r="R851">
        <f>IF(ISBLANK('Data Entry'!R851), "", 'Data Entry'!R851)</f>
      </c>
      <c r="S851">
        <f>IF(ISBLANK('Data Entry'!S851), "", 'Data Entry'!S851)</f>
      </c>
      <c r="T851">
        <f>IF(ISBLANK('Data Entry'!T851), "", 'Data Entry'!T851)</f>
      </c>
      <c r="U851">
        <f>IF(ISBLANK('Data Entry'!U851), "", 'Data Entry'!U851)</f>
      </c>
      <c r="V851">
        <f>IF(ISBLANK('Data Entry'!V851), "", 'Data Entry'!V851)</f>
      </c>
      <c r="W851">
        <f>IF(ISBLANK('Data Entry'!W851), "", 'Data Entry'!W851)</f>
      </c>
      <c r="X851">
        <f>IF(ISBLANK('Data Entry'!X851), "", 'Data Entry'!X851)</f>
      </c>
      <c r="Y851">
        <f>IF(ISBLANK('Data Entry'!Y851), "", 'Data Entry'!Y851)</f>
      </c>
      <c r="Z851">
        <f>IF(ISBLANK('Data Entry'!Z851), "", 'Data Entry'!Z851)</f>
      </c>
      <c r="AA851">
        <f>IF(ISBLANK('Data Entry'![851), "", 'Data Entry'![851)</f>
      </c>
      <c r="AB851">
        <f>IF(ISBLANK('Data Entry'!\851), "", 'Data Entry'!\851)</f>
      </c>
      <c r="AC851">
        <f>IF(ISBLANK('Data Entry'!]851), "", 'Data Entry'!]851)</f>
      </c>
      <c r="AD851">
        <f>IF(ISBLANK('Data Entry'!^851), "", 'Data Entry'!^851)</f>
      </c>
      <c r="AE851">
        <f>IF(ISBLANK('Data Entry'!_851), "", 'Data Entry'!_851)</f>
      </c>
      <c r="AF851">
        <f>IF(ISBLANK('Data Entry'!`851), "", 'Data Entry'!`851)</f>
      </c>
      <c r="AG851">
        <f>IF(ISBLANK('Data Entry'!a851), "", 'Data Entry'!a851)</f>
      </c>
      <c r="AH851">
        <f>IF(ISBLANK('Data Entry'!b851), "", 'Data Entry'!b851)</f>
      </c>
      <c r="AI851">
        <f>IF(ISBLANK('Data Entry'!c851), "", 'Data Entry'!c851)</f>
      </c>
      <c r="AJ851">
        <f>IF(ISBLANK('Data Entry'!d851), "", 'Data Entry'!d851)</f>
      </c>
      <c r="AK851">
        <f>IF(ISBLANK('Data Entry'!e851), "", 'Data Entry'!e851)</f>
      </c>
      <c r="AL851">
        <f>IF(ISBLANK('Data Entry'!f851), "", 'Data Entry'!f851)</f>
      </c>
      <c r="AM851">
        <f>IF(ISBLANK('Data Entry'!g851), "", 'Data Entry'!g851)</f>
      </c>
      <c r="AN851">
        <f>IF(ISBLANK('Data Entry'!h851), "", 'Data Entry'!h851)</f>
      </c>
    </row>
    <row r="852" spans="1:40" x14ac:dyDescent="0.25">
      <c r="A852">
        <f>IF(ISBLANK('Data Entry'!A852), "", 'Data Entry'!A852)</f>
      </c>
      <c r="B852">
        <f>IF(ISBLANK('Data Entry'!B852), "", 'Data Entry'!B852)</f>
      </c>
      <c r="C852">
        <f>IF(ISBLANK('Data Entry'!C852), "", 'Data Entry'!C852)</f>
      </c>
      <c r="D852">
        <f>IF(ISBLANK('Data Entry'!D852), "", 'Data Entry'!D852)</f>
      </c>
      <c r="E852">
        <f>IF(ISBLANK('Data Entry'!E852), "", 'Data Entry'!E852)</f>
      </c>
      <c r="F852">
        <f>IF(ISBLANK('Data Entry'!F852), "", 'Data Entry'!F852)</f>
      </c>
      <c r="G852">
        <f>IF(ISBLANK('Data Entry'!G852), "", 'Data Entry'!G852)</f>
      </c>
      <c r="H852">
        <f>IF(ISBLANK('Data Entry'!H852), "", 'Data Entry'!H852)</f>
      </c>
      <c r="I852">
        <f>IF(ISBLANK('Data Entry'!I852), "", 'Data Entry'!I852)</f>
      </c>
      <c r="J852">
        <f>IF(ISBLANK('Data Entry'!J852), "", 'Data Entry'!J852)</f>
      </c>
      <c r="K852">
        <f>IF(ISBLANK('Data Entry'!K852), "", 'Data Entry'!K852)</f>
      </c>
      <c r="L852">
        <f>IF(ISBLANK('Data Entry'!L852), "", 'Data Entry'!L852)</f>
      </c>
      <c r="M852">
        <f>IF(ISBLANK('Data Entry'!M852), "", 'Data Entry'!M852)</f>
      </c>
      <c r="N852">
        <f>IF(ISBLANK('Data Entry'!N852), "", 'Data Entry'!N852)</f>
      </c>
      <c r="O852">
        <f>IF(ISBLANK('Data Entry'!O852), "", 'Data Entry'!O852)</f>
      </c>
      <c r="P852">
        <f>IF(ISBLANK('Data Entry'!P852), "", 'Data Entry'!P852)</f>
      </c>
      <c r="Q852">
        <f>IF(ISBLANK('Data Entry'!Q852), "", 'Data Entry'!Q852)</f>
      </c>
      <c r="R852">
        <f>IF(ISBLANK('Data Entry'!R852), "", 'Data Entry'!R852)</f>
      </c>
      <c r="S852">
        <f>IF(ISBLANK('Data Entry'!S852), "", 'Data Entry'!S852)</f>
      </c>
      <c r="T852">
        <f>IF(ISBLANK('Data Entry'!T852), "", 'Data Entry'!T852)</f>
      </c>
      <c r="U852">
        <f>IF(ISBLANK('Data Entry'!U852), "", 'Data Entry'!U852)</f>
      </c>
      <c r="V852">
        <f>IF(ISBLANK('Data Entry'!V852), "", 'Data Entry'!V852)</f>
      </c>
      <c r="W852">
        <f>IF(ISBLANK('Data Entry'!W852), "", 'Data Entry'!W852)</f>
      </c>
      <c r="X852">
        <f>IF(ISBLANK('Data Entry'!X852), "", 'Data Entry'!X852)</f>
      </c>
      <c r="Y852">
        <f>IF(ISBLANK('Data Entry'!Y852), "", 'Data Entry'!Y852)</f>
      </c>
      <c r="Z852">
        <f>IF(ISBLANK('Data Entry'!Z852), "", 'Data Entry'!Z852)</f>
      </c>
      <c r="AA852">
        <f>IF(ISBLANK('Data Entry'![852), "", 'Data Entry'![852)</f>
      </c>
      <c r="AB852">
        <f>IF(ISBLANK('Data Entry'!\852), "", 'Data Entry'!\852)</f>
      </c>
      <c r="AC852">
        <f>IF(ISBLANK('Data Entry'!]852), "", 'Data Entry'!]852)</f>
      </c>
      <c r="AD852">
        <f>IF(ISBLANK('Data Entry'!^852), "", 'Data Entry'!^852)</f>
      </c>
      <c r="AE852">
        <f>IF(ISBLANK('Data Entry'!_852), "", 'Data Entry'!_852)</f>
      </c>
      <c r="AF852">
        <f>IF(ISBLANK('Data Entry'!`852), "", 'Data Entry'!`852)</f>
      </c>
      <c r="AG852">
        <f>IF(ISBLANK('Data Entry'!a852), "", 'Data Entry'!a852)</f>
      </c>
      <c r="AH852">
        <f>IF(ISBLANK('Data Entry'!b852), "", 'Data Entry'!b852)</f>
      </c>
      <c r="AI852">
        <f>IF(ISBLANK('Data Entry'!c852), "", 'Data Entry'!c852)</f>
      </c>
      <c r="AJ852">
        <f>IF(ISBLANK('Data Entry'!d852), "", 'Data Entry'!d852)</f>
      </c>
      <c r="AK852">
        <f>IF(ISBLANK('Data Entry'!e852), "", 'Data Entry'!e852)</f>
      </c>
      <c r="AL852">
        <f>IF(ISBLANK('Data Entry'!f852), "", 'Data Entry'!f852)</f>
      </c>
      <c r="AM852">
        <f>IF(ISBLANK('Data Entry'!g852), "", 'Data Entry'!g852)</f>
      </c>
      <c r="AN852">
        <f>IF(ISBLANK('Data Entry'!h852), "", 'Data Entry'!h852)</f>
      </c>
    </row>
    <row r="853" spans="1:40" x14ac:dyDescent="0.25">
      <c r="A853">
        <f>IF(ISBLANK('Data Entry'!A853), "", 'Data Entry'!A853)</f>
      </c>
      <c r="B853">
        <f>IF(ISBLANK('Data Entry'!B853), "", 'Data Entry'!B853)</f>
      </c>
      <c r="C853">
        <f>IF(ISBLANK('Data Entry'!C853), "", 'Data Entry'!C853)</f>
      </c>
      <c r="D853">
        <f>IF(ISBLANK('Data Entry'!D853), "", 'Data Entry'!D853)</f>
      </c>
      <c r="E853">
        <f>IF(ISBLANK('Data Entry'!E853), "", 'Data Entry'!E853)</f>
      </c>
      <c r="F853">
        <f>IF(ISBLANK('Data Entry'!F853), "", 'Data Entry'!F853)</f>
      </c>
      <c r="G853">
        <f>IF(ISBLANK('Data Entry'!G853), "", 'Data Entry'!G853)</f>
      </c>
      <c r="H853">
        <f>IF(ISBLANK('Data Entry'!H853), "", 'Data Entry'!H853)</f>
      </c>
      <c r="I853">
        <f>IF(ISBLANK('Data Entry'!I853), "", 'Data Entry'!I853)</f>
      </c>
      <c r="J853">
        <f>IF(ISBLANK('Data Entry'!J853), "", 'Data Entry'!J853)</f>
      </c>
      <c r="K853">
        <f>IF(ISBLANK('Data Entry'!K853), "", 'Data Entry'!K853)</f>
      </c>
      <c r="L853">
        <f>IF(ISBLANK('Data Entry'!L853), "", 'Data Entry'!L853)</f>
      </c>
      <c r="M853">
        <f>IF(ISBLANK('Data Entry'!M853), "", 'Data Entry'!M853)</f>
      </c>
      <c r="N853">
        <f>IF(ISBLANK('Data Entry'!N853), "", 'Data Entry'!N853)</f>
      </c>
      <c r="O853">
        <f>IF(ISBLANK('Data Entry'!O853), "", 'Data Entry'!O853)</f>
      </c>
      <c r="P853">
        <f>IF(ISBLANK('Data Entry'!P853), "", 'Data Entry'!P853)</f>
      </c>
      <c r="Q853">
        <f>IF(ISBLANK('Data Entry'!Q853), "", 'Data Entry'!Q853)</f>
      </c>
      <c r="R853">
        <f>IF(ISBLANK('Data Entry'!R853), "", 'Data Entry'!R853)</f>
      </c>
      <c r="S853">
        <f>IF(ISBLANK('Data Entry'!S853), "", 'Data Entry'!S853)</f>
      </c>
      <c r="T853">
        <f>IF(ISBLANK('Data Entry'!T853), "", 'Data Entry'!T853)</f>
      </c>
      <c r="U853">
        <f>IF(ISBLANK('Data Entry'!U853), "", 'Data Entry'!U853)</f>
      </c>
      <c r="V853">
        <f>IF(ISBLANK('Data Entry'!V853), "", 'Data Entry'!V853)</f>
      </c>
      <c r="W853">
        <f>IF(ISBLANK('Data Entry'!W853), "", 'Data Entry'!W853)</f>
      </c>
      <c r="X853">
        <f>IF(ISBLANK('Data Entry'!X853), "", 'Data Entry'!X853)</f>
      </c>
      <c r="Y853">
        <f>IF(ISBLANK('Data Entry'!Y853), "", 'Data Entry'!Y853)</f>
      </c>
      <c r="Z853">
        <f>IF(ISBLANK('Data Entry'!Z853), "", 'Data Entry'!Z853)</f>
      </c>
      <c r="AA853">
        <f>IF(ISBLANK('Data Entry'![853), "", 'Data Entry'![853)</f>
      </c>
      <c r="AB853">
        <f>IF(ISBLANK('Data Entry'!\853), "", 'Data Entry'!\853)</f>
      </c>
      <c r="AC853">
        <f>IF(ISBLANK('Data Entry'!]853), "", 'Data Entry'!]853)</f>
      </c>
      <c r="AD853">
        <f>IF(ISBLANK('Data Entry'!^853), "", 'Data Entry'!^853)</f>
      </c>
      <c r="AE853">
        <f>IF(ISBLANK('Data Entry'!_853), "", 'Data Entry'!_853)</f>
      </c>
      <c r="AF853">
        <f>IF(ISBLANK('Data Entry'!`853), "", 'Data Entry'!`853)</f>
      </c>
      <c r="AG853">
        <f>IF(ISBLANK('Data Entry'!a853), "", 'Data Entry'!a853)</f>
      </c>
      <c r="AH853">
        <f>IF(ISBLANK('Data Entry'!b853), "", 'Data Entry'!b853)</f>
      </c>
      <c r="AI853">
        <f>IF(ISBLANK('Data Entry'!c853), "", 'Data Entry'!c853)</f>
      </c>
      <c r="AJ853">
        <f>IF(ISBLANK('Data Entry'!d853), "", 'Data Entry'!d853)</f>
      </c>
      <c r="AK853">
        <f>IF(ISBLANK('Data Entry'!e853), "", 'Data Entry'!e853)</f>
      </c>
      <c r="AL853">
        <f>IF(ISBLANK('Data Entry'!f853), "", 'Data Entry'!f853)</f>
      </c>
      <c r="AM853">
        <f>IF(ISBLANK('Data Entry'!g853), "", 'Data Entry'!g853)</f>
      </c>
      <c r="AN853">
        <f>IF(ISBLANK('Data Entry'!h853), "", 'Data Entry'!h853)</f>
      </c>
    </row>
    <row r="854" spans="1:40" x14ac:dyDescent="0.25">
      <c r="A854">
        <f>IF(ISBLANK('Data Entry'!A854), "", 'Data Entry'!A854)</f>
      </c>
      <c r="B854">
        <f>IF(ISBLANK('Data Entry'!B854), "", 'Data Entry'!B854)</f>
      </c>
      <c r="C854">
        <f>IF(ISBLANK('Data Entry'!C854), "", 'Data Entry'!C854)</f>
      </c>
      <c r="D854">
        <f>IF(ISBLANK('Data Entry'!D854), "", 'Data Entry'!D854)</f>
      </c>
      <c r="E854">
        <f>IF(ISBLANK('Data Entry'!E854), "", 'Data Entry'!E854)</f>
      </c>
      <c r="F854">
        <f>IF(ISBLANK('Data Entry'!F854), "", 'Data Entry'!F854)</f>
      </c>
      <c r="G854">
        <f>IF(ISBLANK('Data Entry'!G854), "", 'Data Entry'!G854)</f>
      </c>
      <c r="H854">
        <f>IF(ISBLANK('Data Entry'!H854), "", 'Data Entry'!H854)</f>
      </c>
      <c r="I854">
        <f>IF(ISBLANK('Data Entry'!I854), "", 'Data Entry'!I854)</f>
      </c>
      <c r="J854">
        <f>IF(ISBLANK('Data Entry'!J854), "", 'Data Entry'!J854)</f>
      </c>
      <c r="K854">
        <f>IF(ISBLANK('Data Entry'!K854), "", 'Data Entry'!K854)</f>
      </c>
      <c r="L854">
        <f>IF(ISBLANK('Data Entry'!L854), "", 'Data Entry'!L854)</f>
      </c>
      <c r="M854">
        <f>IF(ISBLANK('Data Entry'!M854), "", 'Data Entry'!M854)</f>
      </c>
      <c r="N854">
        <f>IF(ISBLANK('Data Entry'!N854), "", 'Data Entry'!N854)</f>
      </c>
      <c r="O854">
        <f>IF(ISBLANK('Data Entry'!O854), "", 'Data Entry'!O854)</f>
      </c>
      <c r="P854">
        <f>IF(ISBLANK('Data Entry'!P854), "", 'Data Entry'!P854)</f>
      </c>
      <c r="Q854">
        <f>IF(ISBLANK('Data Entry'!Q854), "", 'Data Entry'!Q854)</f>
      </c>
      <c r="R854">
        <f>IF(ISBLANK('Data Entry'!R854), "", 'Data Entry'!R854)</f>
      </c>
      <c r="S854">
        <f>IF(ISBLANK('Data Entry'!S854), "", 'Data Entry'!S854)</f>
      </c>
      <c r="T854">
        <f>IF(ISBLANK('Data Entry'!T854), "", 'Data Entry'!T854)</f>
      </c>
      <c r="U854">
        <f>IF(ISBLANK('Data Entry'!U854), "", 'Data Entry'!U854)</f>
      </c>
      <c r="V854">
        <f>IF(ISBLANK('Data Entry'!V854), "", 'Data Entry'!V854)</f>
      </c>
      <c r="W854">
        <f>IF(ISBLANK('Data Entry'!W854), "", 'Data Entry'!W854)</f>
      </c>
      <c r="X854">
        <f>IF(ISBLANK('Data Entry'!X854), "", 'Data Entry'!X854)</f>
      </c>
      <c r="Y854">
        <f>IF(ISBLANK('Data Entry'!Y854), "", 'Data Entry'!Y854)</f>
      </c>
      <c r="Z854">
        <f>IF(ISBLANK('Data Entry'!Z854), "", 'Data Entry'!Z854)</f>
      </c>
      <c r="AA854">
        <f>IF(ISBLANK('Data Entry'![854), "", 'Data Entry'![854)</f>
      </c>
      <c r="AB854">
        <f>IF(ISBLANK('Data Entry'!\854), "", 'Data Entry'!\854)</f>
      </c>
      <c r="AC854">
        <f>IF(ISBLANK('Data Entry'!]854), "", 'Data Entry'!]854)</f>
      </c>
      <c r="AD854">
        <f>IF(ISBLANK('Data Entry'!^854), "", 'Data Entry'!^854)</f>
      </c>
      <c r="AE854">
        <f>IF(ISBLANK('Data Entry'!_854), "", 'Data Entry'!_854)</f>
      </c>
      <c r="AF854">
        <f>IF(ISBLANK('Data Entry'!`854), "", 'Data Entry'!`854)</f>
      </c>
      <c r="AG854">
        <f>IF(ISBLANK('Data Entry'!a854), "", 'Data Entry'!a854)</f>
      </c>
      <c r="AH854">
        <f>IF(ISBLANK('Data Entry'!b854), "", 'Data Entry'!b854)</f>
      </c>
      <c r="AI854">
        <f>IF(ISBLANK('Data Entry'!c854), "", 'Data Entry'!c854)</f>
      </c>
      <c r="AJ854">
        <f>IF(ISBLANK('Data Entry'!d854), "", 'Data Entry'!d854)</f>
      </c>
      <c r="AK854">
        <f>IF(ISBLANK('Data Entry'!e854), "", 'Data Entry'!e854)</f>
      </c>
      <c r="AL854">
        <f>IF(ISBLANK('Data Entry'!f854), "", 'Data Entry'!f854)</f>
      </c>
      <c r="AM854">
        <f>IF(ISBLANK('Data Entry'!g854), "", 'Data Entry'!g854)</f>
      </c>
      <c r="AN854">
        <f>IF(ISBLANK('Data Entry'!h854), "", 'Data Entry'!h854)</f>
      </c>
    </row>
    <row r="855" spans="1:40" x14ac:dyDescent="0.25">
      <c r="A855">
        <f>IF(ISBLANK('Data Entry'!A855), "", 'Data Entry'!A855)</f>
      </c>
      <c r="B855">
        <f>IF(ISBLANK('Data Entry'!B855), "", 'Data Entry'!B855)</f>
      </c>
      <c r="C855">
        <f>IF(ISBLANK('Data Entry'!C855), "", 'Data Entry'!C855)</f>
      </c>
      <c r="D855">
        <f>IF(ISBLANK('Data Entry'!D855), "", 'Data Entry'!D855)</f>
      </c>
      <c r="E855">
        <f>IF(ISBLANK('Data Entry'!E855), "", 'Data Entry'!E855)</f>
      </c>
      <c r="F855">
        <f>IF(ISBLANK('Data Entry'!F855), "", 'Data Entry'!F855)</f>
      </c>
      <c r="G855">
        <f>IF(ISBLANK('Data Entry'!G855), "", 'Data Entry'!G855)</f>
      </c>
      <c r="H855">
        <f>IF(ISBLANK('Data Entry'!H855), "", 'Data Entry'!H855)</f>
      </c>
      <c r="I855">
        <f>IF(ISBLANK('Data Entry'!I855), "", 'Data Entry'!I855)</f>
      </c>
      <c r="J855">
        <f>IF(ISBLANK('Data Entry'!J855), "", 'Data Entry'!J855)</f>
      </c>
      <c r="K855">
        <f>IF(ISBLANK('Data Entry'!K855), "", 'Data Entry'!K855)</f>
      </c>
      <c r="L855">
        <f>IF(ISBLANK('Data Entry'!L855), "", 'Data Entry'!L855)</f>
      </c>
      <c r="M855">
        <f>IF(ISBLANK('Data Entry'!M855), "", 'Data Entry'!M855)</f>
      </c>
      <c r="N855">
        <f>IF(ISBLANK('Data Entry'!N855), "", 'Data Entry'!N855)</f>
      </c>
      <c r="O855">
        <f>IF(ISBLANK('Data Entry'!O855), "", 'Data Entry'!O855)</f>
      </c>
      <c r="P855">
        <f>IF(ISBLANK('Data Entry'!P855), "", 'Data Entry'!P855)</f>
      </c>
      <c r="Q855">
        <f>IF(ISBLANK('Data Entry'!Q855), "", 'Data Entry'!Q855)</f>
      </c>
      <c r="R855">
        <f>IF(ISBLANK('Data Entry'!R855), "", 'Data Entry'!R855)</f>
      </c>
      <c r="S855">
        <f>IF(ISBLANK('Data Entry'!S855), "", 'Data Entry'!S855)</f>
      </c>
      <c r="T855">
        <f>IF(ISBLANK('Data Entry'!T855), "", 'Data Entry'!T855)</f>
      </c>
      <c r="U855">
        <f>IF(ISBLANK('Data Entry'!U855), "", 'Data Entry'!U855)</f>
      </c>
      <c r="V855">
        <f>IF(ISBLANK('Data Entry'!V855), "", 'Data Entry'!V855)</f>
      </c>
      <c r="W855">
        <f>IF(ISBLANK('Data Entry'!W855), "", 'Data Entry'!W855)</f>
      </c>
      <c r="X855">
        <f>IF(ISBLANK('Data Entry'!X855), "", 'Data Entry'!X855)</f>
      </c>
      <c r="Y855">
        <f>IF(ISBLANK('Data Entry'!Y855), "", 'Data Entry'!Y855)</f>
      </c>
      <c r="Z855">
        <f>IF(ISBLANK('Data Entry'!Z855), "", 'Data Entry'!Z855)</f>
      </c>
      <c r="AA855">
        <f>IF(ISBLANK('Data Entry'![855), "", 'Data Entry'![855)</f>
      </c>
      <c r="AB855">
        <f>IF(ISBLANK('Data Entry'!\855), "", 'Data Entry'!\855)</f>
      </c>
      <c r="AC855">
        <f>IF(ISBLANK('Data Entry'!]855), "", 'Data Entry'!]855)</f>
      </c>
      <c r="AD855">
        <f>IF(ISBLANK('Data Entry'!^855), "", 'Data Entry'!^855)</f>
      </c>
      <c r="AE855">
        <f>IF(ISBLANK('Data Entry'!_855), "", 'Data Entry'!_855)</f>
      </c>
      <c r="AF855">
        <f>IF(ISBLANK('Data Entry'!`855), "", 'Data Entry'!`855)</f>
      </c>
      <c r="AG855">
        <f>IF(ISBLANK('Data Entry'!a855), "", 'Data Entry'!a855)</f>
      </c>
      <c r="AH855">
        <f>IF(ISBLANK('Data Entry'!b855), "", 'Data Entry'!b855)</f>
      </c>
      <c r="AI855">
        <f>IF(ISBLANK('Data Entry'!c855), "", 'Data Entry'!c855)</f>
      </c>
      <c r="AJ855">
        <f>IF(ISBLANK('Data Entry'!d855), "", 'Data Entry'!d855)</f>
      </c>
      <c r="AK855">
        <f>IF(ISBLANK('Data Entry'!e855), "", 'Data Entry'!e855)</f>
      </c>
      <c r="AL855">
        <f>IF(ISBLANK('Data Entry'!f855), "", 'Data Entry'!f855)</f>
      </c>
      <c r="AM855">
        <f>IF(ISBLANK('Data Entry'!g855), "", 'Data Entry'!g855)</f>
      </c>
      <c r="AN855">
        <f>IF(ISBLANK('Data Entry'!h855), "", 'Data Entry'!h855)</f>
      </c>
    </row>
    <row r="856" spans="1:40" x14ac:dyDescent="0.25">
      <c r="A856">
        <f>IF(ISBLANK('Data Entry'!A856), "", 'Data Entry'!A856)</f>
      </c>
      <c r="B856">
        <f>IF(ISBLANK('Data Entry'!B856), "", 'Data Entry'!B856)</f>
      </c>
      <c r="C856">
        <f>IF(ISBLANK('Data Entry'!C856), "", 'Data Entry'!C856)</f>
      </c>
      <c r="D856">
        <f>IF(ISBLANK('Data Entry'!D856), "", 'Data Entry'!D856)</f>
      </c>
      <c r="E856">
        <f>IF(ISBLANK('Data Entry'!E856), "", 'Data Entry'!E856)</f>
      </c>
      <c r="F856">
        <f>IF(ISBLANK('Data Entry'!F856), "", 'Data Entry'!F856)</f>
      </c>
      <c r="G856">
        <f>IF(ISBLANK('Data Entry'!G856), "", 'Data Entry'!G856)</f>
      </c>
      <c r="H856">
        <f>IF(ISBLANK('Data Entry'!H856), "", 'Data Entry'!H856)</f>
      </c>
      <c r="I856">
        <f>IF(ISBLANK('Data Entry'!I856), "", 'Data Entry'!I856)</f>
      </c>
      <c r="J856">
        <f>IF(ISBLANK('Data Entry'!J856), "", 'Data Entry'!J856)</f>
      </c>
      <c r="K856">
        <f>IF(ISBLANK('Data Entry'!K856), "", 'Data Entry'!K856)</f>
      </c>
      <c r="L856">
        <f>IF(ISBLANK('Data Entry'!L856), "", 'Data Entry'!L856)</f>
      </c>
      <c r="M856">
        <f>IF(ISBLANK('Data Entry'!M856), "", 'Data Entry'!M856)</f>
      </c>
      <c r="N856">
        <f>IF(ISBLANK('Data Entry'!N856), "", 'Data Entry'!N856)</f>
      </c>
      <c r="O856">
        <f>IF(ISBLANK('Data Entry'!O856), "", 'Data Entry'!O856)</f>
      </c>
      <c r="P856">
        <f>IF(ISBLANK('Data Entry'!P856), "", 'Data Entry'!P856)</f>
      </c>
      <c r="Q856">
        <f>IF(ISBLANK('Data Entry'!Q856), "", 'Data Entry'!Q856)</f>
      </c>
      <c r="R856">
        <f>IF(ISBLANK('Data Entry'!R856), "", 'Data Entry'!R856)</f>
      </c>
      <c r="S856">
        <f>IF(ISBLANK('Data Entry'!S856), "", 'Data Entry'!S856)</f>
      </c>
      <c r="T856">
        <f>IF(ISBLANK('Data Entry'!T856), "", 'Data Entry'!T856)</f>
      </c>
      <c r="U856">
        <f>IF(ISBLANK('Data Entry'!U856), "", 'Data Entry'!U856)</f>
      </c>
      <c r="V856">
        <f>IF(ISBLANK('Data Entry'!V856), "", 'Data Entry'!V856)</f>
      </c>
      <c r="W856">
        <f>IF(ISBLANK('Data Entry'!W856), "", 'Data Entry'!W856)</f>
      </c>
      <c r="X856">
        <f>IF(ISBLANK('Data Entry'!X856), "", 'Data Entry'!X856)</f>
      </c>
      <c r="Y856">
        <f>IF(ISBLANK('Data Entry'!Y856), "", 'Data Entry'!Y856)</f>
      </c>
      <c r="Z856">
        <f>IF(ISBLANK('Data Entry'!Z856), "", 'Data Entry'!Z856)</f>
      </c>
      <c r="AA856">
        <f>IF(ISBLANK('Data Entry'![856), "", 'Data Entry'![856)</f>
      </c>
      <c r="AB856">
        <f>IF(ISBLANK('Data Entry'!\856), "", 'Data Entry'!\856)</f>
      </c>
      <c r="AC856">
        <f>IF(ISBLANK('Data Entry'!]856), "", 'Data Entry'!]856)</f>
      </c>
      <c r="AD856">
        <f>IF(ISBLANK('Data Entry'!^856), "", 'Data Entry'!^856)</f>
      </c>
      <c r="AE856">
        <f>IF(ISBLANK('Data Entry'!_856), "", 'Data Entry'!_856)</f>
      </c>
      <c r="AF856">
        <f>IF(ISBLANK('Data Entry'!`856), "", 'Data Entry'!`856)</f>
      </c>
      <c r="AG856">
        <f>IF(ISBLANK('Data Entry'!a856), "", 'Data Entry'!a856)</f>
      </c>
      <c r="AH856">
        <f>IF(ISBLANK('Data Entry'!b856), "", 'Data Entry'!b856)</f>
      </c>
      <c r="AI856">
        <f>IF(ISBLANK('Data Entry'!c856), "", 'Data Entry'!c856)</f>
      </c>
      <c r="AJ856">
        <f>IF(ISBLANK('Data Entry'!d856), "", 'Data Entry'!d856)</f>
      </c>
      <c r="AK856">
        <f>IF(ISBLANK('Data Entry'!e856), "", 'Data Entry'!e856)</f>
      </c>
      <c r="AL856">
        <f>IF(ISBLANK('Data Entry'!f856), "", 'Data Entry'!f856)</f>
      </c>
      <c r="AM856">
        <f>IF(ISBLANK('Data Entry'!g856), "", 'Data Entry'!g856)</f>
      </c>
      <c r="AN856">
        <f>IF(ISBLANK('Data Entry'!h856), "", 'Data Entry'!h856)</f>
      </c>
    </row>
    <row r="857" spans="1:40" x14ac:dyDescent="0.25">
      <c r="A857">
        <f>IF(ISBLANK('Data Entry'!A857), "", 'Data Entry'!A857)</f>
      </c>
      <c r="B857">
        <f>IF(ISBLANK('Data Entry'!B857), "", 'Data Entry'!B857)</f>
      </c>
      <c r="C857">
        <f>IF(ISBLANK('Data Entry'!C857), "", 'Data Entry'!C857)</f>
      </c>
      <c r="D857">
        <f>IF(ISBLANK('Data Entry'!D857), "", 'Data Entry'!D857)</f>
      </c>
      <c r="E857">
        <f>IF(ISBLANK('Data Entry'!E857), "", 'Data Entry'!E857)</f>
      </c>
      <c r="F857">
        <f>IF(ISBLANK('Data Entry'!F857), "", 'Data Entry'!F857)</f>
      </c>
      <c r="G857">
        <f>IF(ISBLANK('Data Entry'!G857), "", 'Data Entry'!G857)</f>
      </c>
      <c r="H857">
        <f>IF(ISBLANK('Data Entry'!H857), "", 'Data Entry'!H857)</f>
      </c>
      <c r="I857">
        <f>IF(ISBLANK('Data Entry'!I857), "", 'Data Entry'!I857)</f>
      </c>
      <c r="J857">
        <f>IF(ISBLANK('Data Entry'!J857), "", 'Data Entry'!J857)</f>
      </c>
      <c r="K857">
        <f>IF(ISBLANK('Data Entry'!K857), "", 'Data Entry'!K857)</f>
      </c>
      <c r="L857">
        <f>IF(ISBLANK('Data Entry'!L857), "", 'Data Entry'!L857)</f>
      </c>
      <c r="M857">
        <f>IF(ISBLANK('Data Entry'!M857), "", 'Data Entry'!M857)</f>
      </c>
      <c r="N857">
        <f>IF(ISBLANK('Data Entry'!N857), "", 'Data Entry'!N857)</f>
      </c>
      <c r="O857">
        <f>IF(ISBLANK('Data Entry'!O857), "", 'Data Entry'!O857)</f>
      </c>
      <c r="P857">
        <f>IF(ISBLANK('Data Entry'!P857), "", 'Data Entry'!P857)</f>
      </c>
      <c r="Q857">
        <f>IF(ISBLANK('Data Entry'!Q857), "", 'Data Entry'!Q857)</f>
      </c>
      <c r="R857">
        <f>IF(ISBLANK('Data Entry'!R857), "", 'Data Entry'!R857)</f>
      </c>
      <c r="S857">
        <f>IF(ISBLANK('Data Entry'!S857), "", 'Data Entry'!S857)</f>
      </c>
      <c r="T857">
        <f>IF(ISBLANK('Data Entry'!T857), "", 'Data Entry'!T857)</f>
      </c>
      <c r="U857">
        <f>IF(ISBLANK('Data Entry'!U857), "", 'Data Entry'!U857)</f>
      </c>
      <c r="V857">
        <f>IF(ISBLANK('Data Entry'!V857), "", 'Data Entry'!V857)</f>
      </c>
      <c r="W857">
        <f>IF(ISBLANK('Data Entry'!W857), "", 'Data Entry'!W857)</f>
      </c>
      <c r="X857">
        <f>IF(ISBLANK('Data Entry'!X857), "", 'Data Entry'!X857)</f>
      </c>
      <c r="Y857">
        <f>IF(ISBLANK('Data Entry'!Y857), "", 'Data Entry'!Y857)</f>
      </c>
      <c r="Z857">
        <f>IF(ISBLANK('Data Entry'!Z857), "", 'Data Entry'!Z857)</f>
      </c>
      <c r="AA857">
        <f>IF(ISBLANK('Data Entry'![857), "", 'Data Entry'![857)</f>
      </c>
      <c r="AB857">
        <f>IF(ISBLANK('Data Entry'!\857), "", 'Data Entry'!\857)</f>
      </c>
      <c r="AC857">
        <f>IF(ISBLANK('Data Entry'!]857), "", 'Data Entry'!]857)</f>
      </c>
      <c r="AD857">
        <f>IF(ISBLANK('Data Entry'!^857), "", 'Data Entry'!^857)</f>
      </c>
      <c r="AE857">
        <f>IF(ISBLANK('Data Entry'!_857), "", 'Data Entry'!_857)</f>
      </c>
      <c r="AF857">
        <f>IF(ISBLANK('Data Entry'!`857), "", 'Data Entry'!`857)</f>
      </c>
      <c r="AG857">
        <f>IF(ISBLANK('Data Entry'!a857), "", 'Data Entry'!a857)</f>
      </c>
      <c r="AH857">
        <f>IF(ISBLANK('Data Entry'!b857), "", 'Data Entry'!b857)</f>
      </c>
      <c r="AI857">
        <f>IF(ISBLANK('Data Entry'!c857), "", 'Data Entry'!c857)</f>
      </c>
      <c r="AJ857">
        <f>IF(ISBLANK('Data Entry'!d857), "", 'Data Entry'!d857)</f>
      </c>
      <c r="AK857">
        <f>IF(ISBLANK('Data Entry'!e857), "", 'Data Entry'!e857)</f>
      </c>
      <c r="AL857">
        <f>IF(ISBLANK('Data Entry'!f857), "", 'Data Entry'!f857)</f>
      </c>
      <c r="AM857">
        <f>IF(ISBLANK('Data Entry'!g857), "", 'Data Entry'!g857)</f>
      </c>
      <c r="AN857">
        <f>IF(ISBLANK('Data Entry'!h857), "", 'Data Entry'!h857)</f>
      </c>
    </row>
    <row r="858" spans="1:40" x14ac:dyDescent="0.25">
      <c r="A858">
        <f>IF(ISBLANK('Data Entry'!A858), "", 'Data Entry'!A858)</f>
      </c>
      <c r="B858">
        <f>IF(ISBLANK('Data Entry'!B858), "", 'Data Entry'!B858)</f>
      </c>
      <c r="C858">
        <f>IF(ISBLANK('Data Entry'!C858), "", 'Data Entry'!C858)</f>
      </c>
      <c r="D858">
        <f>IF(ISBLANK('Data Entry'!D858), "", 'Data Entry'!D858)</f>
      </c>
      <c r="E858">
        <f>IF(ISBLANK('Data Entry'!E858), "", 'Data Entry'!E858)</f>
      </c>
      <c r="F858">
        <f>IF(ISBLANK('Data Entry'!F858), "", 'Data Entry'!F858)</f>
      </c>
      <c r="G858">
        <f>IF(ISBLANK('Data Entry'!G858), "", 'Data Entry'!G858)</f>
      </c>
      <c r="H858">
        <f>IF(ISBLANK('Data Entry'!H858), "", 'Data Entry'!H858)</f>
      </c>
      <c r="I858">
        <f>IF(ISBLANK('Data Entry'!I858), "", 'Data Entry'!I858)</f>
      </c>
      <c r="J858">
        <f>IF(ISBLANK('Data Entry'!J858), "", 'Data Entry'!J858)</f>
      </c>
      <c r="K858">
        <f>IF(ISBLANK('Data Entry'!K858), "", 'Data Entry'!K858)</f>
      </c>
      <c r="L858">
        <f>IF(ISBLANK('Data Entry'!L858), "", 'Data Entry'!L858)</f>
      </c>
      <c r="M858">
        <f>IF(ISBLANK('Data Entry'!M858), "", 'Data Entry'!M858)</f>
      </c>
      <c r="N858">
        <f>IF(ISBLANK('Data Entry'!N858), "", 'Data Entry'!N858)</f>
      </c>
      <c r="O858">
        <f>IF(ISBLANK('Data Entry'!O858), "", 'Data Entry'!O858)</f>
      </c>
      <c r="P858">
        <f>IF(ISBLANK('Data Entry'!P858), "", 'Data Entry'!P858)</f>
      </c>
      <c r="Q858">
        <f>IF(ISBLANK('Data Entry'!Q858), "", 'Data Entry'!Q858)</f>
      </c>
      <c r="R858">
        <f>IF(ISBLANK('Data Entry'!R858), "", 'Data Entry'!R858)</f>
      </c>
      <c r="S858">
        <f>IF(ISBLANK('Data Entry'!S858), "", 'Data Entry'!S858)</f>
      </c>
      <c r="T858">
        <f>IF(ISBLANK('Data Entry'!T858), "", 'Data Entry'!T858)</f>
      </c>
      <c r="U858">
        <f>IF(ISBLANK('Data Entry'!U858), "", 'Data Entry'!U858)</f>
      </c>
      <c r="V858">
        <f>IF(ISBLANK('Data Entry'!V858), "", 'Data Entry'!V858)</f>
      </c>
      <c r="W858">
        <f>IF(ISBLANK('Data Entry'!W858), "", 'Data Entry'!W858)</f>
      </c>
      <c r="X858">
        <f>IF(ISBLANK('Data Entry'!X858), "", 'Data Entry'!X858)</f>
      </c>
      <c r="Y858">
        <f>IF(ISBLANK('Data Entry'!Y858), "", 'Data Entry'!Y858)</f>
      </c>
      <c r="Z858">
        <f>IF(ISBLANK('Data Entry'!Z858), "", 'Data Entry'!Z858)</f>
      </c>
      <c r="AA858">
        <f>IF(ISBLANK('Data Entry'![858), "", 'Data Entry'![858)</f>
      </c>
      <c r="AB858">
        <f>IF(ISBLANK('Data Entry'!\858), "", 'Data Entry'!\858)</f>
      </c>
      <c r="AC858">
        <f>IF(ISBLANK('Data Entry'!]858), "", 'Data Entry'!]858)</f>
      </c>
      <c r="AD858">
        <f>IF(ISBLANK('Data Entry'!^858), "", 'Data Entry'!^858)</f>
      </c>
      <c r="AE858">
        <f>IF(ISBLANK('Data Entry'!_858), "", 'Data Entry'!_858)</f>
      </c>
      <c r="AF858">
        <f>IF(ISBLANK('Data Entry'!`858), "", 'Data Entry'!`858)</f>
      </c>
      <c r="AG858">
        <f>IF(ISBLANK('Data Entry'!a858), "", 'Data Entry'!a858)</f>
      </c>
      <c r="AH858">
        <f>IF(ISBLANK('Data Entry'!b858), "", 'Data Entry'!b858)</f>
      </c>
      <c r="AI858">
        <f>IF(ISBLANK('Data Entry'!c858), "", 'Data Entry'!c858)</f>
      </c>
      <c r="AJ858">
        <f>IF(ISBLANK('Data Entry'!d858), "", 'Data Entry'!d858)</f>
      </c>
      <c r="AK858">
        <f>IF(ISBLANK('Data Entry'!e858), "", 'Data Entry'!e858)</f>
      </c>
      <c r="AL858">
        <f>IF(ISBLANK('Data Entry'!f858), "", 'Data Entry'!f858)</f>
      </c>
      <c r="AM858">
        <f>IF(ISBLANK('Data Entry'!g858), "", 'Data Entry'!g858)</f>
      </c>
      <c r="AN858">
        <f>IF(ISBLANK('Data Entry'!h858), "", 'Data Entry'!h858)</f>
      </c>
    </row>
    <row r="859" spans="1:40" x14ac:dyDescent="0.25">
      <c r="A859">
        <f>IF(ISBLANK('Data Entry'!A859), "", 'Data Entry'!A859)</f>
      </c>
      <c r="B859">
        <f>IF(ISBLANK('Data Entry'!B859), "", 'Data Entry'!B859)</f>
      </c>
      <c r="C859">
        <f>IF(ISBLANK('Data Entry'!C859), "", 'Data Entry'!C859)</f>
      </c>
      <c r="D859">
        <f>IF(ISBLANK('Data Entry'!D859), "", 'Data Entry'!D859)</f>
      </c>
      <c r="E859">
        <f>IF(ISBLANK('Data Entry'!E859), "", 'Data Entry'!E859)</f>
      </c>
      <c r="F859">
        <f>IF(ISBLANK('Data Entry'!F859), "", 'Data Entry'!F859)</f>
      </c>
      <c r="G859">
        <f>IF(ISBLANK('Data Entry'!G859), "", 'Data Entry'!G859)</f>
      </c>
      <c r="H859">
        <f>IF(ISBLANK('Data Entry'!H859), "", 'Data Entry'!H859)</f>
      </c>
      <c r="I859">
        <f>IF(ISBLANK('Data Entry'!I859), "", 'Data Entry'!I859)</f>
      </c>
      <c r="J859">
        <f>IF(ISBLANK('Data Entry'!J859), "", 'Data Entry'!J859)</f>
      </c>
      <c r="K859">
        <f>IF(ISBLANK('Data Entry'!K859), "", 'Data Entry'!K859)</f>
      </c>
      <c r="L859">
        <f>IF(ISBLANK('Data Entry'!L859), "", 'Data Entry'!L859)</f>
      </c>
      <c r="M859">
        <f>IF(ISBLANK('Data Entry'!M859), "", 'Data Entry'!M859)</f>
      </c>
      <c r="N859">
        <f>IF(ISBLANK('Data Entry'!N859), "", 'Data Entry'!N859)</f>
      </c>
      <c r="O859">
        <f>IF(ISBLANK('Data Entry'!O859), "", 'Data Entry'!O859)</f>
      </c>
      <c r="P859">
        <f>IF(ISBLANK('Data Entry'!P859), "", 'Data Entry'!P859)</f>
      </c>
      <c r="Q859">
        <f>IF(ISBLANK('Data Entry'!Q859), "", 'Data Entry'!Q859)</f>
      </c>
      <c r="R859">
        <f>IF(ISBLANK('Data Entry'!R859), "", 'Data Entry'!R859)</f>
      </c>
      <c r="S859">
        <f>IF(ISBLANK('Data Entry'!S859), "", 'Data Entry'!S859)</f>
      </c>
      <c r="T859">
        <f>IF(ISBLANK('Data Entry'!T859), "", 'Data Entry'!T859)</f>
      </c>
      <c r="U859">
        <f>IF(ISBLANK('Data Entry'!U859), "", 'Data Entry'!U859)</f>
      </c>
      <c r="V859">
        <f>IF(ISBLANK('Data Entry'!V859), "", 'Data Entry'!V859)</f>
      </c>
      <c r="W859">
        <f>IF(ISBLANK('Data Entry'!W859), "", 'Data Entry'!W859)</f>
      </c>
      <c r="X859">
        <f>IF(ISBLANK('Data Entry'!X859), "", 'Data Entry'!X859)</f>
      </c>
      <c r="Y859">
        <f>IF(ISBLANK('Data Entry'!Y859), "", 'Data Entry'!Y859)</f>
      </c>
      <c r="Z859">
        <f>IF(ISBLANK('Data Entry'!Z859), "", 'Data Entry'!Z859)</f>
      </c>
      <c r="AA859">
        <f>IF(ISBLANK('Data Entry'![859), "", 'Data Entry'![859)</f>
      </c>
      <c r="AB859">
        <f>IF(ISBLANK('Data Entry'!\859), "", 'Data Entry'!\859)</f>
      </c>
      <c r="AC859">
        <f>IF(ISBLANK('Data Entry'!]859), "", 'Data Entry'!]859)</f>
      </c>
      <c r="AD859">
        <f>IF(ISBLANK('Data Entry'!^859), "", 'Data Entry'!^859)</f>
      </c>
      <c r="AE859">
        <f>IF(ISBLANK('Data Entry'!_859), "", 'Data Entry'!_859)</f>
      </c>
      <c r="AF859">
        <f>IF(ISBLANK('Data Entry'!`859), "", 'Data Entry'!`859)</f>
      </c>
      <c r="AG859">
        <f>IF(ISBLANK('Data Entry'!a859), "", 'Data Entry'!a859)</f>
      </c>
      <c r="AH859">
        <f>IF(ISBLANK('Data Entry'!b859), "", 'Data Entry'!b859)</f>
      </c>
      <c r="AI859">
        <f>IF(ISBLANK('Data Entry'!c859), "", 'Data Entry'!c859)</f>
      </c>
      <c r="AJ859">
        <f>IF(ISBLANK('Data Entry'!d859), "", 'Data Entry'!d859)</f>
      </c>
      <c r="AK859">
        <f>IF(ISBLANK('Data Entry'!e859), "", 'Data Entry'!e859)</f>
      </c>
      <c r="AL859">
        <f>IF(ISBLANK('Data Entry'!f859), "", 'Data Entry'!f859)</f>
      </c>
      <c r="AM859">
        <f>IF(ISBLANK('Data Entry'!g859), "", 'Data Entry'!g859)</f>
      </c>
      <c r="AN859">
        <f>IF(ISBLANK('Data Entry'!h859), "", 'Data Entry'!h859)</f>
      </c>
    </row>
    <row r="860" spans="1:40" x14ac:dyDescent="0.25">
      <c r="A860">
        <f>IF(ISBLANK('Data Entry'!A860), "", 'Data Entry'!A860)</f>
      </c>
      <c r="B860">
        <f>IF(ISBLANK('Data Entry'!B860), "", 'Data Entry'!B860)</f>
      </c>
      <c r="C860">
        <f>IF(ISBLANK('Data Entry'!C860), "", 'Data Entry'!C860)</f>
      </c>
      <c r="D860">
        <f>IF(ISBLANK('Data Entry'!D860), "", 'Data Entry'!D860)</f>
      </c>
      <c r="E860">
        <f>IF(ISBLANK('Data Entry'!E860), "", 'Data Entry'!E860)</f>
      </c>
      <c r="F860">
        <f>IF(ISBLANK('Data Entry'!F860), "", 'Data Entry'!F860)</f>
      </c>
      <c r="G860">
        <f>IF(ISBLANK('Data Entry'!G860), "", 'Data Entry'!G860)</f>
      </c>
      <c r="H860">
        <f>IF(ISBLANK('Data Entry'!H860), "", 'Data Entry'!H860)</f>
      </c>
      <c r="I860">
        <f>IF(ISBLANK('Data Entry'!I860), "", 'Data Entry'!I860)</f>
      </c>
      <c r="J860">
        <f>IF(ISBLANK('Data Entry'!J860), "", 'Data Entry'!J860)</f>
      </c>
      <c r="K860">
        <f>IF(ISBLANK('Data Entry'!K860), "", 'Data Entry'!K860)</f>
      </c>
      <c r="L860">
        <f>IF(ISBLANK('Data Entry'!L860), "", 'Data Entry'!L860)</f>
      </c>
      <c r="M860">
        <f>IF(ISBLANK('Data Entry'!M860), "", 'Data Entry'!M860)</f>
      </c>
      <c r="N860">
        <f>IF(ISBLANK('Data Entry'!N860), "", 'Data Entry'!N860)</f>
      </c>
      <c r="O860">
        <f>IF(ISBLANK('Data Entry'!O860), "", 'Data Entry'!O860)</f>
      </c>
      <c r="P860">
        <f>IF(ISBLANK('Data Entry'!P860), "", 'Data Entry'!P860)</f>
      </c>
      <c r="Q860">
        <f>IF(ISBLANK('Data Entry'!Q860), "", 'Data Entry'!Q860)</f>
      </c>
      <c r="R860">
        <f>IF(ISBLANK('Data Entry'!R860), "", 'Data Entry'!R860)</f>
      </c>
      <c r="S860">
        <f>IF(ISBLANK('Data Entry'!S860), "", 'Data Entry'!S860)</f>
      </c>
      <c r="T860">
        <f>IF(ISBLANK('Data Entry'!T860), "", 'Data Entry'!T860)</f>
      </c>
      <c r="U860">
        <f>IF(ISBLANK('Data Entry'!U860), "", 'Data Entry'!U860)</f>
      </c>
      <c r="V860">
        <f>IF(ISBLANK('Data Entry'!V860), "", 'Data Entry'!V860)</f>
      </c>
      <c r="W860">
        <f>IF(ISBLANK('Data Entry'!W860), "", 'Data Entry'!W860)</f>
      </c>
      <c r="X860">
        <f>IF(ISBLANK('Data Entry'!X860), "", 'Data Entry'!X860)</f>
      </c>
      <c r="Y860">
        <f>IF(ISBLANK('Data Entry'!Y860), "", 'Data Entry'!Y860)</f>
      </c>
      <c r="Z860">
        <f>IF(ISBLANK('Data Entry'!Z860), "", 'Data Entry'!Z860)</f>
      </c>
      <c r="AA860">
        <f>IF(ISBLANK('Data Entry'![860), "", 'Data Entry'![860)</f>
      </c>
      <c r="AB860">
        <f>IF(ISBLANK('Data Entry'!\860), "", 'Data Entry'!\860)</f>
      </c>
      <c r="AC860">
        <f>IF(ISBLANK('Data Entry'!]860), "", 'Data Entry'!]860)</f>
      </c>
      <c r="AD860">
        <f>IF(ISBLANK('Data Entry'!^860), "", 'Data Entry'!^860)</f>
      </c>
      <c r="AE860">
        <f>IF(ISBLANK('Data Entry'!_860), "", 'Data Entry'!_860)</f>
      </c>
      <c r="AF860">
        <f>IF(ISBLANK('Data Entry'!`860), "", 'Data Entry'!`860)</f>
      </c>
      <c r="AG860">
        <f>IF(ISBLANK('Data Entry'!a860), "", 'Data Entry'!a860)</f>
      </c>
      <c r="AH860">
        <f>IF(ISBLANK('Data Entry'!b860), "", 'Data Entry'!b860)</f>
      </c>
      <c r="AI860">
        <f>IF(ISBLANK('Data Entry'!c860), "", 'Data Entry'!c860)</f>
      </c>
      <c r="AJ860">
        <f>IF(ISBLANK('Data Entry'!d860), "", 'Data Entry'!d860)</f>
      </c>
      <c r="AK860">
        <f>IF(ISBLANK('Data Entry'!e860), "", 'Data Entry'!e860)</f>
      </c>
      <c r="AL860">
        <f>IF(ISBLANK('Data Entry'!f860), "", 'Data Entry'!f860)</f>
      </c>
      <c r="AM860">
        <f>IF(ISBLANK('Data Entry'!g860), "", 'Data Entry'!g860)</f>
      </c>
      <c r="AN860">
        <f>IF(ISBLANK('Data Entry'!h860), "", 'Data Entry'!h860)</f>
      </c>
    </row>
    <row r="861" spans="1:40" x14ac:dyDescent="0.25">
      <c r="A861">
        <f>IF(ISBLANK('Data Entry'!A861), "", 'Data Entry'!A861)</f>
      </c>
      <c r="B861">
        <f>IF(ISBLANK('Data Entry'!B861), "", 'Data Entry'!B861)</f>
      </c>
      <c r="C861">
        <f>IF(ISBLANK('Data Entry'!C861), "", 'Data Entry'!C861)</f>
      </c>
      <c r="D861">
        <f>IF(ISBLANK('Data Entry'!D861), "", 'Data Entry'!D861)</f>
      </c>
      <c r="E861">
        <f>IF(ISBLANK('Data Entry'!E861), "", 'Data Entry'!E861)</f>
      </c>
      <c r="F861">
        <f>IF(ISBLANK('Data Entry'!F861), "", 'Data Entry'!F861)</f>
      </c>
      <c r="G861">
        <f>IF(ISBLANK('Data Entry'!G861), "", 'Data Entry'!G861)</f>
      </c>
      <c r="H861">
        <f>IF(ISBLANK('Data Entry'!H861), "", 'Data Entry'!H861)</f>
      </c>
      <c r="I861">
        <f>IF(ISBLANK('Data Entry'!I861), "", 'Data Entry'!I861)</f>
      </c>
      <c r="J861">
        <f>IF(ISBLANK('Data Entry'!J861), "", 'Data Entry'!J861)</f>
      </c>
      <c r="K861">
        <f>IF(ISBLANK('Data Entry'!K861), "", 'Data Entry'!K861)</f>
      </c>
      <c r="L861">
        <f>IF(ISBLANK('Data Entry'!L861), "", 'Data Entry'!L861)</f>
      </c>
      <c r="M861">
        <f>IF(ISBLANK('Data Entry'!M861), "", 'Data Entry'!M861)</f>
      </c>
      <c r="N861">
        <f>IF(ISBLANK('Data Entry'!N861), "", 'Data Entry'!N861)</f>
      </c>
      <c r="O861">
        <f>IF(ISBLANK('Data Entry'!O861), "", 'Data Entry'!O861)</f>
      </c>
      <c r="P861">
        <f>IF(ISBLANK('Data Entry'!P861), "", 'Data Entry'!P861)</f>
      </c>
      <c r="Q861">
        <f>IF(ISBLANK('Data Entry'!Q861), "", 'Data Entry'!Q861)</f>
      </c>
      <c r="R861">
        <f>IF(ISBLANK('Data Entry'!R861), "", 'Data Entry'!R861)</f>
      </c>
      <c r="S861">
        <f>IF(ISBLANK('Data Entry'!S861), "", 'Data Entry'!S861)</f>
      </c>
      <c r="T861">
        <f>IF(ISBLANK('Data Entry'!T861), "", 'Data Entry'!T861)</f>
      </c>
      <c r="U861">
        <f>IF(ISBLANK('Data Entry'!U861), "", 'Data Entry'!U861)</f>
      </c>
      <c r="V861">
        <f>IF(ISBLANK('Data Entry'!V861), "", 'Data Entry'!V861)</f>
      </c>
      <c r="W861">
        <f>IF(ISBLANK('Data Entry'!W861), "", 'Data Entry'!W861)</f>
      </c>
      <c r="X861">
        <f>IF(ISBLANK('Data Entry'!X861), "", 'Data Entry'!X861)</f>
      </c>
      <c r="Y861">
        <f>IF(ISBLANK('Data Entry'!Y861), "", 'Data Entry'!Y861)</f>
      </c>
      <c r="Z861">
        <f>IF(ISBLANK('Data Entry'!Z861), "", 'Data Entry'!Z861)</f>
      </c>
      <c r="AA861">
        <f>IF(ISBLANK('Data Entry'![861), "", 'Data Entry'![861)</f>
      </c>
      <c r="AB861">
        <f>IF(ISBLANK('Data Entry'!\861), "", 'Data Entry'!\861)</f>
      </c>
      <c r="AC861">
        <f>IF(ISBLANK('Data Entry'!]861), "", 'Data Entry'!]861)</f>
      </c>
      <c r="AD861">
        <f>IF(ISBLANK('Data Entry'!^861), "", 'Data Entry'!^861)</f>
      </c>
      <c r="AE861">
        <f>IF(ISBLANK('Data Entry'!_861), "", 'Data Entry'!_861)</f>
      </c>
      <c r="AF861">
        <f>IF(ISBLANK('Data Entry'!`861), "", 'Data Entry'!`861)</f>
      </c>
      <c r="AG861">
        <f>IF(ISBLANK('Data Entry'!a861), "", 'Data Entry'!a861)</f>
      </c>
      <c r="AH861">
        <f>IF(ISBLANK('Data Entry'!b861), "", 'Data Entry'!b861)</f>
      </c>
      <c r="AI861">
        <f>IF(ISBLANK('Data Entry'!c861), "", 'Data Entry'!c861)</f>
      </c>
      <c r="AJ861">
        <f>IF(ISBLANK('Data Entry'!d861), "", 'Data Entry'!d861)</f>
      </c>
      <c r="AK861">
        <f>IF(ISBLANK('Data Entry'!e861), "", 'Data Entry'!e861)</f>
      </c>
      <c r="AL861">
        <f>IF(ISBLANK('Data Entry'!f861), "", 'Data Entry'!f861)</f>
      </c>
      <c r="AM861">
        <f>IF(ISBLANK('Data Entry'!g861), "", 'Data Entry'!g861)</f>
      </c>
      <c r="AN861">
        <f>IF(ISBLANK('Data Entry'!h861), "", 'Data Entry'!h861)</f>
      </c>
    </row>
    <row r="862" spans="1:40" x14ac:dyDescent="0.25">
      <c r="A862">
        <f>IF(ISBLANK('Data Entry'!A862), "", 'Data Entry'!A862)</f>
      </c>
      <c r="B862">
        <f>IF(ISBLANK('Data Entry'!B862), "", 'Data Entry'!B862)</f>
      </c>
      <c r="C862">
        <f>IF(ISBLANK('Data Entry'!C862), "", 'Data Entry'!C862)</f>
      </c>
      <c r="D862">
        <f>IF(ISBLANK('Data Entry'!D862), "", 'Data Entry'!D862)</f>
      </c>
      <c r="E862">
        <f>IF(ISBLANK('Data Entry'!E862), "", 'Data Entry'!E862)</f>
      </c>
      <c r="F862">
        <f>IF(ISBLANK('Data Entry'!F862), "", 'Data Entry'!F862)</f>
      </c>
      <c r="G862">
        <f>IF(ISBLANK('Data Entry'!G862), "", 'Data Entry'!G862)</f>
      </c>
      <c r="H862">
        <f>IF(ISBLANK('Data Entry'!H862), "", 'Data Entry'!H862)</f>
      </c>
      <c r="I862">
        <f>IF(ISBLANK('Data Entry'!I862), "", 'Data Entry'!I862)</f>
      </c>
      <c r="J862">
        <f>IF(ISBLANK('Data Entry'!J862), "", 'Data Entry'!J862)</f>
      </c>
      <c r="K862">
        <f>IF(ISBLANK('Data Entry'!K862), "", 'Data Entry'!K862)</f>
      </c>
      <c r="L862">
        <f>IF(ISBLANK('Data Entry'!L862), "", 'Data Entry'!L862)</f>
      </c>
      <c r="M862">
        <f>IF(ISBLANK('Data Entry'!M862), "", 'Data Entry'!M862)</f>
      </c>
      <c r="N862">
        <f>IF(ISBLANK('Data Entry'!N862), "", 'Data Entry'!N862)</f>
      </c>
      <c r="O862">
        <f>IF(ISBLANK('Data Entry'!O862), "", 'Data Entry'!O862)</f>
      </c>
      <c r="P862">
        <f>IF(ISBLANK('Data Entry'!P862), "", 'Data Entry'!P862)</f>
      </c>
      <c r="Q862">
        <f>IF(ISBLANK('Data Entry'!Q862), "", 'Data Entry'!Q862)</f>
      </c>
      <c r="R862">
        <f>IF(ISBLANK('Data Entry'!R862), "", 'Data Entry'!R862)</f>
      </c>
      <c r="S862">
        <f>IF(ISBLANK('Data Entry'!S862), "", 'Data Entry'!S862)</f>
      </c>
      <c r="T862">
        <f>IF(ISBLANK('Data Entry'!T862), "", 'Data Entry'!T862)</f>
      </c>
      <c r="U862">
        <f>IF(ISBLANK('Data Entry'!U862), "", 'Data Entry'!U862)</f>
      </c>
      <c r="V862">
        <f>IF(ISBLANK('Data Entry'!V862), "", 'Data Entry'!V862)</f>
      </c>
      <c r="W862">
        <f>IF(ISBLANK('Data Entry'!W862), "", 'Data Entry'!W862)</f>
      </c>
      <c r="X862">
        <f>IF(ISBLANK('Data Entry'!X862), "", 'Data Entry'!X862)</f>
      </c>
      <c r="Y862">
        <f>IF(ISBLANK('Data Entry'!Y862), "", 'Data Entry'!Y862)</f>
      </c>
      <c r="Z862">
        <f>IF(ISBLANK('Data Entry'!Z862), "", 'Data Entry'!Z862)</f>
      </c>
      <c r="AA862">
        <f>IF(ISBLANK('Data Entry'![862), "", 'Data Entry'![862)</f>
      </c>
      <c r="AB862">
        <f>IF(ISBLANK('Data Entry'!\862), "", 'Data Entry'!\862)</f>
      </c>
      <c r="AC862">
        <f>IF(ISBLANK('Data Entry'!]862), "", 'Data Entry'!]862)</f>
      </c>
      <c r="AD862">
        <f>IF(ISBLANK('Data Entry'!^862), "", 'Data Entry'!^862)</f>
      </c>
      <c r="AE862">
        <f>IF(ISBLANK('Data Entry'!_862), "", 'Data Entry'!_862)</f>
      </c>
      <c r="AF862">
        <f>IF(ISBLANK('Data Entry'!`862), "", 'Data Entry'!`862)</f>
      </c>
      <c r="AG862">
        <f>IF(ISBLANK('Data Entry'!a862), "", 'Data Entry'!a862)</f>
      </c>
      <c r="AH862">
        <f>IF(ISBLANK('Data Entry'!b862), "", 'Data Entry'!b862)</f>
      </c>
      <c r="AI862">
        <f>IF(ISBLANK('Data Entry'!c862), "", 'Data Entry'!c862)</f>
      </c>
      <c r="AJ862">
        <f>IF(ISBLANK('Data Entry'!d862), "", 'Data Entry'!d862)</f>
      </c>
      <c r="AK862">
        <f>IF(ISBLANK('Data Entry'!e862), "", 'Data Entry'!e862)</f>
      </c>
      <c r="AL862">
        <f>IF(ISBLANK('Data Entry'!f862), "", 'Data Entry'!f862)</f>
      </c>
      <c r="AM862">
        <f>IF(ISBLANK('Data Entry'!g862), "", 'Data Entry'!g862)</f>
      </c>
      <c r="AN862">
        <f>IF(ISBLANK('Data Entry'!h862), "", 'Data Entry'!h862)</f>
      </c>
    </row>
    <row r="863" spans="1:40" x14ac:dyDescent="0.25">
      <c r="A863">
        <f>IF(ISBLANK('Data Entry'!A863), "", 'Data Entry'!A863)</f>
      </c>
      <c r="B863">
        <f>IF(ISBLANK('Data Entry'!B863), "", 'Data Entry'!B863)</f>
      </c>
      <c r="C863">
        <f>IF(ISBLANK('Data Entry'!C863), "", 'Data Entry'!C863)</f>
      </c>
      <c r="D863">
        <f>IF(ISBLANK('Data Entry'!D863), "", 'Data Entry'!D863)</f>
      </c>
      <c r="E863">
        <f>IF(ISBLANK('Data Entry'!E863), "", 'Data Entry'!E863)</f>
      </c>
      <c r="F863">
        <f>IF(ISBLANK('Data Entry'!F863), "", 'Data Entry'!F863)</f>
      </c>
      <c r="G863">
        <f>IF(ISBLANK('Data Entry'!G863), "", 'Data Entry'!G863)</f>
      </c>
      <c r="H863">
        <f>IF(ISBLANK('Data Entry'!H863), "", 'Data Entry'!H863)</f>
      </c>
      <c r="I863">
        <f>IF(ISBLANK('Data Entry'!I863), "", 'Data Entry'!I863)</f>
      </c>
      <c r="J863">
        <f>IF(ISBLANK('Data Entry'!J863), "", 'Data Entry'!J863)</f>
      </c>
      <c r="K863">
        <f>IF(ISBLANK('Data Entry'!K863), "", 'Data Entry'!K863)</f>
      </c>
      <c r="L863">
        <f>IF(ISBLANK('Data Entry'!L863), "", 'Data Entry'!L863)</f>
      </c>
      <c r="M863">
        <f>IF(ISBLANK('Data Entry'!M863), "", 'Data Entry'!M863)</f>
      </c>
      <c r="N863">
        <f>IF(ISBLANK('Data Entry'!N863), "", 'Data Entry'!N863)</f>
      </c>
      <c r="O863">
        <f>IF(ISBLANK('Data Entry'!O863), "", 'Data Entry'!O863)</f>
      </c>
      <c r="P863">
        <f>IF(ISBLANK('Data Entry'!P863), "", 'Data Entry'!P863)</f>
      </c>
      <c r="Q863">
        <f>IF(ISBLANK('Data Entry'!Q863), "", 'Data Entry'!Q863)</f>
      </c>
      <c r="R863">
        <f>IF(ISBLANK('Data Entry'!R863), "", 'Data Entry'!R863)</f>
      </c>
      <c r="S863">
        <f>IF(ISBLANK('Data Entry'!S863), "", 'Data Entry'!S863)</f>
      </c>
      <c r="T863">
        <f>IF(ISBLANK('Data Entry'!T863), "", 'Data Entry'!T863)</f>
      </c>
      <c r="U863">
        <f>IF(ISBLANK('Data Entry'!U863), "", 'Data Entry'!U863)</f>
      </c>
      <c r="V863">
        <f>IF(ISBLANK('Data Entry'!V863), "", 'Data Entry'!V863)</f>
      </c>
      <c r="W863">
        <f>IF(ISBLANK('Data Entry'!W863), "", 'Data Entry'!W863)</f>
      </c>
      <c r="X863">
        <f>IF(ISBLANK('Data Entry'!X863), "", 'Data Entry'!X863)</f>
      </c>
      <c r="Y863">
        <f>IF(ISBLANK('Data Entry'!Y863), "", 'Data Entry'!Y863)</f>
      </c>
      <c r="Z863">
        <f>IF(ISBLANK('Data Entry'!Z863), "", 'Data Entry'!Z863)</f>
      </c>
      <c r="AA863">
        <f>IF(ISBLANK('Data Entry'![863), "", 'Data Entry'![863)</f>
      </c>
      <c r="AB863">
        <f>IF(ISBLANK('Data Entry'!\863), "", 'Data Entry'!\863)</f>
      </c>
      <c r="AC863">
        <f>IF(ISBLANK('Data Entry'!]863), "", 'Data Entry'!]863)</f>
      </c>
      <c r="AD863">
        <f>IF(ISBLANK('Data Entry'!^863), "", 'Data Entry'!^863)</f>
      </c>
      <c r="AE863">
        <f>IF(ISBLANK('Data Entry'!_863), "", 'Data Entry'!_863)</f>
      </c>
      <c r="AF863">
        <f>IF(ISBLANK('Data Entry'!`863), "", 'Data Entry'!`863)</f>
      </c>
      <c r="AG863">
        <f>IF(ISBLANK('Data Entry'!a863), "", 'Data Entry'!a863)</f>
      </c>
      <c r="AH863">
        <f>IF(ISBLANK('Data Entry'!b863), "", 'Data Entry'!b863)</f>
      </c>
      <c r="AI863">
        <f>IF(ISBLANK('Data Entry'!c863), "", 'Data Entry'!c863)</f>
      </c>
      <c r="AJ863">
        <f>IF(ISBLANK('Data Entry'!d863), "", 'Data Entry'!d863)</f>
      </c>
      <c r="AK863">
        <f>IF(ISBLANK('Data Entry'!e863), "", 'Data Entry'!e863)</f>
      </c>
      <c r="AL863">
        <f>IF(ISBLANK('Data Entry'!f863), "", 'Data Entry'!f863)</f>
      </c>
      <c r="AM863">
        <f>IF(ISBLANK('Data Entry'!g863), "", 'Data Entry'!g863)</f>
      </c>
      <c r="AN863">
        <f>IF(ISBLANK('Data Entry'!h863), "", 'Data Entry'!h863)</f>
      </c>
    </row>
    <row r="864" spans="1:40" x14ac:dyDescent="0.25">
      <c r="A864">
        <f>IF(ISBLANK('Data Entry'!A864), "", 'Data Entry'!A864)</f>
      </c>
      <c r="B864">
        <f>IF(ISBLANK('Data Entry'!B864), "", 'Data Entry'!B864)</f>
      </c>
      <c r="C864">
        <f>IF(ISBLANK('Data Entry'!C864), "", 'Data Entry'!C864)</f>
      </c>
      <c r="D864">
        <f>IF(ISBLANK('Data Entry'!D864), "", 'Data Entry'!D864)</f>
      </c>
      <c r="E864">
        <f>IF(ISBLANK('Data Entry'!E864), "", 'Data Entry'!E864)</f>
      </c>
      <c r="F864">
        <f>IF(ISBLANK('Data Entry'!F864), "", 'Data Entry'!F864)</f>
      </c>
      <c r="G864">
        <f>IF(ISBLANK('Data Entry'!G864), "", 'Data Entry'!G864)</f>
      </c>
      <c r="H864">
        <f>IF(ISBLANK('Data Entry'!H864), "", 'Data Entry'!H864)</f>
      </c>
      <c r="I864">
        <f>IF(ISBLANK('Data Entry'!I864), "", 'Data Entry'!I864)</f>
      </c>
      <c r="J864">
        <f>IF(ISBLANK('Data Entry'!J864), "", 'Data Entry'!J864)</f>
      </c>
      <c r="K864">
        <f>IF(ISBLANK('Data Entry'!K864), "", 'Data Entry'!K864)</f>
      </c>
      <c r="L864">
        <f>IF(ISBLANK('Data Entry'!L864), "", 'Data Entry'!L864)</f>
      </c>
      <c r="M864">
        <f>IF(ISBLANK('Data Entry'!M864), "", 'Data Entry'!M864)</f>
      </c>
      <c r="N864">
        <f>IF(ISBLANK('Data Entry'!N864), "", 'Data Entry'!N864)</f>
      </c>
      <c r="O864">
        <f>IF(ISBLANK('Data Entry'!O864), "", 'Data Entry'!O864)</f>
      </c>
      <c r="P864">
        <f>IF(ISBLANK('Data Entry'!P864), "", 'Data Entry'!P864)</f>
      </c>
      <c r="Q864">
        <f>IF(ISBLANK('Data Entry'!Q864), "", 'Data Entry'!Q864)</f>
      </c>
      <c r="R864">
        <f>IF(ISBLANK('Data Entry'!R864), "", 'Data Entry'!R864)</f>
      </c>
      <c r="S864">
        <f>IF(ISBLANK('Data Entry'!S864), "", 'Data Entry'!S864)</f>
      </c>
      <c r="T864">
        <f>IF(ISBLANK('Data Entry'!T864), "", 'Data Entry'!T864)</f>
      </c>
      <c r="U864">
        <f>IF(ISBLANK('Data Entry'!U864), "", 'Data Entry'!U864)</f>
      </c>
      <c r="V864">
        <f>IF(ISBLANK('Data Entry'!V864), "", 'Data Entry'!V864)</f>
      </c>
      <c r="W864">
        <f>IF(ISBLANK('Data Entry'!W864), "", 'Data Entry'!W864)</f>
      </c>
      <c r="X864">
        <f>IF(ISBLANK('Data Entry'!X864), "", 'Data Entry'!X864)</f>
      </c>
      <c r="Y864">
        <f>IF(ISBLANK('Data Entry'!Y864), "", 'Data Entry'!Y864)</f>
      </c>
      <c r="Z864">
        <f>IF(ISBLANK('Data Entry'!Z864), "", 'Data Entry'!Z864)</f>
      </c>
      <c r="AA864">
        <f>IF(ISBLANK('Data Entry'![864), "", 'Data Entry'![864)</f>
      </c>
      <c r="AB864">
        <f>IF(ISBLANK('Data Entry'!\864), "", 'Data Entry'!\864)</f>
      </c>
      <c r="AC864">
        <f>IF(ISBLANK('Data Entry'!]864), "", 'Data Entry'!]864)</f>
      </c>
      <c r="AD864">
        <f>IF(ISBLANK('Data Entry'!^864), "", 'Data Entry'!^864)</f>
      </c>
      <c r="AE864">
        <f>IF(ISBLANK('Data Entry'!_864), "", 'Data Entry'!_864)</f>
      </c>
      <c r="AF864">
        <f>IF(ISBLANK('Data Entry'!`864), "", 'Data Entry'!`864)</f>
      </c>
      <c r="AG864">
        <f>IF(ISBLANK('Data Entry'!a864), "", 'Data Entry'!a864)</f>
      </c>
      <c r="AH864">
        <f>IF(ISBLANK('Data Entry'!b864), "", 'Data Entry'!b864)</f>
      </c>
      <c r="AI864">
        <f>IF(ISBLANK('Data Entry'!c864), "", 'Data Entry'!c864)</f>
      </c>
      <c r="AJ864">
        <f>IF(ISBLANK('Data Entry'!d864), "", 'Data Entry'!d864)</f>
      </c>
      <c r="AK864">
        <f>IF(ISBLANK('Data Entry'!e864), "", 'Data Entry'!e864)</f>
      </c>
      <c r="AL864">
        <f>IF(ISBLANK('Data Entry'!f864), "", 'Data Entry'!f864)</f>
      </c>
      <c r="AM864">
        <f>IF(ISBLANK('Data Entry'!g864), "", 'Data Entry'!g864)</f>
      </c>
      <c r="AN864">
        <f>IF(ISBLANK('Data Entry'!h864), "", 'Data Entry'!h864)</f>
      </c>
    </row>
    <row r="865" spans="1:40" x14ac:dyDescent="0.25">
      <c r="A865">
        <f>IF(ISBLANK('Data Entry'!A865), "", 'Data Entry'!A865)</f>
      </c>
      <c r="B865">
        <f>IF(ISBLANK('Data Entry'!B865), "", 'Data Entry'!B865)</f>
      </c>
      <c r="C865">
        <f>IF(ISBLANK('Data Entry'!C865), "", 'Data Entry'!C865)</f>
      </c>
      <c r="D865">
        <f>IF(ISBLANK('Data Entry'!D865), "", 'Data Entry'!D865)</f>
      </c>
      <c r="E865">
        <f>IF(ISBLANK('Data Entry'!E865), "", 'Data Entry'!E865)</f>
      </c>
      <c r="F865">
        <f>IF(ISBLANK('Data Entry'!F865), "", 'Data Entry'!F865)</f>
      </c>
      <c r="G865">
        <f>IF(ISBLANK('Data Entry'!G865), "", 'Data Entry'!G865)</f>
      </c>
      <c r="H865">
        <f>IF(ISBLANK('Data Entry'!H865), "", 'Data Entry'!H865)</f>
      </c>
      <c r="I865">
        <f>IF(ISBLANK('Data Entry'!I865), "", 'Data Entry'!I865)</f>
      </c>
      <c r="J865">
        <f>IF(ISBLANK('Data Entry'!J865), "", 'Data Entry'!J865)</f>
      </c>
      <c r="K865">
        <f>IF(ISBLANK('Data Entry'!K865), "", 'Data Entry'!K865)</f>
      </c>
      <c r="L865">
        <f>IF(ISBLANK('Data Entry'!L865), "", 'Data Entry'!L865)</f>
      </c>
      <c r="M865">
        <f>IF(ISBLANK('Data Entry'!M865), "", 'Data Entry'!M865)</f>
      </c>
      <c r="N865">
        <f>IF(ISBLANK('Data Entry'!N865), "", 'Data Entry'!N865)</f>
      </c>
      <c r="O865">
        <f>IF(ISBLANK('Data Entry'!O865), "", 'Data Entry'!O865)</f>
      </c>
      <c r="P865">
        <f>IF(ISBLANK('Data Entry'!P865), "", 'Data Entry'!P865)</f>
      </c>
      <c r="Q865">
        <f>IF(ISBLANK('Data Entry'!Q865), "", 'Data Entry'!Q865)</f>
      </c>
      <c r="R865">
        <f>IF(ISBLANK('Data Entry'!R865), "", 'Data Entry'!R865)</f>
      </c>
      <c r="S865">
        <f>IF(ISBLANK('Data Entry'!S865), "", 'Data Entry'!S865)</f>
      </c>
      <c r="T865">
        <f>IF(ISBLANK('Data Entry'!T865), "", 'Data Entry'!T865)</f>
      </c>
      <c r="U865">
        <f>IF(ISBLANK('Data Entry'!U865), "", 'Data Entry'!U865)</f>
      </c>
      <c r="V865">
        <f>IF(ISBLANK('Data Entry'!V865), "", 'Data Entry'!V865)</f>
      </c>
      <c r="W865">
        <f>IF(ISBLANK('Data Entry'!W865), "", 'Data Entry'!W865)</f>
      </c>
      <c r="X865">
        <f>IF(ISBLANK('Data Entry'!X865), "", 'Data Entry'!X865)</f>
      </c>
      <c r="Y865">
        <f>IF(ISBLANK('Data Entry'!Y865), "", 'Data Entry'!Y865)</f>
      </c>
      <c r="Z865">
        <f>IF(ISBLANK('Data Entry'!Z865), "", 'Data Entry'!Z865)</f>
      </c>
      <c r="AA865">
        <f>IF(ISBLANK('Data Entry'![865), "", 'Data Entry'![865)</f>
      </c>
      <c r="AB865">
        <f>IF(ISBLANK('Data Entry'!\865), "", 'Data Entry'!\865)</f>
      </c>
      <c r="AC865">
        <f>IF(ISBLANK('Data Entry'!]865), "", 'Data Entry'!]865)</f>
      </c>
      <c r="AD865">
        <f>IF(ISBLANK('Data Entry'!^865), "", 'Data Entry'!^865)</f>
      </c>
      <c r="AE865">
        <f>IF(ISBLANK('Data Entry'!_865), "", 'Data Entry'!_865)</f>
      </c>
      <c r="AF865">
        <f>IF(ISBLANK('Data Entry'!`865), "", 'Data Entry'!`865)</f>
      </c>
      <c r="AG865">
        <f>IF(ISBLANK('Data Entry'!a865), "", 'Data Entry'!a865)</f>
      </c>
      <c r="AH865">
        <f>IF(ISBLANK('Data Entry'!b865), "", 'Data Entry'!b865)</f>
      </c>
      <c r="AI865">
        <f>IF(ISBLANK('Data Entry'!c865), "", 'Data Entry'!c865)</f>
      </c>
      <c r="AJ865">
        <f>IF(ISBLANK('Data Entry'!d865), "", 'Data Entry'!d865)</f>
      </c>
      <c r="AK865">
        <f>IF(ISBLANK('Data Entry'!e865), "", 'Data Entry'!e865)</f>
      </c>
      <c r="AL865">
        <f>IF(ISBLANK('Data Entry'!f865), "", 'Data Entry'!f865)</f>
      </c>
      <c r="AM865">
        <f>IF(ISBLANK('Data Entry'!g865), "", 'Data Entry'!g865)</f>
      </c>
      <c r="AN865">
        <f>IF(ISBLANK('Data Entry'!h865), "", 'Data Entry'!h865)</f>
      </c>
    </row>
    <row r="866" spans="1:40" x14ac:dyDescent="0.25">
      <c r="A866">
        <f>IF(ISBLANK('Data Entry'!A866), "", 'Data Entry'!A866)</f>
      </c>
      <c r="B866">
        <f>IF(ISBLANK('Data Entry'!B866), "", 'Data Entry'!B866)</f>
      </c>
      <c r="C866">
        <f>IF(ISBLANK('Data Entry'!C866), "", 'Data Entry'!C866)</f>
      </c>
      <c r="D866">
        <f>IF(ISBLANK('Data Entry'!D866), "", 'Data Entry'!D866)</f>
      </c>
      <c r="E866">
        <f>IF(ISBLANK('Data Entry'!E866), "", 'Data Entry'!E866)</f>
      </c>
      <c r="F866">
        <f>IF(ISBLANK('Data Entry'!F866), "", 'Data Entry'!F866)</f>
      </c>
      <c r="G866">
        <f>IF(ISBLANK('Data Entry'!G866), "", 'Data Entry'!G866)</f>
      </c>
      <c r="H866">
        <f>IF(ISBLANK('Data Entry'!H866), "", 'Data Entry'!H866)</f>
      </c>
      <c r="I866">
        <f>IF(ISBLANK('Data Entry'!I866), "", 'Data Entry'!I866)</f>
      </c>
      <c r="J866">
        <f>IF(ISBLANK('Data Entry'!J866), "", 'Data Entry'!J866)</f>
      </c>
      <c r="K866">
        <f>IF(ISBLANK('Data Entry'!K866), "", 'Data Entry'!K866)</f>
      </c>
      <c r="L866">
        <f>IF(ISBLANK('Data Entry'!L866), "", 'Data Entry'!L866)</f>
      </c>
      <c r="M866">
        <f>IF(ISBLANK('Data Entry'!M866), "", 'Data Entry'!M866)</f>
      </c>
      <c r="N866">
        <f>IF(ISBLANK('Data Entry'!N866), "", 'Data Entry'!N866)</f>
      </c>
      <c r="O866">
        <f>IF(ISBLANK('Data Entry'!O866), "", 'Data Entry'!O866)</f>
      </c>
      <c r="P866">
        <f>IF(ISBLANK('Data Entry'!P866), "", 'Data Entry'!P866)</f>
      </c>
      <c r="Q866">
        <f>IF(ISBLANK('Data Entry'!Q866), "", 'Data Entry'!Q866)</f>
      </c>
      <c r="R866">
        <f>IF(ISBLANK('Data Entry'!R866), "", 'Data Entry'!R866)</f>
      </c>
      <c r="S866">
        <f>IF(ISBLANK('Data Entry'!S866), "", 'Data Entry'!S866)</f>
      </c>
      <c r="T866">
        <f>IF(ISBLANK('Data Entry'!T866), "", 'Data Entry'!T866)</f>
      </c>
      <c r="U866">
        <f>IF(ISBLANK('Data Entry'!U866), "", 'Data Entry'!U866)</f>
      </c>
      <c r="V866">
        <f>IF(ISBLANK('Data Entry'!V866), "", 'Data Entry'!V866)</f>
      </c>
      <c r="W866">
        <f>IF(ISBLANK('Data Entry'!W866), "", 'Data Entry'!W866)</f>
      </c>
      <c r="X866">
        <f>IF(ISBLANK('Data Entry'!X866), "", 'Data Entry'!X866)</f>
      </c>
      <c r="Y866">
        <f>IF(ISBLANK('Data Entry'!Y866), "", 'Data Entry'!Y866)</f>
      </c>
      <c r="Z866">
        <f>IF(ISBLANK('Data Entry'!Z866), "", 'Data Entry'!Z866)</f>
      </c>
      <c r="AA866">
        <f>IF(ISBLANK('Data Entry'![866), "", 'Data Entry'![866)</f>
      </c>
      <c r="AB866">
        <f>IF(ISBLANK('Data Entry'!\866), "", 'Data Entry'!\866)</f>
      </c>
      <c r="AC866">
        <f>IF(ISBLANK('Data Entry'!]866), "", 'Data Entry'!]866)</f>
      </c>
      <c r="AD866">
        <f>IF(ISBLANK('Data Entry'!^866), "", 'Data Entry'!^866)</f>
      </c>
      <c r="AE866">
        <f>IF(ISBLANK('Data Entry'!_866), "", 'Data Entry'!_866)</f>
      </c>
      <c r="AF866">
        <f>IF(ISBLANK('Data Entry'!`866), "", 'Data Entry'!`866)</f>
      </c>
      <c r="AG866">
        <f>IF(ISBLANK('Data Entry'!a866), "", 'Data Entry'!a866)</f>
      </c>
      <c r="AH866">
        <f>IF(ISBLANK('Data Entry'!b866), "", 'Data Entry'!b866)</f>
      </c>
      <c r="AI866">
        <f>IF(ISBLANK('Data Entry'!c866), "", 'Data Entry'!c866)</f>
      </c>
      <c r="AJ866">
        <f>IF(ISBLANK('Data Entry'!d866), "", 'Data Entry'!d866)</f>
      </c>
      <c r="AK866">
        <f>IF(ISBLANK('Data Entry'!e866), "", 'Data Entry'!e866)</f>
      </c>
      <c r="AL866">
        <f>IF(ISBLANK('Data Entry'!f866), "", 'Data Entry'!f866)</f>
      </c>
      <c r="AM866">
        <f>IF(ISBLANK('Data Entry'!g866), "", 'Data Entry'!g866)</f>
      </c>
      <c r="AN866">
        <f>IF(ISBLANK('Data Entry'!h866), "", 'Data Entry'!h866)</f>
      </c>
    </row>
    <row r="867" spans="1:40" x14ac:dyDescent="0.25">
      <c r="A867">
        <f>IF(ISBLANK('Data Entry'!A867), "", 'Data Entry'!A867)</f>
      </c>
      <c r="B867">
        <f>IF(ISBLANK('Data Entry'!B867), "", 'Data Entry'!B867)</f>
      </c>
      <c r="C867">
        <f>IF(ISBLANK('Data Entry'!C867), "", 'Data Entry'!C867)</f>
      </c>
      <c r="D867">
        <f>IF(ISBLANK('Data Entry'!D867), "", 'Data Entry'!D867)</f>
      </c>
      <c r="E867">
        <f>IF(ISBLANK('Data Entry'!E867), "", 'Data Entry'!E867)</f>
      </c>
      <c r="F867">
        <f>IF(ISBLANK('Data Entry'!F867), "", 'Data Entry'!F867)</f>
      </c>
      <c r="G867">
        <f>IF(ISBLANK('Data Entry'!G867), "", 'Data Entry'!G867)</f>
      </c>
      <c r="H867">
        <f>IF(ISBLANK('Data Entry'!H867), "", 'Data Entry'!H867)</f>
      </c>
      <c r="I867">
        <f>IF(ISBLANK('Data Entry'!I867), "", 'Data Entry'!I867)</f>
      </c>
      <c r="J867">
        <f>IF(ISBLANK('Data Entry'!J867), "", 'Data Entry'!J867)</f>
      </c>
      <c r="K867">
        <f>IF(ISBLANK('Data Entry'!K867), "", 'Data Entry'!K867)</f>
      </c>
      <c r="L867">
        <f>IF(ISBLANK('Data Entry'!L867), "", 'Data Entry'!L867)</f>
      </c>
      <c r="M867">
        <f>IF(ISBLANK('Data Entry'!M867), "", 'Data Entry'!M867)</f>
      </c>
      <c r="N867">
        <f>IF(ISBLANK('Data Entry'!N867), "", 'Data Entry'!N867)</f>
      </c>
      <c r="O867">
        <f>IF(ISBLANK('Data Entry'!O867), "", 'Data Entry'!O867)</f>
      </c>
      <c r="P867">
        <f>IF(ISBLANK('Data Entry'!P867), "", 'Data Entry'!P867)</f>
      </c>
      <c r="Q867">
        <f>IF(ISBLANK('Data Entry'!Q867), "", 'Data Entry'!Q867)</f>
      </c>
      <c r="R867">
        <f>IF(ISBLANK('Data Entry'!R867), "", 'Data Entry'!R867)</f>
      </c>
      <c r="S867">
        <f>IF(ISBLANK('Data Entry'!S867), "", 'Data Entry'!S867)</f>
      </c>
      <c r="T867">
        <f>IF(ISBLANK('Data Entry'!T867), "", 'Data Entry'!T867)</f>
      </c>
      <c r="U867">
        <f>IF(ISBLANK('Data Entry'!U867), "", 'Data Entry'!U867)</f>
      </c>
      <c r="V867">
        <f>IF(ISBLANK('Data Entry'!V867), "", 'Data Entry'!V867)</f>
      </c>
      <c r="W867">
        <f>IF(ISBLANK('Data Entry'!W867), "", 'Data Entry'!W867)</f>
      </c>
      <c r="X867">
        <f>IF(ISBLANK('Data Entry'!X867), "", 'Data Entry'!X867)</f>
      </c>
      <c r="Y867">
        <f>IF(ISBLANK('Data Entry'!Y867), "", 'Data Entry'!Y867)</f>
      </c>
      <c r="Z867">
        <f>IF(ISBLANK('Data Entry'!Z867), "", 'Data Entry'!Z867)</f>
      </c>
      <c r="AA867">
        <f>IF(ISBLANK('Data Entry'![867), "", 'Data Entry'![867)</f>
      </c>
      <c r="AB867">
        <f>IF(ISBLANK('Data Entry'!\867), "", 'Data Entry'!\867)</f>
      </c>
      <c r="AC867">
        <f>IF(ISBLANK('Data Entry'!]867), "", 'Data Entry'!]867)</f>
      </c>
      <c r="AD867">
        <f>IF(ISBLANK('Data Entry'!^867), "", 'Data Entry'!^867)</f>
      </c>
      <c r="AE867">
        <f>IF(ISBLANK('Data Entry'!_867), "", 'Data Entry'!_867)</f>
      </c>
      <c r="AF867">
        <f>IF(ISBLANK('Data Entry'!`867), "", 'Data Entry'!`867)</f>
      </c>
      <c r="AG867">
        <f>IF(ISBLANK('Data Entry'!a867), "", 'Data Entry'!a867)</f>
      </c>
      <c r="AH867">
        <f>IF(ISBLANK('Data Entry'!b867), "", 'Data Entry'!b867)</f>
      </c>
      <c r="AI867">
        <f>IF(ISBLANK('Data Entry'!c867), "", 'Data Entry'!c867)</f>
      </c>
      <c r="AJ867">
        <f>IF(ISBLANK('Data Entry'!d867), "", 'Data Entry'!d867)</f>
      </c>
      <c r="AK867">
        <f>IF(ISBLANK('Data Entry'!e867), "", 'Data Entry'!e867)</f>
      </c>
      <c r="AL867">
        <f>IF(ISBLANK('Data Entry'!f867), "", 'Data Entry'!f867)</f>
      </c>
      <c r="AM867">
        <f>IF(ISBLANK('Data Entry'!g867), "", 'Data Entry'!g867)</f>
      </c>
      <c r="AN867">
        <f>IF(ISBLANK('Data Entry'!h867), "", 'Data Entry'!h867)</f>
      </c>
    </row>
    <row r="868" spans="1:40" x14ac:dyDescent="0.25">
      <c r="A868">
        <f>IF(ISBLANK('Data Entry'!A868), "", 'Data Entry'!A868)</f>
      </c>
      <c r="B868">
        <f>IF(ISBLANK('Data Entry'!B868), "", 'Data Entry'!B868)</f>
      </c>
      <c r="C868">
        <f>IF(ISBLANK('Data Entry'!C868), "", 'Data Entry'!C868)</f>
      </c>
      <c r="D868">
        <f>IF(ISBLANK('Data Entry'!D868), "", 'Data Entry'!D868)</f>
      </c>
      <c r="E868">
        <f>IF(ISBLANK('Data Entry'!E868), "", 'Data Entry'!E868)</f>
      </c>
      <c r="F868">
        <f>IF(ISBLANK('Data Entry'!F868), "", 'Data Entry'!F868)</f>
      </c>
      <c r="G868">
        <f>IF(ISBLANK('Data Entry'!G868), "", 'Data Entry'!G868)</f>
      </c>
      <c r="H868">
        <f>IF(ISBLANK('Data Entry'!H868), "", 'Data Entry'!H868)</f>
      </c>
      <c r="I868">
        <f>IF(ISBLANK('Data Entry'!I868), "", 'Data Entry'!I868)</f>
      </c>
      <c r="J868">
        <f>IF(ISBLANK('Data Entry'!J868), "", 'Data Entry'!J868)</f>
      </c>
      <c r="K868">
        <f>IF(ISBLANK('Data Entry'!K868), "", 'Data Entry'!K868)</f>
      </c>
      <c r="L868">
        <f>IF(ISBLANK('Data Entry'!L868), "", 'Data Entry'!L868)</f>
      </c>
      <c r="M868">
        <f>IF(ISBLANK('Data Entry'!M868), "", 'Data Entry'!M868)</f>
      </c>
      <c r="N868">
        <f>IF(ISBLANK('Data Entry'!N868), "", 'Data Entry'!N868)</f>
      </c>
      <c r="O868">
        <f>IF(ISBLANK('Data Entry'!O868), "", 'Data Entry'!O868)</f>
      </c>
      <c r="P868">
        <f>IF(ISBLANK('Data Entry'!P868), "", 'Data Entry'!P868)</f>
      </c>
      <c r="Q868">
        <f>IF(ISBLANK('Data Entry'!Q868), "", 'Data Entry'!Q868)</f>
      </c>
      <c r="R868">
        <f>IF(ISBLANK('Data Entry'!R868), "", 'Data Entry'!R868)</f>
      </c>
      <c r="S868">
        <f>IF(ISBLANK('Data Entry'!S868), "", 'Data Entry'!S868)</f>
      </c>
      <c r="T868">
        <f>IF(ISBLANK('Data Entry'!T868), "", 'Data Entry'!T868)</f>
      </c>
      <c r="U868">
        <f>IF(ISBLANK('Data Entry'!U868), "", 'Data Entry'!U868)</f>
      </c>
      <c r="V868">
        <f>IF(ISBLANK('Data Entry'!V868), "", 'Data Entry'!V868)</f>
      </c>
      <c r="W868">
        <f>IF(ISBLANK('Data Entry'!W868), "", 'Data Entry'!W868)</f>
      </c>
      <c r="X868">
        <f>IF(ISBLANK('Data Entry'!X868), "", 'Data Entry'!X868)</f>
      </c>
      <c r="Y868">
        <f>IF(ISBLANK('Data Entry'!Y868), "", 'Data Entry'!Y868)</f>
      </c>
      <c r="Z868">
        <f>IF(ISBLANK('Data Entry'!Z868), "", 'Data Entry'!Z868)</f>
      </c>
      <c r="AA868">
        <f>IF(ISBLANK('Data Entry'![868), "", 'Data Entry'![868)</f>
      </c>
      <c r="AB868">
        <f>IF(ISBLANK('Data Entry'!\868), "", 'Data Entry'!\868)</f>
      </c>
      <c r="AC868">
        <f>IF(ISBLANK('Data Entry'!]868), "", 'Data Entry'!]868)</f>
      </c>
      <c r="AD868">
        <f>IF(ISBLANK('Data Entry'!^868), "", 'Data Entry'!^868)</f>
      </c>
      <c r="AE868">
        <f>IF(ISBLANK('Data Entry'!_868), "", 'Data Entry'!_868)</f>
      </c>
      <c r="AF868">
        <f>IF(ISBLANK('Data Entry'!`868), "", 'Data Entry'!`868)</f>
      </c>
      <c r="AG868">
        <f>IF(ISBLANK('Data Entry'!a868), "", 'Data Entry'!a868)</f>
      </c>
      <c r="AH868">
        <f>IF(ISBLANK('Data Entry'!b868), "", 'Data Entry'!b868)</f>
      </c>
      <c r="AI868">
        <f>IF(ISBLANK('Data Entry'!c868), "", 'Data Entry'!c868)</f>
      </c>
      <c r="AJ868">
        <f>IF(ISBLANK('Data Entry'!d868), "", 'Data Entry'!d868)</f>
      </c>
      <c r="AK868">
        <f>IF(ISBLANK('Data Entry'!e868), "", 'Data Entry'!e868)</f>
      </c>
      <c r="AL868">
        <f>IF(ISBLANK('Data Entry'!f868), "", 'Data Entry'!f868)</f>
      </c>
      <c r="AM868">
        <f>IF(ISBLANK('Data Entry'!g868), "", 'Data Entry'!g868)</f>
      </c>
      <c r="AN868">
        <f>IF(ISBLANK('Data Entry'!h868), "", 'Data Entry'!h868)</f>
      </c>
    </row>
    <row r="869" spans="1:40" x14ac:dyDescent="0.25">
      <c r="A869">
        <f>IF(ISBLANK('Data Entry'!A869), "", 'Data Entry'!A869)</f>
      </c>
      <c r="B869">
        <f>IF(ISBLANK('Data Entry'!B869), "", 'Data Entry'!B869)</f>
      </c>
      <c r="C869">
        <f>IF(ISBLANK('Data Entry'!C869), "", 'Data Entry'!C869)</f>
      </c>
      <c r="D869">
        <f>IF(ISBLANK('Data Entry'!D869), "", 'Data Entry'!D869)</f>
      </c>
      <c r="E869">
        <f>IF(ISBLANK('Data Entry'!E869), "", 'Data Entry'!E869)</f>
      </c>
      <c r="F869">
        <f>IF(ISBLANK('Data Entry'!F869), "", 'Data Entry'!F869)</f>
      </c>
      <c r="G869">
        <f>IF(ISBLANK('Data Entry'!G869), "", 'Data Entry'!G869)</f>
      </c>
      <c r="H869">
        <f>IF(ISBLANK('Data Entry'!H869), "", 'Data Entry'!H869)</f>
      </c>
      <c r="I869">
        <f>IF(ISBLANK('Data Entry'!I869), "", 'Data Entry'!I869)</f>
      </c>
      <c r="J869">
        <f>IF(ISBLANK('Data Entry'!J869), "", 'Data Entry'!J869)</f>
      </c>
      <c r="K869">
        <f>IF(ISBLANK('Data Entry'!K869), "", 'Data Entry'!K869)</f>
      </c>
      <c r="L869">
        <f>IF(ISBLANK('Data Entry'!L869), "", 'Data Entry'!L869)</f>
      </c>
      <c r="M869">
        <f>IF(ISBLANK('Data Entry'!M869), "", 'Data Entry'!M869)</f>
      </c>
      <c r="N869">
        <f>IF(ISBLANK('Data Entry'!N869), "", 'Data Entry'!N869)</f>
      </c>
      <c r="O869">
        <f>IF(ISBLANK('Data Entry'!O869), "", 'Data Entry'!O869)</f>
      </c>
      <c r="P869">
        <f>IF(ISBLANK('Data Entry'!P869), "", 'Data Entry'!P869)</f>
      </c>
      <c r="Q869">
        <f>IF(ISBLANK('Data Entry'!Q869), "", 'Data Entry'!Q869)</f>
      </c>
      <c r="R869">
        <f>IF(ISBLANK('Data Entry'!R869), "", 'Data Entry'!R869)</f>
      </c>
      <c r="S869">
        <f>IF(ISBLANK('Data Entry'!S869), "", 'Data Entry'!S869)</f>
      </c>
      <c r="T869">
        <f>IF(ISBLANK('Data Entry'!T869), "", 'Data Entry'!T869)</f>
      </c>
      <c r="U869">
        <f>IF(ISBLANK('Data Entry'!U869), "", 'Data Entry'!U869)</f>
      </c>
      <c r="V869">
        <f>IF(ISBLANK('Data Entry'!V869), "", 'Data Entry'!V869)</f>
      </c>
      <c r="W869">
        <f>IF(ISBLANK('Data Entry'!W869), "", 'Data Entry'!W869)</f>
      </c>
      <c r="X869">
        <f>IF(ISBLANK('Data Entry'!X869), "", 'Data Entry'!X869)</f>
      </c>
      <c r="Y869">
        <f>IF(ISBLANK('Data Entry'!Y869), "", 'Data Entry'!Y869)</f>
      </c>
      <c r="Z869">
        <f>IF(ISBLANK('Data Entry'!Z869), "", 'Data Entry'!Z869)</f>
      </c>
      <c r="AA869">
        <f>IF(ISBLANK('Data Entry'![869), "", 'Data Entry'![869)</f>
      </c>
      <c r="AB869">
        <f>IF(ISBLANK('Data Entry'!\869), "", 'Data Entry'!\869)</f>
      </c>
      <c r="AC869">
        <f>IF(ISBLANK('Data Entry'!]869), "", 'Data Entry'!]869)</f>
      </c>
      <c r="AD869">
        <f>IF(ISBLANK('Data Entry'!^869), "", 'Data Entry'!^869)</f>
      </c>
      <c r="AE869">
        <f>IF(ISBLANK('Data Entry'!_869), "", 'Data Entry'!_869)</f>
      </c>
      <c r="AF869">
        <f>IF(ISBLANK('Data Entry'!`869), "", 'Data Entry'!`869)</f>
      </c>
      <c r="AG869">
        <f>IF(ISBLANK('Data Entry'!a869), "", 'Data Entry'!a869)</f>
      </c>
      <c r="AH869">
        <f>IF(ISBLANK('Data Entry'!b869), "", 'Data Entry'!b869)</f>
      </c>
      <c r="AI869">
        <f>IF(ISBLANK('Data Entry'!c869), "", 'Data Entry'!c869)</f>
      </c>
      <c r="AJ869">
        <f>IF(ISBLANK('Data Entry'!d869), "", 'Data Entry'!d869)</f>
      </c>
      <c r="AK869">
        <f>IF(ISBLANK('Data Entry'!e869), "", 'Data Entry'!e869)</f>
      </c>
      <c r="AL869">
        <f>IF(ISBLANK('Data Entry'!f869), "", 'Data Entry'!f869)</f>
      </c>
      <c r="AM869">
        <f>IF(ISBLANK('Data Entry'!g869), "", 'Data Entry'!g869)</f>
      </c>
      <c r="AN869">
        <f>IF(ISBLANK('Data Entry'!h869), "", 'Data Entry'!h869)</f>
      </c>
    </row>
    <row r="870" spans="1:40" x14ac:dyDescent="0.25">
      <c r="A870">
        <f>IF(ISBLANK('Data Entry'!A870), "", 'Data Entry'!A870)</f>
      </c>
      <c r="B870">
        <f>IF(ISBLANK('Data Entry'!B870), "", 'Data Entry'!B870)</f>
      </c>
      <c r="C870">
        <f>IF(ISBLANK('Data Entry'!C870), "", 'Data Entry'!C870)</f>
      </c>
      <c r="D870">
        <f>IF(ISBLANK('Data Entry'!D870), "", 'Data Entry'!D870)</f>
      </c>
      <c r="E870">
        <f>IF(ISBLANK('Data Entry'!E870), "", 'Data Entry'!E870)</f>
      </c>
      <c r="F870">
        <f>IF(ISBLANK('Data Entry'!F870), "", 'Data Entry'!F870)</f>
      </c>
      <c r="G870">
        <f>IF(ISBLANK('Data Entry'!G870), "", 'Data Entry'!G870)</f>
      </c>
      <c r="H870">
        <f>IF(ISBLANK('Data Entry'!H870), "", 'Data Entry'!H870)</f>
      </c>
      <c r="I870">
        <f>IF(ISBLANK('Data Entry'!I870), "", 'Data Entry'!I870)</f>
      </c>
      <c r="J870">
        <f>IF(ISBLANK('Data Entry'!J870), "", 'Data Entry'!J870)</f>
      </c>
      <c r="K870">
        <f>IF(ISBLANK('Data Entry'!K870), "", 'Data Entry'!K870)</f>
      </c>
      <c r="L870">
        <f>IF(ISBLANK('Data Entry'!L870), "", 'Data Entry'!L870)</f>
      </c>
      <c r="M870">
        <f>IF(ISBLANK('Data Entry'!M870), "", 'Data Entry'!M870)</f>
      </c>
      <c r="N870">
        <f>IF(ISBLANK('Data Entry'!N870), "", 'Data Entry'!N870)</f>
      </c>
      <c r="O870">
        <f>IF(ISBLANK('Data Entry'!O870), "", 'Data Entry'!O870)</f>
      </c>
      <c r="P870">
        <f>IF(ISBLANK('Data Entry'!P870), "", 'Data Entry'!P870)</f>
      </c>
      <c r="Q870">
        <f>IF(ISBLANK('Data Entry'!Q870), "", 'Data Entry'!Q870)</f>
      </c>
      <c r="R870">
        <f>IF(ISBLANK('Data Entry'!R870), "", 'Data Entry'!R870)</f>
      </c>
      <c r="S870">
        <f>IF(ISBLANK('Data Entry'!S870), "", 'Data Entry'!S870)</f>
      </c>
      <c r="T870">
        <f>IF(ISBLANK('Data Entry'!T870), "", 'Data Entry'!T870)</f>
      </c>
      <c r="U870">
        <f>IF(ISBLANK('Data Entry'!U870), "", 'Data Entry'!U870)</f>
      </c>
      <c r="V870">
        <f>IF(ISBLANK('Data Entry'!V870), "", 'Data Entry'!V870)</f>
      </c>
      <c r="W870">
        <f>IF(ISBLANK('Data Entry'!W870), "", 'Data Entry'!W870)</f>
      </c>
      <c r="X870">
        <f>IF(ISBLANK('Data Entry'!X870), "", 'Data Entry'!X870)</f>
      </c>
      <c r="Y870">
        <f>IF(ISBLANK('Data Entry'!Y870), "", 'Data Entry'!Y870)</f>
      </c>
      <c r="Z870">
        <f>IF(ISBLANK('Data Entry'!Z870), "", 'Data Entry'!Z870)</f>
      </c>
      <c r="AA870">
        <f>IF(ISBLANK('Data Entry'![870), "", 'Data Entry'![870)</f>
      </c>
      <c r="AB870">
        <f>IF(ISBLANK('Data Entry'!\870), "", 'Data Entry'!\870)</f>
      </c>
      <c r="AC870">
        <f>IF(ISBLANK('Data Entry'!]870), "", 'Data Entry'!]870)</f>
      </c>
      <c r="AD870">
        <f>IF(ISBLANK('Data Entry'!^870), "", 'Data Entry'!^870)</f>
      </c>
      <c r="AE870">
        <f>IF(ISBLANK('Data Entry'!_870), "", 'Data Entry'!_870)</f>
      </c>
      <c r="AF870">
        <f>IF(ISBLANK('Data Entry'!`870), "", 'Data Entry'!`870)</f>
      </c>
      <c r="AG870">
        <f>IF(ISBLANK('Data Entry'!a870), "", 'Data Entry'!a870)</f>
      </c>
      <c r="AH870">
        <f>IF(ISBLANK('Data Entry'!b870), "", 'Data Entry'!b870)</f>
      </c>
      <c r="AI870">
        <f>IF(ISBLANK('Data Entry'!c870), "", 'Data Entry'!c870)</f>
      </c>
      <c r="AJ870">
        <f>IF(ISBLANK('Data Entry'!d870), "", 'Data Entry'!d870)</f>
      </c>
      <c r="AK870">
        <f>IF(ISBLANK('Data Entry'!e870), "", 'Data Entry'!e870)</f>
      </c>
      <c r="AL870">
        <f>IF(ISBLANK('Data Entry'!f870), "", 'Data Entry'!f870)</f>
      </c>
      <c r="AM870">
        <f>IF(ISBLANK('Data Entry'!g870), "", 'Data Entry'!g870)</f>
      </c>
      <c r="AN870">
        <f>IF(ISBLANK('Data Entry'!h870), "", 'Data Entry'!h870)</f>
      </c>
    </row>
    <row r="871" spans="1:40" x14ac:dyDescent="0.25">
      <c r="A871">
        <f>IF(ISBLANK('Data Entry'!A871), "", 'Data Entry'!A871)</f>
      </c>
      <c r="B871">
        <f>IF(ISBLANK('Data Entry'!B871), "", 'Data Entry'!B871)</f>
      </c>
      <c r="C871">
        <f>IF(ISBLANK('Data Entry'!C871), "", 'Data Entry'!C871)</f>
      </c>
      <c r="D871">
        <f>IF(ISBLANK('Data Entry'!D871), "", 'Data Entry'!D871)</f>
      </c>
      <c r="E871">
        <f>IF(ISBLANK('Data Entry'!E871), "", 'Data Entry'!E871)</f>
      </c>
      <c r="F871">
        <f>IF(ISBLANK('Data Entry'!F871), "", 'Data Entry'!F871)</f>
      </c>
      <c r="G871">
        <f>IF(ISBLANK('Data Entry'!G871), "", 'Data Entry'!G871)</f>
      </c>
      <c r="H871">
        <f>IF(ISBLANK('Data Entry'!H871), "", 'Data Entry'!H871)</f>
      </c>
      <c r="I871">
        <f>IF(ISBLANK('Data Entry'!I871), "", 'Data Entry'!I871)</f>
      </c>
      <c r="J871">
        <f>IF(ISBLANK('Data Entry'!J871), "", 'Data Entry'!J871)</f>
      </c>
      <c r="K871">
        <f>IF(ISBLANK('Data Entry'!K871), "", 'Data Entry'!K871)</f>
      </c>
      <c r="L871">
        <f>IF(ISBLANK('Data Entry'!L871), "", 'Data Entry'!L871)</f>
      </c>
      <c r="M871">
        <f>IF(ISBLANK('Data Entry'!M871), "", 'Data Entry'!M871)</f>
      </c>
      <c r="N871">
        <f>IF(ISBLANK('Data Entry'!N871), "", 'Data Entry'!N871)</f>
      </c>
      <c r="O871">
        <f>IF(ISBLANK('Data Entry'!O871), "", 'Data Entry'!O871)</f>
      </c>
      <c r="P871">
        <f>IF(ISBLANK('Data Entry'!P871), "", 'Data Entry'!P871)</f>
      </c>
      <c r="Q871">
        <f>IF(ISBLANK('Data Entry'!Q871), "", 'Data Entry'!Q871)</f>
      </c>
      <c r="R871">
        <f>IF(ISBLANK('Data Entry'!R871), "", 'Data Entry'!R871)</f>
      </c>
      <c r="S871">
        <f>IF(ISBLANK('Data Entry'!S871), "", 'Data Entry'!S871)</f>
      </c>
      <c r="T871">
        <f>IF(ISBLANK('Data Entry'!T871), "", 'Data Entry'!T871)</f>
      </c>
      <c r="U871">
        <f>IF(ISBLANK('Data Entry'!U871), "", 'Data Entry'!U871)</f>
      </c>
      <c r="V871">
        <f>IF(ISBLANK('Data Entry'!V871), "", 'Data Entry'!V871)</f>
      </c>
      <c r="W871">
        <f>IF(ISBLANK('Data Entry'!W871), "", 'Data Entry'!W871)</f>
      </c>
      <c r="X871">
        <f>IF(ISBLANK('Data Entry'!X871), "", 'Data Entry'!X871)</f>
      </c>
      <c r="Y871">
        <f>IF(ISBLANK('Data Entry'!Y871), "", 'Data Entry'!Y871)</f>
      </c>
      <c r="Z871">
        <f>IF(ISBLANK('Data Entry'!Z871), "", 'Data Entry'!Z871)</f>
      </c>
      <c r="AA871">
        <f>IF(ISBLANK('Data Entry'![871), "", 'Data Entry'![871)</f>
      </c>
      <c r="AB871">
        <f>IF(ISBLANK('Data Entry'!\871), "", 'Data Entry'!\871)</f>
      </c>
      <c r="AC871">
        <f>IF(ISBLANK('Data Entry'!]871), "", 'Data Entry'!]871)</f>
      </c>
      <c r="AD871">
        <f>IF(ISBLANK('Data Entry'!^871), "", 'Data Entry'!^871)</f>
      </c>
      <c r="AE871">
        <f>IF(ISBLANK('Data Entry'!_871), "", 'Data Entry'!_871)</f>
      </c>
      <c r="AF871">
        <f>IF(ISBLANK('Data Entry'!`871), "", 'Data Entry'!`871)</f>
      </c>
      <c r="AG871">
        <f>IF(ISBLANK('Data Entry'!a871), "", 'Data Entry'!a871)</f>
      </c>
      <c r="AH871">
        <f>IF(ISBLANK('Data Entry'!b871), "", 'Data Entry'!b871)</f>
      </c>
      <c r="AI871">
        <f>IF(ISBLANK('Data Entry'!c871), "", 'Data Entry'!c871)</f>
      </c>
      <c r="AJ871">
        <f>IF(ISBLANK('Data Entry'!d871), "", 'Data Entry'!d871)</f>
      </c>
      <c r="AK871">
        <f>IF(ISBLANK('Data Entry'!e871), "", 'Data Entry'!e871)</f>
      </c>
      <c r="AL871">
        <f>IF(ISBLANK('Data Entry'!f871), "", 'Data Entry'!f871)</f>
      </c>
      <c r="AM871">
        <f>IF(ISBLANK('Data Entry'!g871), "", 'Data Entry'!g871)</f>
      </c>
      <c r="AN871">
        <f>IF(ISBLANK('Data Entry'!h871), "", 'Data Entry'!h871)</f>
      </c>
    </row>
    <row r="872" spans="1:40" x14ac:dyDescent="0.25">
      <c r="A872">
        <f>IF(ISBLANK('Data Entry'!A872), "", 'Data Entry'!A872)</f>
      </c>
      <c r="B872">
        <f>IF(ISBLANK('Data Entry'!B872), "", 'Data Entry'!B872)</f>
      </c>
      <c r="C872">
        <f>IF(ISBLANK('Data Entry'!C872), "", 'Data Entry'!C872)</f>
      </c>
      <c r="D872">
        <f>IF(ISBLANK('Data Entry'!D872), "", 'Data Entry'!D872)</f>
      </c>
      <c r="E872">
        <f>IF(ISBLANK('Data Entry'!E872), "", 'Data Entry'!E872)</f>
      </c>
      <c r="F872">
        <f>IF(ISBLANK('Data Entry'!F872), "", 'Data Entry'!F872)</f>
      </c>
      <c r="G872">
        <f>IF(ISBLANK('Data Entry'!G872), "", 'Data Entry'!G872)</f>
      </c>
      <c r="H872">
        <f>IF(ISBLANK('Data Entry'!H872), "", 'Data Entry'!H872)</f>
      </c>
      <c r="I872">
        <f>IF(ISBLANK('Data Entry'!I872), "", 'Data Entry'!I872)</f>
      </c>
      <c r="J872">
        <f>IF(ISBLANK('Data Entry'!J872), "", 'Data Entry'!J872)</f>
      </c>
      <c r="K872">
        <f>IF(ISBLANK('Data Entry'!K872), "", 'Data Entry'!K872)</f>
      </c>
      <c r="L872">
        <f>IF(ISBLANK('Data Entry'!L872), "", 'Data Entry'!L872)</f>
      </c>
      <c r="M872">
        <f>IF(ISBLANK('Data Entry'!M872), "", 'Data Entry'!M872)</f>
      </c>
      <c r="N872">
        <f>IF(ISBLANK('Data Entry'!N872), "", 'Data Entry'!N872)</f>
      </c>
      <c r="O872">
        <f>IF(ISBLANK('Data Entry'!O872), "", 'Data Entry'!O872)</f>
      </c>
      <c r="P872">
        <f>IF(ISBLANK('Data Entry'!P872), "", 'Data Entry'!P872)</f>
      </c>
      <c r="Q872">
        <f>IF(ISBLANK('Data Entry'!Q872), "", 'Data Entry'!Q872)</f>
      </c>
      <c r="R872">
        <f>IF(ISBLANK('Data Entry'!R872), "", 'Data Entry'!R872)</f>
      </c>
      <c r="S872">
        <f>IF(ISBLANK('Data Entry'!S872), "", 'Data Entry'!S872)</f>
      </c>
      <c r="T872">
        <f>IF(ISBLANK('Data Entry'!T872), "", 'Data Entry'!T872)</f>
      </c>
      <c r="U872">
        <f>IF(ISBLANK('Data Entry'!U872), "", 'Data Entry'!U872)</f>
      </c>
      <c r="V872">
        <f>IF(ISBLANK('Data Entry'!V872), "", 'Data Entry'!V872)</f>
      </c>
      <c r="W872">
        <f>IF(ISBLANK('Data Entry'!W872), "", 'Data Entry'!W872)</f>
      </c>
      <c r="X872">
        <f>IF(ISBLANK('Data Entry'!X872), "", 'Data Entry'!X872)</f>
      </c>
      <c r="Y872">
        <f>IF(ISBLANK('Data Entry'!Y872), "", 'Data Entry'!Y872)</f>
      </c>
      <c r="Z872">
        <f>IF(ISBLANK('Data Entry'!Z872), "", 'Data Entry'!Z872)</f>
      </c>
      <c r="AA872">
        <f>IF(ISBLANK('Data Entry'![872), "", 'Data Entry'![872)</f>
      </c>
      <c r="AB872">
        <f>IF(ISBLANK('Data Entry'!\872), "", 'Data Entry'!\872)</f>
      </c>
      <c r="AC872">
        <f>IF(ISBLANK('Data Entry'!]872), "", 'Data Entry'!]872)</f>
      </c>
      <c r="AD872">
        <f>IF(ISBLANK('Data Entry'!^872), "", 'Data Entry'!^872)</f>
      </c>
      <c r="AE872">
        <f>IF(ISBLANK('Data Entry'!_872), "", 'Data Entry'!_872)</f>
      </c>
      <c r="AF872">
        <f>IF(ISBLANK('Data Entry'!`872), "", 'Data Entry'!`872)</f>
      </c>
      <c r="AG872">
        <f>IF(ISBLANK('Data Entry'!a872), "", 'Data Entry'!a872)</f>
      </c>
      <c r="AH872">
        <f>IF(ISBLANK('Data Entry'!b872), "", 'Data Entry'!b872)</f>
      </c>
      <c r="AI872">
        <f>IF(ISBLANK('Data Entry'!c872), "", 'Data Entry'!c872)</f>
      </c>
      <c r="AJ872">
        <f>IF(ISBLANK('Data Entry'!d872), "", 'Data Entry'!d872)</f>
      </c>
      <c r="AK872">
        <f>IF(ISBLANK('Data Entry'!e872), "", 'Data Entry'!e872)</f>
      </c>
      <c r="AL872">
        <f>IF(ISBLANK('Data Entry'!f872), "", 'Data Entry'!f872)</f>
      </c>
      <c r="AM872">
        <f>IF(ISBLANK('Data Entry'!g872), "", 'Data Entry'!g872)</f>
      </c>
      <c r="AN872">
        <f>IF(ISBLANK('Data Entry'!h872), "", 'Data Entry'!h872)</f>
      </c>
    </row>
    <row r="873" spans="1:40" x14ac:dyDescent="0.25">
      <c r="A873">
        <f>IF(ISBLANK('Data Entry'!A873), "", 'Data Entry'!A873)</f>
      </c>
      <c r="B873">
        <f>IF(ISBLANK('Data Entry'!B873), "", 'Data Entry'!B873)</f>
      </c>
      <c r="C873">
        <f>IF(ISBLANK('Data Entry'!C873), "", 'Data Entry'!C873)</f>
      </c>
      <c r="D873">
        <f>IF(ISBLANK('Data Entry'!D873), "", 'Data Entry'!D873)</f>
      </c>
      <c r="E873">
        <f>IF(ISBLANK('Data Entry'!E873), "", 'Data Entry'!E873)</f>
      </c>
      <c r="F873">
        <f>IF(ISBLANK('Data Entry'!F873), "", 'Data Entry'!F873)</f>
      </c>
      <c r="G873">
        <f>IF(ISBLANK('Data Entry'!G873), "", 'Data Entry'!G873)</f>
      </c>
      <c r="H873">
        <f>IF(ISBLANK('Data Entry'!H873), "", 'Data Entry'!H873)</f>
      </c>
      <c r="I873">
        <f>IF(ISBLANK('Data Entry'!I873), "", 'Data Entry'!I873)</f>
      </c>
      <c r="J873">
        <f>IF(ISBLANK('Data Entry'!J873), "", 'Data Entry'!J873)</f>
      </c>
      <c r="K873">
        <f>IF(ISBLANK('Data Entry'!K873), "", 'Data Entry'!K873)</f>
      </c>
      <c r="L873">
        <f>IF(ISBLANK('Data Entry'!L873), "", 'Data Entry'!L873)</f>
      </c>
      <c r="M873">
        <f>IF(ISBLANK('Data Entry'!M873), "", 'Data Entry'!M873)</f>
      </c>
      <c r="N873">
        <f>IF(ISBLANK('Data Entry'!N873), "", 'Data Entry'!N873)</f>
      </c>
      <c r="O873">
        <f>IF(ISBLANK('Data Entry'!O873), "", 'Data Entry'!O873)</f>
      </c>
      <c r="P873">
        <f>IF(ISBLANK('Data Entry'!P873), "", 'Data Entry'!P873)</f>
      </c>
      <c r="Q873">
        <f>IF(ISBLANK('Data Entry'!Q873), "", 'Data Entry'!Q873)</f>
      </c>
      <c r="R873">
        <f>IF(ISBLANK('Data Entry'!R873), "", 'Data Entry'!R873)</f>
      </c>
      <c r="S873">
        <f>IF(ISBLANK('Data Entry'!S873), "", 'Data Entry'!S873)</f>
      </c>
      <c r="T873">
        <f>IF(ISBLANK('Data Entry'!T873), "", 'Data Entry'!T873)</f>
      </c>
      <c r="U873">
        <f>IF(ISBLANK('Data Entry'!U873), "", 'Data Entry'!U873)</f>
      </c>
      <c r="V873">
        <f>IF(ISBLANK('Data Entry'!V873), "", 'Data Entry'!V873)</f>
      </c>
      <c r="W873">
        <f>IF(ISBLANK('Data Entry'!W873), "", 'Data Entry'!W873)</f>
      </c>
      <c r="X873">
        <f>IF(ISBLANK('Data Entry'!X873), "", 'Data Entry'!X873)</f>
      </c>
      <c r="Y873">
        <f>IF(ISBLANK('Data Entry'!Y873), "", 'Data Entry'!Y873)</f>
      </c>
      <c r="Z873">
        <f>IF(ISBLANK('Data Entry'!Z873), "", 'Data Entry'!Z873)</f>
      </c>
      <c r="AA873">
        <f>IF(ISBLANK('Data Entry'![873), "", 'Data Entry'![873)</f>
      </c>
      <c r="AB873">
        <f>IF(ISBLANK('Data Entry'!\873), "", 'Data Entry'!\873)</f>
      </c>
      <c r="AC873">
        <f>IF(ISBLANK('Data Entry'!]873), "", 'Data Entry'!]873)</f>
      </c>
      <c r="AD873">
        <f>IF(ISBLANK('Data Entry'!^873), "", 'Data Entry'!^873)</f>
      </c>
      <c r="AE873">
        <f>IF(ISBLANK('Data Entry'!_873), "", 'Data Entry'!_873)</f>
      </c>
      <c r="AF873">
        <f>IF(ISBLANK('Data Entry'!`873), "", 'Data Entry'!`873)</f>
      </c>
      <c r="AG873">
        <f>IF(ISBLANK('Data Entry'!a873), "", 'Data Entry'!a873)</f>
      </c>
      <c r="AH873">
        <f>IF(ISBLANK('Data Entry'!b873), "", 'Data Entry'!b873)</f>
      </c>
      <c r="AI873">
        <f>IF(ISBLANK('Data Entry'!c873), "", 'Data Entry'!c873)</f>
      </c>
      <c r="AJ873">
        <f>IF(ISBLANK('Data Entry'!d873), "", 'Data Entry'!d873)</f>
      </c>
      <c r="AK873">
        <f>IF(ISBLANK('Data Entry'!e873), "", 'Data Entry'!e873)</f>
      </c>
      <c r="AL873">
        <f>IF(ISBLANK('Data Entry'!f873), "", 'Data Entry'!f873)</f>
      </c>
      <c r="AM873">
        <f>IF(ISBLANK('Data Entry'!g873), "", 'Data Entry'!g873)</f>
      </c>
      <c r="AN873">
        <f>IF(ISBLANK('Data Entry'!h873), "", 'Data Entry'!h873)</f>
      </c>
    </row>
    <row r="874" spans="1:40" x14ac:dyDescent="0.25">
      <c r="A874">
        <f>IF(ISBLANK('Data Entry'!A874), "", 'Data Entry'!A874)</f>
      </c>
      <c r="B874">
        <f>IF(ISBLANK('Data Entry'!B874), "", 'Data Entry'!B874)</f>
      </c>
      <c r="C874">
        <f>IF(ISBLANK('Data Entry'!C874), "", 'Data Entry'!C874)</f>
      </c>
      <c r="D874">
        <f>IF(ISBLANK('Data Entry'!D874), "", 'Data Entry'!D874)</f>
      </c>
      <c r="E874">
        <f>IF(ISBLANK('Data Entry'!E874), "", 'Data Entry'!E874)</f>
      </c>
      <c r="F874">
        <f>IF(ISBLANK('Data Entry'!F874), "", 'Data Entry'!F874)</f>
      </c>
      <c r="G874">
        <f>IF(ISBLANK('Data Entry'!G874), "", 'Data Entry'!G874)</f>
      </c>
      <c r="H874">
        <f>IF(ISBLANK('Data Entry'!H874), "", 'Data Entry'!H874)</f>
      </c>
      <c r="I874">
        <f>IF(ISBLANK('Data Entry'!I874), "", 'Data Entry'!I874)</f>
      </c>
      <c r="J874">
        <f>IF(ISBLANK('Data Entry'!J874), "", 'Data Entry'!J874)</f>
      </c>
      <c r="K874">
        <f>IF(ISBLANK('Data Entry'!K874), "", 'Data Entry'!K874)</f>
      </c>
      <c r="L874">
        <f>IF(ISBLANK('Data Entry'!L874), "", 'Data Entry'!L874)</f>
      </c>
      <c r="M874">
        <f>IF(ISBLANK('Data Entry'!M874), "", 'Data Entry'!M874)</f>
      </c>
      <c r="N874">
        <f>IF(ISBLANK('Data Entry'!N874), "", 'Data Entry'!N874)</f>
      </c>
      <c r="O874">
        <f>IF(ISBLANK('Data Entry'!O874), "", 'Data Entry'!O874)</f>
      </c>
      <c r="P874">
        <f>IF(ISBLANK('Data Entry'!P874), "", 'Data Entry'!P874)</f>
      </c>
      <c r="Q874">
        <f>IF(ISBLANK('Data Entry'!Q874), "", 'Data Entry'!Q874)</f>
      </c>
      <c r="R874">
        <f>IF(ISBLANK('Data Entry'!R874), "", 'Data Entry'!R874)</f>
      </c>
      <c r="S874">
        <f>IF(ISBLANK('Data Entry'!S874), "", 'Data Entry'!S874)</f>
      </c>
      <c r="T874">
        <f>IF(ISBLANK('Data Entry'!T874), "", 'Data Entry'!T874)</f>
      </c>
      <c r="U874">
        <f>IF(ISBLANK('Data Entry'!U874), "", 'Data Entry'!U874)</f>
      </c>
      <c r="V874">
        <f>IF(ISBLANK('Data Entry'!V874), "", 'Data Entry'!V874)</f>
      </c>
      <c r="W874">
        <f>IF(ISBLANK('Data Entry'!W874), "", 'Data Entry'!W874)</f>
      </c>
      <c r="X874">
        <f>IF(ISBLANK('Data Entry'!X874), "", 'Data Entry'!X874)</f>
      </c>
      <c r="Y874">
        <f>IF(ISBLANK('Data Entry'!Y874), "", 'Data Entry'!Y874)</f>
      </c>
      <c r="Z874">
        <f>IF(ISBLANK('Data Entry'!Z874), "", 'Data Entry'!Z874)</f>
      </c>
      <c r="AA874">
        <f>IF(ISBLANK('Data Entry'![874), "", 'Data Entry'![874)</f>
      </c>
      <c r="AB874">
        <f>IF(ISBLANK('Data Entry'!\874), "", 'Data Entry'!\874)</f>
      </c>
      <c r="AC874">
        <f>IF(ISBLANK('Data Entry'!]874), "", 'Data Entry'!]874)</f>
      </c>
      <c r="AD874">
        <f>IF(ISBLANK('Data Entry'!^874), "", 'Data Entry'!^874)</f>
      </c>
      <c r="AE874">
        <f>IF(ISBLANK('Data Entry'!_874), "", 'Data Entry'!_874)</f>
      </c>
      <c r="AF874">
        <f>IF(ISBLANK('Data Entry'!`874), "", 'Data Entry'!`874)</f>
      </c>
      <c r="AG874">
        <f>IF(ISBLANK('Data Entry'!a874), "", 'Data Entry'!a874)</f>
      </c>
      <c r="AH874">
        <f>IF(ISBLANK('Data Entry'!b874), "", 'Data Entry'!b874)</f>
      </c>
      <c r="AI874">
        <f>IF(ISBLANK('Data Entry'!c874), "", 'Data Entry'!c874)</f>
      </c>
      <c r="AJ874">
        <f>IF(ISBLANK('Data Entry'!d874), "", 'Data Entry'!d874)</f>
      </c>
      <c r="AK874">
        <f>IF(ISBLANK('Data Entry'!e874), "", 'Data Entry'!e874)</f>
      </c>
      <c r="AL874">
        <f>IF(ISBLANK('Data Entry'!f874), "", 'Data Entry'!f874)</f>
      </c>
      <c r="AM874">
        <f>IF(ISBLANK('Data Entry'!g874), "", 'Data Entry'!g874)</f>
      </c>
      <c r="AN874">
        <f>IF(ISBLANK('Data Entry'!h874), "", 'Data Entry'!h874)</f>
      </c>
    </row>
    <row r="875" spans="1:40" x14ac:dyDescent="0.25">
      <c r="A875">
        <f>IF(ISBLANK('Data Entry'!A875), "", 'Data Entry'!A875)</f>
      </c>
      <c r="B875">
        <f>IF(ISBLANK('Data Entry'!B875), "", 'Data Entry'!B875)</f>
      </c>
      <c r="C875">
        <f>IF(ISBLANK('Data Entry'!C875), "", 'Data Entry'!C875)</f>
      </c>
      <c r="D875">
        <f>IF(ISBLANK('Data Entry'!D875), "", 'Data Entry'!D875)</f>
      </c>
      <c r="E875">
        <f>IF(ISBLANK('Data Entry'!E875), "", 'Data Entry'!E875)</f>
      </c>
      <c r="F875">
        <f>IF(ISBLANK('Data Entry'!F875), "", 'Data Entry'!F875)</f>
      </c>
      <c r="G875">
        <f>IF(ISBLANK('Data Entry'!G875), "", 'Data Entry'!G875)</f>
      </c>
      <c r="H875">
        <f>IF(ISBLANK('Data Entry'!H875), "", 'Data Entry'!H875)</f>
      </c>
      <c r="I875">
        <f>IF(ISBLANK('Data Entry'!I875), "", 'Data Entry'!I875)</f>
      </c>
      <c r="J875">
        <f>IF(ISBLANK('Data Entry'!J875), "", 'Data Entry'!J875)</f>
      </c>
      <c r="K875">
        <f>IF(ISBLANK('Data Entry'!K875), "", 'Data Entry'!K875)</f>
      </c>
      <c r="L875">
        <f>IF(ISBLANK('Data Entry'!L875), "", 'Data Entry'!L875)</f>
      </c>
      <c r="M875">
        <f>IF(ISBLANK('Data Entry'!M875), "", 'Data Entry'!M875)</f>
      </c>
      <c r="N875">
        <f>IF(ISBLANK('Data Entry'!N875), "", 'Data Entry'!N875)</f>
      </c>
      <c r="O875">
        <f>IF(ISBLANK('Data Entry'!O875), "", 'Data Entry'!O875)</f>
      </c>
      <c r="P875">
        <f>IF(ISBLANK('Data Entry'!P875), "", 'Data Entry'!P875)</f>
      </c>
      <c r="Q875">
        <f>IF(ISBLANK('Data Entry'!Q875), "", 'Data Entry'!Q875)</f>
      </c>
      <c r="R875">
        <f>IF(ISBLANK('Data Entry'!R875), "", 'Data Entry'!R875)</f>
      </c>
      <c r="S875">
        <f>IF(ISBLANK('Data Entry'!S875), "", 'Data Entry'!S875)</f>
      </c>
      <c r="T875">
        <f>IF(ISBLANK('Data Entry'!T875), "", 'Data Entry'!T875)</f>
      </c>
      <c r="U875">
        <f>IF(ISBLANK('Data Entry'!U875), "", 'Data Entry'!U875)</f>
      </c>
      <c r="V875">
        <f>IF(ISBLANK('Data Entry'!V875), "", 'Data Entry'!V875)</f>
      </c>
      <c r="W875">
        <f>IF(ISBLANK('Data Entry'!W875), "", 'Data Entry'!W875)</f>
      </c>
      <c r="X875">
        <f>IF(ISBLANK('Data Entry'!X875), "", 'Data Entry'!X875)</f>
      </c>
      <c r="Y875">
        <f>IF(ISBLANK('Data Entry'!Y875), "", 'Data Entry'!Y875)</f>
      </c>
      <c r="Z875">
        <f>IF(ISBLANK('Data Entry'!Z875), "", 'Data Entry'!Z875)</f>
      </c>
      <c r="AA875">
        <f>IF(ISBLANK('Data Entry'![875), "", 'Data Entry'![875)</f>
      </c>
      <c r="AB875">
        <f>IF(ISBLANK('Data Entry'!\875), "", 'Data Entry'!\875)</f>
      </c>
      <c r="AC875">
        <f>IF(ISBLANK('Data Entry'!]875), "", 'Data Entry'!]875)</f>
      </c>
      <c r="AD875">
        <f>IF(ISBLANK('Data Entry'!^875), "", 'Data Entry'!^875)</f>
      </c>
      <c r="AE875">
        <f>IF(ISBLANK('Data Entry'!_875), "", 'Data Entry'!_875)</f>
      </c>
      <c r="AF875">
        <f>IF(ISBLANK('Data Entry'!`875), "", 'Data Entry'!`875)</f>
      </c>
      <c r="AG875">
        <f>IF(ISBLANK('Data Entry'!a875), "", 'Data Entry'!a875)</f>
      </c>
      <c r="AH875">
        <f>IF(ISBLANK('Data Entry'!b875), "", 'Data Entry'!b875)</f>
      </c>
      <c r="AI875">
        <f>IF(ISBLANK('Data Entry'!c875), "", 'Data Entry'!c875)</f>
      </c>
      <c r="AJ875">
        <f>IF(ISBLANK('Data Entry'!d875), "", 'Data Entry'!d875)</f>
      </c>
      <c r="AK875">
        <f>IF(ISBLANK('Data Entry'!e875), "", 'Data Entry'!e875)</f>
      </c>
      <c r="AL875">
        <f>IF(ISBLANK('Data Entry'!f875), "", 'Data Entry'!f875)</f>
      </c>
      <c r="AM875">
        <f>IF(ISBLANK('Data Entry'!g875), "", 'Data Entry'!g875)</f>
      </c>
      <c r="AN875">
        <f>IF(ISBLANK('Data Entry'!h875), "", 'Data Entry'!h875)</f>
      </c>
    </row>
    <row r="876" spans="1:40" x14ac:dyDescent="0.25">
      <c r="A876">
        <f>IF(ISBLANK('Data Entry'!A876), "", 'Data Entry'!A876)</f>
      </c>
      <c r="B876">
        <f>IF(ISBLANK('Data Entry'!B876), "", 'Data Entry'!B876)</f>
      </c>
      <c r="C876">
        <f>IF(ISBLANK('Data Entry'!C876), "", 'Data Entry'!C876)</f>
      </c>
      <c r="D876">
        <f>IF(ISBLANK('Data Entry'!D876), "", 'Data Entry'!D876)</f>
      </c>
      <c r="E876">
        <f>IF(ISBLANK('Data Entry'!E876), "", 'Data Entry'!E876)</f>
      </c>
      <c r="F876">
        <f>IF(ISBLANK('Data Entry'!F876), "", 'Data Entry'!F876)</f>
      </c>
      <c r="G876">
        <f>IF(ISBLANK('Data Entry'!G876), "", 'Data Entry'!G876)</f>
      </c>
      <c r="H876">
        <f>IF(ISBLANK('Data Entry'!H876), "", 'Data Entry'!H876)</f>
      </c>
      <c r="I876">
        <f>IF(ISBLANK('Data Entry'!I876), "", 'Data Entry'!I876)</f>
      </c>
      <c r="J876">
        <f>IF(ISBLANK('Data Entry'!J876), "", 'Data Entry'!J876)</f>
      </c>
      <c r="K876">
        <f>IF(ISBLANK('Data Entry'!K876), "", 'Data Entry'!K876)</f>
      </c>
      <c r="L876">
        <f>IF(ISBLANK('Data Entry'!L876), "", 'Data Entry'!L876)</f>
      </c>
      <c r="M876">
        <f>IF(ISBLANK('Data Entry'!M876), "", 'Data Entry'!M876)</f>
      </c>
      <c r="N876">
        <f>IF(ISBLANK('Data Entry'!N876), "", 'Data Entry'!N876)</f>
      </c>
      <c r="O876">
        <f>IF(ISBLANK('Data Entry'!O876), "", 'Data Entry'!O876)</f>
      </c>
      <c r="P876">
        <f>IF(ISBLANK('Data Entry'!P876), "", 'Data Entry'!P876)</f>
      </c>
      <c r="Q876">
        <f>IF(ISBLANK('Data Entry'!Q876), "", 'Data Entry'!Q876)</f>
      </c>
      <c r="R876">
        <f>IF(ISBLANK('Data Entry'!R876), "", 'Data Entry'!R876)</f>
      </c>
      <c r="S876">
        <f>IF(ISBLANK('Data Entry'!S876), "", 'Data Entry'!S876)</f>
      </c>
      <c r="T876">
        <f>IF(ISBLANK('Data Entry'!T876), "", 'Data Entry'!T876)</f>
      </c>
      <c r="U876">
        <f>IF(ISBLANK('Data Entry'!U876), "", 'Data Entry'!U876)</f>
      </c>
      <c r="V876">
        <f>IF(ISBLANK('Data Entry'!V876), "", 'Data Entry'!V876)</f>
      </c>
      <c r="W876">
        <f>IF(ISBLANK('Data Entry'!W876), "", 'Data Entry'!W876)</f>
      </c>
      <c r="X876">
        <f>IF(ISBLANK('Data Entry'!X876), "", 'Data Entry'!X876)</f>
      </c>
      <c r="Y876">
        <f>IF(ISBLANK('Data Entry'!Y876), "", 'Data Entry'!Y876)</f>
      </c>
      <c r="Z876">
        <f>IF(ISBLANK('Data Entry'!Z876), "", 'Data Entry'!Z876)</f>
      </c>
      <c r="AA876">
        <f>IF(ISBLANK('Data Entry'![876), "", 'Data Entry'![876)</f>
      </c>
      <c r="AB876">
        <f>IF(ISBLANK('Data Entry'!\876), "", 'Data Entry'!\876)</f>
      </c>
      <c r="AC876">
        <f>IF(ISBLANK('Data Entry'!]876), "", 'Data Entry'!]876)</f>
      </c>
      <c r="AD876">
        <f>IF(ISBLANK('Data Entry'!^876), "", 'Data Entry'!^876)</f>
      </c>
      <c r="AE876">
        <f>IF(ISBLANK('Data Entry'!_876), "", 'Data Entry'!_876)</f>
      </c>
      <c r="AF876">
        <f>IF(ISBLANK('Data Entry'!`876), "", 'Data Entry'!`876)</f>
      </c>
      <c r="AG876">
        <f>IF(ISBLANK('Data Entry'!a876), "", 'Data Entry'!a876)</f>
      </c>
      <c r="AH876">
        <f>IF(ISBLANK('Data Entry'!b876), "", 'Data Entry'!b876)</f>
      </c>
      <c r="AI876">
        <f>IF(ISBLANK('Data Entry'!c876), "", 'Data Entry'!c876)</f>
      </c>
      <c r="AJ876">
        <f>IF(ISBLANK('Data Entry'!d876), "", 'Data Entry'!d876)</f>
      </c>
      <c r="AK876">
        <f>IF(ISBLANK('Data Entry'!e876), "", 'Data Entry'!e876)</f>
      </c>
      <c r="AL876">
        <f>IF(ISBLANK('Data Entry'!f876), "", 'Data Entry'!f876)</f>
      </c>
      <c r="AM876">
        <f>IF(ISBLANK('Data Entry'!g876), "", 'Data Entry'!g876)</f>
      </c>
      <c r="AN876">
        <f>IF(ISBLANK('Data Entry'!h876), "", 'Data Entry'!h876)</f>
      </c>
    </row>
    <row r="877" spans="1:40" x14ac:dyDescent="0.25">
      <c r="A877">
        <f>IF(ISBLANK('Data Entry'!A877), "", 'Data Entry'!A877)</f>
      </c>
      <c r="B877">
        <f>IF(ISBLANK('Data Entry'!B877), "", 'Data Entry'!B877)</f>
      </c>
      <c r="C877">
        <f>IF(ISBLANK('Data Entry'!C877), "", 'Data Entry'!C877)</f>
      </c>
      <c r="D877">
        <f>IF(ISBLANK('Data Entry'!D877), "", 'Data Entry'!D877)</f>
      </c>
      <c r="E877">
        <f>IF(ISBLANK('Data Entry'!E877), "", 'Data Entry'!E877)</f>
      </c>
      <c r="F877">
        <f>IF(ISBLANK('Data Entry'!F877), "", 'Data Entry'!F877)</f>
      </c>
      <c r="G877">
        <f>IF(ISBLANK('Data Entry'!G877), "", 'Data Entry'!G877)</f>
      </c>
      <c r="H877">
        <f>IF(ISBLANK('Data Entry'!H877), "", 'Data Entry'!H877)</f>
      </c>
      <c r="I877">
        <f>IF(ISBLANK('Data Entry'!I877), "", 'Data Entry'!I877)</f>
      </c>
      <c r="J877">
        <f>IF(ISBLANK('Data Entry'!J877), "", 'Data Entry'!J877)</f>
      </c>
      <c r="K877">
        <f>IF(ISBLANK('Data Entry'!K877), "", 'Data Entry'!K877)</f>
      </c>
      <c r="L877">
        <f>IF(ISBLANK('Data Entry'!L877), "", 'Data Entry'!L877)</f>
      </c>
      <c r="M877">
        <f>IF(ISBLANK('Data Entry'!M877), "", 'Data Entry'!M877)</f>
      </c>
      <c r="N877">
        <f>IF(ISBLANK('Data Entry'!N877), "", 'Data Entry'!N877)</f>
      </c>
      <c r="O877">
        <f>IF(ISBLANK('Data Entry'!O877), "", 'Data Entry'!O877)</f>
      </c>
      <c r="P877">
        <f>IF(ISBLANK('Data Entry'!P877), "", 'Data Entry'!P877)</f>
      </c>
      <c r="Q877">
        <f>IF(ISBLANK('Data Entry'!Q877), "", 'Data Entry'!Q877)</f>
      </c>
      <c r="R877">
        <f>IF(ISBLANK('Data Entry'!R877), "", 'Data Entry'!R877)</f>
      </c>
      <c r="S877">
        <f>IF(ISBLANK('Data Entry'!S877), "", 'Data Entry'!S877)</f>
      </c>
      <c r="T877">
        <f>IF(ISBLANK('Data Entry'!T877), "", 'Data Entry'!T877)</f>
      </c>
      <c r="U877">
        <f>IF(ISBLANK('Data Entry'!U877), "", 'Data Entry'!U877)</f>
      </c>
      <c r="V877">
        <f>IF(ISBLANK('Data Entry'!V877), "", 'Data Entry'!V877)</f>
      </c>
      <c r="W877">
        <f>IF(ISBLANK('Data Entry'!W877), "", 'Data Entry'!W877)</f>
      </c>
      <c r="X877">
        <f>IF(ISBLANK('Data Entry'!X877), "", 'Data Entry'!X877)</f>
      </c>
      <c r="Y877">
        <f>IF(ISBLANK('Data Entry'!Y877), "", 'Data Entry'!Y877)</f>
      </c>
      <c r="Z877">
        <f>IF(ISBLANK('Data Entry'!Z877), "", 'Data Entry'!Z877)</f>
      </c>
      <c r="AA877">
        <f>IF(ISBLANK('Data Entry'![877), "", 'Data Entry'![877)</f>
      </c>
      <c r="AB877">
        <f>IF(ISBLANK('Data Entry'!\877), "", 'Data Entry'!\877)</f>
      </c>
      <c r="AC877">
        <f>IF(ISBLANK('Data Entry'!]877), "", 'Data Entry'!]877)</f>
      </c>
      <c r="AD877">
        <f>IF(ISBLANK('Data Entry'!^877), "", 'Data Entry'!^877)</f>
      </c>
      <c r="AE877">
        <f>IF(ISBLANK('Data Entry'!_877), "", 'Data Entry'!_877)</f>
      </c>
      <c r="AF877">
        <f>IF(ISBLANK('Data Entry'!`877), "", 'Data Entry'!`877)</f>
      </c>
      <c r="AG877">
        <f>IF(ISBLANK('Data Entry'!a877), "", 'Data Entry'!a877)</f>
      </c>
      <c r="AH877">
        <f>IF(ISBLANK('Data Entry'!b877), "", 'Data Entry'!b877)</f>
      </c>
      <c r="AI877">
        <f>IF(ISBLANK('Data Entry'!c877), "", 'Data Entry'!c877)</f>
      </c>
      <c r="AJ877">
        <f>IF(ISBLANK('Data Entry'!d877), "", 'Data Entry'!d877)</f>
      </c>
      <c r="AK877">
        <f>IF(ISBLANK('Data Entry'!e877), "", 'Data Entry'!e877)</f>
      </c>
      <c r="AL877">
        <f>IF(ISBLANK('Data Entry'!f877), "", 'Data Entry'!f877)</f>
      </c>
      <c r="AM877">
        <f>IF(ISBLANK('Data Entry'!g877), "", 'Data Entry'!g877)</f>
      </c>
      <c r="AN877">
        <f>IF(ISBLANK('Data Entry'!h877), "", 'Data Entry'!h877)</f>
      </c>
    </row>
    <row r="878" spans="1:40" x14ac:dyDescent="0.25">
      <c r="A878">
        <f>IF(ISBLANK('Data Entry'!A878), "", 'Data Entry'!A878)</f>
      </c>
      <c r="B878">
        <f>IF(ISBLANK('Data Entry'!B878), "", 'Data Entry'!B878)</f>
      </c>
      <c r="C878">
        <f>IF(ISBLANK('Data Entry'!C878), "", 'Data Entry'!C878)</f>
      </c>
      <c r="D878">
        <f>IF(ISBLANK('Data Entry'!D878), "", 'Data Entry'!D878)</f>
      </c>
      <c r="E878">
        <f>IF(ISBLANK('Data Entry'!E878), "", 'Data Entry'!E878)</f>
      </c>
      <c r="F878">
        <f>IF(ISBLANK('Data Entry'!F878), "", 'Data Entry'!F878)</f>
      </c>
      <c r="G878">
        <f>IF(ISBLANK('Data Entry'!G878), "", 'Data Entry'!G878)</f>
      </c>
      <c r="H878">
        <f>IF(ISBLANK('Data Entry'!H878), "", 'Data Entry'!H878)</f>
      </c>
      <c r="I878">
        <f>IF(ISBLANK('Data Entry'!I878), "", 'Data Entry'!I878)</f>
      </c>
      <c r="J878">
        <f>IF(ISBLANK('Data Entry'!J878), "", 'Data Entry'!J878)</f>
      </c>
      <c r="K878">
        <f>IF(ISBLANK('Data Entry'!K878), "", 'Data Entry'!K878)</f>
      </c>
      <c r="L878">
        <f>IF(ISBLANK('Data Entry'!L878), "", 'Data Entry'!L878)</f>
      </c>
      <c r="M878">
        <f>IF(ISBLANK('Data Entry'!M878), "", 'Data Entry'!M878)</f>
      </c>
      <c r="N878">
        <f>IF(ISBLANK('Data Entry'!N878), "", 'Data Entry'!N878)</f>
      </c>
      <c r="O878">
        <f>IF(ISBLANK('Data Entry'!O878), "", 'Data Entry'!O878)</f>
      </c>
      <c r="P878">
        <f>IF(ISBLANK('Data Entry'!P878), "", 'Data Entry'!P878)</f>
      </c>
      <c r="Q878">
        <f>IF(ISBLANK('Data Entry'!Q878), "", 'Data Entry'!Q878)</f>
      </c>
      <c r="R878">
        <f>IF(ISBLANK('Data Entry'!R878), "", 'Data Entry'!R878)</f>
      </c>
      <c r="S878">
        <f>IF(ISBLANK('Data Entry'!S878), "", 'Data Entry'!S878)</f>
      </c>
      <c r="T878">
        <f>IF(ISBLANK('Data Entry'!T878), "", 'Data Entry'!T878)</f>
      </c>
      <c r="U878">
        <f>IF(ISBLANK('Data Entry'!U878), "", 'Data Entry'!U878)</f>
      </c>
      <c r="V878">
        <f>IF(ISBLANK('Data Entry'!V878), "", 'Data Entry'!V878)</f>
      </c>
      <c r="W878">
        <f>IF(ISBLANK('Data Entry'!W878), "", 'Data Entry'!W878)</f>
      </c>
      <c r="X878">
        <f>IF(ISBLANK('Data Entry'!X878), "", 'Data Entry'!X878)</f>
      </c>
      <c r="Y878">
        <f>IF(ISBLANK('Data Entry'!Y878), "", 'Data Entry'!Y878)</f>
      </c>
      <c r="Z878">
        <f>IF(ISBLANK('Data Entry'!Z878), "", 'Data Entry'!Z878)</f>
      </c>
      <c r="AA878">
        <f>IF(ISBLANK('Data Entry'![878), "", 'Data Entry'![878)</f>
      </c>
      <c r="AB878">
        <f>IF(ISBLANK('Data Entry'!\878), "", 'Data Entry'!\878)</f>
      </c>
      <c r="AC878">
        <f>IF(ISBLANK('Data Entry'!]878), "", 'Data Entry'!]878)</f>
      </c>
      <c r="AD878">
        <f>IF(ISBLANK('Data Entry'!^878), "", 'Data Entry'!^878)</f>
      </c>
      <c r="AE878">
        <f>IF(ISBLANK('Data Entry'!_878), "", 'Data Entry'!_878)</f>
      </c>
      <c r="AF878">
        <f>IF(ISBLANK('Data Entry'!`878), "", 'Data Entry'!`878)</f>
      </c>
      <c r="AG878">
        <f>IF(ISBLANK('Data Entry'!a878), "", 'Data Entry'!a878)</f>
      </c>
      <c r="AH878">
        <f>IF(ISBLANK('Data Entry'!b878), "", 'Data Entry'!b878)</f>
      </c>
      <c r="AI878">
        <f>IF(ISBLANK('Data Entry'!c878), "", 'Data Entry'!c878)</f>
      </c>
      <c r="AJ878">
        <f>IF(ISBLANK('Data Entry'!d878), "", 'Data Entry'!d878)</f>
      </c>
      <c r="AK878">
        <f>IF(ISBLANK('Data Entry'!e878), "", 'Data Entry'!e878)</f>
      </c>
      <c r="AL878">
        <f>IF(ISBLANK('Data Entry'!f878), "", 'Data Entry'!f878)</f>
      </c>
      <c r="AM878">
        <f>IF(ISBLANK('Data Entry'!g878), "", 'Data Entry'!g878)</f>
      </c>
      <c r="AN878">
        <f>IF(ISBLANK('Data Entry'!h878), "", 'Data Entry'!h878)</f>
      </c>
    </row>
    <row r="879" spans="1:40" x14ac:dyDescent="0.25">
      <c r="A879">
        <f>IF(ISBLANK('Data Entry'!A879), "", 'Data Entry'!A879)</f>
      </c>
      <c r="B879">
        <f>IF(ISBLANK('Data Entry'!B879), "", 'Data Entry'!B879)</f>
      </c>
      <c r="C879">
        <f>IF(ISBLANK('Data Entry'!C879), "", 'Data Entry'!C879)</f>
      </c>
      <c r="D879">
        <f>IF(ISBLANK('Data Entry'!D879), "", 'Data Entry'!D879)</f>
      </c>
      <c r="E879">
        <f>IF(ISBLANK('Data Entry'!E879), "", 'Data Entry'!E879)</f>
      </c>
      <c r="F879">
        <f>IF(ISBLANK('Data Entry'!F879), "", 'Data Entry'!F879)</f>
      </c>
      <c r="G879">
        <f>IF(ISBLANK('Data Entry'!G879), "", 'Data Entry'!G879)</f>
      </c>
      <c r="H879">
        <f>IF(ISBLANK('Data Entry'!H879), "", 'Data Entry'!H879)</f>
      </c>
      <c r="I879">
        <f>IF(ISBLANK('Data Entry'!I879), "", 'Data Entry'!I879)</f>
      </c>
      <c r="J879">
        <f>IF(ISBLANK('Data Entry'!J879), "", 'Data Entry'!J879)</f>
      </c>
      <c r="K879">
        <f>IF(ISBLANK('Data Entry'!K879), "", 'Data Entry'!K879)</f>
      </c>
      <c r="L879">
        <f>IF(ISBLANK('Data Entry'!L879), "", 'Data Entry'!L879)</f>
      </c>
      <c r="M879">
        <f>IF(ISBLANK('Data Entry'!M879), "", 'Data Entry'!M879)</f>
      </c>
      <c r="N879">
        <f>IF(ISBLANK('Data Entry'!N879), "", 'Data Entry'!N879)</f>
      </c>
      <c r="O879">
        <f>IF(ISBLANK('Data Entry'!O879), "", 'Data Entry'!O879)</f>
      </c>
      <c r="P879">
        <f>IF(ISBLANK('Data Entry'!P879), "", 'Data Entry'!P879)</f>
      </c>
      <c r="Q879">
        <f>IF(ISBLANK('Data Entry'!Q879), "", 'Data Entry'!Q879)</f>
      </c>
      <c r="R879">
        <f>IF(ISBLANK('Data Entry'!R879), "", 'Data Entry'!R879)</f>
      </c>
      <c r="S879">
        <f>IF(ISBLANK('Data Entry'!S879), "", 'Data Entry'!S879)</f>
      </c>
      <c r="T879">
        <f>IF(ISBLANK('Data Entry'!T879), "", 'Data Entry'!T879)</f>
      </c>
      <c r="U879">
        <f>IF(ISBLANK('Data Entry'!U879), "", 'Data Entry'!U879)</f>
      </c>
      <c r="V879">
        <f>IF(ISBLANK('Data Entry'!V879), "", 'Data Entry'!V879)</f>
      </c>
      <c r="W879">
        <f>IF(ISBLANK('Data Entry'!W879), "", 'Data Entry'!W879)</f>
      </c>
      <c r="X879">
        <f>IF(ISBLANK('Data Entry'!X879), "", 'Data Entry'!X879)</f>
      </c>
      <c r="Y879">
        <f>IF(ISBLANK('Data Entry'!Y879), "", 'Data Entry'!Y879)</f>
      </c>
      <c r="Z879">
        <f>IF(ISBLANK('Data Entry'!Z879), "", 'Data Entry'!Z879)</f>
      </c>
      <c r="AA879">
        <f>IF(ISBLANK('Data Entry'![879), "", 'Data Entry'![879)</f>
      </c>
      <c r="AB879">
        <f>IF(ISBLANK('Data Entry'!\879), "", 'Data Entry'!\879)</f>
      </c>
      <c r="AC879">
        <f>IF(ISBLANK('Data Entry'!]879), "", 'Data Entry'!]879)</f>
      </c>
      <c r="AD879">
        <f>IF(ISBLANK('Data Entry'!^879), "", 'Data Entry'!^879)</f>
      </c>
      <c r="AE879">
        <f>IF(ISBLANK('Data Entry'!_879), "", 'Data Entry'!_879)</f>
      </c>
      <c r="AF879">
        <f>IF(ISBLANK('Data Entry'!`879), "", 'Data Entry'!`879)</f>
      </c>
      <c r="AG879">
        <f>IF(ISBLANK('Data Entry'!a879), "", 'Data Entry'!a879)</f>
      </c>
      <c r="AH879">
        <f>IF(ISBLANK('Data Entry'!b879), "", 'Data Entry'!b879)</f>
      </c>
      <c r="AI879">
        <f>IF(ISBLANK('Data Entry'!c879), "", 'Data Entry'!c879)</f>
      </c>
      <c r="AJ879">
        <f>IF(ISBLANK('Data Entry'!d879), "", 'Data Entry'!d879)</f>
      </c>
      <c r="AK879">
        <f>IF(ISBLANK('Data Entry'!e879), "", 'Data Entry'!e879)</f>
      </c>
      <c r="AL879">
        <f>IF(ISBLANK('Data Entry'!f879), "", 'Data Entry'!f879)</f>
      </c>
      <c r="AM879">
        <f>IF(ISBLANK('Data Entry'!g879), "", 'Data Entry'!g879)</f>
      </c>
      <c r="AN879">
        <f>IF(ISBLANK('Data Entry'!h879), "", 'Data Entry'!h879)</f>
      </c>
    </row>
    <row r="880" spans="1:40" x14ac:dyDescent="0.25">
      <c r="A880">
        <f>IF(ISBLANK('Data Entry'!A880), "", 'Data Entry'!A880)</f>
      </c>
      <c r="B880">
        <f>IF(ISBLANK('Data Entry'!B880), "", 'Data Entry'!B880)</f>
      </c>
      <c r="C880">
        <f>IF(ISBLANK('Data Entry'!C880), "", 'Data Entry'!C880)</f>
      </c>
      <c r="D880">
        <f>IF(ISBLANK('Data Entry'!D880), "", 'Data Entry'!D880)</f>
      </c>
      <c r="E880">
        <f>IF(ISBLANK('Data Entry'!E880), "", 'Data Entry'!E880)</f>
      </c>
      <c r="F880">
        <f>IF(ISBLANK('Data Entry'!F880), "", 'Data Entry'!F880)</f>
      </c>
      <c r="G880">
        <f>IF(ISBLANK('Data Entry'!G880), "", 'Data Entry'!G880)</f>
      </c>
      <c r="H880">
        <f>IF(ISBLANK('Data Entry'!H880), "", 'Data Entry'!H880)</f>
      </c>
      <c r="I880">
        <f>IF(ISBLANK('Data Entry'!I880), "", 'Data Entry'!I880)</f>
      </c>
      <c r="J880">
        <f>IF(ISBLANK('Data Entry'!J880), "", 'Data Entry'!J880)</f>
      </c>
      <c r="K880">
        <f>IF(ISBLANK('Data Entry'!K880), "", 'Data Entry'!K880)</f>
      </c>
      <c r="L880">
        <f>IF(ISBLANK('Data Entry'!L880), "", 'Data Entry'!L880)</f>
      </c>
      <c r="M880">
        <f>IF(ISBLANK('Data Entry'!M880), "", 'Data Entry'!M880)</f>
      </c>
      <c r="N880">
        <f>IF(ISBLANK('Data Entry'!N880), "", 'Data Entry'!N880)</f>
      </c>
      <c r="O880">
        <f>IF(ISBLANK('Data Entry'!O880), "", 'Data Entry'!O880)</f>
      </c>
      <c r="P880">
        <f>IF(ISBLANK('Data Entry'!P880), "", 'Data Entry'!P880)</f>
      </c>
      <c r="Q880">
        <f>IF(ISBLANK('Data Entry'!Q880), "", 'Data Entry'!Q880)</f>
      </c>
      <c r="R880">
        <f>IF(ISBLANK('Data Entry'!R880), "", 'Data Entry'!R880)</f>
      </c>
      <c r="S880">
        <f>IF(ISBLANK('Data Entry'!S880), "", 'Data Entry'!S880)</f>
      </c>
      <c r="T880">
        <f>IF(ISBLANK('Data Entry'!T880), "", 'Data Entry'!T880)</f>
      </c>
      <c r="U880">
        <f>IF(ISBLANK('Data Entry'!U880), "", 'Data Entry'!U880)</f>
      </c>
      <c r="V880">
        <f>IF(ISBLANK('Data Entry'!V880), "", 'Data Entry'!V880)</f>
      </c>
      <c r="W880">
        <f>IF(ISBLANK('Data Entry'!W880), "", 'Data Entry'!W880)</f>
      </c>
      <c r="X880">
        <f>IF(ISBLANK('Data Entry'!X880), "", 'Data Entry'!X880)</f>
      </c>
      <c r="Y880">
        <f>IF(ISBLANK('Data Entry'!Y880), "", 'Data Entry'!Y880)</f>
      </c>
      <c r="Z880">
        <f>IF(ISBLANK('Data Entry'!Z880), "", 'Data Entry'!Z880)</f>
      </c>
      <c r="AA880">
        <f>IF(ISBLANK('Data Entry'![880), "", 'Data Entry'![880)</f>
      </c>
      <c r="AB880">
        <f>IF(ISBLANK('Data Entry'!\880), "", 'Data Entry'!\880)</f>
      </c>
      <c r="AC880">
        <f>IF(ISBLANK('Data Entry'!]880), "", 'Data Entry'!]880)</f>
      </c>
      <c r="AD880">
        <f>IF(ISBLANK('Data Entry'!^880), "", 'Data Entry'!^880)</f>
      </c>
      <c r="AE880">
        <f>IF(ISBLANK('Data Entry'!_880), "", 'Data Entry'!_880)</f>
      </c>
      <c r="AF880">
        <f>IF(ISBLANK('Data Entry'!`880), "", 'Data Entry'!`880)</f>
      </c>
      <c r="AG880">
        <f>IF(ISBLANK('Data Entry'!a880), "", 'Data Entry'!a880)</f>
      </c>
      <c r="AH880">
        <f>IF(ISBLANK('Data Entry'!b880), "", 'Data Entry'!b880)</f>
      </c>
      <c r="AI880">
        <f>IF(ISBLANK('Data Entry'!c880), "", 'Data Entry'!c880)</f>
      </c>
      <c r="AJ880">
        <f>IF(ISBLANK('Data Entry'!d880), "", 'Data Entry'!d880)</f>
      </c>
      <c r="AK880">
        <f>IF(ISBLANK('Data Entry'!e880), "", 'Data Entry'!e880)</f>
      </c>
      <c r="AL880">
        <f>IF(ISBLANK('Data Entry'!f880), "", 'Data Entry'!f880)</f>
      </c>
      <c r="AM880">
        <f>IF(ISBLANK('Data Entry'!g880), "", 'Data Entry'!g880)</f>
      </c>
      <c r="AN880">
        <f>IF(ISBLANK('Data Entry'!h880), "", 'Data Entry'!h880)</f>
      </c>
    </row>
    <row r="881" spans="1:40" x14ac:dyDescent="0.25">
      <c r="A881">
        <f>IF(ISBLANK('Data Entry'!A881), "", 'Data Entry'!A881)</f>
      </c>
      <c r="B881">
        <f>IF(ISBLANK('Data Entry'!B881), "", 'Data Entry'!B881)</f>
      </c>
      <c r="C881">
        <f>IF(ISBLANK('Data Entry'!C881), "", 'Data Entry'!C881)</f>
      </c>
      <c r="D881">
        <f>IF(ISBLANK('Data Entry'!D881), "", 'Data Entry'!D881)</f>
      </c>
      <c r="E881">
        <f>IF(ISBLANK('Data Entry'!E881), "", 'Data Entry'!E881)</f>
      </c>
      <c r="F881">
        <f>IF(ISBLANK('Data Entry'!F881), "", 'Data Entry'!F881)</f>
      </c>
      <c r="G881">
        <f>IF(ISBLANK('Data Entry'!G881), "", 'Data Entry'!G881)</f>
      </c>
      <c r="H881">
        <f>IF(ISBLANK('Data Entry'!H881), "", 'Data Entry'!H881)</f>
      </c>
      <c r="I881">
        <f>IF(ISBLANK('Data Entry'!I881), "", 'Data Entry'!I881)</f>
      </c>
      <c r="J881">
        <f>IF(ISBLANK('Data Entry'!J881), "", 'Data Entry'!J881)</f>
      </c>
      <c r="K881">
        <f>IF(ISBLANK('Data Entry'!K881), "", 'Data Entry'!K881)</f>
      </c>
      <c r="L881">
        <f>IF(ISBLANK('Data Entry'!L881), "", 'Data Entry'!L881)</f>
      </c>
      <c r="M881">
        <f>IF(ISBLANK('Data Entry'!M881), "", 'Data Entry'!M881)</f>
      </c>
      <c r="N881">
        <f>IF(ISBLANK('Data Entry'!N881), "", 'Data Entry'!N881)</f>
      </c>
      <c r="O881">
        <f>IF(ISBLANK('Data Entry'!O881), "", 'Data Entry'!O881)</f>
      </c>
      <c r="P881">
        <f>IF(ISBLANK('Data Entry'!P881), "", 'Data Entry'!P881)</f>
      </c>
      <c r="Q881">
        <f>IF(ISBLANK('Data Entry'!Q881), "", 'Data Entry'!Q881)</f>
      </c>
      <c r="R881">
        <f>IF(ISBLANK('Data Entry'!R881), "", 'Data Entry'!R881)</f>
      </c>
      <c r="S881">
        <f>IF(ISBLANK('Data Entry'!S881), "", 'Data Entry'!S881)</f>
      </c>
      <c r="T881">
        <f>IF(ISBLANK('Data Entry'!T881), "", 'Data Entry'!T881)</f>
      </c>
      <c r="U881">
        <f>IF(ISBLANK('Data Entry'!U881), "", 'Data Entry'!U881)</f>
      </c>
      <c r="V881">
        <f>IF(ISBLANK('Data Entry'!V881), "", 'Data Entry'!V881)</f>
      </c>
      <c r="W881">
        <f>IF(ISBLANK('Data Entry'!W881), "", 'Data Entry'!W881)</f>
      </c>
      <c r="X881">
        <f>IF(ISBLANK('Data Entry'!X881), "", 'Data Entry'!X881)</f>
      </c>
      <c r="Y881">
        <f>IF(ISBLANK('Data Entry'!Y881), "", 'Data Entry'!Y881)</f>
      </c>
      <c r="Z881">
        <f>IF(ISBLANK('Data Entry'!Z881), "", 'Data Entry'!Z881)</f>
      </c>
      <c r="AA881">
        <f>IF(ISBLANK('Data Entry'![881), "", 'Data Entry'![881)</f>
      </c>
      <c r="AB881">
        <f>IF(ISBLANK('Data Entry'!\881), "", 'Data Entry'!\881)</f>
      </c>
      <c r="AC881">
        <f>IF(ISBLANK('Data Entry'!]881), "", 'Data Entry'!]881)</f>
      </c>
      <c r="AD881">
        <f>IF(ISBLANK('Data Entry'!^881), "", 'Data Entry'!^881)</f>
      </c>
      <c r="AE881">
        <f>IF(ISBLANK('Data Entry'!_881), "", 'Data Entry'!_881)</f>
      </c>
      <c r="AF881">
        <f>IF(ISBLANK('Data Entry'!`881), "", 'Data Entry'!`881)</f>
      </c>
      <c r="AG881">
        <f>IF(ISBLANK('Data Entry'!a881), "", 'Data Entry'!a881)</f>
      </c>
      <c r="AH881">
        <f>IF(ISBLANK('Data Entry'!b881), "", 'Data Entry'!b881)</f>
      </c>
      <c r="AI881">
        <f>IF(ISBLANK('Data Entry'!c881), "", 'Data Entry'!c881)</f>
      </c>
      <c r="AJ881">
        <f>IF(ISBLANK('Data Entry'!d881), "", 'Data Entry'!d881)</f>
      </c>
      <c r="AK881">
        <f>IF(ISBLANK('Data Entry'!e881), "", 'Data Entry'!e881)</f>
      </c>
      <c r="AL881">
        <f>IF(ISBLANK('Data Entry'!f881), "", 'Data Entry'!f881)</f>
      </c>
      <c r="AM881">
        <f>IF(ISBLANK('Data Entry'!g881), "", 'Data Entry'!g881)</f>
      </c>
      <c r="AN881">
        <f>IF(ISBLANK('Data Entry'!h881), "", 'Data Entry'!h881)</f>
      </c>
    </row>
    <row r="882" spans="1:40" x14ac:dyDescent="0.25">
      <c r="A882">
        <f>IF(ISBLANK('Data Entry'!A882), "", 'Data Entry'!A882)</f>
      </c>
      <c r="B882">
        <f>IF(ISBLANK('Data Entry'!B882), "", 'Data Entry'!B882)</f>
      </c>
      <c r="C882">
        <f>IF(ISBLANK('Data Entry'!C882), "", 'Data Entry'!C882)</f>
      </c>
      <c r="D882">
        <f>IF(ISBLANK('Data Entry'!D882), "", 'Data Entry'!D882)</f>
      </c>
      <c r="E882">
        <f>IF(ISBLANK('Data Entry'!E882), "", 'Data Entry'!E882)</f>
      </c>
      <c r="F882">
        <f>IF(ISBLANK('Data Entry'!F882), "", 'Data Entry'!F882)</f>
      </c>
      <c r="G882">
        <f>IF(ISBLANK('Data Entry'!G882), "", 'Data Entry'!G882)</f>
      </c>
      <c r="H882">
        <f>IF(ISBLANK('Data Entry'!H882), "", 'Data Entry'!H882)</f>
      </c>
      <c r="I882">
        <f>IF(ISBLANK('Data Entry'!I882), "", 'Data Entry'!I882)</f>
      </c>
      <c r="J882">
        <f>IF(ISBLANK('Data Entry'!J882), "", 'Data Entry'!J882)</f>
      </c>
      <c r="K882">
        <f>IF(ISBLANK('Data Entry'!K882), "", 'Data Entry'!K882)</f>
      </c>
      <c r="L882">
        <f>IF(ISBLANK('Data Entry'!L882), "", 'Data Entry'!L882)</f>
      </c>
      <c r="M882">
        <f>IF(ISBLANK('Data Entry'!M882), "", 'Data Entry'!M882)</f>
      </c>
      <c r="N882">
        <f>IF(ISBLANK('Data Entry'!N882), "", 'Data Entry'!N882)</f>
      </c>
      <c r="O882">
        <f>IF(ISBLANK('Data Entry'!O882), "", 'Data Entry'!O882)</f>
      </c>
      <c r="P882">
        <f>IF(ISBLANK('Data Entry'!P882), "", 'Data Entry'!P882)</f>
      </c>
      <c r="Q882">
        <f>IF(ISBLANK('Data Entry'!Q882), "", 'Data Entry'!Q882)</f>
      </c>
      <c r="R882">
        <f>IF(ISBLANK('Data Entry'!R882), "", 'Data Entry'!R882)</f>
      </c>
      <c r="S882">
        <f>IF(ISBLANK('Data Entry'!S882), "", 'Data Entry'!S882)</f>
      </c>
      <c r="T882">
        <f>IF(ISBLANK('Data Entry'!T882), "", 'Data Entry'!T882)</f>
      </c>
      <c r="U882">
        <f>IF(ISBLANK('Data Entry'!U882), "", 'Data Entry'!U882)</f>
      </c>
      <c r="V882">
        <f>IF(ISBLANK('Data Entry'!V882), "", 'Data Entry'!V882)</f>
      </c>
      <c r="W882">
        <f>IF(ISBLANK('Data Entry'!W882), "", 'Data Entry'!W882)</f>
      </c>
      <c r="X882">
        <f>IF(ISBLANK('Data Entry'!X882), "", 'Data Entry'!X882)</f>
      </c>
      <c r="Y882">
        <f>IF(ISBLANK('Data Entry'!Y882), "", 'Data Entry'!Y882)</f>
      </c>
      <c r="Z882">
        <f>IF(ISBLANK('Data Entry'!Z882), "", 'Data Entry'!Z882)</f>
      </c>
      <c r="AA882">
        <f>IF(ISBLANK('Data Entry'![882), "", 'Data Entry'![882)</f>
      </c>
      <c r="AB882">
        <f>IF(ISBLANK('Data Entry'!\882), "", 'Data Entry'!\882)</f>
      </c>
      <c r="AC882">
        <f>IF(ISBLANK('Data Entry'!]882), "", 'Data Entry'!]882)</f>
      </c>
      <c r="AD882">
        <f>IF(ISBLANK('Data Entry'!^882), "", 'Data Entry'!^882)</f>
      </c>
      <c r="AE882">
        <f>IF(ISBLANK('Data Entry'!_882), "", 'Data Entry'!_882)</f>
      </c>
      <c r="AF882">
        <f>IF(ISBLANK('Data Entry'!`882), "", 'Data Entry'!`882)</f>
      </c>
      <c r="AG882">
        <f>IF(ISBLANK('Data Entry'!a882), "", 'Data Entry'!a882)</f>
      </c>
      <c r="AH882">
        <f>IF(ISBLANK('Data Entry'!b882), "", 'Data Entry'!b882)</f>
      </c>
      <c r="AI882">
        <f>IF(ISBLANK('Data Entry'!c882), "", 'Data Entry'!c882)</f>
      </c>
      <c r="AJ882">
        <f>IF(ISBLANK('Data Entry'!d882), "", 'Data Entry'!d882)</f>
      </c>
      <c r="AK882">
        <f>IF(ISBLANK('Data Entry'!e882), "", 'Data Entry'!e882)</f>
      </c>
      <c r="AL882">
        <f>IF(ISBLANK('Data Entry'!f882), "", 'Data Entry'!f882)</f>
      </c>
      <c r="AM882">
        <f>IF(ISBLANK('Data Entry'!g882), "", 'Data Entry'!g882)</f>
      </c>
      <c r="AN882">
        <f>IF(ISBLANK('Data Entry'!h882), "", 'Data Entry'!h882)</f>
      </c>
    </row>
    <row r="883" spans="1:40" x14ac:dyDescent="0.25">
      <c r="A883">
        <f>IF(ISBLANK('Data Entry'!A883), "", 'Data Entry'!A883)</f>
      </c>
      <c r="B883">
        <f>IF(ISBLANK('Data Entry'!B883), "", 'Data Entry'!B883)</f>
      </c>
      <c r="C883">
        <f>IF(ISBLANK('Data Entry'!C883), "", 'Data Entry'!C883)</f>
      </c>
      <c r="D883">
        <f>IF(ISBLANK('Data Entry'!D883), "", 'Data Entry'!D883)</f>
      </c>
      <c r="E883">
        <f>IF(ISBLANK('Data Entry'!E883), "", 'Data Entry'!E883)</f>
      </c>
      <c r="F883">
        <f>IF(ISBLANK('Data Entry'!F883), "", 'Data Entry'!F883)</f>
      </c>
      <c r="G883">
        <f>IF(ISBLANK('Data Entry'!G883), "", 'Data Entry'!G883)</f>
      </c>
      <c r="H883">
        <f>IF(ISBLANK('Data Entry'!H883), "", 'Data Entry'!H883)</f>
      </c>
      <c r="I883">
        <f>IF(ISBLANK('Data Entry'!I883), "", 'Data Entry'!I883)</f>
      </c>
      <c r="J883">
        <f>IF(ISBLANK('Data Entry'!J883), "", 'Data Entry'!J883)</f>
      </c>
      <c r="K883">
        <f>IF(ISBLANK('Data Entry'!K883), "", 'Data Entry'!K883)</f>
      </c>
      <c r="L883">
        <f>IF(ISBLANK('Data Entry'!L883), "", 'Data Entry'!L883)</f>
      </c>
      <c r="M883">
        <f>IF(ISBLANK('Data Entry'!M883), "", 'Data Entry'!M883)</f>
      </c>
      <c r="N883">
        <f>IF(ISBLANK('Data Entry'!N883), "", 'Data Entry'!N883)</f>
      </c>
      <c r="O883">
        <f>IF(ISBLANK('Data Entry'!O883), "", 'Data Entry'!O883)</f>
      </c>
      <c r="P883">
        <f>IF(ISBLANK('Data Entry'!P883), "", 'Data Entry'!P883)</f>
      </c>
      <c r="Q883">
        <f>IF(ISBLANK('Data Entry'!Q883), "", 'Data Entry'!Q883)</f>
      </c>
      <c r="R883">
        <f>IF(ISBLANK('Data Entry'!R883), "", 'Data Entry'!R883)</f>
      </c>
      <c r="S883">
        <f>IF(ISBLANK('Data Entry'!S883), "", 'Data Entry'!S883)</f>
      </c>
      <c r="T883">
        <f>IF(ISBLANK('Data Entry'!T883), "", 'Data Entry'!T883)</f>
      </c>
      <c r="U883">
        <f>IF(ISBLANK('Data Entry'!U883), "", 'Data Entry'!U883)</f>
      </c>
      <c r="V883">
        <f>IF(ISBLANK('Data Entry'!V883), "", 'Data Entry'!V883)</f>
      </c>
      <c r="W883">
        <f>IF(ISBLANK('Data Entry'!W883), "", 'Data Entry'!W883)</f>
      </c>
      <c r="X883">
        <f>IF(ISBLANK('Data Entry'!X883), "", 'Data Entry'!X883)</f>
      </c>
      <c r="Y883">
        <f>IF(ISBLANK('Data Entry'!Y883), "", 'Data Entry'!Y883)</f>
      </c>
      <c r="Z883">
        <f>IF(ISBLANK('Data Entry'!Z883), "", 'Data Entry'!Z883)</f>
      </c>
      <c r="AA883">
        <f>IF(ISBLANK('Data Entry'![883), "", 'Data Entry'![883)</f>
      </c>
      <c r="AB883">
        <f>IF(ISBLANK('Data Entry'!\883), "", 'Data Entry'!\883)</f>
      </c>
      <c r="AC883">
        <f>IF(ISBLANK('Data Entry'!]883), "", 'Data Entry'!]883)</f>
      </c>
      <c r="AD883">
        <f>IF(ISBLANK('Data Entry'!^883), "", 'Data Entry'!^883)</f>
      </c>
      <c r="AE883">
        <f>IF(ISBLANK('Data Entry'!_883), "", 'Data Entry'!_883)</f>
      </c>
      <c r="AF883">
        <f>IF(ISBLANK('Data Entry'!`883), "", 'Data Entry'!`883)</f>
      </c>
      <c r="AG883">
        <f>IF(ISBLANK('Data Entry'!a883), "", 'Data Entry'!a883)</f>
      </c>
      <c r="AH883">
        <f>IF(ISBLANK('Data Entry'!b883), "", 'Data Entry'!b883)</f>
      </c>
      <c r="AI883">
        <f>IF(ISBLANK('Data Entry'!c883), "", 'Data Entry'!c883)</f>
      </c>
      <c r="AJ883">
        <f>IF(ISBLANK('Data Entry'!d883), "", 'Data Entry'!d883)</f>
      </c>
      <c r="AK883">
        <f>IF(ISBLANK('Data Entry'!e883), "", 'Data Entry'!e883)</f>
      </c>
      <c r="AL883">
        <f>IF(ISBLANK('Data Entry'!f883), "", 'Data Entry'!f883)</f>
      </c>
      <c r="AM883">
        <f>IF(ISBLANK('Data Entry'!g883), "", 'Data Entry'!g883)</f>
      </c>
      <c r="AN883">
        <f>IF(ISBLANK('Data Entry'!h883), "", 'Data Entry'!h883)</f>
      </c>
    </row>
    <row r="884" spans="1:40" x14ac:dyDescent="0.25">
      <c r="A884">
        <f>IF(ISBLANK('Data Entry'!A884), "", 'Data Entry'!A884)</f>
      </c>
      <c r="B884">
        <f>IF(ISBLANK('Data Entry'!B884), "", 'Data Entry'!B884)</f>
      </c>
      <c r="C884">
        <f>IF(ISBLANK('Data Entry'!C884), "", 'Data Entry'!C884)</f>
      </c>
      <c r="D884">
        <f>IF(ISBLANK('Data Entry'!D884), "", 'Data Entry'!D884)</f>
      </c>
      <c r="E884">
        <f>IF(ISBLANK('Data Entry'!E884), "", 'Data Entry'!E884)</f>
      </c>
      <c r="F884">
        <f>IF(ISBLANK('Data Entry'!F884), "", 'Data Entry'!F884)</f>
      </c>
      <c r="G884">
        <f>IF(ISBLANK('Data Entry'!G884), "", 'Data Entry'!G884)</f>
      </c>
      <c r="H884">
        <f>IF(ISBLANK('Data Entry'!H884), "", 'Data Entry'!H884)</f>
      </c>
      <c r="I884">
        <f>IF(ISBLANK('Data Entry'!I884), "", 'Data Entry'!I884)</f>
      </c>
      <c r="J884">
        <f>IF(ISBLANK('Data Entry'!J884), "", 'Data Entry'!J884)</f>
      </c>
      <c r="K884">
        <f>IF(ISBLANK('Data Entry'!K884), "", 'Data Entry'!K884)</f>
      </c>
      <c r="L884">
        <f>IF(ISBLANK('Data Entry'!L884), "", 'Data Entry'!L884)</f>
      </c>
      <c r="M884">
        <f>IF(ISBLANK('Data Entry'!M884), "", 'Data Entry'!M884)</f>
      </c>
      <c r="N884">
        <f>IF(ISBLANK('Data Entry'!N884), "", 'Data Entry'!N884)</f>
      </c>
      <c r="O884">
        <f>IF(ISBLANK('Data Entry'!O884), "", 'Data Entry'!O884)</f>
      </c>
      <c r="P884">
        <f>IF(ISBLANK('Data Entry'!P884), "", 'Data Entry'!P884)</f>
      </c>
      <c r="Q884">
        <f>IF(ISBLANK('Data Entry'!Q884), "", 'Data Entry'!Q884)</f>
      </c>
      <c r="R884">
        <f>IF(ISBLANK('Data Entry'!R884), "", 'Data Entry'!R884)</f>
      </c>
      <c r="S884">
        <f>IF(ISBLANK('Data Entry'!S884), "", 'Data Entry'!S884)</f>
      </c>
      <c r="T884">
        <f>IF(ISBLANK('Data Entry'!T884), "", 'Data Entry'!T884)</f>
      </c>
      <c r="U884">
        <f>IF(ISBLANK('Data Entry'!U884), "", 'Data Entry'!U884)</f>
      </c>
      <c r="V884">
        <f>IF(ISBLANK('Data Entry'!V884), "", 'Data Entry'!V884)</f>
      </c>
      <c r="W884">
        <f>IF(ISBLANK('Data Entry'!W884), "", 'Data Entry'!W884)</f>
      </c>
      <c r="X884">
        <f>IF(ISBLANK('Data Entry'!X884), "", 'Data Entry'!X884)</f>
      </c>
      <c r="Y884">
        <f>IF(ISBLANK('Data Entry'!Y884), "", 'Data Entry'!Y884)</f>
      </c>
      <c r="Z884">
        <f>IF(ISBLANK('Data Entry'!Z884), "", 'Data Entry'!Z884)</f>
      </c>
      <c r="AA884">
        <f>IF(ISBLANK('Data Entry'![884), "", 'Data Entry'![884)</f>
      </c>
      <c r="AB884">
        <f>IF(ISBLANK('Data Entry'!\884), "", 'Data Entry'!\884)</f>
      </c>
      <c r="AC884">
        <f>IF(ISBLANK('Data Entry'!]884), "", 'Data Entry'!]884)</f>
      </c>
      <c r="AD884">
        <f>IF(ISBLANK('Data Entry'!^884), "", 'Data Entry'!^884)</f>
      </c>
      <c r="AE884">
        <f>IF(ISBLANK('Data Entry'!_884), "", 'Data Entry'!_884)</f>
      </c>
      <c r="AF884">
        <f>IF(ISBLANK('Data Entry'!`884), "", 'Data Entry'!`884)</f>
      </c>
      <c r="AG884">
        <f>IF(ISBLANK('Data Entry'!a884), "", 'Data Entry'!a884)</f>
      </c>
      <c r="AH884">
        <f>IF(ISBLANK('Data Entry'!b884), "", 'Data Entry'!b884)</f>
      </c>
      <c r="AI884">
        <f>IF(ISBLANK('Data Entry'!c884), "", 'Data Entry'!c884)</f>
      </c>
      <c r="AJ884">
        <f>IF(ISBLANK('Data Entry'!d884), "", 'Data Entry'!d884)</f>
      </c>
      <c r="AK884">
        <f>IF(ISBLANK('Data Entry'!e884), "", 'Data Entry'!e884)</f>
      </c>
      <c r="AL884">
        <f>IF(ISBLANK('Data Entry'!f884), "", 'Data Entry'!f884)</f>
      </c>
      <c r="AM884">
        <f>IF(ISBLANK('Data Entry'!g884), "", 'Data Entry'!g884)</f>
      </c>
      <c r="AN884">
        <f>IF(ISBLANK('Data Entry'!h884), "", 'Data Entry'!h884)</f>
      </c>
    </row>
    <row r="885" spans="1:40" x14ac:dyDescent="0.25">
      <c r="A885">
        <f>IF(ISBLANK('Data Entry'!A885), "", 'Data Entry'!A885)</f>
      </c>
      <c r="B885">
        <f>IF(ISBLANK('Data Entry'!B885), "", 'Data Entry'!B885)</f>
      </c>
      <c r="C885">
        <f>IF(ISBLANK('Data Entry'!C885), "", 'Data Entry'!C885)</f>
      </c>
      <c r="D885">
        <f>IF(ISBLANK('Data Entry'!D885), "", 'Data Entry'!D885)</f>
      </c>
      <c r="E885">
        <f>IF(ISBLANK('Data Entry'!E885), "", 'Data Entry'!E885)</f>
      </c>
      <c r="F885">
        <f>IF(ISBLANK('Data Entry'!F885), "", 'Data Entry'!F885)</f>
      </c>
      <c r="G885">
        <f>IF(ISBLANK('Data Entry'!G885), "", 'Data Entry'!G885)</f>
      </c>
      <c r="H885">
        <f>IF(ISBLANK('Data Entry'!H885), "", 'Data Entry'!H885)</f>
      </c>
      <c r="I885">
        <f>IF(ISBLANK('Data Entry'!I885), "", 'Data Entry'!I885)</f>
      </c>
      <c r="J885">
        <f>IF(ISBLANK('Data Entry'!J885), "", 'Data Entry'!J885)</f>
      </c>
      <c r="K885">
        <f>IF(ISBLANK('Data Entry'!K885), "", 'Data Entry'!K885)</f>
      </c>
      <c r="L885">
        <f>IF(ISBLANK('Data Entry'!L885), "", 'Data Entry'!L885)</f>
      </c>
      <c r="M885">
        <f>IF(ISBLANK('Data Entry'!M885), "", 'Data Entry'!M885)</f>
      </c>
      <c r="N885">
        <f>IF(ISBLANK('Data Entry'!N885), "", 'Data Entry'!N885)</f>
      </c>
      <c r="O885">
        <f>IF(ISBLANK('Data Entry'!O885), "", 'Data Entry'!O885)</f>
      </c>
      <c r="P885">
        <f>IF(ISBLANK('Data Entry'!P885), "", 'Data Entry'!P885)</f>
      </c>
      <c r="Q885">
        <f>IF(ISBLANK('Data Entry'!Q885), "", 'Data Entry'!Q885)</f>
      </c>
      <c r="R885">
        <f>IF(ISBLANK('Data Entry'!R885), "", 'Data Entry'!R885)</f>
      </c>
      <c r="S885">
        <f>IF(ISBLANK('Data Entry'!S885), "", 'Data Entry'!S885)</f>
      </c>
      <c r="T885">
        <f>IF(ISBLANK('Data Entry'!T885), "", 'Data Entry'!T885)</f>
      </c>
      <c r="U885">
        <f>IF(ISBLANK('Data Entry'!U885), "", 'Data Entry'!U885)</f>
      </c>
      <c r="V885">
        <f>IF(ISBLANK('Data Entry'!V885), "", 'Data Entry'!V885)</f>
      </c>
      <c r="W885">
        <f>IF(ISBLANK('Data Entry'!W885), "", 'Data Entry'!W885)</f>
      </c>
      <c r="X885">
        <f>IF(ISBLANK('Data Entry'!X885), "", 'Data Entry'!X885)</f>
      </c>
      <c r="Y885">
        <f>IF(ISBLANK('Data Entry'!Y885), "", 'Data Entry'!Y885)</f>
      </c>
      <c r="Z885">
        <f>IF(ISBLANK('Data Entry'!Z885), "", 'Data Entry'!Z885)</f>
      </c>
      <c r="AA885">
        <f>IF(ISBLANK('Data Entry'![885), "", 'Data Entry'![885)</f>
      </c>
      <c r="AB885">
        <f>IF(ISBLANK('Data Entry'!\885), "", 'Data Entry'!\885)</f>
      </c>
      <c r="AC885">
        <f>IF(ISBLANK('Data Entry'!]885), "", 'Data Entry'!]885)</f>
      </c>
      <c r="AD885">
        <f>IF(ISBLANK('Data Entry'!^885), "", 'Data Entry'!^885)</f>
      </c>
      <c r="AE885">
        <f>IF(ISBLANK('Data Entry'!_885), "", 'Data Entry'!_885)</f>
      </c>
      <c r="AF885">
        <f>IF(ISBLANK('Data Entry'!`885), "", 'Data Entry'!`885)</f>
      </c>
      <c r="AG885">
        <f>IF(ISBLANK('Data Entry'!a885), "", 'Data Entry'!a885)</f>
      </c>
      <c r="AH885">
        <f>IF(ISBLANK('Data Entry'!b885), "", 'Data Entry'!b885)</f>
      </c>
      <c r="AI885">
        <f>IF(ISBLANK('Data Entry'!c885), "", 'Data Entry'!c885)</f>
      </c>
      <c r="AJ885">
        <f>IF(ISBLANK('Data Entry'!d885), "", 'Data Entry'!d885)</f>
      </c>
      <c r="AK885">
        <f>IF(ISBLANK('Data Entry'!e885), "", 'Data Entry'!e885)</f>
      </c>
      <c r="AL885">
        <f>IF(ISBLANK('Data Entry'!f885), "", 'Data Entry'!f885)</f>
      </c>
      <c r="AM885">
        <f>IF(ISBLANK('Data Entry'!g885), "", 'Data Entry'!g885)</f>
      </c>
      <c r="AN885">
        <f>IF(ISBLANK('Data Entry'!h885), "", 'Data Entry'!h885)</f>
      </c>
    </row>
    <row r="886" spans="1:40" x14ac:dyDescent="0.25">
      <c r="A886">
        <f>IF(ISBLANK('Data Entry'!A886), "", 'Data Entry'!A886)</f>
      </c>
      <c r="B886">
        <f>IF(ISBLANK('Data Entry'!B886), "", 'Data Entry'!B886)</f>
      </c>
      <c r="C886">
        <f>IF(ISBLANK('Data Entry'!C886), "", 'Data Entry'!C886)</f>
      </c>
      <c r="D886">
        <f>IF(ISBLANK('Data Entry'!D886), "", 'Data Entry'!D886)</f>
      </c>
      <c r="E886">
        <f>IF(ISBLANK('Data Entry'!E886), "", 'Data Entry'!E886)</f>
      </c>
      <c r="F886">
        <f>IF(ISBLANK('Data Entry'!F886), "", 'Data Entry'!F886)</f>
      </c>
      <c r="G886">
        <f>IF(ISBLANK('Data Entry'!G886), "", 'Data Entry'!G886)</f>
      </c>
      <c r="H886">
        <f>IF(ISBLANK('Data Entry'!H886), "", 'Data Entry'!H886)</f>
      </c>
      <c r="I886">
        <f>IF(ISBLANK('Data Entry'!I886), "", 'Data Entry'!I886)</f>
      </c>
      <c r="J886">
        <f>IF(ISBLANK('Data Entry'!J886), "", 'Data Entry'!J886)</f>
      </c>
      <c r="K886">
        <f>IF(ISBLANK('Data Entry'!K886), "", 'Data Entry'!K886)</f>
      </c>
      <c r="L886">
        <f>IF(ISBLANK('Data Entry'!L886), "", 'Data Entry'!L886)</f>
      </c>
      <c r="M886">
        <f>IF(ISBLANK('Data Entry'!M886), "", 'Data Entry'!M886)</f>
      </c>
      <c r="N886">
        <f>IF(ISBLANK('Data Entry'!N886), "", 'Data Entry'!N886)</f>
      </c>
      <c r="O886">
        <f>IF(ISBLANK('Data Entry'!O886), "", 'Data Entry'!O886)</f>
      </c>
      <c r="P886">
        <f>IF(ISBLANK('Data Entry'!P886), "", 'Data Entry'!P886)</f>
      </c>
      <c r="Q886">
        <f>IF(ISBLANK('Data Entry'!Q886), "", 'Data Entry'!Q886)</f>
      </c>
      <c r="R886">
        <f>IF(ISBLANK('Data Entry'!R886), "", 'Data Entry'!R886)</f>
      </c>
      <c r="S886">
        <f>IF(ISBLANK('Data Entry'!S886), "", 'Data Entry'!S886)</f>
      </c>
      <c r="T886">
        <f>IF(ISBLANK('Data Entry'!T886), "", 'Data Entry'!T886)</f>
      </c>
      <c r="U886">
        <f>IF(ISBLANK('Data Entry'!U886), "", 'Data Entry'!U886)</f>
      </c>
      <c r="V886">
        <f>IF(ISBLANK('Data Entry'!V886), "", 'Data Entry'!V886)</f>
      </c>
      <c r="W886">
        <f>IF(ISBLANK('Data Entry'!W886), "", 'Data Entry'!W886)</f>
      </c>
      <c r="X886">
        <f>IF(ISBLANK('Data Entry'!X886), "", 'Data Entry'!X886)</f>
      </c>
      <c r="Y886">
        <f>IF(ISBLANK('Data Entry'!Y886), "", 'Data Entry'!Y886)</f>
      </c>
      <c r="Z886">
        <f>IF(ISBLANK('Data Entry'!Z886), "", 'Data Entry'!Z886)</f>
      </c>
      <c r="AA886">
        <f>IF(ISBLANK('Data Entry'![886), "", 'Data Entry'![886)</f>
      </c>
      <c r="AB886">
        <f>IF(ISBLANK('Data Entry'!\886), "", 'Data Entry'!\886)</f>
      </c>
      <c r="AC886">
        <f>IF(ISBLANK('Data Entry'!]886), "", 'Data Entry'!]886)</f>
      </c>
      <c r="AD886">
        <f>IF(ISBLANK('Data Entry'!^886), "", 'Data Entry'!^886)</f>
      </c>
      <c r="AE886">
        <f>IF(ISBLANK('Data Entry'!_886), "", 'Data Entry'!_886)</f>
      </c>
      <c r="AF886">
        <f>IF(ISBLANK('Data Entry'!`886), "", 'Data Entry'!`886)</f>
      </c>
      <c r="AG886">
        <f>IF(ISBLANK('Data Entry'!a886), "", 'Data Entry'!a886)</f>
      </c>
      <c r="AH886">
        <f>IF(ISBLANK('Data Entry'!b886), "", 'Data Entry'!b886)</f>
      </c>
      <c r="AI886">
        <f>IF(ISBLANK('Data Entry'!c886), "", 'Data Entry'!c886)</f>
      </c>
      <c r="AJ886">
        <f>IF(ISBLANK('Data Entry'!d886), "", 'Data Entry'!d886)</f>
      </c>
      <c r="AK886">
        <f>IF(ISBLANK('Data Entry'!e886), "", 'Data Entry'!e886)</f>
      </c>
      <c r="AL886">
        <f>IF(ISBLANK('Data Entry'!f886), "", 'Data Entry'!f886)</f>
      </c>
      <c r="AM886">
        <f>IF(ISBLANK('Data Entry'!g886), "", 'Data Entry'!g886)</f>
      </c>
      <c r="AN886">
        <f>IF(ISBLANK('Data Entry'!h886), "", 'Data Entry'!h886)</f>
      </c>
    </row>
    <row r="887" spans="1:40" x14ac:dyDescent="0.25">
      <c r="A887">
        <f>IF(ISBLANK('Data Entry'!A887), "", 'Data Entry'!A887)</f>
      </c>
      <c r="B887">
        <f>IF(ISBLANK('Data Entry'!B887), "", 'Data Entry'!B887)</f>
      </c>
      <c r="C887">
        <f>IF(ISBLANK('Data Entry'!C887), "", 'Data Entry'!C887)</f>
      </c>
      <c r="D887">
        <f>IF(ISBLANK('Data Entry'!D887), "", 'Data Entry'!D887)</f>
      </c>
      <c r="E887">
        <f>IF(ISBLANK('Data Entry'!E887), "", 'Data Entry'!E887)</f>
      </c>
      <c r="F887">
        <f>IF(ISBLANK('Data Entry'!F887), "", 'Data Entry'!F887)</f>
      </c>
      <c r="G887">
        <f>IF(ISBLANK('Data Entry'!G887), "", 'Data Entry'!G887)</f>
      </c>
      <c r="H887">
        <f>IF(ISBLANK('Data Entry'!H887), "", 'Data Entry'!H887)</f>
      </c>
      <c r="I887">
        <f>IF(ISBLANK('Data Entry'!I887), "", 'Data Entry'!I887)</f>
      </c>
      <c r="J887">
        <f>IF(ISBLANK('Data Entry'!J887), "", 'Data Entry'!J887)</f>
      </c>
      <c r="K887">
        <f>IF(ISBLANK('Data Entry'!K887), "", 'Data Entry'!K887)</f>
      </c>
      <c r="L887">
        <f>IF(ISBLANK('Data Entry'!L887), "", 'Data Entry'!L887)</f>
      </c>
      <c r="M887">
        <f>IF(ISBLANK('Data Entry'!M887), "", 'Data Entry'!M887)</f>
      </c>
      <c r="N887">
        <f>IF(ISBLANK('Data Entry'!N887), "", 'Data Entry'!N887)</f>
      </c>
      <c r="O887">
        <f>IF(ISBLANK('Data Entry'!O887), "", 'Data Entry'!O887)</f>
      </c>
      <c r="P887">
        <f>IF(ISBLANK('Data Entry'!P887), "", 'Data Entry'!P887)</f>
      </c>
      <c r="Q887">
        <f>IF(ISBLANK('Data Entry'!Q887), "", 'Data Entry'!Q887)</f>
      </c>
      <c r="R887">
        <f>IF(ISBLANK('Data Entry'!R887), "", 'Data Entry'!R887)</f>
      </c>
      <c r="S887">
        <f>IF(ISBLANK('Data Entry'!S887), "", 'Data Entry'!S887)</f>
      </c>
      <c r="T887">
        <f>IF(ISBLANK('Data Entry'!T887), "", 'Data Entry'!T887)</f>
      </c>
      <c r="U887">
        <f>IF(ISBLANK('Data Entry'!U887), "", 'Data Entry'!U887)</f>
      </c>
      <c r="V887">
        <f>IF(ISBLANK('Data Entry'!V887), "", 'Data Entry'!V887)</f>
      </c>
      <c r="W887">
        <f>IF(ISBLANK('Data Entry'!W887), "", 'Data Entry'!W887)</f>
      </c>
      <c r="X887">
        <f>IF(ISBLANK('Data Entry'!X887), "", 'Data Entry'!X887)</f>
      </c>
      <c r="Y887">
        <f>IF(ISBLANK('Data Entry'!Y887), "", 'Data Entry'!Y887)</f>
      </c>
      <c r="Z887">
        <f>IF(ISBLANK('Data Entry'!Z887), "", 'Data Entry'!Z887)</f>
      </c>
      <c r="AA887">
        <f>IF(ISBLANK('Data Entry'![887), "", 'Data Entry'![887)</f>
      </c>
      <c r="AB887">
        <f>IF(ISBLANK('Data Entry'!\887), "", 'Data Entry'!\887)</f>
      </c>
      <c r="AC887">
        <f>IF(ISBLANK('Data Entry'!]887), "", 'Data Entry'!]887)</f>
      </c>
      <c r="AD887">
        <f>IF(ISBLANK('Data Entry'!^887), "", 'Data Entry'!^887)</f>
      </c>
      <c r="AE887">
        <f>IF(ISBLANK('Data Entry'!_887), "", 'Data Entry'!_887)</f>
      </c>
      <c r="AF887">
        <f>IF(ISBLANK('Data Entry'!`887), "", 'Data Entry'!`887)</f>
      </c>
      <c r="AG887">
        <f>IF(ISBLANK('Data Entry'!a887), "", 'Data Entry'!a887)</f>
      </c>
      <c r="AH887">
        <f>IF(ISBLANK('Data Entry'!b887), "", 'Data Entry'!b887)</f>
      </c>
      <c r="AI887">
        <f>IF(ISBLANK('Data Entry'!c887), "", 'Data Entry'!c887)</f>
      </c>
      <c r="AJ887">
        <f>IF(ISBLANK('Data Entry'!d887), "", 'Data Entry'!d887)</f>
      </c>
      <c r="AK887">
        <f>IF(ISBLANK('Data Entry'!e887), "", 'Data Entry'!e887)</f>
      </c>
      <c r="AL887">
        <f>IF(ISBLANK('Data Entry'!f887), "", 'Data Entry'!f887)</f>
      </c>
      <c r="AM887">
        <f>IF(ISBLANK('Data Entry'!g887), "", 'Data Entry'!g887)</f>
      </c>
      <c r="AN887">
        <f>IF(ISBLANK('Data Entry'!h887), "", 'Data Entry'!h887)</f>
      </c>
    </row>
    <row r="888" spans="1:40" x14ac:dyDescent="0.25">
      <c r="A888">
        <f>IF(ISBLANK('Data Entry'!A888), "", 'Data Entry'!A888)</f>
      </c>
      <c r="B888">
        <f>IF(ISBLANK('Data Entry'!B888), "", 'Data Entry'!B888)</f>
      </c>
      <c r="C888">
        <f>IF(ISBLANK('Data Entry'!C888), "", 'Data Entry'!C888)</f>
      </c>
      <c r="D888">
        <f>IF(ISBLANK('Data Entry'!D888), "", 'Data Entry'!D888)</f>
      </c>
      <c r="E888">
        <f>IF(ISBLANK('Data Entry'!E888), "", 'Data Entry'!E888)</f>
      </c>
      <c r="F888">
        <f>IF(ISBLANK('Data Entry'!F888), "", 'Data Entry'!F888)</f>
      </c>
      <c r="G888">
        <f>IF(ISBLANK('Data Entry'!G888), "", 'Data Entry'!G888)</f>
      </c>
      <c r="H888">
        <f>IF(ISBLANK('Data Entry'!H888), "", 'Data Entry'!H888)</f>
      </c>
      <c r="I888">
        <f>IF(ISBLANK('Data Entry'!I888), "", 'Data Entry'!I888)</f>
      </c>
      <c r="J888">
        <f>IF(ISBLANK('Data Entry'!J888), "", 'Data Entry'!J888)</f>
      </c>
      <c r="K888">
        <f>IF(ISBLANK('Data Entry'!K888), "", 'Data Entry'!K888)</f>
      </c>
      <c r="L888">
        <f>IF(ISBLANK('Data Entry'!L888), "", 'Data Entry'!L888)</f>
      </c>
      <c r="M888">
        <f>IF(ISBLANK('Data Entry'!M888), "", 'Data Entry'!M888)</f>
      </c>
      <c r="N888">
        <f>IF(ISBLANK('Data Entry'!N888), "", 'Data Entry'!N888)</f>
      </c>
      <c r="O888">
        <f>IF(ISBLANK('Data Entry'!O888), "", 'Data Entry'!O888)</f>
      </c>
      <c r="P888">
        <f>IF(ISBLANK('Data Entry'!P888), "", 'Data Entry'!P888)</f>
      </c>
      <c r="Q888">
        <f>IF(ISBLANK('Data Entry'!Q888), "", 'Data Entry'!Q888)</f>
      </c>
      <c r="R888">
        <f>IF(ISBLANK('Data Entry'!R888), "", 'Data Entry'!R888)</f>
      </c>
      <c r="S888">
        <f>IF(ISBLANK('Data Entry'!S888), "", 'Data Entry'!S888)</f>
      </c>
      <c r="T888">
        <f>IF(ISBLANK('Data Entry'!T888), "", 'Data Entry'!T888)</f>
      </c>
      <c r="U888">
        <f>IF(ISBLANK('Data Entry'!U888), "", 'Data Entry'!U888)</f>
      </c>
      <c r="V888">
        <f>IF(ISBLANK('Data Entry'!V888), "", 'Data Entry'!V888)</f>
      </c>
      <c r="W888">
        <f>IF(ISBLANK('Data Entry'!W888), "", 'Data Entry'!W888)</f>
      </c>
      <c r="X888">
        <f>IF(ISBLANK('Data Entry'!X888), "", 'Data Entry'!X888)</f>
      </c>
      <c r="Y888">
        <f>IF(ISBLANK('Data Entry'!Y888), "", 'Data Entry'!Y888)</f>
      </c>
      <c r="Z888">
        <f>IF(ISBLANK('Data Entry'!Z888), "", 'Data Entry'!Z888)</f>
      </c>
      <c r="AA888">
        <f>IF(ISBLANK('Data Entry'![888), "", 'Data Entry'![888)</f>
      </c>
      <c r="AB888">
        <f>IF(ISBLANK('Data Entry'!\888), "", 'Data Entry'!\888)</f>
      </c>
      <c r="AC888">
        <f>IF(ISBLANK('Data Entry'!]888), "", 'Data Entry'!]888)</f>
      </c>
      <c r="AD888">
        <f>IF(ISBLANK('Data Entry'!^888), "", 'Data Entry'!^888)</f>
      </c>
      <c r="AE888">
        <f>IF(ISBLANK('Data Entry'!_888), "", 'Data Entry'!_888)</f>
      </c>
      <c r="AF888">
        <f>IF(ISBLANK('Data Entry'!`888), "", 'Data Entry'!`888)</f>
      </c>
      <c r="AG888">
        <f>IF(ISBLANK('Data Entry'!a888), "", 'Data Entry'!a888)</f>
      </c>
      <c r="AH888">
        <f>IF(ISBLANK('Data Entry'!b888), "", 'Data Entry'!b888)</f>
      </c>
      <c r="AI888">
        <f>IF(ISBLANK('Data Entry'!c888), "", 'Data Entry'!c888)</f>
      </c>
      <c r="AJ888">
        <f>IF(ISBLANK('Data Entry'!d888), "", 'Data Entry'!d888)</f>
      </c>
      <c r="AK888">
        <f>IF(ISBLANK('Data Entry'!e888), "", 'Data Entry'!e888)</f>
      </c>
      <c r="AL888">
        <f>IF(ISBLANK('Data Entry'!f888), "", 'Data Entry'!f888)</f>
      </c>
      <c r="AM888">
        <f>IF(ISBLANK('Data Entry'!g888), "", 'Data Entry'!g888)</f>
      </c>
      <c r="AN888">
        <f>IF(ISBLANK('Data Entry'!h888), "", 'Data Entry'!h888)</f>
      </c>
    </row>
    <row r="889" spans="1:40" x14ac:dyDescent="0.25">
      <c r="A889">
        <f>IF(ISBLANK('Data Entry'!A889), "", 'Data Entry'!A889)</f>
      </c>
      <c r="B889">
        <f>IF(ISBLANK('Data Entry'!B889), "", 'Data Entry'!B889)</f>
      </c>
      <c r="C889">
        <f>IF(ISBLANK('Data Entry'!C889), "", 'Data Entry'!C889)</f>
      </c>
      <c r="D889">
        <f>IF(ISBLANK('Data Entry'!D889), "", 'Data Entry'!D889)</f>
      </c>
      <c r="E889">
        <f>IF(ISBLANK('Data Entry'!E889), "", 'Data Entry'!E889)</f>
      </c>
      <c r="F889">
        <f>IF(ISBLANK('Data Entry'!F889), "", 'Data Entry'!F889)</f>
      </c>
      <c r="G889">
        <f>IF(ISBLANK('Data Entry'!G889), "", 'Data Entry'!G889)</f>
      </c>
      <c r="H889">
        <f>IF(ISBLANK('Data Entry'!H889), "", 'Data Entry'!H889)</f>
      </c>
      <c r="I889">
        <f>IF(ISBLANK('Data Entry'!I889), "", 'Data Entry'!I889)</f>
      </c>
      <c r="J889">
        <f>IF(ISBLANK('Data Entry'!J889), "", 'Data Entry'!J889)</f>
      </c>
      <c r="K889">
        <f>IF(ISBLANK('Data Entry'!K889), "", 'Data Entry'!K889)</f>
      </c>
      <c r="L889">
        <f>IF(ISBLANK('Data Entry'!L889), "", 'Data Entry'!L889)</f>
      </c>
      <c r="M889">
        <f>IF(ISBLANK('Data Entry'!M889), "", 'Data Entry'!M889)</f>
      </c>
      <c r="N889">
        <f>IF(ISBLANK('Data Entry'!N889), "", 'Data Entry'!N889)</f>
      </c>
      <c r="O889">
        <f>IF(ISBLANK('Data Entry'!O889), "", 'Data Entry'!O889)</f>
      </c>
      <c r="P889">
        <f>IF(ISBLANK('Data Entry'!P889), "", 'Data Entry'!P889)</f>
      </c>
      <c r="Q889">
        <f>IF(ISBLANK('Data Entry'!Q889), "", 'Data Entry'!Q889)</f>
      </c>
      <c r="R889">
        <f>IF(ISBLANK('Data Entry'!R889), "", 'Data Entry'!R889)</f>
      </c>
      <c r="S889">
        <f>IF(ISBLANK('Data Entry'!S889), "", 'Data Entry'!S889)</f>
      </c>
      <c r="T889">
        <f>IF(ISBLANK('Data Entry'!T889), "", 'Data Entry'!T889)</f>
      </c>
      <c r="U889">
        <f>IF(ISBLANK('Data Entry'!U889), "", 'Data Entry'!U889)</f>
      </c>
      <c r="V889">
        <f>IF(ISBLANK('Data Entry'!V889), "", 'Data Entry'!V889)</f>
      </c>
      <c r="W889">
        <f>IF(ISBLANK('Data Entry'!W889), "", 'Data Entry'!W889)</f>
      </c>
      <c r="X889">
        <f>IF(ISBLANK('Data Entry'!X889), "", 'Data Entry'!X889)</f>
      </c>
      <c r="Y889">
        <f>IF(ISBLANK('Data Entry'!Y889), "", 'Data Entry'!Y889)</f>
      </c>
      <c r="Z889">
        <f>IF(ISBLANK('Data Entry'!Z889), "", 'Data Entry'!Z889)</f>
      </c>
      <c r="AA889">
        <f>IF(ISBLANK('Data Entry'![889), "", 'Data Entry'![889)</f>
      </c>
      <c r="AB889">
        <f>IF(ISBLANK('Data Entry'!\889), "", 'Data Entry'!\889)</f>
      </c>
      <c r="AC889">
        <f>IF(ISBLANK('Data Entry'!]889), "", 'Data Entry'!]889)</f>
      </c>
      <c r="AD889">
        <f>IF(ISBLANK('Data Entry'!^889), "", 'Data Entry'!^889)</f>
      </c>
      <c r="AE889">
        <f>IF(ISBLANK('Data Entry'!_889), "", 'Data Entry'!_889)</f>
      </c>
      <c r="AF889">
        <f>IF(ISBLANK('Data Entry'!`889), "", 'Data Entry'!`889)</f>
      </c>
      <c r="AG889">
        <f>IF(ISBLANK('Data Entry'!a889), "", 'Data Entry'!a889)</f>
      </c>
      <c r="AH889">
        <f>IF(ISBLANK('Data Entry'!b889), "", 'Data Entry'!b889)</f>
      </c>
      <c r="AI889">
        <f>IF(ISBLANK('Data Entry'!c889), "", 'Data Entry'!c889)</f>
      </c>
      <c r="AJ889">
        <f>IF(ISBLANK('Data Entry'!d889), "", 'Data Entry'!d889)</f>
      </c>
      <c r="AK889">
        <f>IF(ISBLANK('Data Entry'!e889), "", 'Data Entry'!e889)</f>
      </c>
      <c r="AL889">
        <f>IF(ISBLANK('Data Entry'!f889), "", 'Data Entry'!f889)</f>
      </c>
      <c r="AM889">
        <f>IF(ISBLANK('Data Entry'!g889), "", 'Data Entry'!g889)</f>
      </c>
      <c r="AN889">
        <f>IF(ISBLANK('Data Entry'!h889), "", 'Data Entry'!h889)</f>
      </c>
    </row>
    <row r="890" spans="1:40" x14ac:dyDescent="0.25">
      <c r="A890">
        <f>IF(ISBLANK('Data Entry'!A890), "", 'Data Entry'!A890)</f>
      </c>
      <c r="B890">
        <f>IF(ISBLANK('Data Entry'!B890), "", 'Data Entry'!B890)</f>
      </c>
      <c r="C890">
        <f>IF(ISBLANK('Data Entry'!C890), "", 'Data Entry'!C890)</f>
      </c>
      <c r="D890">
        <f>IF(ISBLANK('Data Entry'!D890), "", 'Data Entry'!D890)</f>
      </c>
      <c r="E890">
        <f>IF(ISBLANK('Data Entry'!E890), "", 'Data Entry'!E890)</f>
      </c>
      <c r="F890">
        <f>IF(ISBLANK('Data Entry'!F890), "", 'Data Entry'!F890)</f>
      </c>
      <c r="G890">
        <f>IF(ISBLANK('Data Entry'!G890), "", 'Data Entry'!G890)</f>
      </c>
      <c r="H890">
        <f>IF(ISBLANK('Data Entry'!H890), "", 'Data Entry'!H890)</f>
      </c>
      <c r="I890">
        <f>IF(ISBLANK('Data Entry'!I890), "", 'Data Entry'!I890)</f>
      </c>
      <c r="J890">
        <f>IF(ISBLANK('Data Entry'!J890), "", 'Data Entry'!J890)</f>
      </c>
      <c r="K890">
        <f>IF(ISBLANK('Data Entry'!K890), "", 'Data Entry'!K890)</f>
      </c>
      <c r="L890">
        <f>IF(ISBLANK('Data Entry'!L890), "", 'Data Entry'!L890)</f>
      </c>
      <c r="M890">
        <f>IF(ISBLANK('Data Entry'!M890), "", 'Data Entry'!M890)</f>
      </c>
      <c r="N890">
        <f>IF(ISBLANK('Data Entry'!N890), "", 'Data Entry'!N890)</f>
      </c>
      <c r="O890">
        <f>IF(ISBLANK('Data Entry'!O890), "", 'Data Entry'!O890)</f>
      </c>
      <c r="P890">
        <f>IF(ISBLANK('Data Entry'!P890), "", 'Data Entry'!P890)</f>
      </c>
      <c r="Q890">
        <f>IF(ISBLANK('Data Entry'!Q890), "", 'Data Entry'!Q890)</f>
      </c>
      <c r="R890">
        <f>IF(ISBLANK('Data Entry'!R890), "", 'Data Entry'!R890)</f>
      </c>
      <c r="S890">
        <f>IF(ISBLANK('Data Entry'!S890), "", 'Data Entry'!S890)</f>
      </c>
      <c r="T890">
        <f>IF(ISBLANK('Data Entry'!T890), "", 'Data Entry'!T890)</f>
      </c>
      <c r="U890">
        <f>IF(ISBLANK('Data Entry'!U890), "", 'Data Entry'!U890)</f>
      </c>
      <c r="V890">
        <f>IF(ISBLANK('Data Entry'!V890), "", 'Data Entry'!V890)</f>
      </c>
      <c r="W890">
        <f>IF(ISBLANK('Data Entry'!W890), "", 'Data Entry'!W890)</f>
      </c>
      <c r="X890">
        <f>IF(ISBLANK('Data Entry'!X890), "", 'Data Entry'!X890)</f>
      </c>
      <c r="Y890">
        <f>IF(ISBLANK('Data Entry'!Y890), "", 'Data Entry'!Y890)</f>
      </c>
      <c r="Z890">
        <f>IF(ISBLANK('Data Entry'!Z890), "", 'Data Entry'!Z890)</f>
      </c>
      <c r="AA890">
        <f>IF(ISBLANK('Data Entry'![890), "", 'Data Entry'![890)</f>
      </c>
      <c r="AB890">
        <f>IF(ISBLANK('Data Entry'!\890), "", 'Data Entry'!\890)</f>
      </c>
      <c r="AC890">
        <f>IF(ISBLANK('Data Entry'!]890), "", 'Data Entry'!]890)</f>
      </c>
      <c r="AD890">
        <f>IF(ISBLANK('Data Entry'!^890), "", 'Data Entry'!^890)</f>
      </c>
      <c r="AE890">
        <f>IF(ISBLANK('Data Entry'!_890), "", 'Data Entry'!_890)</f>
      </c>
      <c r="AF890">
        <f>IF(ISBLANK('Data Entry'!`890), "", 'Data Entry'!`890)</f>
      </c>
      <c r="AG890">
        <f>IF(ISBLANK('Data Entry'!a890), "", 'Data Entry'!a890)</f>
      </c>
      <c r="AH890">
        <f>IF(ISBLANK('Data Entry'!b890), "", 'Data Entry'!b890)</f>
      </c>
      <c r="AI890">
        <f>IF(ISBLANK('Data Entry'!c890), "", 'Data Entry'!c890)</f>
      </c>
      <c r="AJ890">
        <f>IF(ISBLANK('Data Entry'!d890), "", 'Data Entry'!d890)</f>
      </c>
      <c r="AK890">
        <f>IF(ISBLANK('Data Entry'!e890), "", 'Data Entry'!e890)</f>
      </c>
      <c r="AL890">
        <f>IF(ISBLANK('Data Entry'!f890), "", 'Data Entry'!f890)</f>
      </c>
      <c r="AM890">
        <f>IF(ISBLANK('Data Entry'!g890), "", 'Data Entry'!g890)</f>
      </c>
      <c r="AN890">
        <f>IF(ISBLANK('Data Entry'!h890), "", 'Data Entry'!h890)</f>
      </c>
    </row>
    <row r="891" spans="1:40" x14ac:dyDescent="0.25">
      <c r="A891">
        <f>IF(ISBLANK('Data Entry'!A891), "", 'Data Entry'!A891)</f>
      </c>
      <c r="B891">
        <f>IF(ISBLANK('Data Entry'!B891), "", 'Data Entry'!B891)</f>
      </c>
      <c r="C891">
        <f>IF(ISBLANK('Data Entry'!C891), "", 'Data Entry'!C891)</f>
      </c>
      <c r="D891">
        <f>IF(ISBLANK('Data Entry'!D891), "", 'Data Entry'!D891)</f>
      </c>
      <c r="E891">
        <f>IF(ISBLANK('Data Entry'!E891), "", 'Data Entry'!E891)</f>
      </c>
      <c r="F891">
        <f>IF(ISBLANK('Data Entry'!F891), "", 'Data Entry'!F891)</f>
      </c>
      <c r="G891">
        <f>IF(ISBLANK('Data Entry'!G891), "", 'Data Entry'!G891)</f>
      </c>
      <c r="H891">
        <f>IF(ISBLANK('Data Entry'!H891), "", 'Data Entry'!H891)</f>
      </c>
      <c r="I891">
        <f>IF(ISBLANK('Data Entry'!I891), "", 'Data Entry'!I891)</f>
      </c>
      <c r="J891">
        <f>IF(ISBLANK('Data Entry'!J891), "", 'Data Entry'!J891)</f>
      </c>
      <c r="K891">
        <f>IF(ISBLANK('Data Entry'!K891), "", 'Data Entry'!K891)</f>
      </c>
      <c r="L891">
        <f>IF(ISBLANK('Data Entry'!L891), "", 'Data Entry'!L891)</f>
      </c>
      <c r="M891">
        <f>IF(ISBLANK('Data Entry'!M891), "", 'Data Entry'!M891)</f>
      </c>
      <c r="N891">
        <f>IF(ISBLANK('Data Entry'!N891), "", 'Data Entry'!N891)</f>
      </c>
      <c r="O891">
        <f>IF(ISBLANK('Data Entry'!O891), "", 'Data Entry'!O891)</f>
      </c>
      <c r="P891">
        <f>IF(ISBLANK('Data Entry'!P891), "", 'Data Entry'!P891)</f>
      </c>
      <c r="Q891">
        <f>IF(ISBLANK('Data Entry'!Q891), "", 'Data Entry'!Q891)</f>
      </c>
      <c r="R891">
        <f>IF(ISBLANK('Data Entry'!R891), "", 'Data Entry'!R891)</f>
      </c>
      <c r="S891">
        <f>IF(ISBLANK('Data Entry'!S891), "", 'Data Entry'!S891)</f>
      </c>
      <c r="T891">
        <f>IF(ISBLANK('Data Entry'!T891), "", 'Data Entry'!T891)</f>
      </c>
      <c r="U891">
        <f>IF(ISBLANK('Data Entry'!U891), "", 'Data Entry'!U891)</f>
      </c>
      <c r="V891">
        <f>IF(ISBLANK('Data Entry'!V891), "", 'Data Entry'!V891)</f>
      </c>
      <c r="W891">
        <f>IF(ISBLANK('Data Entry'!W891), "", 'Data Entry'!W891)</f>
      </c>
      <c r="X891">
        <f>IF(ISBLANK('Data Entry'!X891), "", 'Data Entry'!X891)</f>
      </c>
      <c r="Y891">
        <f>IF(ISBLANK('Data Entry'!Y891), "", 'Data Entry'!Y891)</f>
      </c>
      <c r="Z891">
        <f>IF(ISBLANK('Data Entry'!Z891), "", 'Data Entry'!Z891)</f>
      </c>
      <c r="AA891">
        <f>IF(ISBLANK('Data Entry'![891), "", 'Data Entry'![891)</f>
      </c>
      <c r="AB891">
        <f>IF(ISBLANK('Data Entry'!\891), "", 'Data Entry'!\891)</f>
      </c>
      <c r="AC891">
        <f>IF(ISBLANK('Data Entry'!]891), "", 'Data Entry'!]891)</f>
      </c>
      <c r="AD891">
        <f>IF(ISBLANK('Data Entry'!^891), "", 'Data Entry'!^891)</f>
      </c>
      <c r="AE891">
        <f>IF(ISBLANK('Data Entry'!_891), "", 'Data Entry'!_891)</f>
      </c>
      <c r="AF891">
        <f>IF(ISBLANK('Data Entry'!`891), "", 'Data Entry'!`891)</f>
      </c>
      <c r="AG891">
        <f>IF(ISBLANK('Data Entry'!a891), "", 'Data Entry'!a891)</f>
      </c>
      <c r="AH891">
        <f>IF(ISBLANK('Data Entry'!b891), "", 'Data Entry'!b891)</f>
      </c>
      <c r="AI891">
        <f>IF(ISBLANK('Data Entry'!c891), "", 'Data Entry'!c891)</f>
      </c>
      <c r="AJ891">
        <f>IF(ISBLANK('Data Entry'!d891), "", 'Data Entry'!d891)</f>
      </c>
      <c r="AK891">
        <f>IF(ISBLANK('Data Entry'!e891), "", 'Data Entry'!e891)</f>
      </c>
      <c r="AL891">
        <f>IF(ISBLANK('Data Entry'!f891), "", 'Data Entry'!f891)</f>
      </c>
      <c r="AM891">
        <f>IF(ISBLANK('Data Entry'!g891), "", 'Data Entry'!g891)</f>
      </c>
      <c r="AN891">
        <f>IF(ISBLANK('Data Entry'!h891), "", 'Data Entry'!h891)</f>
      </c>
    </row>
    <row r="892" spans="1:40" x14ac:dyDescent="0.25">
      <c r="A892">
        <f>IF(ISBLANK('Data Entry'!A892), "", 'Data Entry'!A892)</f>
      </c>
      <c r="B892">
        <f>IF(ISBLANK('Data Entry'!B892), "", 'Data Entry'!B892)</f>
      </c>
      <c r="C892">
        <f>IF(ISBLANK('Data Entry'!C892), "", 'Data Entry'!C892)</f>
      </c>
      <c r="D892">
        <f>IF(ISBLANK('Data Entry'!D892), "", 'Data Entry'!D892)</f>
      </c>
      <c r="E892">
        <f>IF(ISBLANK('Data Entry'!E892), "", 'Data Entry'!E892)</f>
      </c>
      <c r="F892">
        <f>IF(ISBLANK('Data Entry'!F892), "", 'Data Entry'!F892)</f>
      </c>
      <c r="G892">
        <f>IF(ISBLANK('Data Entry'!G892), "", 'Data Entry'!G892)</f>
      </c>
      <c r="H892">
        <f>IF(ISBLANK('Data Entry'!H892), "", 'Data Entry'!H892)</f>
      </c>
      <c r="I892">
        <f>IF(ISBLANK('Data Entry'!I892), "", 'Data Entry'!I892)</f>
      </c>
      <c r="J892">
        <f>IF(ISBLANK('Data Entry'!J892), "", 'Data Entry'!J892)</f>
      </c>
      <c r="K892">
        <f>IF(ISBLANK('Data Entry'!K892), "", 'Data Entry'!K892)</f>
      </c>
      <c r="L892">
        <f>IF(ISBLANK('Data Entry'!L892), "", 'Data Entry'!L892)</f>
      </c>
      <c r="M892">
        <f>IF(ISBLANK('Data Entry'!M892), "", 'Data Entry'!M892)</f>
      </c>
      <c r="N892">
        <f>IF(ISBLANK('Data Entry'!N892), "", 'Data Entry'!N892)</f>
      </c>
      <c r="O892">
        <f>IF(ISBLANK('Data Entry'!O892), "", 'Data Entry'!O892)</f>
      </c>
      <c r="P892">
        <f>IF(ISBLANK('Data Entry'!P892), "", 'Data Entry'!P892)</f>
      </c>
      <c r="Q892">
        <f>IF(ISBLANK('Data Entry'!Q892), "", 'Data Entry'!Q892)</f>
      </c>
      <c r="R892">
        <f>IF(ISBLANK('Data Entry'!R892), "", 'Data Entry'!R892)</f>
      </c>
      <c r="S892">
        <f>IF(ISBLANK('Data Entry'!S892), "", 'Data Entry'!S892)</f>
      </c>
      <c r="T892">
        <f>IF(ISBLANK('Data Entry'!T892), "", 'Data Entry'!T892)</f>
      </c>
      <c r="U892">
        <f>IF(ISBLANK('Data Entry'!U892), "", 'Data Entry'!U892)</f>
      </c>
      <c r="V892">
        <f>IF(ISBLANK('Data Entry'!V892), "", 'Data Entry'!V892)</f>
      </c>
      <c r="W892">
        <f>IF(ISBLANK('Data Entry'!W892), "", 'Data Entry'!W892)</f>
      </c>
      <c r="X892">
        <f>IF(ISBLANK('Data Entry'!X892), "", 'Data Entry'!X892)</f>
      </c>
      <c r="Y892">
        <f>IF(ISBLANK('Data Entry'!Y892), "", 'Data Entry'!Y892)</f>
      </c>
      <c r="Z892">
        <f>IF(ISBLANK('Data Entry'!Z892), "", 'Data Entry'!Z892)</f>
      </c>
      <c r="AA892">
        <f>IF(ISBLANK('Data Entry'![892), "", 'Data Entry'![892)</f>
      </c>
      <c r="AB892">
        <f>IF(ISBLANK('Data Entry'!\892), "", 'Data Entry'!\892)</f>
      </c>
      <c r="AC892">
        <f>IF(ISBLANK('Data Entry'!]892), "", 'Data Entry'!]892)</f>
      </c>
      <c r="AD892">
        <f>IF(ISBLANK('Data Entry'!^892), "", 'Data Entry'!^892)</f>
      </c>
      <c r="AE892">
        <f>IF(ISBLANK('Data Entry'!_892), "", 'Data Entry'!_892)</f>
      </c>
      <c r="AF892">
        <f>IF(ISBLANK('Data Entry'!`892), "", 'Data Entry'!`892)</f>
      </c>
      <c r="AG892">
        <f>IF(ISBLANK('Data Entry'!a892), "", 'Data Entry'!a892)</f>
      </c>
      <c r="AH892">
        <f>IF(ISBLANK('Data Entry'!b892), "", 'Data Entry'!b892)</f>
      </c>
      <c r="AI892">
        <f>IF(ISBLANK('Data Entry'!c892), "", 'Data Entry'!c892)</f>
      </c>
      <c r="AJ892">
        <f>IF(ISBLANK('Data Entry'!d892), "", 'Data Entry'!d892)</f>
      </c>
      <c r="AK892">
        <f>IF(ISBLANK('Data Entry'!e892), "", 'Data Entry'!e892)</f>
      </c>
      <c r="AL892">
        <f>IF(ISBLANK('Data Entry'!f892), "", 'Data Entry'!f892)</f>
      </c>
      <c r="AM892">
        <f>IF(ISBLANK('Data Entry'!g892), "", 'Data Entry'!g892)</f>
      </c>
      <c r="AN892">
        <f>IF(ISBLANK('Data Entry'!h892), "", 'Data Entry'!h892)</f>
      </c>
    </row>
    <row r="893" spans="1:40" x14ac:dyDescent="0.25">
      <c r="A893">
        <f>IF(ISBLANK('Data Entry'!A893), "", 'Data Entry'!A893)</f>
      </c>
      <c r="B893">
        <f>IF(ISBLANK('Data Entry'!B893), "", 'Data Entry'!B893)</f>
      </c>
      <c r="C893">
        <f>IF(ISBLANK('Data Entry'!C893), "", 'Data Entry'!C893)</f>
      </c>
      <c r="D893">
        <f>IF(ISBLANK('Data Entry'!D893), "", 'Data Entry'!D893)</f>
      </c>
      <c r="E893">
        <f>IF(ISBLANK('Data Entry'!E893), "", 'Data Entry'!E893)</f>
      </c>
      <c r="F893">
        <f>IF(ISBLANK('Data Entry'!F893), "", 'Data Entry'!F893)</f>
      </c>
      <c r="G893">
        <f>IF(ISBLANK('Data Entry'!G893), "", 'Data Entry'!G893)</f>
      </c>
      <c r="H893">
        <f>IF(ISBLANK('Data Entry'!H893), "", 'Data Entry'!H893)</f>
      </c>
      <c r="I893">
        <f>IF(ISBLANK('Data Entry'!I893), "", 'Data Entry'!I893)</f>
      </c>
      <c r="J893">
        <f>IF(ISBLANK('Data Entry'!J893), "", 'Data Entry'!J893)</f>
      </c>
      <c r="K893">
        <f>IF(ISBLANK('Data Entry'!K893), "", 'Data Entry'!K893)</f>
      </c>
      <c r="L893">
        <f>IF(ISBLANK('Data Entry'!L893), "", 'Data Entry'!L893)</f>
      </c>
      <c r="M893">
        <f>IF(ISBLANK('Data Entry'!M893), "", 'Data Entry'!M893)</f>
      </c>
      <c r="N893">
        <f>IF(ISBLANK('Data Entry'!N893), "", 'Data Entry'!N893)</f>
      </c>
      <c r="O893">
        <f>IF(ISBLANK('Data Entry'!O893), "", 'Data Entry'!O893)</f>
      </c>
      <c r="P893">
        <f>IF(ISBLANK('Data Entry'!P893), "", 'Data Entry'!P893)</f>
      </c>
      <c r="Q893">
        <f>IF(ISBLANK('Data Entry'!Q893), "", 'Data Entry'!Q893)</f>
      </c>
      <c r="R893">
        <f>IF(ISBLANK('Data Entry'!R893), "", 'Data Entry'!R893)</f>
      </c>
      <c r="S893">
        <f>IF(ISBLANK('Data Entry'!S893), "", 'Data Entry'!S893)</f>
      </c>
      <c r="T893">
        <f>IF(ISBLANK('Data Entry'!T893), "", 'Data Entry'!T893)</f>
      </c>
      <c r="U893">
        <f>IF(ISBLANK('Data Entry'!U893), "", 'Data Entry'!U893)</f>
      </c>
      <c r="V893">
        <f>IF(ISBLANK('Data Entry'!V893), "", 'Data Entry'!V893)</f>
      </c>
      <c r="W893">
        <f>IF(ISBLANK('Data Entry'!W893), "", 'Data Entry'!W893)</f>
      </c>
      <c r="X893">
        <f>IF(ISBLANK('Data Entry'!X893), "", 'Data Entry'!X893)</f>
      </c>
      <c r="Y893">
        <f>IF(ISBLANK('Data Entry'!Y893), "", 'Data Entry'!Y893)</f>
      </c>
      <c r="Z893">
        <f>IF(ISBLANK('Data Entry'!Z893), "", 'Data Entry'!Z893)</f>
      </c>
      <c r="AA893">
        <f>IF(ISBLANK('Data Entry'![893), "", 'Data Entry'![893)</f>
      </c>
      <c r="AB893">
        <f>IF(ISBLANK('Data Entry'!\893), "", 'Data Entry'!\893)</f>
      </c>
      <c r="AC893">
        <f>IF(ISBLANK('Data Entry'!]893), "", 'Data Entry'!]893)</f>
      </c>
      <c r="AD893">
        <f>IF(ISBLANK('Data Entry'!^893), "", 'Data Entry'!^893)</f>
      </c>
      <c r="AE893">
        <f>IF(ISBLANK('Data Entry'!_893), "", 'Data Entry'!_893)</f>
      </c>
      <c r="AF893">
        <f>IF(ISBLANK('Data Entry'!`893), "", 'Data Entry'!`893)</f>
      </c>
      <c r="AG893">
        <f>IF(ISBLANK('Data Entry'!a893), "", 'Data Entry'!a893)</f>
      </c>
      <c r="AH893">
        <f>IF(ISBLANK('Data Entry'!b893), "", 'Data Entry'!b893)</f>
      </c>
      <c r="AI893">
        <f>IF(ISBLANK('Data Entry'!c893), "", 'Data Entry'!c893)</f>
      </c>
      <c r="AJ893">
        <f>IF(ISBLANK('Data Entry'!d893), "", 'Data Entry'!d893)</f>
      </c>
      <c r="AK893">
        <f>IF(ISBLANK('Data Entry'!e893), "", 'Data Entry'!e893)</f>
      </c>
      <c r="AL893">
        <f>IF(ISBLANK('Data Entry'!f893), "", 'Data Entry'!f893)</f>
      </c>
      <c r="AM893">
        <f>IF(ISBLANK('Data Entry'!g893), "", 'Data Entry'!g893)</f>
      </c>
      <c r="AN893">
        <f>IF(ISBLANK('Data Entry'!h893), "", 'Data Entry'!h893)</f>
      </c>
    </row>
    <row r="894" spans="1:40" x14ac:dyDescent="0.25">
      <c r="A894">
        <f>IF(ISBLANK('Data Entry'!A894), "", 'Data Entry'!A894)</f>
      </c>
      <c r="B894">
        <f>IF(ISBLANK('Data Entry'!B894), "", 'Data Entry'!B894)</f>
      </c>
      <c r="C894">
        <f>IF(ISBLANK('Data Entry'!C894), "", 'Data Entry'!C894)</f>
      </c>
      <c r="D894">
        <f>IF(ISBLANK('Data Entry'!D894), "", 'Data Entry'!D894)</f>
      </c>
      <c r="E894">
        <f>IF(ISBLANK('Data Entry'!E894), "", 'Data Entry'!E894)</f>
      </c>
      <c r="F894">
        <f>IF(ISBLANK('Data Entry'!F894), "", 'Data Entry'!F894)</f>
      </c>
      <c r="G894">
        <f>IF(ISBLANK('Data Entry'!G894), "", 'Data Entry'!G894)</f>
      </c>
      <c r="H894">
        <f>IF(ISBLANK('Data Entry'!H894), "", 'Data Entry'!H894)</f>
      </c>
      <c r="I894">
        <f>IF(ISBLANK('Data Entry'!I894), "", 'Data Entry'!I894)</f>
      </c>
      <c r="J894">
        <f>IF(ISBLANK('Data Entry'!J894), "", 'Data Entry'!J894)</f>
      </c>
      <c r="K894">
        <f>IF(ISBLANK('Data Entry'!K894), "", 'Data Entry'!K894)</f>
      </c>
      <c r="L894">
        <f>IF(ISBLANK('Data Entry'!L894), "", 'Data Entry'!L894)</f>
      </c>
      <c r="M894">
        <f>IF(ISBLANK('Data Entry'!M894), "", 'Data Entry'!M894)</f>
      </c>
      <c r="N894">
        <f>IF(ISBLANK('Data Entry'!N894), "", 'Data Entry'!N894)</f>
      </c>
      <c r="O894">
        <f>IF(ISBLANK('Data Entry'!O894), "", 'Data Entry'!O894)</f>
      </c>
      <c r="P894">
        <f>IF(ISBLANK('Data Entry'!P894), "", 'Data Entry'!P894)</f>
      </c>
      <c r="Q894">
        <f>IF(ISBLANK('Data Entry'!Q894), "", 'Data Entry'!Q894)</f>
      </c>
      <c r="R894">
        <f>IF(ISBLANK('Data Entry'!R894), "", 'Data Entry'!R894)</f>
      </c>
      <c r="S894">
        <f>IF(ISBLANK('Data Entry'!S894), "", 'Data Entry'!S894)</f>
      </c>
      <c r="T894">
        <f>IF(ISBLANK('Data Entry'!T894), "", 'Data Entry'!T894)</f>
      </c>
      <c r="U894">
        <f>IF(ISBLANK('Data Entry'!U894), "", 'Data Entry'!U894)</f>
      </c>
      <c r="V894">
        <f>IF(ISBLANK('Data Entry'!V894), "", 'Data Entry'!V894)</f>
      </c>
      <c r="W894">
        <f>IF(ISBLANK('Data Entry'!W894), "", 'Data Entry'!W894)</f>
      </c>
      <c r="X894">
        <f>IF(ISBLANK('Data Entry'!X894), "", 'Data Entry'!X894)</f>
      </c>
      <c r="Y894">
        <f>IF(ISBLANK('Data Entry'!Y894), "", 'Data Entry'!Y894)</f>
      </c>
      <c r="Z894">
        <f>IF(ISBLANK('Data Entry'!Z894), "", 'Data Entry'!Z894)</f>
      </c>
      <c r="AA894">
        <f>IF(ISBLANK('Data Entry'![894), "", 'Data Entry'![894)</f>
      </c>
      <c r="AB894">
        <f>IF(ISBLANK('Data Entry'!\894), "", 'Data Entry'!\894)</f>
      </c>
      <c r="AC894">
        <f>IF(ISBLANK('Data Entry'!]894), "", 'Data Entry'!]894)</f>
      </c>
      <c r="AD894">
        <f>IF(ISBLANK('Data Entry'!^894), "", 'Data Entry'!^894)</f>
      </c>
      <c r="AE894">
        <f>IF(ISBLANK('Data Entry'!_894), "", 'Data Entry'!_894)</f>
      </c>
      <c r="AF894">
        <f>IF(ISBLANK('Data Entry'!`894), "", 'Data Entry'!`894)</f>
      </c>
      <c r="AG894">
        <f>IF(ISBLANK('Data Entry'!a894), "", 'Data Entry'!a894)</f>
      </c>
      <c r="AH894">
        <f>IF(ISBLANK('Data Entry'!b894), "", 'Data Entry'!b894)</f>
      </c>
      <c r="AI894">
        <f>IF(ISBLANK('Data Entry'!c894), "", 'Data Entry'!c894)</f>
      </c>
      <c r="AJ894">
        <f>IF(ISBLANK('Data Entry'!d894), "", 'Data Entry'!d894)</f>
      </c>
      <c r="AK894">
        <f>IF(ISBLANK('Data Entry'!e894), "", 'Data Entry'!e894)</f>
      </c>
      <c r="AL894">
        <f>IF(ISBLANK('Data Entry'!f894), "", 'Data Entry'!f894)</f>
      </c>
      <c r="AM894">
        <f>IF(ISBLANK('Data Entry'!g894), "", 'Data Entry'!g894)</f>
      </c>
      <c r="AN894">
        <f>IF(ISBLANK('Data Entry'!h894), "", 'Data Entry'!h894)</f>
      </c>
    </row>
    <row r="895" spans="1:40" x14ac:dyDescent="0.25">
      <c r="A895">
        <f>IF(ISBLANK('Data Entry'!A895), "", 'Data Entry'!A895)</f>
      </c>
      <c r="B895">
        <f>IF(ISBLANK('Data Entry'!B895), "", 'Data Entry'!B895)</f>
      </c>
      <c r="C895">
        <f>IF(ISBLANK('Data Entry'!C895), "", 'Data Entry'!C895)</f>
      </c>
      <c r="D895">
        <f>IF(ISBLANK('Data Entry'!D895), "", 'Data Entry'!D895)</f>
      </c>
      <c r="E895">
        <f>IF(ISBLANK('Data Entry'!E895), "", 'Data Entry'!E895)</f>
      </c>
      <c r="F895">
        <f>IF(ISBLANK('Data Entry'!F895), "", 'Data Entry'!F895)</f>
      </c>
      <c r="G895">
        <f>IF(ISBLANK('Data Entry'!G895), "", 'Data Entry'!G895)</f>
      </c>
      <c r="H895">
        <f>IF(ISBLANK('Data Entry'!H895), "", 'Data Entry'!H895)</f>
      </c>
      <c r="I895">
        <f>IF(ISBLANK('Data Entry'!I895), "", 'Data Entry'!I895)</f>
      </c>
      <c r="J895">
        <f>IF(ISBLANK('Data Entry'!J895), "", 'Data Entry'!J895)</f>
      </c>
      <c r="K895">
        <f>IF(ISBLANK('Data Entry'!K895), "", 'Data Entry'!K895)</f>
      </c>
      <c r="L895">
        <f>IF(ISBLANK('Data Entry'!L895), "", 'Data Entry'!L895)</f>
      </c>
      <c r="M895">
        <f>IF(ISBLANK('Data Entry'!M895), "", 'Data Entry'!M895)</f>
      </c>
      <c r="N895">
        <f>IF(ISBLANK('Data Entry'!N895), "", 'Data Entry'!N895)</f>
      </c>
      <c r="O895">
        <f>IF(ISBLANK('Data Entry'!O895), "", 'Data Entry'!O895)</f>
      </c>
      <c r="P895">
        <f>IF(ISBLANK('Data Entry'!P895), "", 'Data Entry'!P895)</f>
      </c>
      <c r="Q895">
        <f>IF(ISBLANK('Data Entry'!Q895), "", 'Data Entry'!Q895)</f>
      </c>
      <c r="R895">
        <f>IF(ISBLANK('Data Entry'!R895), "", 'Data Entry'!R895)</f>
      </c>
      <c r="S895">
        <f>IF(ISBLANK('Data Entry'!S895), "", 'Data Entry'!S895)</f>
      </c>
      <c r="T895">
        <f>IF(ISBLANK('Data Entry'!T895), "", 'Data Entry'!T895)</f>
      </c>
      <c r="U895">
        <f>IF(ISBLANK('Data Entry'!U895), "", 'Data Entry'!U895)</f>
      </c>
      <c r="V895">
        <f>IF(ISBLANK('Data Entry'!V895), "", 'Data Entry'!V895)</f>
      </c>
      <c r="W895">
        <f>IF(ISBLANK('Data Entry'!W895), "", 'Data Entry'!W895)</f>
      </c>
      <c r="X895">
        <f>IF(ISBLANK('Data Entry'!X895), "", 'Data Entry'!X895)</f>
      </c>
      <c r="Y895">
        <f>IF(ISBLANK('Data Entry'!Y895), "", 'Data Entry'!Y895)</f>
      </c>
      <c r="Z895">
        <f>IF(ISBLANK('Data Entry'!Z895), "", 'Data Entry'!Z895)</f>
      </c>
      <c r="AA895">
        <f>IF(ISBLANK('Data Entry'![895), "", 'Data Entry'![895)</f>
      </c>
      <c r="AB895">
        <f>IF(ISBLANK('Data Entry'!\895), "", 'Data Entry'!\895)</f>
      </c>
      <c r="AC895">
        <f>IF(ISBLANK('Data Entry'!]895), "", 'Data Entry'!]895)</f>
      </c>
      <c r="AD895">
        <f>IF(ISBLANK('Data Entry'!^895), "", 'Data Entry'!^895)</f>
      </c>
      <c r="AE895">
        <f>IF(ISBLANK('Data Entry'!_895), "", 'Data Entry'!_895)</f>
      </c>
      <c r="AF895">
        <f>IF(ISBLANK('Data Entry'!`895), "", 'Data Entry'!`895)</f>
      </c>
      <c r="AG895">
        <f>IF(ISBLANK('Data Entry'!a895), "", 'Data Entry'!a895)</f>
      </c>
      <c r="AH895">
        <f>IF(ISBLANK('Data Entry'!b895), "", 'Data Entry'!b895)</f>
      </c>
      <c r="AI895">
        <f>IF(ISBLANK('Data Entry'!c895), "", 'Data Entry'!c895)</f>
      </c>
      <c r="AJ895">
        <f>IF(ISBLANK('Data Entry'!d895), "", 'Data Entry'!d895)</f>
      </c>
      <c r="AK895">
        <f>IF(ISBLANK('Data Entry'!e895), "", 'Data Entry'!e895)</f>
      </c>
      <c r="AL895">
        <f>IF(ISBLANK('Data Entry'!f895), "", 'Data Entry'!f895)</f>
      </c>
      <c r="AM895">
        <f>IF(ISBLANK('Data Entry'!g895), "", 'Data Entry'!g895)</f>
      </c>
      <c r="AN895">
        <f>IF(ISBLANK('Data Entry'!h895), "", 'Data Entry'!h895)</f>
      </c>
    </row>
    <row r="896" spans="1:40" x14ac:dyDescent="0.25">
      <c r="A896">
        <f>IF(ISBLANK('Data Entry'!A896), "", 'Data Entry'!A896)</f>
      </c>
      <c r="B896">
        <f>IF(ISBLANK('Data Entry'!B896), "", 'Data Entry'!B896)</f>
      </c>
      <c r="C896">
        <f>IF(ISBLANK('Data Entry'!C896), "", 'Data Entry'!C896)</f>
      </c>
      <c r="D896">
        <f>IF(ISBLANK('Data Entry'!D896), "", 'Data Entry'!D896)</f>
      </c>
      <c r="E896">
        <f>IF(ISBLANK('Data Entry'!E896), "", 'Data Entry'!E896)</f>
      </c>
      <c r="F896">
        <f>IF(ISBLANK('Data Entry'!F896), "", 'Data Entry'!F896)</f>
      </c>
      <c r="G896">
        <f>IF(ISBLANK('Data Entry'!G896), "", 'Data Entry'!G896)</f>
      </c>
      <c r="H896">
        <f>IF(ISBLANK('Data Entry'!H896), "", 'Data Entry'!H896)</f>
      </c>
      <c r="I896">
        <f>IF(ISBLANK('Data Entry'!I896), "", 'Data Entry'!I896)</f>
      </c>
      <c r="J896">
        <f>IF(ISBLANK('Data Entry'!J896), "", 'Data Entry'!J896)</f>
      </c>
      <c r="K896">
        <f>IF(ISBLANK('Data Entry'!K896), "", 'Data Entry'!K896)</f>
      </c>
      <c r="L896">
        <f>IF(ISBLANK('Data Entry'!L896), "", 'Data Entry'!L896)</f>
      </c>
      <c r="M896">
        <f>IF(ISBLANK('Data Entry'!M896), "", 'Data Entry'!M896)</f>
      </c>
      <c r="N896">
        <f>IF(ISBLANK('Data Entry'!N896), "", 'Data Entry'!N896)</f>
      </c>
      <c r="O896">
        <f>IF(ISBLANK('Data Entry'!O896), "", 'Data Entry'!O896)</f>
      </c>
      <c r="P896">
        <f>IF(ISBLANK('Data Entry'!P896), "", 'Data Entry'!P896)</f>
      </c>
      <c r="Q896">
        <f>IF(ISBLANK('Data Entry'!Q896), "", 'Data Entry'!Q896)</f>
      </c>
      <c r="R896">
        <f>IF(ISBLANK('Data Entry'!R896), "", 'Data Entry'!R896)</f>
      </c>
      <c r="S896">
        <f>IF(ISBLANK('Data Entry'!S896), "", 'Data Entry'!S896)</f>
      </c>
      <c r="T896">
        <f>IF(ISBLANK('Data Entry'!T896), "", 'Data Entry'!T896)</f>
      </c>
      <c r="U896">
        <f>IF(ISBLANK('Data Entry'!U896), "", 'Data Entry'!U896)</f>
      </c>
      <c r="V896">
        <f>IF(ISBLANK('Data Entry'!V896), "", 'Data Entry'!V896)</f>
      </c>
      <c r="W896">
        <f>IF(ISBLANK('Data Entry'!W896), "", 'Data Entry'!W896)</f>
      </c>
      <c r="X896">
        <f>IF(ISBLANK('Data Entry'!X896), "", 'Data Entry'!X896)</f>
      </c>
      <c r="Y896">
        <f>IF(ISBLANK('Data Entry'!Y896), "", 'Data Entry'!Y896)</f>
      </c>
      <c r="Z896">
        <f>IF(ISBLANK('Data Entry'!Z896), "", 'Data Entry'!Z896)</f>
      </c>
      <c r="AA896">
        <f>IF(ISBLANK('Data Entry'![896), "", 'Data Entry'![896)</f>
      </c>
      <c r="AB896">
        <f>IF(ISBLANK('Data Entry'!\896), "", 'Data Entry'!\896)</f>
      </c>
      <c r="AC896">
        <f>IF(ISBLANK('Data Entry'!]896), "", 'Data Entry'!]896)</f>
      </c>
      <c r="AD896">
        <f>IF(ISBLANK('Data Entry'!^896), "", 'Data Entry'!^896)</f>
      </c>
      <c r="AE896">
        <f>IF(ISBLANK('Data Entry'!_896), "", 'Data Entry'!_896)</f>
      </c>
      <c r="AF896">
        <f>IF(ISBLANK('Data Entry'!`896), "", 'Data Entry'!`896)</f>
      </c>
      <c r="AG896">
        <f>IF(ISBLANK('Data Entry'!a896), "", 'Data Entry'!a896)</f>
      </c>
      <c r="AH896">
        <f>IF(ISBLANK('Data Entry'!b896), "", 'Data Entry'!b896)</f>
      </c>
      <c r="AI896">
        <f>IF(ISBLANK('Data Entry'!c896), "", 'Data Entry'!c896)</f>
      </c>
      <c r="AJ896">
        <f>IF(ISBLANK('Data Entry'!d896), "", 'Data Entry'!d896)</f>
      </c>
      <c r="AK896">
        <f>IF(ISBLANK('Data Entry'!e896), "", 'Data Entry'!e896)</f>
      </c>
      <c r="AL896">
        <f>IF(ISBLANK('Data Entry'!f896), "", 'Data Entry'!f896)</f>
      </c>
      <c r="AM896">
        <f>IF(ISBLANK('Data Entry'!g896), "", 'Data Entry'!g896)</f>
      </c>
      <c r="AN896">
        <f>IF(ISBLANK('Data Entry'!h896), "", 'Data Entry'!h896)</f>
      </c>
    </row>
    <row r="897" spans="1:40" x14ac:dyDescent="0.25">
      <c r="A897">
        <f>IF(ISBLANK('Data Entry'!A897), "", 'Data Entry'!A897)</f>
      </c>
      <c r="B897">
        <f>IF(ISBLANK('Data Entry'!B897), "", 'Data Entry'!B897)</f>
      </c>
      <c r="C897">
        <f>IF(ISBLANK('Data Entry'!C897), "", 'Data Entry'!C897)</f>
      </c>
      <c r="D897">
        <f>IF(ISBLANK('Data Entry'!D897), "", 'Data Entry'!D897)</f>
      </c>
      <c r="E897">
        <f>IF(ISBLANK('Data Entry'!E897), "", 'Data Entry'!E897)</f>
      </c>
      <c r="F897">
        <f>IF(ISBLANK('Data Entry'!F897), "", 'Data Entry'!F897)</f>
      </c>
      <c r="G897">
        <f>IF(ISBLANK('Data Entry'!G897), "", 'Data Entry'!G897)</f>
      </c>
      <c r="H897">
        <f>IF(ISBLANK('Data Entry'!H897), "", 'Data Entry'!H897)</f>
      </c>
      <c r="I897">
        <f>IF(ISBLANK('Data Entry'!I897), "", 'Data Entry'!I897)</f>
      </c>
      <c r="J897">
        <f>IF(ISBLANK('Data Entry'!J897), "", 'Data Entry'!J897)</f>
      </c>
      <c r="K897">
        <f>IF(ISBLANK('Data Entry'!K897), "", 'Data Entry'!K897)</f>
      </c>
      <c r="L897">
        <f>IF(ISBLANK('Data Entry'!L897), "", 'Data Entry'!L897)</f>
      </c>
      <c r="M897">
        <f>IF(ISBLANK('Data Entry'!M897), "", 'Data Entry'!M897)</f>
      </c>
      <c r="N897">
        <f>IF(ISBLANK('Data Entry'!N897), "", 'Data Entry'!N897)</f>
      </c>
      <c r="O897">
        <f>IF(ISBLANK('Data Entry'!O897), "", 'Data Entry'!O897)</f>
      </c>
      <c r="P897">
        <f>IF(ISBLANK('Data Entry'!P897), "", 'Data Entry'!P897)</f>
      </c>
      <c r="Q897">
        <f>IF(ISBLANK('Data Entry'!Q897), "", 'Data Entry'!Q897)</f>
      </c>
      <c r="R897">
        <f>IF(ISBLANK('Data Entry'!R897), "", 'Data Entry'!R897)</f>
      </c>
      <c r="S897">
        <f>IF(ISBLANK('Data Entry'!S897), "", 'Data Entry'!S897)</f>
      </c>
      <c r="T897">
        <f>IF(ISBLANK('Data Entry'!T897), "", 'Data Entry'!T897)</f>
      </c>
      <c r="U897">
        <f>IF(ISBLANK('Data Entry'!U897), "", 'Data Entry'!U897)</f>
      </c>
      <c r="V897">
        <f>IF(ISBLANK('Data Entry'!V897), "", 'Data Entry'!V897)</f>
      </c>
      <c r="W897">
        <f>IF(ISBLANK('Data Entry'!W897), "", 'Data Entry'!W897)</f>
      </c>
      <c r="X897">
        <f>IF(ISBLANK('Data Entry'!X897), "", 'Data Entry'!X897)</f>
      </c>
      <c r="Y897">
        <f>IF(ISBLANK('Data Entry'!Y897), "", 'Data Entry'!Y897)</f>
      </c>
      <c r="Z897">
        <f>IF(ISBLANK('Data Entry'!Z897), "", 'Data Entry'!Z897)</f>
      </c>
      <c r="AA897">
        <f>IF(ISBLANK('Data Entry'![897), "", 'Data Entry'![897)</f>
      </c>
      <c r="AB897">
        <f>IF(ISBLANK('Data Entry'!\897), "", 'Data Entry'!\897)</f>
      </c>
      <c r="AC897">
        <f>IF(ISBLANK('Data Entry'!]897), "", 'Data Entry'!]897)</f>
      </c>
      <c r="AD897">
        <f>IF(ISBLANK('Data Entry'!^897), "", 'Data Entry'!^897)</f>
      </c>
      <c r="AE897">
        <f>IF(ISBLANK('Data Entry'!_897), "", 'Data Entry'!_897)</f>
      </c>
      <c r="AF897">
        <f>IF(ISBLANK('Data Entry'!`897), "", 'Data Entry'!`897)</f>
      </c>
      <c r="AG897">
        <f>IF(ISBLANK('Data Entry'!a897), "", 'Data Entry'!a897)</f>
      </c>
      <c r="AH897">
        <f>IF(ISBLANK('Data Entry'!b897), "", 'Data Entry'!b897)</f>
      </c>
      <c r="AI897">
        <f>IF(ISBLANK('Data Entry'!c897), "", 'Data Entry'!c897)</f>
      </c>
      <c r="AJ897">
        <f>IF(ISBLANK('Data Entry'!d897), "", 'Data Entry'!d897)</f>
      </c>
      <c r="AK897">
        <f>IF(ISBLANK('Data Entry'!e897), "", 'Data Entry'!e897)</f>
      </c>
      <c r="AL897">
        <f>IF(ISBLANK('Data Entry'!f897), "", 'Data Entry'!f897)</f>
      </c>
      <c r="AM897">
        <f>IF(ISBLANK('Data Entry'!g897), "", 'Data Entry'!g897)</f>
      </c>
      <c r="AN897">
        <f>IF(ISBLANK('Data Entry'!h897), "", 'Data Entry'!h897)</f>
      </c>
    </row>
    <row r="898" spans="1:40" x14ac:dyDescent="0.25">
      <c r="A898">
        <f>IF(ISBLANK('Data Entry'!A898), "", 'Data Entry'!A898)</f>
      </c>
      <c r="B898">
        <f>IF(ISBLANK('Data Entry'!B898), "", 'Data Entry'!B898)</f>
      </c>
      <c r="C898">
        <f>IF(ISBLANK('Data Entry'!C898), "", 'Data Entry'!C898)</f>
      </c>
      <c r="D898">
        <f>IF(ISBLANK('Data Entry'!D898), "", 'Data Entry'!D898)</f>
      </c>
      <c r="E898">
        <f>IF(ISBLANK('Data Entry'!E898), "", 'Data Entry'!E898)</f>
      </c>
      <c r="F898">
        <f>IF(ISBLANK('Data Entry'!F898), "", 'Data Entry'!F898)</f>
      </c>
      <c r="G898">
        <f>IF(ISBLANK('Data Entry'!G898), "", 'Data Entry'!G898)</f>
      </c>
      <c r="H898">
        <f>IF(ISBLANK('Data Entry'!H898), "", 'Data Entry'!H898)</f>
      </c>
      <c r="I898">
        <f>IF(ISBLANK('Data Entry'!I898), "", 'Data Entry'!I898)</f>
      </c>
      <c r="J898">
        <f>IF(ISBLANK('Data Entry'!J898), "", 'Data Entry'!J898)</f>
      </c>
      <c r="K898">
        <f>IF(ISBLANK('Data Entry'!K898), "", 'Data Entry'!K898)</f>
      </c>
      <c r="L898">
        <f>IF(ISBLANK('Data Entry'!L898), "", 'Data Entry'!L898)</f>
      </c>
      <c r="M898">
        <f>IF(ISBLANK('Data Entry'!M898), "", 'Data Entry'!M898)</f>
      </c>
      <c r="N898">
        <f>IF(ISBLANK('Data Entry'!N898), "", 'Data Entry'!N898)</f>
      </c>
      <c r="O898">
        <f>IF(ISBLANK('Data Entry'!O898), "", 'Data Entry'!O898)</f>
      </c>
      <c r="P898">
        <f>IF(ISBLANK('Data Entry'!P898), "", 'Data Entry'!P898)</f>
      </c>
      <c r="Q898">
        <f>IF(ISBLANK('Data Entry'!Q898), "", 'Data Entry'!Q898)</f>
      </c>
      <c r="R898">
        <f>IF(ISBLANK('Data Entry'!R898), "", 'Data Entry'!R898)</f>
      </c>
      <c r="S898">
        <f>IF(ISBLANK('Data Entry'!S898), "", 'Data Entry'!S898)</f>
      </c>
      <c r="T898">
        <f>IF(ISBLANK('Data Entry'!T898), "", 'Data Entry'!T898)</f>
      </c>
      <c r="U898">
        <f>IF(ISBLANK('Data Entry'!U898), "", 'Data Entry'!U898)</f>
      </c>
      <c r="V898">
        <f>IF(ISBLANK('Data Entry'!V898), "", 'Data Entry'!V898)</f>
      </c>
      <c r="W898">
        <f>IF(ISBLANK('Data Entry'!W898), "", 'Data Entry'!W898)</f>
      </c>
      <c r="X898">
        <f>IF(ISBLANK('Data Entry'!X898), "", 'Data Entry'!X898)</f>
      </c>
      <c r="Y898">
        <f>IF(ISBLANK('Data Entry'!Y898), "", 'Data Entry'!Y898)</f>
      </c>
      <c r="Z898">
        <f>IF(ISBLANK('Data Entry'!Z898), "", 'Data Entry'!Z898)</f>
      </c>
      <c r="AA898">
        <f>IF(ISBLANK('Data Entry'![898), "", 'Data Entry'![898)</f>
      </c>
      <c r="AB898">
        <f>IF(ISBLANK('Data Entry'!\898), "", 'Data Entry'!\898)</f>
      </c>
      <c r="AC898">
        <f>IF(ISBLANK('Data Entry'!]898), "", 'Data Entry'!]898)</f>
      </c>
      <c r="AD898">
        <f>IF(ISBLANK('Data Entry'!^898), "", 'Data Entry'!^898)</f>
      </c>
      <c r="AE898">
        <f>IF(ISBLANK('Data Entry'!_898), "", 'Data Entry'!_898)</f>
      </c>
      <c r="AF898">
        <f>IF(ISBLANK('Data Entry'!`898), "", 'Data Entry'!`898)</f>
      </c>
      <c r="AG898">
        <f>IF(ISBLANK('Data Entry'!a898), "", 'Data Entry'!a898)</f>
      </c>
      <c r="AH898">
        <f>IF(ISBLANK('Data Entry'!b898), "", 'Data Entry'!b898)</f>
      </c>
      <c r="AI898">
        <f>IF(ISBLANK('Data Entry'!c898), "", 'Data Entry'!c898)</f>
      </c>
      <c r="AJ898">
        <f>IF(ISBLANK('Data Entry'!d898), "", 'Data Entry'!d898)</f>
      </c>
      <c r="AK898">
        <f>IF(ISBLANK('Data Entry'!e898), "", 'Data Entry'!e898)</f>
      </c>
      <c r="AL898">
        <f>IF(ISBLANK('Data Entry'!f898), "", 'Data Entry'!f898)</f>
      </c>
      <c r="AM898">
        <f>IF(ISBLANK('Data Entry'!g898), "", 'Data Entry'!g898)</f>
      </c>
      <c r="AN898">
        <f>IF(ISBLANK('Data Entry'!h898), "", 'Data Entry'!h898)</f>
      </c>
    </row>
    <row r="899" spans="1:40" x14ac:dyDescent="0.25">
      <c r="A899">
        <f>IF(ISBLANK('Data Entry'!A899), "", 'Data Entry'!A899)</f>
      </c>
      <c r="B899">
        <f>IF(ISBLANK('Data Entry'!B899), "", 'Data Entry'!B899)</f>
      </c>
      <c r="C899">
        <f>IF(ISBLANK('Data Entry'!C899), "", 'Data Entry'!C899)</f>
      </c>
      <c r="D899">
        <f>IF(ISBLANK('Data Entry'!D899), "", 'Data Entry'!D899)</f>
      </c>
      <c r="E899">
        <f>IF(ISBLANK('Data Entry'!E899), "", 'Data Entry'!E899)</f>
      </c>
      <c r="F899">
        <f>IF(ISBLANK('Data Entry'!F899), "", 'Data Entry'!F899)</f>
      </c>
      <c r="G899">
        <f>IF(ISBLANK('Data Entry'!G899), "", 'Data Entry'!G899)</f>
      </c>
      <c r="H899">
        <f>IF(ISBLANK('Data Entry'!H899), "", 'Data Entry'!H899)</f>
      </c>
      <c r="I899">
        <f>IF(ISBLANK('Data Entry'!I899), "", 'Data Entry'!I899)</f>
      </c>
      <c r="J899">
        <f>IF(ISBLANK('Data Entry'!J899), "", 'Data Entry'!J899)</f>
      </c>
      <c r="K899">
        <f>IF(ISBLANK('Data Entry'!K899), "", 'Data Entry'!K899)</f>
      </c>
      <c r="L899">
        <f>IF(ISBLANK('Data Entry'!L899), "", 'Data Entry'!L899)</f>
      </c>
      <c r="M899">
        <f>IF(ISBLANK('Data Entry'!M899), "", 'Data Entry'!M899)</f>
      </c>
      <c r="N899">
        <f>IF(ISBLANK('Data Entry'!N899), "", 'Data Entry'!N899)</f>
      </c>
      <c r="O899">
        <f>IF(ISBLANK('Data Entry'!O899), "", 'Data Entry'!O899)</f>
      </c>
      <c r="P899">
        <f>IF(ISBLANK('Data Entry'!P899), "", 'Data Entry'!P899)</f>
      </c>
      <c r="Q899">
        <f>IF(ISBLANK('Data Entry'!Q899), "", 'Data Entry'!Q899)</f>
      </c>
      <c r="R899">
        <f>IF(ISBLANK('Data Entry'!R899), "", 'Data Entry'!R899)</f>
      </c>
      <c r="S899">
        <f>IF(ISBLANK('Data Entry'!S899), "", 'Data Entry'!S899)</f>
      </c>
      <c r="T899">
        <f>IF(ISBLANK('Data Entry'!T899), "", 'Data Entry'!T899)</f>
      </c>
      <c r="U899">
        <f>IF(ISBLANK('Data Entry'!U899), "", 'Data Entry'!U899)</f>
      </c>
      <c r="V899">
        <f>IF(ISBLANK('Data Entry'!V899), "", 'Data Entry'!V899)</f>
      </c>
      <c r="W899">
        <f>IF(ISBLANK('Data Entry'!W899), "", 'Data Entry'!W899)</f>
      </c>
      <c r="X899">
        <f>IF(ISBLANK('Data Entry'!X899), "", 'Data Entry'!X899)</f>
      </c>
      <c r="Y899">
        <f>IF(ISBLANK('Data Entry'!Y899), "", 'Data Entry'!Y899)</f>
      </c>
      <c r="Z899">
        <f>IF(ISBLANK('Data Entry'!Z899), "", 'Data Entry'!Z899)</f>
      </c>
      <c r="AA899">
        <f>IF(ISBLANK('Data Entry'![899), "", 'Data Entry'![899)</f>
      </c>
      <c r="AB899">
        <f>IF(ISBLANK('Data Entry'!\899), "", 'Data Entry'!\899)</f>
      </c>
      <c r="AC899">
        <f>IF(ISBLANK('Data Entry'!]899), "", 'Data Entry'!]899)</f>
      </c>
      <c r="AD899">
        <f>IF(ISBLANK('Data Entry'!^899), "", 'Data Entry'!^899)</f>
      </c>
      <c r="AE899">
        <f>IF(ISBLANK('Data Entry'!_899), "", 'Data Entry'!_899)</f>
      </c>
      <c r="AF899">
        <f>IF(ISBLANK('Data Entry'!`899), "", 'Data Entry'!`899)</f>
      </c>
      <c r="AG899">
        <f>IF(ISBLANK('Data Entry'!a899), "", 'Data Entry'!a899)</f>
      </c>
      <c r="AH899">
        <f>IF(ISBLANK('Data Entry'!b899), "", 'Data Entry'!b899)</f>
      </c>
      <c r="AI899">
        <f>IF(ISBLANK('Data Entry'!c899), "", 'Data Entry'!c899)</f>
      </c>
      <c r="AJ899">
        <f>IF(ISBLANK('Data Entry'!d899), "", 'Data Entry'!d899)</f>
      </c>
      <c r="AK899">
        <f>IF(ISBLANK('Data Entry'!e899), "", 'Data Entry'!e899)</f>
      </c>
      <c r="AL899">
        <f>IF(ISBLANK('Data Entry'!f899), "", 'Data Entry'!f899)</f>
      </c>
      <c r="AM899">
        <f>IF(ISBLANK('Data Entry'!g899), "", 'Data Entry'!g899)</f>
      </c>
      <c r="AN899">
        <f>IF(ISBLANK('Data Entry'!h899), "", 'Data Entry'!h899)</f>
      </c>
    </row>
    <row r="900" spans="1:40" x14ac:dyDescent="0.25">
      <c r="A900">
        <f>IF(ISBLANK('Data Entry'!A900), "", 'Data Entry'!A900)</f>
      </c>
      <c r="B900">
        <f>IF(ISBLANK('Data Entry'!B900), "", 'Data Entry'!B900)</f>
      </c>
      <c r="C900">
        <f>IF(ISBLANK('Data Entry'!C900), "", 'Data Entry'!C900)</f>
      </c>
      <c r="D900">
        <f>IF(ISBLANK('Data Entry'!D900), "", 'Data Entry'!D900)</f>
      </c>
      <c r="E900">
        <f>IF(ISBLANK('Data Entry'!E900), "", 'Data Entry'!E900)</f>
      </c>
      <c r="F900">
        <f>IF(ISBLANK('Data Entry'!F900), "", 'Data Entry'!F900)</f>
      </c>
      <c r="G900">
        <f>IF(ISBLANK('Data Entry'!G900), "", 'Data Entry'!G900)</f>
      </c>
      <c r="H900">
        <f>IF(ISBLANK('Data Entry'!H900), "", 'Data Entry'!H900)</f>
      </c>
      <c r="I900">
        <f>IF(ISBLANK('Data Entry'!I900), "", 'Data Entry'!I900)</f>
      </c>
      <c r="J900">
        <f>IF(ISBLANK('Data Entry'!J900), "", 'Data Entry'!J900)</f>
      </c>
      <c r="K900">
        <f>IF(ISBLANK('Data Entry'!K900), "", 'Data Entry'!K900)</f>
      </c>
      <c r="L900">
        <f>IF(ISBLANK('Data Entry'!L900), "", 'Data Entry'!L900)</f>
      </c>
      <c r="M900">
        <f>IF(ISBLANK('Data Entry'!M900), "", 'Data Entry'!M900)</f>
      </c>
      <c r="N900">
        <f>IF(ISBLANK('Data Entry'!N900), "", 'Data Entry'!N900)</f>
      </c>
      <c r="O900">
        <f>IF(ISBLANK('Data Entry'!O900), "", 'Data Entry'!O900)</f>
      </c>
      <c r="P900">
        <f>IF(ISBLANK('Data Entry'!P900), "", 'Data Entry'!P900)</f>
      </c>
      <c r="Q900">
        <f>IF(ISBLANK('Data Entry'!Q900), "", 'Data Entry'!Q900)</f>
      </c>
      <c r="R900">
        <f>IF(ISBLANK('Data Entry'!R900), "", 'Data Entry'!R900)</f>
      </c>
      <c r="S900">
        <f>IF(ISBLANK('Data Entry'!S900), "", 'Data Entry'!S900)</f>
      </c>
      <c r="T900">
        <f>IF(ISBLANK('Data Entry'!T900), "", 'Data Entry'!T900)</f>
      </c>
      <c r="U900">
        <f>IF(ISBLANK('Data Entry'!U900), "", 'Data Entry'!U900)</f>
      </c>
      <c r="V900">
        <f>IF(ISBLANK('Data Entry'!V900), "", 'Data Entry'!V900)</f>
      </c>
      <c r="W900">
        <f>IF(ISBLANK('Data Entry'!W900), "", 'Data Entry'!W900)</f>
      </c>
      <c r="X900">
        <f>IF(ISBLANK('Data Entry'!X900), "", 'Data Entry'!X900)</f>
      </c>
      <c r="Y900">
        <f>IF(ISBLANK('Data Entry'!Y900), "", 'Data Entry'!Y900)</f>
      </c>
      <c r="Z900">
        <f>IF(ISBLANK('Data Entry'!Z900), "", 'Data Entry'!Z900)</f>
      </c>
      <c r="AA900">
        <f>IF(ISBLANK('Data Entry'![900), "", 'Data Entry'![900)</f>
      </c>
      <c r="AB900">
        <f>IF(ISBLANK('Data Entry'!\900), "", 'Data Entry'!\900)</f>
      </c>
      <c r="AC900">
        <f>IF(ISBLANK('Data Entry'!]900), "", 'Data Entry'!]900)</f>
      </c>
      <c r="AD900">
        <f>IF(ISBLANK('Data Entry'!^900), "", 'Data Entry'!^900)</f>
      </c>
      <c r="AE900">
        <f>IF(ISBLANK('Data Entry'!_900), "", 'Data Entry'!_900)</f>
      </c>
      <c r="AF900">
        <f>IF(ISBLANK('Data Entry'!`900), "", 'Data Entry'!`900)</f>
      </c>
      <c r="AG900">
        <f>IF(ISBLANK('Data Entry'!a900), "", 'Data Entry'!a900)</f>
      </c>
      <c r="AH900">
        <f>IF(ISBLANK('Data Entry'!b900), "", 'Data Entry'!b900)</f>
      </c>
      <c r="AI900">
        <f>IF(ISBLANK('Data Entry'!c900), "", 'Data Entry'!c900)</f>
      </c>
      <c r="AJ900">
        <f>IF(ISBLANK('Data Entry'!d900), "", 'Data Entry'!d900)</f>
      </c>
      <c r="AK900">
        <f>IF(ISBLANK('Data Entry'!e900), "", 'Data Entry'!e900)</f>
      </c>
      <c r="AL900">
        <f>IF(ISBLANK('Data Entry'!f900), "", 'Data Entry'!f900)</f>
      </c>
      <c r="AM900">
        <f>IF(ISBLANK('Data Entry'!g900), "", 'Data Entry'!g900)</f>
      </c>
      <c r="AN900">
        <f>IF(ISBLANK('Data Entry'!h900), "", 'Data Entry'!h900)</f>
      </c>
    </row>
    <row r="901" spans="1:40" x14ac:dyDescent="0.25">
      <c r="A901">
        <f>IF(ISBLANK('Data Entry'!A901), "", 'Data Entry'!A901)</f>
      </c>
      <c r="B901">
        <f>IF(ISBLANK('Data Entry'!B901), "", 'Data Entry'!B901)</f>
      </c>
      <c r="C901">
        <f>IF(ISBLANK('Data Entry'!C901), "", 'Data Entry'!C901)</f>
      </c>
      <c r="D901">
        <f>IF(ISBLANK('Data Entry'!D901), "", 'Data Entry'!D901)</f>
      </c>
      <c r="E901">
        <f>IF(ISBLANK('Data Entry'!E901), "", 'Data Entry'!E901)</f>
      </c>
      <c r="F901">
        <f>IF(ISBLANK('Data Entry'!F901), "", 'Data Entry'!F901)</f>
      </c>
      <c r="G901">
        <f>IF(ISBLANK('Data Entry'!G901), "", 'Data Entry'!G901)</f>
      </c>
      <c r="H901">
        <f>IF(ISBLANK('Data Entry'!H901), "", 'Data Entry'!H901)</f>
      </c>
      <c r="I901">
        <f>IF(ISBLANK('Data Entry'!I901), "", 'Data Entry'!I901)</f>
      </c>
      <c r="J901">
        <f>IF(ISBLANK('Data Entry'!J901), "", 'Data Entry'!J901)</f>
      </c>
      <c r="K901">
        <f>IF(ISBLANK('Data Entry'!K901), "", 'Data Entry'!K901)</f>
      </c>
      <c r="L901">
        <f>IF(ISBLANK('Data Entry'!L901), "", 'Data Entry'!L901)</f>
      </c>
      <c r="M901">
        <f>IF(ISBLANK('Data Entry'!M901), "", 'Data Entry'!M901)</f>
      </c>
      <c r="N901">
        <f>IF(ISBLANK('Data Entry'!N901), "", 'Data Entry'!N901)</f>
      </c>
      <c r="O901">
        <f>IF(ISBLANK('Data Entry'!O901), "", 'Data Entry'!O901)</f>
      </c>
      <c r="P901">
        <f>IF(ISBLANK('Data Entry'!P901), "", 'Data Entry'!P901)</f>
      </c>
      <c r="Q901">
        <f>IF(ISBLANK('Data Entry'!Q901), "", 'Data Entry'!Q901)</f>
      </c>
      <c r="R901">
        <f>IF(ISBLANK('Data Entry'!R901), "", 'Data Entry'!R901)</f>
      </c>
      <c r="S901">
        <f>IF(ISBLANK('Data Entry'!S901), "", 'Data Entry'!S901)</f>
      </c>
      <c r="T901">
        <f>IF(ISBLANK('Data Entry'!T901), "", 'Data Entry'!T901)</f>
      </c>
      <c r="U901">
        <f>IF(ISBLANK('Data Entry'!U901), "", 'Data Entry'!U901)</f>
      </c>
      <c r="V901">
        <f>IF(ISBLANK('Data Entry'!V901), "", 'Data Entry'!V901)</f>
      </c>
      <c r="W901">
        <f>IF(ISBLANK('Data Entry'!W901), "", 'Data Entry'!W901)</f>
      </c>
      <c r="X901">
        <f>IF(ISBLANK('Data Entry'!X901), "", 'Data Entry'!X901)</f>
      </c>
      <c r="Y901">
        <f>IF(ISBLANK('Data Entry'!Y901), "", 'Data Entry'!Y901)</f>
      </c>
      <c r="Z901">
        <f>IF(ISBLANK('Data Entry'!Z901), "", 'Data Entry'!Z901)</f>
      </c>
      <c r="AA901">
        <f>IF(ISBLANK('Data Entry'![901), "", 'Data Entry'![901)</f>
      </c>
      <c r="AB901">
        <f>IF(ISBLANK('Data Entry'!\901), "", 'Data Entry'!\901)</f>
      </c>
      <c r="AC901">
        <f>IF(ISBLANK('Data Entry'!]901), "", 'Data Entry'!]901)</f>
      </c>
      <c r="AD901">
        <f>IF(ISBLANK('Data Entry'!^901), "", 'Data Entry'!^901)</f>
      </c>
      <c r="AE901">
        <f>IF(ISBLANK('Data Entry'!_901), "", 'Data Entry'!_901)</f>
      </c>
      <c r="AF901">
        <f>IF(ISBLANK('Data Entry'!`901), "", 'Data Entry'!`901)</f>
      </c>
      <c r="AG901">
        <f>IF(ISBLANK('Data Entry'!a901), "", 'Data Entry'!a901)</f>
      </c>
      <c r="AH901">
        <f>IF(ISBLANK('Data Entry'!b901), "", 'Data Entry'!b901)</f>
      </c>
      <c r="AI901">
        <f>IF(ISBLANK('Data Entry'!c901), "", 'Data Entry'!c901)</f>
      </c>
      <c r="AJ901">
        <f>IF(ISBLANK('Data Entry'!d901), "", 'Data Entry'!d901)</f>
      </c>
      <c r="AK901">
        <f>IF(ISBLANK('Data Entry'!e901), "", 'Data Entry'!e901)</f>
      </c>
      <c r="AL901">
        <f>IF(ISBLANK('Data Entry'!f901), "", 'Data Entry'!f901)</f>
      </c>
      <c r="AM901">
        <f>IF(ISBLANK('Data Entry'!g901), "", 'Data Entry'!g901)</f>
      </c>
      <c r="AN901">
        <f>IF(ISBLANK('Data Entry'!h901), "", 'Data Entry'!h901)</f>
      </c>
    </row>
    <row r="902" spans="1:40" x14ac:dyDescent="0.25">
      <c r="A902">
        <f>IF(ISBLANK('Data Entry'!A902), "", 'Data Entry'!A902)</f>
      </c>
      <c r="B902">
        <f>IF(ISBLANK('Data Entry'!B902), "", 'Data Entry'!B902)</f>
      </c>
      <c r="C902">
        <f>IF(ISBLANK('Data Entry'!C902), "", 'Data Entry'!C902)</f>
      </c>
      <c r="D902">
        <f>IF(ISBLANK('Data Entry'!D902), "", 'Data Entry'!D902)</f>
      </c>
      <c r="E902">
        <f>IF(ISBLANK('Data Entry'!E902), "", 'Data Entry'!E902)</f>
      </c>
      <c r="F902">
        <f>IF(ISBLANK('Data Entry'!F902), "", 'Data Entry'!F902)</f>
      </c>
      <c r="G902">
        <f>IF(ISBLANK('Data Entry'!G902), "", 'Data Entry'!G902)</f>
      </c>
      <c r="H902">
        <f>IF(ISBLANK('Data Entry'!H902), "", 'Data Entry'!H902)</f>
      </c>
      <c r="I902">
        <f>IF(ISBLANK('Data Entry'!I902), "", 'Data Entry'!I902)</f>
      </c>
      <c r="J902">
        <f>IF(ISBLANK('Data Entry'!J902), "", 'Data Entry'!J902)</f>
      </c>
      <c r="K902">
        <f>IF(ISBLANK('Data Entry'!K902), "", 'Data Entry'!K902)</f>
      </c>
      <c r="L902">
        <f>IF(ISBLANK('Data Entry'!L902), "", 'Data Entry'!L902)</f>
      </c>
      <c r="M902">
        <f>IF(ISBLANK('Data Entry'!M902), "", 'Data Entry'!M902)</f>
      </c>
      <c r="N902">
        <f>IF(ISBLANK('Data Entry'!N902), "", 'Data Entry'!N902)</f>
      </c>
      <c r="O902">
        <f>IF(ISBLANK('Data Entry'!O902), "", 'Data Entry'!O902)</f>
      </c>
      <c r="P902">
        <f>IF(ISBLANK('Data Entry'!P902), "", 'Data Entry'!P902)</f>
      </c>
      <c r="Q902">
        <f>IF(ISBLANK('Data Entry'!Q902), "", 'Data Entry'!Q902)</f>
      </c>
      <c r="R902">
        <f>IF(ISBLANK('Data Entry'!R902), "", 'Data Entry'!R902)</f>
      </c>
      <c r="S902">
        <f>IF(ISBLANK('Data Entry'!S902), "", 'Data Entry'!S902)</f>
      </c>
      <c r="T902">
        <f>IF(ISBLANK('Data Entry'!T902), "", 'Data Entry'!T902)</f>
      </c>
      <c r="U902">
        <f>IF(ISBLANK('Data Entry'!U902), "", 'Data Entry'!U902)</f>
      </c>
      <c r="V902">
        <f>IF(ISBLANK('Data Entry'!V902), "", 'Data Entry'!V902)</f>
      </c>
      <c r="W902">
        <f>IF(ISBLANK('Data Entry'!W902), "", 'Data Entry'!W902)</f>
      </c>
      <c r="X902">
        <f>IF(ISBLANK('Data Entry'!X902), "", 'Data Entry'!X902)</f>
      </c>
      <c r="Y902">
        <f>IF(ISBLANK('Data Entry'!Y902), "", 'Data Entry'!Y902)</f>
      </c>
      <c r="Z902">
        <f>IF(ISBLANK('Data Entry'!Z902), "", 'Data Entry'!Z902)</f>
      </c>
      <c r="AA902">
        <f>IF(ISBLANK('Data Entry'![902), "", 'Data Entry'![902)</f>
      </c>
      <c r="AB902">
        <f>IF(ISBLANK('Data Entry'!\902), "", 'Data Entry'!\902)</f>
      </c>
      <c r="AC902">
        <f>IF(ISBLANK('Data Entry'!]902), "", 'Data Entry'!]902)</f>
      </c>
      <c r="AD902">
        <f>IF(ISBLANK('Data Entry'!^902), "", 'Data Entry'!^902)</f>
      </c>
      <c r="AE902">
        <f>IF(ISBLANK('Data Entry'!_902), "", 'Data Entry'!_902)</f>
      </c>
      <c r="AF902">
        <f>IF(ISBLANK('Data Entry'!`902), "", 'Data Entry'!`902)</f>
      </c>
      <c r="AG902">
        <f>IF(ISBLANK('Data Entry'!a902), "", 'Data Entry'!a902)</f>
      </c>
      <c r="AH902">
        <f>IF(ISBLANK('Data Entry'!b902), "", 'Data Entry'!b902)</f>
      </c>
      <c r="AI902">
        <f>IF(ISBLANK('Data Entry'!c902), "", 'Data Entry'!c902)</f>
      </c>
      <c r="AJ902">
        <f>IF(ISBLANK('Data Entry'!d902), "", 'Data Entry'!d902)</f>
      </c>
      <c r="AK902">
        <f>IF(ISBLANK('Data Entry'!e902), "", 'Data Entry'!e902)</f>
      </c>
      <c r="AL902">
        <f>IF(ISBLANK('Data Entry'!f902), "", 'Data Entry'!f902)</f>
      </c>
      <c r="AM902">
        <f>IF(ISBLANK('Data Entry'!g902), "", 'Data Entry'!g902)</f>
      </c>
      <c r="AN902">
        <f>IF(ISBLANK('Data Entry'!h902), "", 'Data Entry'!h902)</f>
      </c>
    </row>
    <row r="903" spans="1:40" x14ac:dyDescent="0.25">
      <c r="A903">
        <f>IF(ISBLANK('Data Entry'!A903), "", 'Data Entry'!A903)</f>
      </c>
      <c r="B903">
        <f>IF(ISBLANK('Data Entry'!B903), "", 'Data Entry'!B903)</f>
      </c>
      <c r="C903">
        <f>IF(ISBLANK('Data Entry'!C903), "", 'Data Entry'!C903)</f>
      </c>
      <c r="D903">
        <f>IF(ISBLANK('Data Entry'!D903), "", 'Data Entry'!D903)</f>
      </c>
      <c r="E903">
        <f>IF(ISBLANK('Data Entry'!E903), "", 'Data Entry'!E903)</f>
      </c>
      <c r="F903">
        <f>IF(ISBLANK('Data Entry'!F903), "", 'Data Entry'!F903)</f>
      </c>
      <c r="G903">
        <f>IF(ISBLANK('Data Entry'!G903), "", 'Data Entry'!G903)</f>
      </c>
      <c r="H903">
        <f>IF(ISBLANK('Data Entry'!H903), "", 'Data Entry'!H903)</f>
      </c>
      <c r="I903">
        <f>IF(ISBLANK('Data Entry'!I903), "", 'Data Entry'!I903)</f>
      </c>
      <c r="J903">
        <f>IF(ISBLANK('Data Entry'!J903), "", 'Data Entry'!J903)</f>
      </c>
      <c r="K903">
        <f>IF(ISBLANK('Data Entry'!K903), "", 'Data Entry'!K903)</f>
      </c>
      <c r="L903">
        <f>IF(ISBLANK('Data Entry'!L903), "", 'Data Entry'!L903)</f>
      </c>
      <c r="M903">
        <f>IF(ISBLANK('Data Entry'!M903), "", 'Data Entry'!M903)</f>
      </c>
      <c r="N903">
        <f>IF(ISBLANK('Data Entry'!N903), "", 'Data Entry'!N903)</f>
      </c>
      <c r="O903">
        <f>IF(ISBLANK('Data Entry'!O903), "", 'Data Entry'!O903)</f>
      </c>
      <c r="P903">
        <f>IF(ISBLANK('Data Entry'!P903), "", 'Data Entry'!P903)</f>
      </c>
      <c r="Q903">
        <f>IF(ISBLANK('Data Entry'!Q903), "", 'Data Entry'!Q903)</f>
      </c>
      <c r="R903">
        <f>IF(ISBLANK('Data Entry'!R903), "", 'Data Entry'!R903)</f>
      </c>
      <c r="S903">
        <f>IF(ISBLANK('Data Entry'!S903), "", 'Data Entry'!S903)</f>
      </c>
      <c r="T903">
        <f>IF(ISBLANK('Data Entry'!T903), "", 'Data Entry'!T903)</f>
      </c>
      <c r="U903">
        <f>IF(ISBLANK('Data Entry'!U903), "", 'Data Entry'!U903)</f>
      </c>
      <c r="V903">
        <f>IF(ISBLANK('Data Entry'!V903), "", 'Data Entry'!V903)</f>
      </c>
      <c r="W903">
        <f>IF(ISBLANK('Data Entry'!W903), "", 'Data Entry'!W903)</f>
      </c>
      <c r="X903">
        <f>IF(ISBLANK('Data Entry'!X903), "", 'Data Entry'!X903)</f>
      </c>
      <c r="Y903">
        <f>IF(ISBLANK('Data Entry'!Y903), "", 'Data Entry'!Y903)</f>
      </c>
      <c r="Z903">
        <f>IF(ISBLANK('Data Entry'!Z903), "", 'Data Entry'!Z903)</f>
      </c>
      <c r="AA903">
        <f>IF(ISBLANK('Data Entry'![903), "", 'Data Entry'![903)</f>
      </c>
      <c r="AB903">
        <f>IF(ISBLANK('Data Entry'!\903), "", 'Data Entry'!\903)</f>
      </c>
      <c r="AC903">
        <f>IF(ISBLANK('Data Entry'!]903), "", 'Data Entry'!]903)</f>
      </c>
      <c r="AD903">
        <f>IF(ISBLANK('Data Entry'!^903), "", 'Data Entry'!^903)</f>
      </c>
      <c r="AE903">
        <f>IF(ISBLANK('Data Entry'!_903), "", 'Data Entry'!_903)</f>
      </c>
      <c r="AF903">
        <f>IF(ISBLANK('Data Entry'!`903), "", 'Data Entry'!`903)</f>
      </c>
      <c r="AG903">
        <f>IF(ISBLANK('Data Entry'!a903), "", 'Data Entry'!a903)</f>
      </c>
      <c r="AH903">
        <f>IF(ISBLANK('Data Entry'!b903), "", 'Data Entry'!b903)</f>
      </c>
      <c r="AI903">
        <f>IF(ISBLANK('Data Entry'!c903), "", 'Data Entry'!c903)</f>
      </c>
      <c r="AJ903">
        <f>IF(ISBLANK('Data Entry'!d903), "", 'Data Entry'!d903)</f>
      </c>
      <c r="AK903">
        <f>IF(ISBLANK('Data Entry'!e903), "", 'Data Entry'!e903)</f>
      </c>
      <c r="AL903">
        <f>IF(ISBLANK('Data Entry'!f903), "", 'Data Entry'!f903)</f>
      </c>
      <c r="AM903">
        <f>IF(ISBLANK('Data Entry'!g903), "", 'Data Entry'!g903)</f>
      </c>
      <c r="AN903">
        <f>IF(ISBLANK('Data Entry'!h903), "", 'Data Entry'!h903)</f>
      </c>
    </row>
    <row r="904" spans="1:40" x14ac:dyDescent="0.25">
      <c r="A904">
        <f>IF(ISBLANK('Data Entry'!A904), "", 'Data Entry'!A904)</f>
      </c>
      <c r="B904">
        <f>IF(ISBLANK('Data Entry'!B904), "", 'Data Entry'!B904)</f>
      </c>
      <c r="C904">
        <f>IF(ISBLANK('Data Entry'!C904), "", 'Data Entry'!C904)</f>
      </c>
      <c r="D904">
        <f>IF(ISBLANK('Data Entry'!D904), "", 'Data Entry'!D904)</f>
      </c>
      <c r="E904">
        <f>IF(ISBLANK('Data Entry'!E904), "", 'Data Entry'!E904)</f>
      </c>
      <c r="F904">
        <f>IF(ISBLANK('Data Entry'!F904), "", 'Data Entry'!F904)</f>
      </c>
      <c r="G904">
        <f>IF(ISBLANK('Data Entry'!G904), "", 'Data Entry'!G904)</f>
      </c>
      <c r="H904">
        <f>IF(ISBLANK('Data Entry'!H904), "", 'Data Entry'!H904)</f>
      </c>
      <c r="I904">
        <f>IF(ISBLANK('Data Entry'!I904), "", 'Data Entry'!I904)</f>
      </c>
      <c r="J904">
        <f>IF(ISBLANK('Data Entry'!J904), "", 'Data Entry'!J904)</f>
      </c>
      <c r="K904">
        <f>IF(ISBLANK('Data Entry'!K904), "", 'Data Entry'!K904)</f>
      </c>
      <c r="L904">
        <f>IF(ISBLANK('Data Entry'!L904), "", 'Data Entry'!L904)</f>
      </c>
      <c r="M904">
        <f>IF(ISBLANK('Data Entry'!M904), "", 'Data Entry'!M904)</f>
      </c>
      <c r="N904">
        <f>IF(ISBLANK('Data Entry'!N904), "", 'Data Entry'!N904)</f>
      </c>
      <c r="O904">
        <f>IF(ISBLANK('Data Entry'!O904), "", 'Data Entry'!O904)</f>
      </c>
      <c r="P904">
        <f>IF(ISBLANK('Data Entry'!P904), "", 'Data Entry'!P904)</f>
      </c>
      <c r="Q904">
        <f>IF(ISBLANK('Data Entry'!Q904), "", 'Data Entry'!Q904)</f>
      </c>
      <c r="R904">
        <f>IF(ISBLANK('Data Entry'!R904), "", 'Data Entry'!R904)</f>
      </c>
      <c r="S904">
        <f>IF(ISBLANK('Data Entry'!S904), "", 'Data Entry'!S904)</f>
      </c>
      <c r="T904">
        <f>IF(ISBLANK('Data Entry'!T904), "", 'Data Entry'!T904)</f>
      </c>
      <c r="U904">
        <f>IF(ISBLANK('Data Entry'!U904), "", 'Data Entry'!U904)</f>
      </c>
      <c r="V904">
        <f>IF(ISBLANK('Data Entry'!V904), "", 'Data Entry'!V904)</f>
      </c>
      <c r="W904">
        <f>IF(ISBLANK('Data Entry'!W904), "", 'Data Entry'!W904)</f>
      </c>
      <c r="X904">
        <f>IF(ISBLANK('Data Entry'!X904), "", 'Data Entry'!X904)</f>
      </c>
      <c r="Y904">
        <f>IF(ISBLANK('Data Entry'!Y904), "", 'Data Entry'!Y904)</f>
      </c>
      <c r="Z904">
        <f>IF(ISBLANK('Data Entry'!Z904), "", 'Data Entry'!Z904)</f>
      </c>
      <c r="AA904">
        <f>IF(ISBLANK('Data Entry'![904), "", 'Data Entry'![904)</f>
      </c>
      <c r="AB904">
        <f>IF(ISBLANK('Data Entry'!\904), "", 'Data Entry'!\904)</f>
      </c>
      <c r="AC904">
        <f>IF(ISBLANK('Data Entry'!]904), "", 'Data Entry'!]904)</f>
      </c>
      <c r="AD904">
        <f>IF(ISBLANK('Data Entry'!^904), "", 'Data Entry'!^904)</f>
      </c>
      <c r="AE904">
        <f>IF(ISBLANK('Data Entry'!_904), "", 'Data Entry'!_904)</f>
      </c>
      <c r="AF904">
        <f>IF(ISBLANK('Data Entry'!`904), "", 'Data Entry'!`904)</f>
      </c>
      <c r="AG904">
        <f>IF(ISBLANK('Data Entry'!a904), "", 'Data Entry'!a904)</f>
      </c>
      <c r="AH904">
        <f>IF(ISBLANK('Data Entry'!b904), "", 'Data Entry'!b904)</f>
      </c>
      <c r="AI904">
        <f>IF(ISBLANK('Data Entry'!c904), "", 'Data Entry'!c904)</f>
      </c>
      <c r="AJ904">
        <f>IF(ISBLANK('Data Entry'!d904), "", 'Data Entry'!d904)</f>
      </c>
      <c r="AK904">
        <f>IF(ISBLANK('Data Entry'!e904), "", 'Data Entry'!e904)</f>
      </c>
      <c r="AL904">
        <f>IF(ISBLANK('Data Entry'!f904), "", 'Data Entry'!f904)</f>
      </c>
      <c r="AM904">
        <f>IF(ISBLANK('Data Entry'!g904), "", 'Data Entry'!g904)</f>
      </c>
      <c r="AN904">
        <f>IF(ISBLANK('Data Entry'!h904), "", 'Data Entry'!h904)</f>
      </c>
    </row>
    <row r="905" spans="1:40" x14ac:dyDescent="0.25">
      <c r="A905">
        <f>IF(ISBLANK('Data Entry'!A905), "", 'Data Entry'!A905)</f>
      </c>
      <c r="B905">
        <f>IF(ISBLANK('Data Entry'!B905), "", 'Data Entry'!B905)</f>
      </c>
      <c r="C905">
        <f>IF(ISBLANK('Data Entry'!C905), "", 'Data Entry'!C905)</f>
      </c>
      <c r="D905">
        <f>IF(ISBLANK('Data Entry'!D905), "", 'Data Entry'!D905)</f>
      </c>
      <c r="E905">
        <f>IF(ISBLANK('Data Entry'!E905), "", 'Data Entry'!E905)</f>
      </c>
      <c r="F905">
        <f>IF(ISBLANK('Data Entry'!F905), "", 'Data Entry'!F905)</f>
      </c>
      <c r="G905">
        <f>IF(ISBLANK('Data Entry'!G905), "", 'Data Entry'!G905)</f>
      </c>
      <c r="H905">
        <f>IF(ISBLANK('Data Entry'!H905), "", 'Data Entry'!H905)</f>
      </c>
      <c r="I905">
        <f>IF(ISBLANK('Data Entry'!I905), "", 'Data Entry'!I905)</f>
      </c>
      <c r="J905">
        <f>IF(ISBLANK('Data Entry'!J905), "", 'Data Entry'!J905)</f>
      </c>
      <c r="K905">
        <f>IF(ISBLANK('Data Entry'!K905), "", 'Data Entry'!K905)</f>
      </c>
      <c r="L905">
        <f>IF(ISBLANK('Data Entry'!L905), "", 'Data Entry'!L905)</f>
      </c>
      <c r="M905">
        <f>IF(ISBLANK('Data Entry'!M905), "", 'Data Entry'!M905)</f>
      </c>
      <c r="N905">
        <f>IF(ISBLANK('Data Entry'!N905), "", 'Data Entry'!N905)</f>
      </c>
      <c r="O905">
        <f>IF(ISBLANK('Data Entry'!O905), "", 'Data Entry'!O905)</f>
      </c>
      <c r="P905">
        <f>IF(ISBLANK('Data Entry'!P905), "", 'Data Entry'!P905)</f>
      </c>
      <c r="Q905">
        <f>IF(ISBLANK('Data Entry'!Q905), "", 'Data Entry'!Q905)</f>
      </c>
      <c r="R905">
        <f>IF(ISBLANK('Data Entry'!R905), "", 'Data Entry'!R905)</f>
      </c>
      <c r="S905">
        <f>IF(ISBLANK('Data Entry'!S905), "", 'Data Entry'!S905)</f>
      </c>
      <c r="T905">
        <f>IF(ISBLANK('Data Entry'!T905), "", 'Data Entry'!T905)</f>
      </c>
      <c r="U905">
        <f>IF(ISBLANK('Data Entry'!U905), "", 'Data Entry'!U905)</f>
      </c>
      <c r="V905">
        <f>IF(ISBLANK('Data Entry'!V905), "", 'Data Entry'!V905)</f>
      </c>
      <c r="W905">
        <f>IF(ISBLANK('Data Entry'!W905), "", 'Data Entry'!W905)</f>
      </c>
      <c r="X905">
        <f>IF(ISBLANK('Data Entry'!X905), "", 'Data Entry'!X905)</f>
      </c>
      <c r="Y905">
        <f>IF(ISBLANK('Data Entry'!Y905), "", 'Data Entry'!Y905)</f>
      </c>
      <c r="Z905">
        <f>IF(ISBLANK('Data Entry'!Z905), "", 'Data Entry'!Z905)</f>
      </c>
      <c r="AA905">
        <f>IF(ISBLANK('Data Entry'![905), "", 'Data Entry'![905)</f>
      </c>
      <c r="AB905">
        <f>IF(ISBLANK('Data Entry'!\905), "", 'Data Entry'!\905)</f>
      </c>
      <c r="AC905">
        <f>IF(ISBLANK('Data Entry'!]905), "", 'Data Entry'!]905)</f>
      </c>
      <c r="AD905">
        <f>IF(ISBLANK('Data Entry'!^905), "", 'Data Entry'!^905)</f>
      </c>
      <c r="AE905">
        <f>IF(ISBLANK('Data Entry'!_905), "", 'Data Entry'!_905)</f>
      </c>
      <c r="AF905">
        <f>IF(ISBLANK('Data Entry'!`905), "", 'Data Entry'!`905)</f>
      </c>
      <c r="AG905">
        <f>IF(ISBLANK('Data Entry'!a905), "", 'Data Entry'!a905)</f>
      </c>
      <c r="AH905">
        <f>IF(ISBLANK('Data Entry'!b905), "", 'Data Entry'!b905)</f>
      </c>
      <c r="AI905">
        <f>IF(ISBLANK('Data Entry'!c905), "", 'Data Entry'!c905)</f>
      </c>
      <c r="AJ905">
        <f>IF(ISBLANK('Data Entry'!d905), "", 'Data Entry'!d905)</f>
      </c>
      <c r="AK905">
        <f>IF(ISBLANK('Data Entry'!e905), "", 'Data Entry'!e905)</f>
      </c>
      <c r="AL905">
        <f>IF(ISBLANK('Data Entry'!f905), "", 'Data Entry'!f905)</f>
      </c>
      <c r="AM905">
        <f>IF(ISBLANK('Data Entry'!g905), "", 'Data Entry'!g905)</f>
      </c>
      <c r="AN905">
        <f>IF(ISBLANK('Data Entry'!h905), "", 'Data Entry'!h905)</f>
      </c>
    </row>
    <row r="906" spans="1:40" x14ac:dyDescent="0.25">
      <c r="A906">
        <f>IF(ISBLANK('Data Entry'!A906), "", 'Data Entry'!A906)</f>
      </c>
      <c r="B906">
        <f>IF(ISBLANK('Data Entry'!B906), "", 'Data Entry'!B906)</f>
      </c>
      <c r="C906">
        <f>IF(ISBLANK('Data Entry'!C906), "", 'Data Entry'!C906)</f>
      </c>
      <c r="D906">
        <f>IF(ISBLANK('Data Entry'!D906), "", 'Data Entry'!D906)</f>
      </c>
      <c r="E906">
        <f>IF(ISBLANK('Data Entry'!E906), "", 'Data Entry'!E906)</f>
      </c>
      <c r="F906">
        <f>IF(ISBLANK('Data Entry'!F906), "", 'Data Entry'!F906)</f>
      </c>
      <c r="G906">
        <f>IF(ISBLANK('Data Entry'!G906), "", 'Data Entry'!G906)</f>
      </c>
      <c r="H906">
        <f>IF(ISBLANK('Data Entry'!H906), "", 'Data Entry'!H906)</f>
      </c>
      <c r="I906">
        <f>IF(ISBLANK('Data Entry'!I906), "", 'Data Entry'!I906)</f>
      </c>
      <c r="J906">
        <f>IF(ISBLANK('Data Entry'!J906), "", 'Data Entry'!J906)</f>
      </c>
      <c r="K906">
        <f>IF(ISBLANK('Data Entry'!K906), "", 'Data Entry'!K906)</f>
      </c>
      <c r="L906">
        <f>IF(ISBLANK('Data Entry'!L906), "", 'Data Entry'!L906)</f>
      </c>
      <c r="M906">
        <f>IF(ISBLANK('Data Entry'!M906), "", 'Data Entry'!M906)</f>
      </c>
      <c r="N906">
        <f>IF(ISBLANK('Data Entry'!N906), "", 'Data Entry'!N906)</f>
      </c>
      <c r="O906">
        <f>IF(ISBLANK('Data Entry'!O906), "", 'Data Entry'!O906)</f>
      </c>
      <c r="P906">
        <f>IF(ISBLANK('Data Entry'!P906), "", 'Data Entry'!P906)</f>
      </c>
      <c r="Q906">
        <f>IF(ISBLANK('Data Entry'!Q906), "", 'Data Entry'!Q906)</f>
      </c>
      <c r="R906">
        <f>IF(ISBLANK('Data Entry'!R906), "", 'Data Entry'!R906)</f>
      </c>
      <c r="S906">
        <f>IF(ISBLANK('Data Entry'!S906), "", 'Data Entry'!S906)</f>
      </c>
      <c r="T906">
        <f>IF(ISBLANK('Data Entry'!T906), "", 'Data Entry'!T906)</f>
      </c>
      <c r="U906">
        <f>IF(ISBLANK('Data Entry'!U906), "", 'Data Entry'!U906)</f>
      </c>
      <c r="V906">
        <f>IF(ISBLANK('Data Entry'!V906), "", 'Data Entry'!V906)</f>
      </c>
      <c r="W906">
        <f>IF(ISBLANK('Data Entry'!W906), "", 'Data Entry'!W906)</f>
      </c>
      <c r="X906">
        <f>IF(ISBLANK('Data Entry'!X906), "", 'Data Entry'!X906)</f>
      </c>
      <c r="Y906">
        <f>IF(ISBLANK('Data Entry'!Y906), "", 'Data Entry'!Y906)</f>
      </c>
      <c r="Z906">
        <f>IF(ISBLANK('Data Entry'!Z906), "", 'Data Entry'!Z906)</f>
      </c>
      <c r="AA906">
        <f>IF(ISBLANK('Data Entry'![906), "", 'Data Entry'![906)</f>
      </c>
      <c r="AB906">
        <f>IF(ISBLANK('Data Entry'!\906), "", 'Data Entry'!\906)</f>
      </c>
      <c r="AC906">
        <f>IF(ISBLANK('Data Entry'!]906), "", 'Data Entry'!]906)</f>
      </c>
      <c r="AD906">
        <f>IF(ISBLANK('Data Entry'!^906), "", 'Data Entry'!^906)</f>
      </c>
      <c r="AE906">
        <f>IF(ISBLANK('Data Entry'!_906), "", 'Data Entry'!_906)</f>
      </c>
      <c r="AF906">
        <f>IF(ISBLANK('Data Entry'!`906), "", 'Data Entry'!`906)</f>
      </c>
      <c r="AG906">
        <f>IF(ISBLANK('Data Entry'!a906), "", 'Data Entry'!a906)</f>
      </c>
      <c r="AH906">
        <f>IF(ISBLANK('Data Entry'!b906), "", 'Data Entry'!b906)</f>
      </c>
      <c r="AI906">
        <f>IF(ISBLANK('Data Entry'!c906), "", 'Data Entry'!c906)</f>
      </c>
      <c r="AJ906">
        <f>IF(ISBLANK('Data Entry'!d906), "", 'Data Entry'!d906)</f>
      </c>
      <c r="AK906">
        <f>IF(ISBLANK('Data Entry'!e906), "", 'Data Entry'!e906)</f>
      </c>
      <c r="AL906">
        <f>IF(ISBLANK('Data Entry'!f906), "", 'Data Entry'!f906)</f>
      </c>
      <c r="AM906">
        <f>IF(ISBLANK('Data Entry'!g906), "", 'Data Entry'!g906)</f>
      </c>
      <c r="AN906">
        <f>IF(ISBLANK('Data Entry'!h906), "", 'Data Entry'!h906)</f>
      </c>
    </row>
    <row r="907" spans="1:40" x14ac:dyDescent="0.25">
      <c r="A907">
        <f>IF(ISBLANK('Data Entry'!A907), "", 'Data Entry'!A907)</f>
      </c>
      <c r="B907">
        <f>IF(ISBLANK('Data Entry'!B907), "", 'Data Entry'!B907)</f>
      </c>
      <c r="C907">
        <f>IF(ISBLANK('Data Entry'!C907), "", 'Data Entry'!C907)</f>
      </c>
      <c r="D907">
        <f>IF(ISBLANK('Data Entry'!D907), "", 'Data Entry'!D907)</f>
      </c>
      <c r="E907">
        <f>IF(ISBLANK('Data Entry'!E907), "", 'Data Entry'!E907)</f>
      </c>
      <c r="F907">
        <f>IF(ISBLANK('Data Entry'!F907), "", 'Data Entry'!F907)</f>
      </c>
      <c r="G907">
        <f>IF(ISBLANK('Data Entry'!G907), "", 'Data Entry'!G907)</f>
      </c>
      <c r="H907">
        <f>IF(ISBLANK('Data Entry'!H907), "", 'Data Entry'!H907)</f>
      </c>
      <c r="I907">
        <f>IF(ISBLANK('Data Entry'!I907), "", 'Data Entry'!I907)</f>
      </c>
      <c r="J907">
        <f>IF(ISBLANK('Data Entry'!J907), "", 'Data Entry'!J907)</f>
      </c>
      <c r="K907">
        <f>IF(ISBLANK('Data Entry'!K907), "", 'Data Entry'!K907)</f>
      </c>
      <c r="L907">
        <f>IF(ISBLANK('Data Entry'!L907), "", 'Data Entry'!L907)</f>
      </c>
      <c r="M907">
        <f>IF(ISBLANK('Data Entry'!M907), "", 'Data Entry'!M907)</f>
      </c>
      <c r="N907">
        <f>IF(ISBLANK('Data Entry'!N907), "", 'Data Entry'!N907)</f>
      </c>
      <c r="O907">
        <f>IF(ISBLANK('Data Entry'!O907), "", 'Data Entry'!O907)</f>
      </c>
      <c r="P907">
        <f>IF(ISBLANK('Data Entry'!P907), "", 'Data Entry'!P907)</f>
      </c>
      <c r="Q907">
        <f>IF(ISBLANK('Data Entry'!Q907), "", 'Data Entry'!Q907)</f>
      </c>
      <c r="R907">
        <f>IF(ISBLANK('Data Entry'!R907), "", 'Data Entry'!R907)</f>
      </c>
      <c r="S907">
        <f>IF(ISBLANK('Data Entry'!S907), "", 'Data Entry'!S907)</f>
      </c>
      <c r="T907">
        <f>IF(ISBLANK('Data Entry'!T907), "", 'Data Entry'!T907)</f>
      </c>
      <c r="U907">
        <f>IF(ISBLANK('Data Entry'!U907), "", 'Data Entry'!U907)</f>
      </c>
      <c r="V907">
        <f>IF(ISBLANK('Data Entry'!V907), "", 'Data Entry'!V907)</f>
      </c>
      <c r="W907">
        <f>IF(ISBLANK('Data Entry'!W907), "", 'Data Entry'!W907)</f>
      </c>
      <c r="X907">
        <f>IF(ISBLANK('Data Entry'!X907), "", 'Data Entry'!X907)</f>
      </c>
      <c r="Y907">
        <f>IF(ISBLANK('Data Entry'!Y907), "", 'Data Entry'!Y907)</f>
      </c>
      <c r="Z907">
        <f>IF(ISBLANK('Data Entry'!Z907), "", 'Data Entry'!Z907)</f>
      </c>
      <c r="AA907">
        <f>IF(ISBLANK('Data Entry'![907), "", 'Data Entry'![907)</f>
      </c>
      <c r="AB907">
        <f>IF(ISBLANK('Data Entry'!\907), "", 'Data Entry'!\907)</f>
      </c>
      <c r="AC907">
        <f>IF(ISBLANK('Data Entry'!]907), "", 'Data Entry'!]907)</f>
      </c>
      <c r="AD907">
        <f>IF(ISBLANK('Data Entry'!^907), "", 'Data Entry'!^907)</f>
      </c>
      <c r="AE907">
        <f>IF(ISBLANK('Data Entry'!_907), "", 'Data Entry'!_907)</f>
      </c>
      <c r="AF907">
        <f>IF(ISBLANK('Data Entry'!`907), "", 'Data Entry'!`907)</f>
      </c>
      <c r="AG907">
        <f>IF(ISBLANK('Data Entry'!a907), "", 'Data Entry'!a907)</f>
      </c>
      <c r="AH907">
        <f>IF(ISBLANK('Data Entry'!b907), "", 'Data Entry'!b907)</f>
      </c>
      <c r="AI907">
        <f>IF(ISBLANK('Data Entry'!c907), "", 'Data Entry'!c907)</f>
      </c>
      <c r="AJ907">
        <f>IF(ISBLANK('Data Entry'!d907), "", 'Data Entry'!d907)</f>
      </c>
      <c r="AK907">
        <f>IF(ISBLANK('Data Entry'!e907), "", 'Data Entry'!e907)</f>
      </c>
      <c r="AL907">
        <f>IF(ISBLANK('Data Entry'!f907), "", 'Data Entry'!f907)</f>
      </c>
      <c r="AM907">
        <f>IF(ISBLANK('Data Entry'!g907), "", 'Data Entry'!g907)</f>
      </c>
      <c r="AN907">
        <f>IF(ISBLANK('Data Entry'!h907), "", 'Data Entry'!h907)</f>
      </c>
    </row>
    <row r="908" spans="1:40" x14ac:dyDescent="0.25">
      <c r="A908">
        <f>IF(ISBLANK('Data Entry'!A908), "", 'Data Entry'!A908)</f>
      </c>
      <c r="B908">
        <f>IF(ISBLANK('Data Entry'!B908), "", 'Data Entry'!B908)</f>
      </c>
      <c r="C908">
        <f>IF(ISBLANK('Data Entry'!C908), "", 'Data Entry'!C908)</f>
      </c>
      <c r="D908">
        <f>IF(ISBLANK('Data Entry'!D908), "", 'Data Entry'!D908)</f>
      </c>
      <c r="E908">
        <f>IF(ISBLANK('Data Entry'!E908), "", 'Data Entry'!E908)</f>
      </c>
      <c r="F908">
        <f>IF(ISBLANK('Data Entry'!F908), "", 'Data Entry'!F908)</f>
      </c>
      <c r="G908">
        <f>IF(ISBLANK('Data Entry'!G908), "", 'Data Entry'!G908)</f>
      </c>
      <c r="H908">
        <f>IF(ISBLANK('Data Entry'!H908), "", 'Data Entry'!H908)</f>
      </c>
      <c r="I908">
        <f>IF(ISBLANK('Data Entry'!I908), "", 'Data Entry'!I908)</f>
      </c>
      <c r="J908">
        <f>IF(ISBLANK('Data Entry'!J908), "", 'Data Entry'!J908)</f>
      </c>
      <c r="K908">
        <f>IF(ISBLANK('Data Entry'!K908), "", 'Data Entry'!K908)</f>
      </c>
      <c r="L908">
        <f>IF(ISBLANK('Data Entry'!L908), "", 'Data Entry'!L908)</f>
      </c>
      <c r="M908">
        <f>IF(ISBLANK('Data Entry'!M908), "", 'Data Entry'!M908)</f>
      </c>
      <c r="N908">
        <f>IF(ISBLANK('Data Entry'!N908), "", 'Data Entry'!N908)</f>
      </c>
      <c r="O908">
        <f>IF(ISBLANK('Data Entry'!O908), "", 'Data Entry'!O908)</f>
      </c>
      <c r="P908">
        <f>IF(ISBLANK('Data Entry'!P908), "", 'Data Entry'!P908)</f>
      </c>
      <c r="Q908">
        <f>IF(ISBLANK('Data Entry'!Q908), "", 'Data Entry'!Q908)</f>
      </c>
      <c r="R908">
        <f>IF(ISBLANK('Data Entry'!R908), "", 'Data Entry'!R908)</f>
      </c>
      <c r="S908">
        <f>IF(ISBLANK('Data Entry'!S908), "", 'Data Entry'!S908)</f>
      </c>
      <c r="T908">
        <f>IF(ISBLANK('Data Entry'!T908), "", 'Data Entry'!T908)</f>
      </c>
      <c r="U908">
        <f>IF(ISBLANK('Data Entry'!U908), "", 'Data Entry'!U908)</f>
      </c>
      <c r="V908">
        <f>IF(ISBLANK('Data Entry'!V908), "", 'Data Entry'!V908)</f>
      </c>
      <c r="W908">
        <f>IF(ISBLANK('Data Entry'!W908), "", 'Data Entry'!W908)</f>
      </c>
      <c r="X908">
        <f>IF(ISBLANK('Data Entry'!X908), "", 'Data Entry'!X908)</f>
      </c>
      <c r="Y908">
        <f>IF(ISBLANK('Data Entry'!Y908), "", 'Data Entry'!Y908)</f>
      </c>
      <c r="Z908">
        <f>IF(ISBLANK('Data Entry'!Z908), "", 'Data Entry'!Z908)</f>
      </c>
      <c r="AA908">
        <f>IF(ISBLANK('Data Entry'![908), "", 'Data Entry'![908)</f>
      </c>
      <c r="AB908">
        <f>IF(ISBLANK('Data Entry'!\908), "", 'Data Entry'!\908)</f>
      </c>
      <c r="AC908">
        <f>IF(ISBLANK('Data Entry'!]908), "", 'Data Entry'!]908)</f>
      </c>
      <c r="AD908">
        <f>IF(ISBLANK('Data Entry'!^908), "", 'Data Entry'!^908)</f>
      </c>
      <c r="AE908">
        <f>IF(ISBLANK('Data Entry'!_908), "", 'Data Entry'!_908)</f>
      </c>
      <c r="AF908">
        <f>IF(ISBLANK('Data Entry'!`908), "", 'Data Entry'!`908)</f>
      </c>
      <c r="AG908">
        <f>IF(ISBLANK('Data Entry'!a908), "", 'Data Entry'!a908)</f>
      </c>
      <c r="AH908">
        <f>IF(ISBLANK('Data Entry'!b908), "", 'Data Entry'!b908)</f>
      </c>
      <c r="AI908">
        <f>IF(ISBLANK('Data Entry'!c908), "", 'Data Entry'!c908)</f>
      </c>
      <c r="AJ908">
        <f>IF(ISBLANK('Data Entry'!d908), "", 'Data Entry'!d908)</f>
      </c>
      <c r="AK908">
        <f>IF(ISBLANK('Data Entry'!e908), "", 'Data Entry'!e908)</f>
      </c>
      <c r="AL908">
        <f>IF(ISBLANK('Data Entry'!f908), "", 'Data Entry'!f908)</f>
      </c>
      <c r="AM908">
        <f>IF(ISBLANK('Data Entry'!g908), "", 'Data Entry'!g908)</f>
      </c>
      <c r="AN908">
        <f>IF(ISBLANK('Data Entry'!h908), "", 'Data Entry'!h908)</f>
      </c>
    </row>
    <row r="909" spans="1:40" x14ac:dyDescent="0.25">
      <c r="A909">
        <f>IF(ISBLANK('Data Entry'!A909), "", 'Data Entry'!A909)</f>
      </c>
      <c r="B909">
        <f>IF(ISBLANK('Data Entry'!B909), "", 'Data Entry'!B909)</f>
      </c>
      <c r="C909">
        <f>IF(ISBLANK('Data Entry'!C909), "", 'Data Entry'!C909)</f>
      </c>
      <c r="D909">
        <f>IF(ISBLANK('Data Entry'!D909), "", 'Data Entry'!D909)</f>
      </c>
      <c r="E909">
        <f>IF(ISBLANK('Data Entry'!E909), "", 'Data Entry'!E909)</f>
      </c>
      <c r="F909">
        <f>IF(ISBLANK('Data Entry'!F909), "", 'Data Entry'!F909)</f>
      </c>
      <c r="G909">
        <f>IF(ISBLANK('Data Entry'!G909), "", 'Data Entry'!G909)</f>
      </c>
      <c r="H909">
        <f>IF(ISBLANK('Data Entry'!H909), "", 'Data Entry'!H909)</f>
      </c>
      <c r="I909">
        <f>IF(ISBLANK('Data Entry'!I909), "", 'Data Entry'!I909)</f>
      </c>
      <c r="J909">
        <f>IF(ISBLANK('Data Entry'!J909), "", 'Data Entry'!J909)</f>
      </c>
      <c r="K909">
        <f>IF(ISBLANK('Data Entry'!K909), "", 'Data Entry'!K909)</f>
      </c>
      <c r="L909">
        <f>IF(ISBLANK('Data Entry'!L909), "", 'Data Entry'!L909)</f>
      </c>
      <c r="M909">
        <f>IF(ISBLANK('Data Entry'!M909), "", 'Data Entry'!M909)</f>
      </c>
      <c r="N909">
        <f>IF(ISBLANK('Data Entry'!N909), "", 'Data Entry'!N909)</f>
      </c>
      <c r="O909">
        <f>IF(ISBLANK('Data Entry'!O909), "", 'Data Entry'!O909)</f>
      </c>
      <c r="P909">
        <f>IF(ISBLANK('Data Entry'!P909), "", 'Data Entry'!P909)</f>
      </c>
      <c r="Q909">
        <f>IF(ISBLANK('Data Entry'!Q909), "", 'Data Entry'!Q909)</f>
      </c>
      <c r="R909">
        <f>IF(ISBLANK('Data Entry'!R909), "", 'Data Entry'!R909)</f>
      </c>
      <c r="S909">
        <f>IF(ISBLANK('Data Entry'!S909), "", 'Data Entry'!S909)</f>
      </c>
      <c r="T909">
        <f>IF(ISBLANK('Data Entry'!T909), "", 'Data Entry'!T909)</f>
      </c>
      <c r="U909">
        <f>IF(ISBLANK('Data Entry'!U909), "", 'Data Entry'!U909)</f>
      </c>
      <c r="V909">
        <f>IF(ISBLANK('Data Entry'!V909), "", 'Data Entry'!V909)</f>
      </c>
      <c r="W909">
        <f>IF(ISBLANK('Data Entry'!W909), "", 'Data Entry'!W909)</f>
      </c>
      <c r="X909">
        <f>IF(ISBLANK('Data Entry'!X909), "", 'Data Entry'!X909)</f>
      </c>
      <c r="Y909">
        <f>IF(ISBLANK('Data Entry'!Y909), "", 'Data Entry'!Y909)</f>
      </c>
      <c r="Z909">
        <f>IF(ISBLANK('Data Entry'!Z909), "", 'Data Entry'!Z909)</f>
      </c>
      <c r="AA909">
        <f>IF(ISBLANK('Data Entry'![909), "", 'Data Entry'![909)</f>
      </c>
      <c r="AB909">
        <f>IF(ISBLANK('Data Entry'!\909), "", 'Data Entry'!\909)</f>
      </c>
      <c r="AC909">
        <f>IF(ISBLANK('Data Entry'!]909), "", 'Data Entry'!]909)</f>
      </c>
      <c r="AD909">
        <f>IF(ISBLANK('Data Entry'!^909), "", 'Data Entry'!^909)</f>
      </c>
      <c r="AE909">
        <f>IF(ISBLANK('Data Entry'!_909), "", 'Data Entry'!_909)</f>
      </c>
      <c r="AF909">
        <f>IF(ISBLANK('Data Entry'!`909), "", 'Data Entry'!`909)</f>
      </c>
      <c r="AG909">
        <f>IF(ISBLANK('Data Entry'!a909), "", 'Data Entry'!a909)</f>
      </c>
      <c r="AH909">
        <f>IF(ISBLANK('Data Entry'!b909), "", 'Data Entry'!b909)</f>
      </c>
      <c r="AI909">
        <f>IF(ISBLANK('Data Entry'!c909), "", 'Data Entry'!c909)</f>
      </c>
      <c r="AJ909">
        <f>IF(ISBLANK('Data Entry'!d909), "", 'Data Entry'!d909)</f>
      </c>
      <c r="AK909">
        <f>IF(ISBLANK('Data Entry'!e909), "", 'Data Entry'!e909)</f>
      </c>
      <c r="AL909">
        <f>IF(ISBLANK('Data Entry'!f909), "", 'Data Entry'!f909)</f>
      </c>
      <c r="AM909">
        <f>IF(ISBLANK('Data Entry'!g909), "", 'Data Entry'!g909)</f>
      </c>
      <c r="AN909">
        <f>IF(ISBLANK('Data Entry'!h909), "", 'Data Entry'!h909)</f>
      </c>
    </row>
    <row r="910" spans="1:40" x14ac:dyDescent="0.25">
      <c r="A910">
        <f>IF(ISBLANK('Data Entry'!A910), "", 'Data Entry'!A910)</f>
      </c>
      <c r="B910">
        <f>IF(ISBLANK('Data Entry'!B910), "", 'Data Entry'!B910)</f>
      </c>
      <c r="C910">
        <f>IF(ISBLANK('Data Entry'!C910), "", 'Data Entry'!C910)</f>
      </c>
      <c r="D910">
        <f>IF(ISBLANK('Data Entry'!D910), "", 'Data Entry'!D910)</f>
      </c>
      <c r="E910">
        <f>IF(ISBLANK('Data Entry'!E910), "", 'Data Entry'!E910)</f>
      </c>
      <c r="F910">
        <f>IF(ISBLANK('Data Entry'!F910), "", 'Data Entry'!F910)</f>
      </c>
      <c r="G910">
        <f>IF(ISBLANK('Data Entry'!G910), "", 'Data Entry'!G910)</f>
      </c>
      <c r="H910">
        <f>IF(ISBLANK('Data Entry'!H910), "", 'Data Entry'!H910)</f>
      </c>
      <c r="I910">
        <f>IF(ISBLANK('Data Entry'!I910), "", 'Data Entry'!I910)</f>
      </c>
      <c r="J910">
        <f>IF(ISBLANK('Data Entry'!J910), "", 'Data Entry'!J910)</f>
      </c>
      <c r="K910">
        <f>IF(ISBLANK('Data Entry'!K910), "", 'Data Entry'!K910)</f>
      </c>
      <c r="L910">
        <f>IF(ISBLANK('Data Entry'!L910), "", 'Data Entry'!L910)</f>
      </c>
      <c r="M910">
        <f>IF(ISBLANK('Data Entry'!M910), "", 'Data Entry'!M910)</f>
      </c>
      <c r="N910">
        <f>IF(ISBLANK('Data Entry'!N910), "", 'Data Entry'!N910)</f>
      </c>
      <c r="O910">
        <f>IF(ISBLANK('Data Entry'!O910), "", 'Data Entry'!O910)</f>
      </c>
      <c r="P910">
        <f>IF(ISBLANK('Data Entry'!P910), "", 'Data Entry'!P910)</f>
      </c>
      <c r="Q910">
        <f>IF(ISBLANK('Data Entry'!Q910), "", 'Data Entry'!Q910)</f>
      </c>
      <c r="R910">
        <f>IF(ISBLANK('Data Entry'!R910), "", 'Data Entry'!R910)</f>
      </c>
      <c r="S910">
        <f>IF(ISBLANK('Data Entry'!S910), "", 'Data Entry'!S910)</f>
      </c>
      <c r="T910">
        <f>IF(ISBLANK('Data Entry'!T910), "", 'Data Entry'!T910)</f>
      </c>
      <c r="U910">
        <f>IF(ISBLANK('Data Entry'!U910), "", 'Data Entry'!U910)</f>
      </c>
      <c r="V910">
        <f>IF(ISBLANK('Data Entry'!V910), "", 'Data Entry'!V910)</f>
      </c>
      <c r="W910">
        <f>IF(ISBLANK('Data Entry'!W910), "", 'Data Entry'!W910)</f>
      </c>
      <c r="X910">
        <f>IF(ISBLANK('Data Entry'!X910), "", 'Data Entry'!X910)</f>
      </c>
      <c r="Y910">
        <f>IF(ISBLANK('Data Entry'!Y910), "", 'Data Entry'!Y910)</f>
      </c>
      <c r="Z910">
        <f>IF(ISBLANK('Data Entry'!Z910), "", 'Data Entry'!Z910)</f>
      </c>
      <c r="AA910">
        <f>IF(ISBLANK('Data Entry'![910), "", 'Data Entry'![910)</f>
      </c>
      <c r="AB910">
        <f>IF(ISBLANK('Data Entry'!\910), "", 'Data Entry'!\910)</f>
      </c>
      <c r="AC910">
        <f>IF(ISBLANK('Data Entry'!]910), "", 'Data Entry'!]910)</f>
      </c>
      <c r="AD910">
        <f>IF(ISBLANK('Data Entry'!^910), "", 'Data Entry'!^910)</f>
      </c>
      <c r="AE910">
        <f>IF(ISBLANK('Data Entry'!_910), "", 'Data Entry'!_910)</f>
      </c>
      <c r="AF910">
        <f>IF(ISBLANK('Data Entry'!`910), "", 'Data Entry'!`910)</f>
      </c>
      <c r="AG910">
        <f>IF(ISBLANK('Data Entry'!a910), "", 'Data Entry'!a910)</f>
      </c>
      <c r="AH910">
        <f>IF(ISBLANK('Data Entry'!b910), "", 'Data Entry'!b910)</f>
      </c>
      <c r="AI910">
        <f>IF(ISBLANK('Data Entry'!c910), "", 'Data Entry'!c910)</f>
      </c>
      <c r="AJ910">
        <f>IF(ISBLANK('Data Entry'!d910), "", 'Data Entry'!d910)</f>
      </c>
      <c r="AK910">
        <f>IF(ISBLANK('Data Entry'!e910), "", 'Data Entry'!e910)</f>
      </c>
      <c r="AL910">
        <f>IF(ISBLANK('Data Entry'!f910), "", 'Data Entry'!f910)</f>
      </c>
      <c r="AM910">
        <f>IF(ISBLANK('Data Entry'!g910), "", 'Data Entry'!g910)</f>
      </c>
      <c r="AN910">
        <f>IF(ISBLANK('Data Entry'!h910), "", 'Data Entry'!h910)</f>
      </c>
    </row>
    <row r="911" spans="1:40" x14ac:dyDescent="0.25">
      <c r="A911">
        <f>IF(ISBLANK('Data Entry'!A911), "", 'Data Entry'!A911)</f>
      </c>
      <c r="B911">
        <f>IF(ISBLANK('Data Entry'!B911), "", 'Data Entry'!B911)</f>
      </c>
      <c r="C911">
        <f>IF(ISBLANK('Data Entry'!C911), "", 'Data Entry'!C911)</f>
      </c>
      <c r="D911">
        <f>IF(ISBLANK('Data Entry'!D911), "", 'Data Entry'!D911)</f>
      </c>
      <c r="E911">
        <f>IF(ISBLANK('Data Entry'!E911), "", 'Data Entry'!E911)</f>
      </c>
      <c r="F911">
        <f>IF(ISBLANK('Data Entry'!F911), "", 'Data Entry'!F911)</f>
      </c>
      <c r="G911">
        <f>IF(ISBLANK('Data Entry'!G911), "", 'Data Entry'!G911)</f>
      </c>
      <c r="H911">
        <f>IF(ISBLANK('Data Entry'!H911), "", 'Data Entry'!H911)</f>
      </c>
      <c r="I911">
        <f>IF(ISBLANK('Data Entry'!I911), "", 'Data Entry'!I911)</f>
      </c>
      <c r="J911">
        <f>IF(ISBLANK('Data Entry'!J911), "", 'Data Entry'!J911)</f>
      </c>
      <c r="K911">
        <f>IF(ISBLANK('Data Entry'!K911), "", 'Data Entry'!K911)</f>
      </c>
      <c r="L911">
        <f>IF(ISBLANK('Data Entry'!L911), "", 'Data Entry'!L911)</f>
      </c>
      <c r="M911">
        <f>IF(ISBLANK('Data Entry'!M911), "", 'Data Entry'!M911)</f>
      </c>
      <c r="N911">
        <f>IF(ISBLANK('Data Entry'!N911), "", 'Data Entry'!N911)</f>
      </c>
      <c r="O911">
        <f>IF(ISBLANK('Data Entry'!O911), "", 'Data Entry'!O911)</f>
      </c>
      <c r="P911">
        <f>IF(ISBLANK('Data Entry'!P911), "", 'Data Entry'!P911)</f>
      </c>
      <c r="Q911">
        <f>IF(ISBLANK('Data Entry'!Q911), "", 'Data Entry'!Q911)</f>
      </c>
      <c r="R911">
        <f>IF(ISBLANK('Data Entry'!R911), "", 'Data Entry'!R911)</f>
      </c>
      <c r="S911">
        <f>IF(ISBLANK('Data Entry'!S911), "", 'Data Entry'!S911)</f>
      </c>
      <c r="T911">
        <f>IF(ISBLANK('Data Entry'!T911), "", 'Data Entry'!T911)</f>
      </c>
      <c r="U911">
        <f>IF(ISBLANK('Data Entry'!U911), "", 'Data Entry'!U911)</f>
      </c>
      <c r="V911">
        <f>IF(ISBLANK('Data Entry'!V911), "", 'Data Entry'!V911)</f>
      </c>
      <c r="W911">
        <f>IF(ISBLANK('Data Entry'!W911), "", 'Data Entry'!W911)</f>
      </c>
      <c r="X911">
        <f>IF(ISBLANK('Data Entry'!X911), "", 'Data Entry'!X911)</f>
      </c>
      <c r="Y911">
        <f>IF(ISBLANK('Data Entry'!Y911), "", 'Data Entry'!Y911)</f>
      </c>
      <c r="Z911">
        <f>IF(ISBLANK('Data Entry'!Z911), "", 'Data Entry'!Z911)</f>
      </c>
      <c r="AA911">
        <f>IF(ISBLANK('Data Entry'![911), "", 'Data Entry'![911)</f>
      </c>
      <c r="AB911">
        <f>IF(ISBLANK('Data Entry'!\911), "", 'Data Entry'!\911)</f>
      </c>
      <c r="AC911">
        <f>IF(ISBLANK('Data Entry'!]911), "", 'Data Entry'!]911)</f>
      </c>
      <c r="AD911">
        <f>IF(ISBLANK('Data Entry'!^911), "", 'Data Entry'!^911)</f>
      </c>
      <c r="AE911">
        <f>IF(ISBLANK('Data Entry'!_911), "", 'Data Entry'!_911)</f>
      </c>
      <c r="AF911">
        <f>IF(ISBLANK('Data Entry'!`911), "", 'Data Entry'!`911)</f>
      </c>
      <c r="AG911">
        <f>IF(ISBLANK('Data Entry'!a911), "", 'Data Entry'!a911)</f>
      </c>
      <c r="AH911">
        <f>IF(ISBLANK('Data Entry'!b911), "", 'Data Entry'!b911)</f>
      </c>
      <c r="AI911">
        <f>IF(ISBLANK('Data Entry'!c911), "", 'Data Entry'!c911)</f>
      </c>
      <c r="AJ911">
        <f>IF(ISBLANK('Data Entry'!d911), "", 'Data Entry'!d911)</f>
      </c>
      <c r="AK911">
        <f>IF(ISBLANK('Data Entry'!e911), "", 'Data Entry'!e911)</f>
      </c>
      <c r="AL911">
        <f>IF(ISBLANK('Data Entry'!f911), "", 'Data Entry'!f911)</f>
      </c>
      <c r="AM911">
        <f>IF(ISBLANK('Data Entry'!g911), "", 'Data Entry'!g911)</f>
      </c>
      <c r="AN911">
        <f>IF(ISBLANK('Data Entry'!h911), "", 'Data Entry'!h911)</f>
      </c>
    </row>
    <row r="912" spans="1:40" x14ac:dyDescent="0.25">
      <c r="A912">
        <f>IF(ISBLANK('Data Entry'!A912), "", 'Data Entry'!A912)</f>
      </c>
      <c r="B912">
        <f>IF(ISBLANK('Data Entry'!B912), "", 'Data Entry'!B912)</f>
      </c>
      <c r="C912">
        <f>IF(ISBLANK('Data Entry'!C912), "", 'Data Entry'!C912)</f>
      </c>
      <c r="D912">
        <f>IF(ISBLANK('Data Entry'!D912), "", 'Data Entry'!D912)</f>
      </c>
      <c r="E912">
        <f>IF(ISBLANK('Data Entry'!E912), "", 'Data Entry'!E912)</f>
      </c>
      <c r="F912">
        <f>IF(ISBLANK('Data Entry'!F912), "", 'Data Entry'!F912)</f>
      </c>
      <c r="G912">
        <f>IF(ISBLANK('Data Entry'!G912), "", 'Data Entry'!G912)</f>
      </c>
      <c r="H912">
        <f>IF(ISBLANK('Data Entry'!H912), "", 'Data Entry'!H912)</f>
      </c>
      <c r="I912">
        <f>IF(ISBLANK('Data Entry'!I912), "", 'Data Entry'!I912)</f>
      </c>
      <c r="J912">
        <f>IF(ISBLANK('Data Entry'!J912), "", 'Data Entry'!J912)</f>
      </c>
      <c r="K912">
        <f>IF(ISBLANK('Data Entry'!K912), "", 'Data Entry'!K912)</f>
      </c>
      <c r="L912">
        <f>IF(ISBLANK('Data Entry'!L912), "", 'Data Entry'!L912)</f>
      </c>
      <c r="M912">
        <f>IF(ISBLANK('Data Entry'!M912), "", 'Data Entry'!M912)</f>
      </c>
      <c r="N912">
        <f>IF(ISBLANK('Data Entry'!N912), "", 'Data Entry'!N912)</f>
      </c>
      <c r="O912">
        <f>IF(ISBLANK('Data Entry'!O912), "", 'Data Entry'!O912)</f>
      </c>
      <c r="P912">
        <f>IF(ISBLANK('Data Entry'!P912), "", 'Data Entry'!P912)</f>
      </c>
      <c r="Q912">
        <f>IF(ISBLANK('Data Entry'!Q912), "", 'Data Entry'!Q912)</f>
      </c>
      <c r="R912">
        <f>IF(ISBLANK('Data Entry'!R912), "", 'Data Entry'!R912)</f>
      </c>
      <c r="S912">
        <f>IF(ISBLANK('Data Entry'!S912), "", 'Data Entry'!S912)</f>
      </c>
      <c r="T912">
        <f>IF(ISBLANK('Data Entry'!T912), "", 'Data Entry'!T912)</f>
      </c>
      <c r="U912">
        <f>IF(ISBLANK('Data Entry'!U912), "", 'Data Entry'!U912)</f>
      </c>
      <c r="V912">
        <f>IF(ISBLANK('Data Entry'!V912), "", 'Data Entry'!V912)</f>
      </c>
      <c r="W912">
        <f>IF(ISBLANK('Data Entry'!W912), "", 'Data Entry'!W912)</f>
      </c>
      <c r="X912">
        <f>IF(ISBLANK('Data Entry'!X912), "", 'Data Entry'!X912)</f>
      </c>
      <c r="Y912">
        <f>IF(ISBLANK('Data Entry'!Y912), "", 'Data Entry'!Y912)</f>
      </c>
      <c r="Z912">
        <f>IF(ISBLANK('Data Entry'!Z912), "", 'Data Entry'!Z912)</f>
      </c>
      <c r="AA912">
        <f>IF(ISBLANK('Data Entry'![912), "", 'Data Entry'![912)</f>
      </c>
      <c r="AB912">
        <f>IF(ISBLANK('Data Entry'!\912), "", 'Data Entry'!\912)</f>
      </c>
      <c r="AC912">
        <f>IF(ISBLANK('Data Entry'!]912), "", 'Data Entry'!]912)</f>
      </c>
      <c r="AD912">
        <f>IF(ISBLANK('Data Entry'!^912), "", 'Data Entry'!^912)</f>
      </c>
      <c r="AE912">
        <f>IF(ISBLANK('Data Entry'!_912), "", 'Data Entry'!_912)</f>
      </c>
      <c r="AF912">
        <f>IF(ISBLANK('Data Entry'!`912), "", 'Data Entry'!`912)</f>
      </c>
      <c r="AG912">
        <f>IF(ISBLANK('Data Entry'!a912), "", 'Data Entry'!a912)</f>
      </c>
      <c r="AH912">
        <f>IF(ISBLANK('Data Entry'!b912), "", 'Data Entry'!b912)</f>
      </c>
      <c r="AI912">
        <f>IF(ISBLANK('Data Entry'!c912), "", 'Data Entry'!c912)</f>
      </c>
      <c r="AJ912">
        <f>IF(ISBLANK('Data Entry'!d912), "", 'Data Entry'!d912)</f>
      </c>
      <c r="AK912">
        <f>IF(ISBLANK('Data Entry'!e912), "", 'Data Entry'!e912)</f>
      </c>
      <c r="AL912">
        <f>IF(ISBLANK('Data Entry'!f912), "", 'Data Entry'!f912)</f>
      </c>
      <c r="AM912">
        <f>IF(ISBLANK('Data Entry'!g912), "", 'Data Entry'!g912)</f>
      </c>
      <c r="AN912">
        <f>IF(ISBLANK('Data Entry'!h912), "", 'Data Entry'!h912)</f>
      </c>
    </row>
    <row r="913" spans="1:40" x14ac:dyDescent="0.25">
      <c r="A913">
        <f>IF(ISBLANK('Data Entry'!A913), "", 'Data Entry'!A913)</f>
      </c>
      <c r="B913">
        <f>IF(ISBLANK('Data Entry'!B913), "", 'Data Entry'!B913)</f>
      </c>
      <c r="C913">
        <f>IF(ISBLANK('Data Entry'!C913), "", 'Data Entry'!C913)</f>
      </c>
      <c r="D913">
        <f>IF(ISBLANK('Data Entry'!D913), "", 'Data Entry'!D913)</f>
      </c>
      <c r="E913">
        <f>IF(ISBLANK('Data Entry'!E913), "", 'Data Entry'!E913)</f>
      </c>
      <c r="F913">
        <f>IF(ISBLANK('Data Entry'!F913), "", 'Data Entry'!F913)</f>
      </c>
      <c r="G913">
        <f>IF(ISBLANK('Data Entry'!G913), "", 'Data Entry'!G913)</f>
      </c>
      <c r="H913">
        <f>IF(ISBLANK('Data Entry'!H913), "", 'Data Entry'!H913)</f>
      </c>
      <c r="I913">
        <f>IF(ISBLANK('Data Entry'!I913), "", 'Data Entry'!I913)</f>
      </c>
      <c r="J913">
        <f>IF(ISBLANK('Data Entry'!J913), "", 'Data Entry'!J913)</f>
      </c>
      <c r="K913">
        <f>IF(ISBLANK('Data Entry'!K913), "", 'Data Entry'!K913)</f>
      </c>
      <c r="L913">
        <f>IF(ISBLANK('Data Entry'!L913), "", 'Data Entry'!L913)</f>
      </c>
      <c r="M913">
        <f>IF(ISBLANK('Data Entry'!M913), "", 'Data Entry'!M913)</f>
      </c>
      <c r="N913">
        <f>IF(ISBLANK('Data Entry'!N913), "", 'Data Entry'!N913)</f>
      </c>
      <c r="O913">
        <f>IF(ISBLANK('Data Entry'!O913), "", 'Data Entry'!O913)</f>
      </c>
      <c r="P913">
        <f>IF(ISBLANK('Data Entry'!P913), "", 'Data Entry'!P913)</f>
      </c>
      <c r="Q913">
        <f>IF(ISBLANK('Data Entry'!Q913), "", 'Data Entry'!Q913)</f>
      </c>
      <c r="R913">
        <f>IF(ISBLANK('Data Entry'!R913), "", 'Data Entry'!R913)</f>
      </c>
      <c r="S913">
        <f>IF(ISBLANK('Data Entry'!S913), "", 'Data Entry'!S913)</f>
      </c>
      <c r="T913">
        <f>IF(ISBLANK('Data Entry'!T913), "", 'Data Entry'!T913)</f>
      </c>
      <c r="U913">
        <f>IF(ISBLANK('Data Entry'!U913), "", 'Data Entry'!U913)</f>
      </c>
      <c r="V913">
        <f>IF(ISBLANK('Data Entry'!V913), "", 'Data Entry'!V913)</f>
      </c>
      <c r="W913">
        <f>IF(ISBLANK('Data Entry'!W913), "", 'Data Entry'!W913)</f>
      </c>
      <c r="X913">
        <f>IF(ISBLANK('Data Entry'!X913), "", 'Data Entry'!X913)</f>
      </c>
      <c r="Y913">
        <f>IF(ISBLANK('Data Entry'!Y913), "", 'Data Entry'!Y913)</f>
      </c>
      <c r="Z913">
        <f>IF(ISBLANK('Data Entry'!Z913), "", 'Data Entry'!Z913)</f>
      </c>
      <c r="AA913">
        <f>IF(ISBLANK('Data Entry'![913), "", 'Data Entry'![913)</f>
      </c>
      <c r="AB913">
        <f>IF(ISBLANK('Data Entry'!\913), "", 'Data Entry'!\913)</f>
      </c>
      <c r="AC913">
        <f>IF(ISBLANK('Data Entry'!]913), "", 'Data Entry'!]913)</f>
      </c>
      <c r="AD913">
        <f>IF(ISBLANK('Data Entry'!^913), "", 'Data Entry'!^913)</f>
      </c>
      <c r="AE913">
        <f>IF(ISBLANK('Data Entry'!_913), "", 'Data Entry'!_913)</f>
      </c>
      <c r="AF913">
        <f>IF(ISBLANK('Data Entry'!`913), "", 'Data Entry'!`913)</f>
      </c>
      <c r="AG913">
        <f>IF(ISBLANK('Data Entry'!a913), "", 'Data Entry'!a913)</f>
      </c>
      <c r="AH913">
        <f>IF(ISBLANK('Data Entry'!b913), "", 'Data Entry'!b913)</f>
      </c>
      <c r="AI913">
        <f>IF(ISBLANK('Data Entry'!c913), "", 'Data Entry'!c913)</f>
      </c>
      <c r="AJ913">
        <f>IF(ISBLANK('Data Entry'!d913), "", 'Data Entry'!d913)</f>
      </c>
      <c r="AK913">
        <f>IF(ISBLANK('Data Entry'!e913), "", 'Data Entry'!e913)</f>
      </c>
      <c r="AL913">
        <f>IF(ISBLANK('Data Entry'!f913), "", 'Data Entry'!f913)</f>
      </c>
      <c r="AM913">
        <f>IF(ISBLANK('Data Entry'!g913), "", 'Data Entry'!g913)</f>
      </c>
      <c r="AN913">
        <f>IF(ISBLANK('Data Entry'!h913), "", 'Data Entry'!h913)</f>
      </c>
    </row>
    <row r="914" spans="1:40" x14ac:dyDescent="0.25">
      <c r="A914">
        <f>IF(ISBLANK('Data Entry'!A914), "", 'Data Entry'!A914)</f>
      </c>
      <c r="B914">
        <f>IF(ISBLANK('Data Entry'!B914), "", 'Data Entry'!B914)</f>
      </c>
      <c r="C914">
        <f>IF(ISBLANK('Data Entry'!C914), "", 'Data Entry'!C914)</f>
      </c>
      <c r="D914">
        <f>IF(ISBLANK('Data Entry'!D914), "", 'Data Entry'!D914)</f>
      </c>
      <c r="E914">
        <f>IF(ISBLANK('Data Entry'!E914), "", 'Data Entry'!E914)</f>
      </c>
      <c r="F914">
        <f>IF(ISBLANK('Data Entry'!F914), "", 'Data Entry'!F914)</f>
      </c>
      <c r="G914">
        <f>IF(ISBLANK('Data Entry'!G914), "", 'Data Entry'!G914)</f>
      </c>
      <c r="H914">
        <f>IF(ISBLANK('Data Entry'!H914), "", 'Data Entry'!H914)</f>
      </c>
      <c r="I914">
        <f>IF(ISBLANK('Data Entry'!I914), "", 'Data Entry'!I914)</f>
      </c>
      <c r="J914">
        <f>IF(ISBLANK('Data Entry'!J914), "", 'Data Entry'!J914)</f>
      </c>
      <c r="K914">
        <f>IF(ISBLANK('Data Entry'!K914), "", 'Data Entry'!K914)</f>
      </c>
      <c r="L914">
        <f>IF(ISBLANK('Data Entry'!L914), "", 'Data Entry'!L914)</f>
      </c>
      <c r="M914">
        <f>IF(ISBLANK('Data Entry'!M914), "", 'Data Entry'!M914)</f>
      </c>
      <c r="N914">
        <f>IF(ISBLANK('Data Entry'!N914), "", 'Data Entry'!N914)</f>
      </c>
      <c r="O914">
        <f>IF(ISBLANK('Data Entry'!O914), "", 'Data Entry'!O914)</f>
      </c>
      <c r="P914">
        <f>IF(ISBLANK('Data Entry'!P914), "", 'Data Entry'!P914)</f>
      </c>
      <c r="Q914">
        <f>IF(ISBLANK('Data Entry'!Q914), "", 'Data Entry'!Q914)</f>
      </c>
      <c r="R914">
        <f>IF(ISBLANK('Data Entry'!R914), "", 'Data Entry'!R914)</f>
      </c>
      <c r="S914">
        <f>IF(ISBLANK('Data Entry'!S914), "", 'Data Entry'!S914)</f>
      </c>
      <c r="T914">
        <f>IF(ISBLANK('Data Entry'!T914), "", 'Data Entry'!T914)</f>
      </c>
      <c r="U914">
        <f>IF(ISBLANK('Data Entry'!U914), "", 'Data Entry'!U914)</f>
      </c>
      <c r="V914">
        <f>IF(ISBLANK('Data Entry'!V914), "", 'Data Entry'!V914)</f>
      </c>
      <c r="W914">
        <f>IF(ISBLANK('Data Entry'!W914), "", 'Data Entry'!W914)</f>
      </c>
      <c r="X914">
        <f>IF(ISBLANK('Data Entry'!X914), "", 'Data Entry'!X914)</f>
      </c>
      <c r="Y914">
        <f>IF(ISBLANK('Data Entry'!Y914), "", 'Data Entry'!Y914)</f>
      </c>
      <c r="Z914">
        <f>IF(ISBLANK('Data Entry'!Z914), "", 'Data Entry'!Z914)</f>
      </c>
      <c r="AA914">
        <f>IF(ISBLANK('Data Entry'![914), "", 'Data Entry'![914)</f>
      </c>
      <c r="AB914">
        <f>IF(ISBLANK('Data Entry'!\914), "", 'Data Entry'!\914)</f>
      </c>
      <c r="AC914">
        <f>IF(ISBLANK('Data Entry'!]914), "", 'Data Entry'!]914)</f>
      </c>
      <c r="AD914">
        <f>IF(ISBLANK('Data Entry'!^914), "", 'Data Entry'!^914)</f>
      </c>
      <c r="AE914">
        <f>IF(ISBLANK('Data Entry'!_914), "", 'Data Entry'!_914)</f>
      </c>
      <c r="AF914">
        <f>IF(ISBLANK('Data Entry'!`914), "", 'Data Entry'!`914)</f>
      </c>
      <c r="AG914">
        <f>IF(ISBLANK('Data Entry'!a914), "", 'Data Entry'!a914)</f>
      </c>
      <c r="AH914">
        <f>IF(ISBLANK('Data Entry'!b914), "", 'Data Entry'!b914)</f>
      </c>
      <c r="AI914">
        <f>IF(ISBLANK('Data Entry'!c914), "", 'Data Entry'!c914)</f>
      </c>
      <c r="AJ914">
        <f>IF(ISBLANK('Data Entry'!d914), "", 'Data Entry'!d914)</f>
      </c>
      <c r="AK914">
        <f>IF(ISBLANK('Data Entry'!e914), "", 'Data Entry'!e914)</f>
      </c>
      <c r="AL914">
        <f>IF(ISBLANK('Data Entry'!f914), "", 'Data Entry'!f914)</f>
      </c>
      <c r="AM914">
        <f>IF(ISBLANK('Data Entry'!g914), "", 'Data Entry'!g914)</f>
      </c>
      <c r="AN914">
        <f>IF(ISBLANK('Data Entry'!h914), "", 'Data Entry'!h914)</f>
      </c>
    </row>
    <row r="915" spans="1:40" x14ac:dyDescent="0.25">
      <c r="A915">
        <f>IF(ISBLANK('Data Entry'!A915), "", 'Data Entry'!A915)</f>
      </c>
      <c r="B915">
        <f>IF(ISBLANK('Data Entry'!B915), "", 'Data Entry'!B915)</f>
      </c>
      <c r="C915">
        <f>IF(ISBLANK('Data Entry'!C915), "", 'Data Entry'!C915)</f>
      </c>
      <c r="D915">
        <f>IF(ISBLANK('Data Entry'!D915), "", 'Data Entry'!D915)</f>
      </c>
      <c r="E915">
        <f>IF(ISBLANK('Data Entry'!E915), "", 'Data Entry'!E915)</f>
      </c>
      <c r="F915">
        <f>IF(ISBLANK('Data Entry'!F915), "", 'Data Entry'!F915)</f>
      </c>
      <c r="G915">
        <f>IF(ISBLANK('Data Entry'!G915), "", 'Data Entry'!G915)</f>
      </c>
      <c r="H915">
        <f>IF(ISBLANK('Data Entry'!H915), "", 'Data Entry'!H915)</f>
      </c>
      <c r="I915">
        <f>IF(ISBLANK('Data Entry'!I915), "", 'Data Entry'!I915)</f>
      </c>
      <c r="J915">
        <f>IF(ISBLANK('Data Entry'!J915), "", 'Data Entry'!J915)</f>
      </c>
      <c r="K915">
        <f>IF(ISBLANK('Data Entry'!K915), "", 'Data Entry'!K915)</f>
      </c>
      <c r="L915">
        <f>IF(ISBLANK('Data Entry'!L915), "", 'Data Entry'!L915)</f>
      </c>
      <c r="M915">
        <f>IF(ISBLANK('Data Entry'!M915), "", 'Data Entry'!M915)</f>
      </c>
      <c r="N915">
        <f>IF(ISBLANK('Data Entry'!N915), "", 'Data Entry'!N915)</f>
      </c>
      <c r="O915">
        <f>IF(ISBLANK('Data Entry'!O915), "", 'Data Entry'!O915)</f>
      </c>
      <c r="P915">
        <f>IF(ISBLANK('Data Entry'!P915), "", 'Data Entry'!P915)</f>
      </c>
      <c r="Q915">
        <f>IF(ISBLANK('Data Entry'!Q915), "", 'Data Entry'!Q915)</f>
      </c>
      <c r="R915">
        <f>IF(ISBLANK('Data Entry'!R915), "", 'Data Entry'!R915)</f>
      </c>
      <c r="S915">
        <f>IF(ISBLANK('Data Entry'!S915), "", 'Data Entry'!S915)</f>
      </c>
      <c r="T915">
        <f>IF(ISBLANK('Data Entry'!T915), "", 'Data Entry'!T915)</f>
      </c>
      <c r="U915">
        <f>IF(ISBLANK('Data Entry'!U915), "", 'Data Entry'!U915)</f>
      </c>
      <c r="V915">
        <f>IF(ISBLANK('Data Entry'!V915), "", 'Data Entry'!V915)</f>
      </c>
      <c r="W915">
        <f>IF(ISBLANK('Data Entry'!W915), "", 'Data Entry'!W915)</f>
      </c>
      <c r="X915">
        <f>IF(ISBLANK('Data Entry'!X915), "", 'Data Entry'!X915)</f>
      </c>
      <c r="Y915">
        <f>IF(ISBLANK('Data Entry'!Y915), "", 'Data Entry'!Y915)</f>
      </c>
      <c r="Z915">
        <f>IF(ISBLANK('Data Entry'!Z915), "", 'Data Entry'!Z915)</f>
      </c>
      <c r="AA915">
        <f>IF(ISBLANK('Data Entry'![915), "", 'Data Entry'![915)</f>
      </c>
      <c r="AB915">
        <f>IF(ISBLANK('Data Entry'!\915), "", 'Data Entry'!\915)</f>
      </c>
      <c r="AC915">
        <f>IF(ISBLANK('Data Entry'!]915), "", 'Data Entry'!]915)</f>
      </c>
      <c r="AD915">
        <f>IF(ISBLANK('Data Entry'!^915), "", 'Data Entry'!^915)</f>
      </c>
      <c r="AE915">
        <f>IF(ISBLANK('Data Entry'!_915), "", 'Data Entry'!_915)</f>
      </c>
      <c r="AF915">
        <f>IF(ISBLANK('Data Entry'!`915), "", 'Data Entry'!`915)</f>
      </c>
      <c r="AG915">
        <f>IF(ISBLANK('Data Entry'!a915), "", 'Data Entry'!a915)</f>
      </c>
      <c r="AH915">
        <f>IF(ISBLANK('Data Entry'!b915), "", 'Data Entry'!b915)</f>
      </c>
      <c r="AI915">
        <f>IF(ISBLANK('Data Entry'!c915), "", 'Data Entry'!c915)</f>
      </c>
      <c r="AJ915">
        <f>IF(ISBLANK('Data Entry'!d915), "", 'Data Entry'!d915)</f>
      </c>
      <c r="AK915">
        <f>IF(ISBLANK('Data Entry'!e915), "", 'Data Entry'!e915)</f>
      </c>
      <c r="AL915">
        <f>IF(ISBLANK('Data Entry'!f915), "", 'Data Entry'!f915)</f>
      </c>
      <c r="AM915">
        <f>IF(ISBLANK('Data Entry'!g915), "", 'Data Entry'!g915)</f>
      </c>
      <c r="AN915">
        <f>IF(ISBLANK('Data Entry'!h915), "", 'Data Entry'!h915)</f>
      </c>
    </row>
    <row r="916" spans="1:40" x14ac:dyDescent="0.25">
      <c r="A916">
        <f>IF(ISBLANK('Data Entry'!A916), "", 'Data Entry'!A916)</f>
      </c>
      <c r="B916">
        <f>IF(ISBLANK('Data Entry'!B916), "", 'Data Entry'!B916)</f>
      </c>
      <c r="C916">
        <f>IF(ISBLANK('Data Entry'!C916), "", 'Data Entry'!C916)</f>
      </c>
      <c r="D916">
        <f>IF(ISBLANK('Data Entry'!D916), "", 'Data Entry'!D916)</f>
      </c>
      <c r="E916">
        <f>IF(ISBLANK('Data Entry'!E916), "", 'Data Entry'!E916)</f>
      </c>
      <c r="F916">
        <f>IF(ISBLANK('Data Entry'!F916), "", 'Data Entry'!F916)</f>
      </c>
      <c r="G916">
        <f>IF(ISBLANK('Data Entry'!G916), "", 'Data Entry'!G916)</f>
      </c>
      <c r="H916">
        <f>IF(ISBLANK('Data Entry'!H916), "", 'Data Entry'!H916)</f>
      </c>
      <c r="I916">
        <f>IF(ISBLANK('Data Entry'!I916), "", 'Data Entry'!I916)</f>
      </c>
      <c r="J916">
        <f>IF(ISBLANK('Data Entry'!J916), "", 'Data Entry'!J916)</f>
      </c>
      <c r="K916">
        <f>IF(ISBLANK('Data Entry'!K916), "", 'Data Entry'!K916)</f>
      </c>
      <c r="L916">
        <f>IF(ISBLANK('Data Entry'!L916), "", 'Data Entry'!L916)</f>
      </c>
      <c r="M916">
        <f>IF(ISBLANK('Data Entry'!M916), "", 'Data Entry'!M916)</f>
      </c>
      <c r="N916">
        <f>IF(ISBLANK('Data Entry'!N916), "", 'Data Entry'!N916)</f>
      </c>
      <c r="O916">
        <f>IF(ISBLANK('Data Entry'!O916), "", 'Data Entry'!O916)</f>
      </c>
      <c r="P916">
        <f>IF(ISBLANK('Data Entry'!P916), "", 'Data Entry'!P916)</f>
      </c>
      <c r="Q916">
        <f>IF(ISBLANK('Data Entry'!Q916), "", 'Data Entry'!Q916)</f>
      </c>
      <c r="R916">
        <f>IF(ISBLANK('Data Entry'!R916), "", 'Data Entry'!R916)</f>
      </c>
      <c r="S916">
        <f>IF(ISBLANK('Data Entry'!S916), "", 'Data Entry'!S916)</f>
      </c>
      <c r="T916">
        <f>IF(ISBLANK('Data Entry'!T916), "", 'Data Entry'!T916)</f>
      </c>
      <c r="U916">
        <f>IF(ISBLANK('Data Entry'!U916), "", 'Data Entry'!U916)</f>
      </c>
      <c r="V916">
        <f>IF(ISBLANK('Data Entry'!V916), "", 'Data Entry'!V916)</f>
      </c>
      <c r="W916">
        <f>IF(ISBLANK('Data Entry'!W916), "", 'Data Entry'!W916)</f>
      </c>
      <c r="X916">
        <f>IF(ISBLANK('Data Entry'!X916), "", 'Data Entry'!X916)</f>
      </c>
      <c r="Y916">
        <f>IF(ISBLANK('Data Entry'!Y916), "", 'Data Entry'!Y916)</f>
      </c>
      <c r="Z916">
        <f>IF(ISBLANK('Data Entry'!Z916), "", 'Data Entry'!Z916)</f>
      </c>
      <c r="AA916">
        <f>IF(ISBLANK('Data Entry'![916), "", 'Data Entry'![916)</f>
      </c>
      <c r="AB916">
        <f>IF(ISBLANK('Data Entry'!\916), "", 'Data Entry'!\916)</f>
      </c>
      <c r="AC916">
        <f>IF(ISBLANK('Data Entry'!]916), "", 'Data Entry'!]916)</f>
      </c>
      <c r="AD916">
        <f>IF(ISBLANK('Data Entry'!^916), "", 'Data Entry'!^916)</f>
      </c>
      <c r="AE916">
        <f>IF(ISBLANK('Data Entry'!_916), "", 'Data Entry'!_916)</f>
      </c>
      <c r="AF916">
        <f>IF(ISBLANK('Data Entry'!`916), "", 'Data Entry'!`916)</f>
      </c>
      <c r="AG916">
        <f>IF(ISBLANK('Data Entry'!a916), "", 'Data Entry'!a916)</f>
      </c>
      <c r="AH916">
        <f>IF(ISBLANK('Data Entry'!b916), "", 'Data Entry'!b916)</f>
      </c>
      <c r="AI916">
        <f>IF(ISBLANK('Data Entry'!c916), "", 'Data Entry'!c916)</f>
      </c>
      <c r="AJ916">
        <f>IF(ISBLANK('Data Entry'!d916), "", 'Data Entry'!d916)</f>
      </c>
      <c r="AK916">
        <f>IF(ISBLANK('Data Entry'!e916), "", 'Data Entry'!e916)</f>
      </c>
      <c r="AL916">
        <f>IF(ISBLANK('Data Entry'!f916), "", 'Data Entry'!f916)</f>
      </c>
      <c r="AM916">
        <f>IF(ISBLANK('Data Entry'!g916), "", 'Data Entry'!g916)</f>
      </c>
      <c r="AN916">
        <f>IF(ISBLANK('Data Entry'!h916), "", 'Data Entry'!h916)</f>
      </c>
    </row>
    <row r="917" spans="1:40" x14ac:dyDescent="0.25">
      <c r="A917">
        <f>IF(ISBLANK('Data Entry'!A917), "", 'Data Entry'!A917)</f>
      </c>
      <c r="B917">
        <f>IF(ISBLANK('Data Entry'!B917), "", 'Data Entry'!B917)</f>
      </c>
      <c r="C917">
        <f>IF(ISBLANK('Data Entry'!C917), "", 'Data Entry'!C917)</f>
      </c>
      <c r="D917">
        <f>IF(ISBLANK('Data Entry'!D917), "", 'Data Entry'!D917)</f>
      </c>
      <c r="E917">
        <f>IF(ISBLANK('Data Entry'!E917), "", 'Data Entry'!E917)</f>
      </c>
      <c r="F917">
        <f>IF(ISBLANK('Data Entry'!F917), "", 'Data Entry'!F917)</f>
      </c>
      <c r="G917">
        <f>IF(ISBLANK('Data Entry'!G917), "", 'Data Entry'!G917)</f>
      </c>
      <c r="H917">
        <f>IF(ISBLANK('Data Entry'!H917), "", 'Data Entry'!H917)</f>
      </c>
      <c r="I917">
        <f>IF(ISBLANK('Data Entry'!I917), "", 'Data Entry'!I917)</f>
      </c>
      <c r="J917">
        <f>IF(ISBLANK('Data Entry'!J917), "", 'Data Entry'!J917)</f>
      </c>
      <c r="K917">
        <f>IF(ISBLANK('Data Entry'!K917), "", 'Data Entry'!K917)</f>
      </c>
      <c r="L917">
        <f>IF(ISBLANK('Data Entry'!L917), "", 'Data Entry'!L917)</f>
      </c>
      <c r="M917">
        <f>IF(ISBLANK('Data Entry'!M917), "", 'Data Entry'!M917)</f>
      </c>
      <c r="N917">
        <f>IF(ISBLANK('Data Entry'!N917), "", 'Data Entry'!N917)</f>
      </c>
      <c r="O917">
        <f>IF(ISBLANK('Data Entry'!O917), "", 'Data Entry'!O917)</f>
      </c>
      <c r="P917">
        <f>IF(ISBLANK('Data Entry'!P917), "", 'Data Entry'!P917)</f>
      </c>
      <c r="Q917">
        <f>IF(ISBLANK('Data Entry'!Q917), "", 'Data Entry'!Q917)</f>
      </c>
      <c r="R917">
        <f>IF(ISBLANK('Data Entry'!R917), "", 'Data Entry'!R917)</f>
      </c>
      <c r="S917">
        <f>IF(ISBLANK('Data Entry'!S917), "", 'Data Entry'!S917)</f>
      </c>
      <c r="T917">
        <f>IF(ISBLANK('Data Entry'!T917), "", 'Data Entry'!T917)</f>
      </c>
      <c r="U917">
        <f>IF(ISBLANK('Data Entry'!U917), "", 'Data Entry'!U917)</f>
      </c>
      <c r="V917">
        <f>IF(ISBLANK('Data Entry'!V917), "", 'Data Entry'!V917)</f>
      </c>
      <c r="W917">
        <f>IF(ISBLANK('Data Entry'!W917), "", 'Data Entry'!W917)</f>
      </c>
      <c r="X917">
        <f>IF(ISBLANK('Data Entry'!X917), "", 'Data Entry'!X917)</f>
      </c>
      <c r="Y917">
        <f>IF(ISBLANK('Data Entry'!Y917), "", 'Data Entry'!Y917)</f>
      </c>
      <c r="Z917">
        <f>IF(ISBLANK('Data Entry'!Z917), "", 'Data Entry'!Z917)</f>
      </c>
      <c r="AA917">
        <f>IF(ISBLANK('Data Entry'![917), "", 'Data Entry'![917)</f>
      </c>
      <c r="AB917">
        <f>IF(ISBLANK('Data Entry'!\917), "", 'Data Entry'!\917)</f>
      </c>
      <c r="AC917">
        <f>IF(ISBLANK('Data Entry'!]917), "", 'Data Entry'!]917)</f>
      </c>
      <c r="AD917">
        <f>IF(ISBLANK('Data Entry'!^917), "", 'Data Entry'!^917)</f>
      </c>
      <c r="AE917">
        <f>IF(ISBLANK('Data Entry'!_917), "", 'Data Entry'!_917)</f>
      </c>
      <c r="AF917">
        <f>IF(ISBLANK('Data Entry'!`917), "", 'Data Entry'!`917)</f>
      </c>
      <c r="AG917">
        <f>IF(ISBLANK('Data Entry'!a917), "", 'Data Entry'!a917)</f>
      </c>
      <c r="AH917">
        <f>IF(ISBLANK('Data Entry'!b917), "", 'Data Entry'!b917)</f>
      </c>
      <c r="AI917">
        <f>IF(ISBLANK('Data Entry'!c917), "", 'Data Entry'!c917)</f>
      </c>
      <c r="AJ917">
        <f>IF(ISBLANK('Data Entry'!d917), "", 'Data Entry'!d917)</f>
      </c>
      <c r="AK917">
        <f>IF(ISBLANK('Data Entry'!e917), "", 'Data Entry'!e917)</f>
      </c>
      <c r="AL917">
        <f>IF(ISBLANK('Data Entry'!f917), "", 'Data Entry'!f917)</f>
      </c>
      <c r="AM917">
        <f>IF(ISBLANK('Data Entry'!g917), "", 'Data Entry'!g917)</f>
      </c>
      <c r="AN917">
        <f>IF(ISBLANK('Data Entry'!h917), "", 'Data Entry'!h917)</f>
      </c>
    </row>
    <row r="918" spans="1:40" x14ac:dyDescent="0.25">
      <c r="A918">
        <f>IF(ISBLANK('Data Entry'!A918), "", 'Data Entry'!A918)</f>
      </c>
      <c r="B918">
        <f>IF(ISBLANK('Data Entry'!B918), "", 'Data Entry'!B918)</f>
      </c>
      <c r="C918">
        <f>IF(ISBLANK('Data Entry'!C918), "", 'Data Entry'!C918)</f>
      </c>
      <c r="D918">
        <f>IF(ISBLANK('Data Entry'!D918), "", 'Data Entry'!D918)</f>
      </c>
      <c r="E918">
        <f>IF(ISBLANK('Data Entry'!E918), "", 'Data Entry'!E918)</f>
      </c>
      <c r="F918">
        <f>IF(ISBLANK('Data Entry'!F918), "", 'Data Entry'!F918)</f>
      </c>
      <c r="G918">
        <f>IF(ISBLANK('Data Entry'!G918), "", 'Data Entry'!G918)</f>
      </c>
      <c r="H918">
        <f>IF(ISBLANK('Data Entry'!H918), "", 'Data Entry'!H918)</f>
      </c>
      <c r="I918">
        <f>IF(ISBLANK('Data Entry'!I918), "", 'Data Entry'!I918)</f>
      </c>
      <c r="J918">
        <f>IF(ISBLANK('Data Entry'!J918), "", 'Data Entry'!J918)</f>
      </c>
      <c r="K918">
        <f>IF(ISBLANK('Data Entry'!K918), "", 'Data Entry'!K918)</f>
      </c>
      <c r="L918">
        <f>IF(ISBLANK('Data Entry'!L918), "", 'Data Entry'!L918)</f>
      </c>
      <c r="M918">
        <f>IF(ISBLANK('Data Entry'!M918), "", 'Data Entry'!M918)</f>
      </c>
      <c r="N918">
        <f>IF(ISBLANK('Data Entry'!N918), "", 'Data Entry'!N918)</f>
      </c>
      <c r="O918">
        <f>IF(ISBLANK('Data Entry'!O918), "", 'Data Entry'!O918)</f>
      </c>
      <c r="P918">
        <f>IF(ISBLANK('Data Entry'!P918), "", 'Data Entry'!P918)</f>
      </c>
      <c r="Q918">
        <f>IF(ISBLANK('Data Entry'!Q918), "", 'Data Entry'!Q918)</f>
      </c>
      <c r="R918">
        <f>IF(ISBLANK('Data Entry'!R918), "", 'Data Entry'!R918)</f>
      </c>
      <c r="S918">
        <f>IF(ISBLANK('Data Entry'!S918), "", 'Data Entry'!S918)</f>
      </c>
      <c r="T918">
        <f>IF(ISBLANK('Data Entry'!T918), "", 'Data Entry'!T918)</f>
      </c>
      <c r="U918">
        <f>IF(ISBLANK('Data Entry'!U918), "", 'Data Entry'!U918)</f>
      </c>
      <c r="V918">
        <f>IF(ISBLANK('Data Entry'!V918), "", 'Data Entry'!V918)</f>
      </c>
      <c r="W918">
        <f>IF(ISBLANK('Data Entry'!W918), "", 'Data Entry'!W918)</f>
      </c>
      <c r="X918">
        <f>IF(ISBLANK('Data Entry'!X918), "", 'Data Entry'!X918)</f>
      </c>
      <c r="Y918">
        <f>IF(ISBLANK('Data Entry'!Y918), "", 'Data Entry'!Y918)</f>
      </c>
      <c r="Z918">
        <f>IF(ISBLANK('Data Entry'!Z918), "", 'Data Entry'!Z918)</f>
      </c>
      <c r="AA918">
        <f>IF(ISBLANK('Data Entry'![918), "", 'Data Entry'![918)</f>
      </c>
      <c r="AB918">
        <f>IF(ISBLANK('Data Entry'!\918), "", 'Data Entry'!\918)</f>
      </c>
      <c r="AC918">
        <f>IF(ISBLANK('Data Entry'!]918), "", 'Data Entry'!]918)</f>
      </c>
      <c r="AD918">
        <f>IF(ISBLANK('Data Entry'!^918), "", 'Data Entry'!^918)</f>
      </c>
      <c r="AE918">
        <f>IF(ISBLANK('Data Entry'!_918), "", 'Data Entry'!_918)</f>
      </c>
      <c r="AF918">
        <f>IF(ISBLANK('Data Entry'!`918), "", 'Data Entry'!`918)</f>
      </c>
      <c r="AG918">
        <f>IF(ISBLANK('Data Entry'!a918), "", 'Data Entry'!a918)</f>
      </c>
      <c r="AH918">
        <f>IF(ISBLANK('Data Entry'!b918), "", 'Data Entry'!b918)</f>
      </c>
      <c r="AI918">
        <f>IF(ISBLANK('Data Entry'!c918), "", 'Data Entry'!c918)</f>
      </c>
      <c r="AJ918">
        <f>IF(ISBLANK('Data Entry'!d918), "", 'Data Entry'!d918)</f>
      </c>
      <c r="AK918">
        <f>IF(ISBLANK('Data Entry'!e918), "", 'Data Entry'!e918)</f>
      </c>
      <c r="AL918">
        <f>IF(ISBLANK('Data Entry'!f918), "", 'Data Entry'!f918)</f>
      </c>
      <c r="AM918">
        <f>IF(ISBLANK('Data Entry'!g918), "", 'Data Entry'!g918)</f>
      </c>
      <c r="AN918">
        <f>IF(ISBLANK('Data Entry'!h918), "", 'Data Entry'!h918)</f>
      </c>
    </row>
    <row r="919" spans="1:40" x14ac:dyDescent="0.25">
      <c r="A919">
        <f>IF(ISBLANK('Data Entry'!A919), "", 'Data Entry'!A919)</f>
      </c>
      <c r="B919">
        <f>IF(ISBLANK('Data Entry'!B919), "", 'Data Entry'!B919)</f>
      </c>
      <c r="C919">
        <f>IF(ISBLANK('Data Entry'!C919), "", 'Data Entry'!C919)</f>
      </c>
      <c r="D919">
        <f>IF(ISBLANK('Data Entry'!D919), "", 'Data Entry'!D919)</f>
      </c>
      <c r="E919">
        <f>IF(ISBLANK('Data Entry'!E919), "", 'Data Entry'!E919)</f>
      </c>
      <c r="F919">
        <f>IF(ISBLANK('Data Entry'!F919), "", 'Data Entry'!F919)</f>
      </c>
      <c r="G919">
        <f>IF(ISBLANK('Data Entry'!G919), "", 'Data Entry'!G919)</f>
      </c>
      <c r="H919">
        <f>IF(ISBLANK('Data Entry'!H919), "", 'Data Entry'!H919)</f>
      </c>
      <c r="I919">
        <f>IF(ISBLANK('Data Entry'!I919), "", 'Data Entry'!I919)</f>
      </c>
      <c r="J919">
        <f>IF(ISBLANK('Data Entry'!J919), "", 'Data Entry'!J919)</f>
      </c>
      <c r="K919">
        <f>IF(ISBLANK('Data Entry'!K919), "", 'Data Entry'!K919)</f>
      </c>
      <c r="L919">
        <f>IF(ISBLANK('Data Entry'!L919), "", 'Data Entry'!L919)</f>
      </c>
      <c r="M919">
        <f>IF(ISBLANK('Data Entry'!M919), "", 'Data Entry'!M919)</f>
      </c>
      <c r="N919">
        <f>IF(ISBLANK('Data Entry'!N919), "", 'Data Entry'!N919)</f>
      </c>
      <c r="O919">
        <f>IF(ISBLANK('Data Entry'!O919), "", 'Data Entry'!O919)</f>
      </c>
      <c r="P919">
        <f>IF(ISBLANK('Data Entry'!P919), "", 'Data Entry'!P919)</f>
      </c>
      <c r="Q919">
        <f>IF(ISBLANK('Data Entry'!Q919), "", 'Data Entry'!Q919)</f>
      </c>
      <c r="R919">
        <f>IF(ISBLANK('Data Entry'!R919), "", 'Data Entry'!R919)</f>
      </c>
      <c r="S919">
        <f>IF(ISBLANK('Data Entry'!S919), "", 'Data Entry'!S919)</f>
      </c>
      <c r="T919">
        <f>IF(ISBLANK('Data Entry'!T919), "", 'Data Entry'!T919)</f>
      </c>
      <c r="U919">
        <f>IF(ISBLANK('Data Entry'!U919), "", 'Data Entry'!U919)</f>
      </c>
      <c r="V919">
        <f>IF(ISBLANK('Data Entry'!V919), "", 'Data Entry'!V919)</f>
      </c>
      <c r="W919">
        <f>IF(ISBLANK('Data Entry'!W919), "", 'Data Entry'!W919)</f>
      </c>
      <c r="X919">
        <f>IF(ISBLANK('Data Entry'!X919), "", 'Data Entry'!X919)</f>
      </c>
      <c r="Y919">
        <f>IF(ISBLANK('Data Entry'!Y919), "", 'Data Entry'!Y919)</f>
      </c>
      <c r="Z919">
        <f>IF(ISBLANK('Data Entry'!Z919), "", 'Data Entry'!Z919)</f>
      </c>
      <c r="AA919">
        <f>IF(ISBLANK('Data Entry'![919), "", 'Data Entry'![919)</f>
      </c>
      <c r="AB919">
        <f>IF(ISBLANK('Data Entry'!\919), "", 'Data Entry'!\919)</f>
      </c>
      <c r="AC919">
        <f>IF(ISBLANK('Data Entry'!]919), "", 'Data Entry'!]919)</f>
      </c>
      <c r="AD919">
        <f>IF(ISBLANK('Data Entry'!^919), "", 'Data Entry'!^919)</f>
      </c>
      <c r="AE919">
        <f>IF(ISBLANK('Data Entry'!_919), "", 'Data Entry'!_919)</f>
      </c>
      <c r="AF919">
        <f>IF(ISBLANK('Data Entry'!`919), "", 'Data Entry'!`919)</f>
      </c>
      <c r="AG919">
        <f>IF(ISBLANK('Data Entry'!a919), "", 'Data Entry'!a919)</f>
      </c>
      <c r="AH919">
        <f>IF(ISBLANK('Data Entry'!b919), "", 'Data Entry'!b919)</f>
      </c>
      <c r="AI919">
        <f>IF(ISBLANK('Data Entry'!c919), "", 'Data Entry'!c919)</f>
      </c>
      <c r="AJ919">
        <f>IF(ISBLANK('Data Entry'!d919), "", 'Data Entry'!d919)</f>
      </c>
      <c r="AK919">
        <f>IF(ISBLANK('Data Entry'!e919), "", 'Data Entry'!e919)</f>
      </c>
      <c r="AL919">
        <f>IF(ISBLANK('Data Entry'!f919), "", 'Data Entry'!f919)</f>
      </c>
      <c r="AM919">
        <f>IF(ISBLANK('Data Entry'!g919), "", 'Data Entry'!g919)</f>
      </c>
      <c r="AN919">
        <f>IF(ISBLANK('Data Entry'!h919), "", 'Data Entry'!h919)</f>
      </c>
    </row>
    <row r="920" spans="1:40" x14ac:dyDescent="0.25">
      <c r="A920">
        <f>IF(ISBLANK('Data Entry'!A920), "", 'Data Entry'!A920)</f>
      </c>
      <c r="B920">
        <f>IF(ISBLANK('Data Entry'!B920), "", 'Data Entry'!B920)</f>
      </c>
      <c r="C920">
        <f>IF(ISBLANK('Data Entry'!C920), "", 'Data Entry'!C920)</f>
      </c>
      <c r="D920">
        <f>IF(ISBLANK('Data Entry'!D920), "", 'Data Entry'!D920)</f>
      </c>
      <c r="E920">
        <f>IF(ISBLANK('Data Entry'!E920), "", 'Data Entry'!E920)</f>
      </c>
      <c r="F920">
        <f>IF(ISBLANK('Data Entry'!F920), "", 'Data Entry'!F920)</f>
      </c>
      <c r="G920">
        <f>IF(ISBLANK('Data Entry'!G920), "", 'Data Entry'!G920)</f>
      </c>
      <c r="H920">
        <f>IF(ISBLANK('Data Entry'!H920), "", 'Data Entry'!H920)</f>
      </c>
      <c r="I920">
        <f>IF(ISBLANK('Data Entry'!I920), "", 'Data Entry'!I920)</f>
      </c>
      <c r="J920">
        <f>IF(ISBLANK('Data Entry'!J920), "", 'Data Entry'!J920)</f>
      </c>
      <c r="K920">
        <f>IF(ISBLANK('Data Entry'!K920), "", 'Data Entry'!K920)</f>
      </c>
      <c r="L920">
        <f>IF(ISBLANK('Data Entry'!L920), "", 'Data Entry'!L920)</f>
      </c>
      <c r="M920">
        <f>IF(ISBLANK('Data Entry'!M920), "", 'Data Entry'!M920)</f>
      </c>
      <c r="N920">
        <f>IF(ISBLANK('Data Entry'!N920), "", 'Data Entry'!N920)</f>
      </c>
      <c r="O920">
        <f>IF(ISBLANK('Data Entry'!O920), "", 'Data Entry'!O920)</f>
      </c>
      <c r="P920">
        <f>IF(ISBLANK('Data Entry'!P920), "", 'Data Entry'!P920)</f>
      </c>
      <c r="Q920">
        <f>IF(ISBLANK('Data Entry'!Q920), "", 'Data Entry'!Q920)</f>
      </c>
      <c r="R920">
        <f>IF(ISBLANK('Data Entry'!R920), "", 'Data Entry'!R920)</f>
      </c>
      <c r="S920">
        <f>IF(ISBLANK('Data Entry'!S920), "", 'Data Entry'!S920)</f>
      </c>
      <c r="T920">
        <f>IF(ISBLANK('Data Entry'!T920), "", 'Data Entry'!T920)</f>
      </c>
      <c r="U920">
        <f>IF(ISBLANK('Data Entry'!U920), "", 'Data Entry'!U920)</f>
      </c>
      <c r="V920">
        <f>IF(ISBLANK('Data Entry'!V920), "", 'Data Entry'!V920)</f>
      </c>
      <c r="W920">
        <f>IF(ISBLANK('Data Entry'!W920), "", 'Data Entry'!W920)</f>
      </c>
      <c r="X920">
        <f>IF(ISBLANK('Data Entry'!X920), "", 'Data Entry'!X920)</f>
      </c>
      <c r="Y920">
        <f>IF(ISBLANK('Data Entry'!Y920), "", 'Data Entry'!Y920)</f>
      </c>
      <c r="Z920">
        <f>IF(ISBLANK('Data Entry'!Z920), "", 'Data Entry'!Z920)</f>
      </c>
      <c r="AA920">
        <f>IF(ISBLANK('Data Entry'![920), "", 'Data Entry'![920)</f>
      </c>
      <c r="AB920">
        <f>IF(ISBLANK('Data Entry'!\920), "", 'Data Entry'!\920)</f>
      </c>
      <c r="AC920">
        <f>IF(ISBLANK('Data Entry'!]920), "", 'Data Entry'!]920)</f>
      </c>
      <c r="AD920">
        <f>IF(ISBLANK('Data Entry'!^920), "", 'Data Entry'!^920)</f>
      </c>
      <c r="AE920">
        <f>IF(ISBLANK('Data Entry'!_920), "", 'Data Entry'!_920)</f>
      </c>
      <c r="AF920">
        <f>IF(ISBLANK('Data Entry'!`920), "", 'Data Entry'!`920)</f>
      </c>
      <c r="AG920">
        <f>IF(ISBLANK('Data Entry'!a920), "", 'Data Entry'!a920)</f>
      </c>
      <c r="AH920">
        <f>IF(ISBLANK('Data Entry'!b920), "", 'Data Entry'!b920)</f>
      </c>
      <c r="AI920">
        <f>IF(ISBLANK('Data Entry'!c920), "", 'Data Entry'!c920)</f>
      </c>
      <c r="AJ920">
        <f>IF(ISBLANK('Data Entry'!d920), "", 'Data Entry'!d920)</f>
      </c>
      <c r="AK920">
        <f>IF(ISBLANK('Data Entry'!e920), "", 'Data Entry'!e920)</f>
      </c>
      <c r="AL920">
        <f>IF(ISBLANK('Data Entry'!f920), "", 'Data Entry'!f920)</f>
      </c>
      <c r="AM920">
        <f>IF(ISBLANK('Data Entry'!g920), "", 'Data Entry'!g920)</f>
      </c>
      <c r="AN920">
        <f>IF(ISBLANK('Data Entry'!h920), "", 'Data Entry'!h920)</f>
      </c>
    </row>
    <row r="921" spans="1:40" x14ac:dyDescent="0.25">
      <c r="A921">
        <f>IF(ISBLANK('Data Entry'!A921), "", 'Data Entry'!A921)</f>
      </c>
      <c r="B921">
        <f>IF(ISBLANK('Data Entry'!B921), "", 'Data Entry'!B921)</f>
      </c>
      <c r="C921">
        <f>IF(ISBLANK('Data Entry'!C921), "", 'Data Entry'!C921)</f>
      </c>
      <c r="D921">
        <f>IF(ISBLANK('Data Entry'!D921), "", 'Data Entry'!D921)</f>
      </c>
      <c r="E921">
        <f>IF(ISBLANK('Data Entry'!E921), "", 'Data Entry'!E921)</f>
      </c>
      <c r="F921">
        <f>IF(ISBLANK('Data Entry'!F921), "", 'Data Entry'!F921)</f>
      </c>
      <c r="G921">
        <f>IF(ISBLANK('Data Entry'!G921), "", 'Data Entry'!G921)</f>
      </c>
      <c r="H921">
        <f>IF(ISBLANK('Data Entry'!H921), "", 'Data Entry'!H921)</f>
      </c>
      <c r="I921">
        <f>IF(ISBLANK('Data Entry'!I921), "", 'Data Entry'!I921)</f>
      </c>
      <c r="J921">
        <f>IF(ISBLANK('Data Entry'!J921), "", 'Data Entry'!J921)</f>
      </c>
      <c r="K921">
        <f>IF(ISBLANK('Data Entry'!K921), "", 'Data Entry'!K921)</f>
      </c>
      <c r="L921">
        <f>IF(ISBLANK('Data Entry'!L921), "", 'Data Entry'!L921)</f>
      </c>
      <c r="M921">
        <f>IF(ISBLANK('Data Entry'!M921), "", 'Data Entry'!M921)</f>
      </c>
      <c r="N921">
        <f>IF(ISBLANK('Data Entry'!N921), "", 'Data Entry'!N921)</f>
      </c>
      <c r="O921">
        <f>IF(ISBLANK('Data Entry'!O921), "", 'Data Entry'!O921)</f>
      </c>
      <c r="P921">
        <f>IF(ISBLANK('Data Entry'!P921), "", 'Data Entry'!P921)</f>
      </c>
      <c r="Q921">
        <f>IF(ISBLANK('Data Entry'!Q921), "", 'Data Entry'!Q921)</f>
      </c>
      <c r="R921">
        <f>IF(ISBLANK('Data Entry'!R921), "", 'Data Entry'!R921)</f>
      </c>
      <c r="S921">
        <f>IF(ISBLANK('Data Entry'!S921), "", 'Data Entry'!S921)</f>
      </c>
      <c r="T921">
        <f>IF(ISBLANK('Data Entry'!T921), "", 'Data Entry'!T921)</f>
      </c>
      <c r="U921">
        <f>IF(ISBLANK('Data Entry'!U921), "", 'Data Entry'!U921)</f>
      </c>
      <c r="V921">
        <f>IF(ISBLANK('Data Entry'!V921), "", 'Data Entry'!V921)</f>
      </c>
      <c r="W921">
        <f>IF(ISBLANK('Data Entry'!W921), "", 'Data Entry'!W921)</f>
      </c>
      <c r="X921">
        <f>IF(ISBLANK('Data Entry'!X921), "", 'Data Entry'!X921)</f>
      </c>
      <c r="Y921">
        <f>IF(ISBLANK('Data Entry'!Y921), "", 'Data Entry'!Y921)</f>
      </c>
      <c r="Z921">
        <f>IF(ISBLANK('Data Entry'!Z921), "", 'Data Entry'!Z921)</f>
      </c>
      <c r="AA921">
        <f>IF(ISBLANK('Data Entry'![921), "", 'Data Entry'![921)</f>
      </c>
      <c r="AB921">
        <f>IF(ISBLANK('Data Entry'!\921), "", 'Data Entry'!\921)</f>
      </c>
      <c r="AC921">
        <f>IF(ISBLANK('Data Entry'!]921), "", 'Data Entry'!]921)</f>
      </c>
      <c r="AD921">
        <f>IF(ISBLANK('Data Entry'!^921), "", 'Data Entry'!^921)</f>
      </c>
      <c r="AE921">
        <f>IF(ISBLANK('Data Entry'!_921), "", 'Data Entry'!_921)</f>
      </c>
      <c r="AF921">
        <f>IF(ISBLANK('Data Entry'!`921), "", 'Data Entry'!`921)</f>
      </c>
      <c r="AG921">
        <f>IF(ISBLANK('Data Entry'!a921), "", 'Data Entry'!a921)</f>
      </c>
      <c r="AH921">
        <f>IF(ISBLANK('Data Entry'!b921), "", 'Data Entry'!b921)</f>
      </c>
      <c r="AI921">
        <f>IF(ISBLANK('Data Entry'!c921), "", 'Data Entry'!c921)</f>
      </c>
      <c r="AJ921">
        <f>IF(ISBLANK('Data Entry'!d921), "", 'Data Entry'!d921)</f>
      </c>
      <c r="AK921">
        <f>IF(ISBLANK('Data Entry'!e921), "", 'Data Entry'!e921)</f>
      </c>
      <c r="AL921">
        <f>IF(ISBLANK('Data Entry'!f921), "", 'Data Entry'!f921)</f>
      </c>
      <c r="AM921">
        <f>IF(ISBLANK('Data Entry'!g921), "", 'Data Entry'!g921)</f>
      </c>
      <c r="AN921">
        <f>IF(ISBLANK('Data Entry'!h921), "", 'Data Entry'!h921)</f>
      </c>
    </row>
    <row r="922" spans="1:40" x14ac:dyDescent="0.25">
      <c r="A922">
        <f>IF(ISBLANK('Data Entry'!A922), "", 'Data Entry'!A922)</f>
      </c>
      <c r="B922">
        <f>IF(ISBLANK('Data Entry'!B922), "", 'Data Entry'!B922)</f>
      </c>
      <c r="C922">
        <f>IF(ISBLANK('Data Entry'!C922), "", 'Data Entry'!C922)</f>
      </c>
      <c r="D922">
        <f>IF(ISBLANK('Data Entry'!D922), "", 'Data Entry'!D922)</f>
      </c>
      <c r="E922">
        <f>IF(ISBLANK('Data Entry'!E922), "", 'Data Entry'!E922)</f>
      </c>
      <c r="F922">
        <f>IF(ISBLANK('Data Entry'!F922), "", 'Data Entry'!F922)</f>
      </c>
      <c r="G922">
        <f>IF(ISBLANK('Data Entry'!G922), "", 'Data Entry'!G922)</f>
      </c>
      <c r="H922">
        <f>IF(ISBLANK('Data Entry'!H922), "", 'Data Entry'!H922)</f>
      </c>
      <c r="I922">
        <f>IF(ISBLANK('Data Entry'!I922), "", 'Data Entry'!I922)</f>
      </c>
      <c r="J922">
        <f>IF(ISBLANK('Data Entry'!J922), "", 'Data Entry'!J922)</f>
      </c>
      <c r="K922">
        <f>IF(ISBLANK('Data Entry'!K922), "", 'Data Entry'!K922)</f>
      </c>
      <c r="L922">
        <f>IF(ISBLANK('Data Entry'!L922), "", 'Data Entry'!L922)</f>
      </c>
      <c r="M922">
        <f>IF(ISBLANK('Data Entry'!M922), "", 'Data Entry'!M922)</f>
      </c>
      <c r="N922">
        <f>IF(ISBLANK('Data Entry'!N922), "", 'Data Entry'!N922)</f>
      </c>
      <c r="O922">
        <f>IF(ISBLANK('Data Entry'!O922), "", 'Data Entry'!O922)</f>
      </c>
      <c r="P922">
        <f>IF(ISBLANK('Data Entry'!P922), "", 'Data Entry'!P922)</f>
      </c>
      <c r="Q922">
        <f>IF(ISBLANK('Data Entry'!Q922), "", 'Data Entry'!Q922)</f>
      </c>
      <c r="R922">
        <f>IF(ISBLANK('Data Entry'!R922), "", 'Data Entry'!R922)</f>
      </c>
      <c r="S922">
        <f>IF(ISBLANK('Data Entry'!S922), "", 'Data Entry'!S922)</f>
      </c>
      <c r="T922">
        <f>IF(ISBLANK('Data Entry'!T922), "", 'Data Entry'!T922)</f>
      </c>
      <c r="U922">
        <f>IF(ISBLANK('Data Entry'!U922), "", 'Data Entry'!U922)</f>
      </c>
      <c r="V922">
        <f>IF(ISBLANK('Data Entry'!V922), "", 'Data Entry'!V922)</f>
      </c>
      <c r="W922">
        <f>IF(ISBLANK('Data Entry'!W922), "", 'Data Entry'!W922)</f>
      </c>
      <c r="X922">
        <f>IF(ISBLANK('Data Entry'!X922), "", 'Data Entry'!X922)</f>
      </c>
      <c r="Y922">
        <f>IF(ISBLANK('Data Entry'!Y922), "", 'Data Entry'!Y922)</f>
      </c>
      <c r="Z922">
        <f>IF(ISBLANK('Data Entry'!Z922), "", 'Data Entry'!Z922)</f>
      </c>
      <c r="AA922">
        <f>IF(ISBLANK('Data Entry'![922), "", 'Data Entry'![922)</f>
      </c>
      <c r="AB922">
        <f>IF(ISBLANK('Data Entry'!\922), "", 'Data Entry'!\922)</f>
      </c>
      <c r="AC922">
        <f>IF(ISBLANK('Data Entry'!]922), "", 'Data Entry'!]922)</f>
      </c>
      <c r="AD922">
        <f>IF(ISBLANK('Data Entry'!^922), "", 'Data Entry'!^922)</f>
      </c>
      <c r="AE922">
        <f>IF(ISBLANK('Data Entry'!_922), "", 'Data Entry'!_922)</f>
      </c>
      <c r="AF922">
        <f>IF(ISBLANK('Data Entry'!`922), "", 'Data Entry'!`922)</f>
      </c>
      <c r="AG922">
        <f>IF(ISBLANK('Data Entry'!a922), "", 'Data Entry'!a922)</f>
      </c>
      <c r="AH922">
        <f>IF(ISBLANK('Data Entry'!b922), "", 'Data Entry'!b922)</f>
      </c>
      <c r="AI922">
        <f>IF(ISBLANK('Data Entry'!c922), "", 'Data Entry'!c922)</f>
      </c>
      <c r="AJ922">
        <f>IF(ISBLANK('Data Entry'!d922), "", 'Data Entry'!d922)</f>
      </c>
      <c r="AK922">
        <f>IF(ISBLANK('Data Entry'!e922), "", 'Data Entry'!e922)</f>
      </c>
      <c r="AL922">
        <f>IF(ISBLANK('Data Entry'!f922), "", 'Data Entry'!f922)</f>
      </c>
      <c r="AM922">
        <f>IF(ISBLANK('Data Entry'!g922), "", 'Data Entry'!g922)</f>
      </c>
      <c r="AN922">
        <f>IF(ISBLANK('Data Entry'!h922), "", 'Data Entry'!h922)</f>
      </c>
    </row>
    <row r="923" spans="1:40" x14ac:dyDescent="0.25">
      <c r="A923">
        <f>IF(ISBLANK('Data Entry'!A923), "", 'Data Entry'!A923)</f>
      </c>
      <c r="B923">
        <f>IF(ISBLANK('Data Entry'!B923), "", 'Data Entry'!B923)</f>
      </c>
      <c r="C923">
        <f>IF(ISBLANK('Data Entry'!C923), "", 'Data Entry'!C923)</f>
      </c>
      <c r="D923">
        <f>IF(ISBLANK('Data Entry'!D923), "", 'Data Entry'!D923)</f>
      </c>
      <c r="E923">
        <f>IF(ISBLANK('Data Entry'!E923), "", 'Data Entry'!E923)</f>
      </c>
      <c r="F923">
        <f>IF(ISBLANK('Data Entry'!F923), "", 'Data Entry'!F923)</f>
      </c>
      <c r="G923">
        <f>IF(ISBLANK('Data Entry'!G923), "", 'Data Entry'!G923)</f>
      </c>
      <c r="H923">
        <f>IF(ISBLANK('Data Entry'!H923), "", 'Data Entry'!H923)</f>
      </c>
      <c r="I923">
        <f>IF(ISBLANK('Data Entry'!I923), "", 'Data Entry'!I923)</f>
      </c>
      <c r="J923">
        <f>IF(ISBLANK('Data Entry'!J923), "", 'Data Entry'!J923)</f>
      </c>
      <c r="K923">
        <f>IF(ISBLANK('Data Entry'!K923), "", 'Data Entry'!K923)</f>
      </c>
      <c r="L923">
        <f>IF(ISBLANK('Data Entry'!L923), "", 'Data Entry'!L923)</f>
      </c>
      <c r="M923">
        <f>IF(ISBLANK('Data Entry'!M923), "", 'Data Entry'!M923)</f>
      </c>
      <c r="N923">
        <f>IF(ISBLANK('Data Entry'!N923), "", 'Data Entry'!N923)</f>
      </c>
      <c r="O923">
        <f>IF(ISBLANK('Data Entry'!O923), "", 'Data Entry'!O923)</f>
      </c>
      <c r="P923">
        <f>IF(ISBLANK('Data Entry'!P923), "", 'Data Entry'!P923)</f>
      </c>
      <c r="Q923">
        <f>IF(ISBLANK('Data Entry'!Q923), "", 'Data Entry'!Q923)</f>
      </c>
      <c r="R923">
        <f>IF(ISBLANK('Data Entry'!R923), "", 'Data Entry'!R923)</f>
      </c>
      <c r="S923">
        <f>IF(ISBLANK('Data Entry'!S923), "", 'Data Entry'!S923)</f>
      </c>
      <c r="T923">
        <f>IF(ISBLANK('Data Entry'!T923), "", 'Data Entry'!T923)</f>
      </c>
      <c r="U923">
        <f>IF(ISBLANK('Data Entry'!U923), "", 'Data Entry'!U923)</f>
      </c>
      <c r="V923">
        <f>IF(ISBLANK('Data Entry'!V923), "", 'Data Entry'!V923)</f>
      </c>
      <c r="W923">
        <f>IF(ISBLANK('Data Entry'!W923), "", 'Data Entry'!W923)</f>
      </c>
      <c r="X923">
        <f>IF(ISBLANK('Data Entry'!X923), "", 'Data Entry'!X923)</f>
      </c>
      <c r="Y923">
        <f>IF(ISBLANK('Data Entry'!Y923), "", 'Data Entry'!Y923)</f>
      </c>
      <c r="Z923">
        <f>IF(ISBLANK('Data Entry'!Z923), "", 'Data Entry'!Z923)</f>
      </c>
      <c r="AA923">
        <f>IF(ISBLANK('Data Entry'![923), "", 'Data Entry'![923)</f>
      </c>
      <c r="AB923">
        <f>IF(ISBLANK('Data Entry'!\923), "", 'Data Entry'!\923)</f>
      </c>
      <c r="AC923">
        <f>IF(ISBLANK('Data Entry'!]923), "", 'Data Entry'!]923)</f>
      </c>
      <c r="AD923">
        <f>IF(ISBLANK('Data Entry'!^923), "", 'Data Entry'!^923)</f>
      </c>
      <c r="AE923">
        <f>IF(ISBLANK('Data Entry'!_923), "", 'Data Entry'!_923)</f>
      </c>
      <c r="AF923">
        <f>IF(ISBLANK('Data Entry'!`923), "", 'Data Entry'!`923)</f>
      </c>
      <c r="AG923">
        <f>IF(ISBLANK('Data Entry'!a923), "", 'Data Entry'!a923)</f>
      </c>
      <c r="AH923">
        <f>IF(ISBLANK('Data Entry'!b923), "", 'Data Entry'!b923)</f>
      </c>
      <c r="AI923">
        <f>IF(ISBLANK('Data Entry'!c923), "", 'Data Entry'!c923)</f>
      </c>
      <c r="AJ923">
        <f>IF(ISBLANK('Data Entry'!d923), "", 'Data Entry'!d923)</f>
      </c>
      <c r="AK923">
        <f>IF(ISBLANK('Data Entry'!e923), "", 'Data Entry'!e923)</f>
      </c>
      <c r="AL923">
        <f>IF(ISBLANK('Data Entry'!f923), "", 'Data Entry'!f923)</f>
      </c>
      <c r="AM923">
        <f>IF(ISBLANK('Data Entry'!g923), "", 'Data Entry'!g923)</f>
      </c>
      <c r="AN923">
        <f>IF(ISBLANK('Data Entry'!h923), "", 'Data Entry'!h923)</f>
      </c>
    </row>
    <row r="924" spans="1:40" x14ac:dyDescent="0.25">
      <c r="A924">
        <f>IF(ISBLANK('Data Entry'!A924), "", 'Data Entry'!A924)</f>
      </c>
      <c r="B924">
        <f>IF(ISBLANK('Data Entry'!B924), "", 'Data Entry'!B924)</f>
      </c>
      <c r="C924">
        <f>IF(ISBLANK('Data Entry'!C924), "", 'Data Entry'!C924)</f>
      </c>
      <c r="D924">
        <f>IF(ISBLANK('Data Entry'!D924), "", 'Data Entry'!D924)</f>
      </c>
      <c r="E924">
        <f>IF(ISBLANK('Data Entry'!E924), "", 'Data Entry'!E924)</f>
      </c>
      <c r="F924">
        <f>IF(ISBLANK('Data Entry'!F924), "", 'Data Entry'!F924)</f>
      </c>
      <c r="G924">
        <f>IF(ISBLANK('Data Entry'!G924), "", 'Data Entry'!G924)</f>
      </c>
      <c r="H924">
        <f>IF(ISBLANK('Data Entry'!H924), "", 'Data Entry'!H924)</f>
      </c>
      <c r="I924">
        <f>IF(ISBLANK('Data Entry'!I924), "", 'Data Entry'!I924)</f>
      </c>
      <c r="J924">
        <f>IF(ISBLANK('Data Entry'!J924), "", 'Data Entry'!J924)</f>
      </c>
      <c r="K924">
        <f>IF(ISBLANK('Data Entry'!K924), "", 'Data Entry'!K924)</f>
      </c>
      <c r="L924">
        <f>IF(ISBLANK('Data Entry'!L924), "", 'Data Entry'!L924)</f>
      </c>
      <c r="M924">
        <f>IF(ISBLANK('Data Entry'!M924), "", 'Data Entry'!M924)</f>
      </c>
      <c r="N924">
        <f>IF(ISBLANK('Data Entry'!N924), "", 'Data Entry'!N924)</f>
      </c>
      <c r="O924">
        <f>IF(ISBLANK('Data Entry'!O924), "", 'Data Entry'!O924)</f>
      </c>
      <c r="P924">
        <f>IF(ISBLANK('Data Entry'!P924), "", 'Data Entry'!P924)</f>
      </c>
      <c r="Q924">
        <f>IF(ISBLANK('Data Entry'!Q924), "", 'Data Entry'!Q924)</f>
      </c>
      <c r="R924">
        <f>IF(ISBLANK('Data Entry'!R924), "", 'Data Entry'!R924)</f>
      </c>
      <c r="S924">
        <f>IF(ISBLANK('Data Entry'!S924), "", 'Data Entry'!S924)</f>
      </c>
      <c r="T924">
        <f>IF(ISBLANK('Data Entry'!T924), "", 'Data Entry'!T924)</f>
      </c>
      <c r="U924">
        <f>IF(ISBLANK('Data Entry'!U924), "", 'Data Entry'!U924)</f>
      </c>
      <c r="V924">
        <f>IF(ISBLANK('Data Entry'!V924), "", 'Data Entry'!V924)</f>
      </c>
      <c r="W924">
        <f>IF(ISBLANK('Data Entry'!W924), "", 'Data Entry'!W924)</f>
      </c>
      <c r="X924">
        <f>IF(ISBLANK('Data Entry'!X924), "", 'Data Entry'!X924)</f>
      </c>
      <c r="Y924">
        <f>IF(ISBLANK('Data Entry'!Y924), "", 'Data Entry'!Y924)</f>
      </c>
      <c r="Z924">
        <f>IF(ISBLANK('Data Entry'!Z924), "", 'Data Entry'!Z924)</f>
      </c>
      <c r="AA924">
        <f>IF(ISBLANK('Data Entry'![924), "", 'Data Entry'![924)</f>
      </c>
      <c r="AB924">
        <f>IF(ISBLANK('Data Entry'!\924), "", 'Data Entry'!\924)</f>
      </c>
      <c r="AC924">
        <f>IF(ISBLANK('Data Entry'!]924), "", 'Data Entry'!]924)</f>
      </c>
      <c r="AD924">
        <f>IF(ISBLANK('Data Entry'!^924), "", 'Data Entry'!^924)</f>
      </c>
      <c r="AE924">
        <f>IF(ISBLANK('Data Entry'!_924), "", 'Data Entry'!_924)</f>
      </c>
      <c r="AF924">
        <f>IF(ISBLANK('Data Entry'!`924), "", 'Data Entry'!`924)</f>
      </c>
      <c r="AG924">
        <f>IF(ISBLANK('Data Entry'!a924), "", 'Data Entry'!a924)</f>
      </c>
      <c r="AH924">
        <f>IF(ISBLANK('Data Entry'!b924), "", 'Data Entry'!b924)</f>
      </c>
      <c r="AI924">
        <f>IF(ISBLANK('Data Entry'!c924), "", 'Data Entry'!c924)</f>
      </c>
      <c r="AJ924">
        <f>IF(ISBLANK('Data Entry'!d924), "", 'Data Entry'!d924)</f>
      </c>
      <c r="AK924">
        <f>IF(ISBLANK('Data Entry'!e924), "", 'Data Entry'!e924)</f>
      </c>
      <c r="AL924">
        <f>IF(ISBLANK('Data Entry'!f924), "", 'Data Entry'!f924)</f>
      </c>
      <c r="AM924">
        <f>IF(ISBLANK('Data Entry'!g924), "", 'Data Entry'!g924)</f>
      </c>
      <c r="AN924">
        <f>IF(ISBLANK('Data Entry'!h924), "", 'Data Entry'!h924)</f>
      </c>
    </row>
    <row r="925" spans="1:40" x14ac:dyDescent="0.25">
      <c r="A925">
        <f>IF(ISBLANK('Data Entry'!A925), "", 'Data Entry'!A925)</f>
      </c>
      <c r="B925">
        <f>IF(ISBLANK('Data Entry'!B925), "", 'Data Entry'!B925)</f>
      </c>
      <c r="C925">
        <f>IF(ISBLANK('Data Entry'!C925), "", 'Data Entry'!C925)</f>
      </c>
      <c r="D925">
        <f>IF(ISBLANK('Data Entry'!D925), "", 'Data Entry'!D925)</f>
      </c>
      <c r="E925">
        <f>IF(ISBLANK('Data Entry'!E925), "", 'Data Entry'!E925)</f>
      </c>
      <c r="F925">
        <f>IF(ISBLANK('Data Entry'!F925), "", 'Data Entry'!F925)</f>
      </c>
      <c r="G925">
        <f>IF(ISBLANK('Data Entry'!G925), "", 'Data Entry'!G925)</f>
      </c>
      <c r="H925">
        <f>IF(ISBLANK('Data Entry'!H925), "", 'Data Entry'!H925)</f>
      </c>
      <c r="I925">
        <f>IF(ISBLANK('Data Entry'!I925), "", 'Data Entry'!I925)</f>
      </c>
      <c r="J925">
        <f>IF(ISBLANK('Data Entry'!J925), "", 'Data Entry'!J925)</f>
      </c>
      <c r="K925">
        <f>IF(ISBLANK('Data Entry'!K925), "", 'Data Entry'!K925)</f>
      </c>
      <c r="L925">
        <f>IF(ISBLANK('Data Entry'!L925), "", 'Data Entry'!L925)</f>
      </c>
      <c r="M925">
        <f>IF(ISBLANK('Data Entry'!M925), "", 'Data Entry'!M925)</f>
      </c>
      <c r="N925">
        <f>IF(ISBLANK('Data Entry'!N925), "", 'Data Entry'!N925)</f>
      </c>
      <c r="O925">
        <f>IF(ISBLANK('Data Entry'!O925), "", 'Data Entry'!O925)</f>
      </c>
      <c r="P925">
        <f>IF(ISBLANK('Data Entry'!P925), "", 'Data Entry'!P925)</f>
      </c>
      <c r="Q925">
        <f>IF(ISBLANK('Data Entry'!Q925), "", 'Data Entry'!Q925)</f>
      </c>
      <c r="R925">
        <f>IF(ISBLANK('Data Entry'!R925), "", 'Data Entry'!R925)</f>
      </c>
      <c r="S925">
        <f>IF(ISBLANK('Data Entry'!S925), "", 'Data Entry'!S925)</f>
      </c>
      <c r="T925">
        <f>IF(ISBLANK('Data Entry'!T925), "", 'Data Entry'!T925)</f>
      </c>
      <c r="U925">
        <f>IF(ISBLANK('Data Entry'!U925), "", 'Data Entry'!U925)</f>
      </c>
      <c r="V925">
        <f>IF(ISBLANK('Data Entry'!V925), "", 'Data Entry'!V925)</f>
      </c>
      <c r="W925">
        <f>IF(ISBLANK('Data Entry'!W925), "", 'Data Entry'!W925)</f>
      </c>
      <c r="X925">
        <f>IF(ISBLANK('Data Entry'!X925), "", 'Data Entry'!X925)</f>
      </c>
      <c r="Y925">
        <f>IF(ISBLANK('Data Entry'!Y925), "", 'Data Entry'!Y925)</f>
      </c>
      <c r="Z925">
        <f>IF(ISBLANK('Data Entry'!Z925), "", 'Data Entry'!Z925)</f>
      </c>
      <c r="AA925">
        <f>IF(ISBLANK('Data Entry'![925), "", 'Data Entry'![925)</f>
      </c>
      <c r="AB925">
        <f>IF(ISBLANK('Data Entry'!\925), "", 'Data Entry'!\925)</f>
      </c>
      <c r="AC925">
        <f>IF(ISBLANK('Data Entry'!]925), "", 'Data Entry'!]925)</f>
      </c>
      <c r="AD925">
        <f>IF(ISBLANK('Data Entry'!^925), "", 'Data Entry'!^925)</f>
      </c>
      <c r="AE925">
        <f>IF(ISBLANK('Data Entry'!_925), "", 'Data Entry'!_925)</f>
      </c>
      <c r="AF925">
        <f>IF(ISBLANK('Data Entry'!`925), "", 'Data Entry'!`925)</f>
      </c>
      <c r="AG925">
        <f>IF(ISBLANK('Data Entry'!a925), "", 'Data Entry'!a925)</f>
      </c>
      <c r="AH925">
        <f>IF(ISBLANK('Data Entry'!b925), "", 'Data Entry'!b925)</f>
      </c>
      <c r="AI925">
        <f>IF(ISBLANK('Data Entry'!c925), "", 'Data Entry'!c925)</f>
      </c>
      <c r="AJ925">
        <f>IF(ISBLANK('Data Entry'!d925), "", 'Data Entry'!d925)</f>
      </c>
      <c r="AK925">
        <f>IF(ISBLANK('Data Entry'!e925), "", 'Data Entry'!e925)</f>
      </c>
      <c r="AL925">
        <f>IF(ISBLANK('Data Entry'!f925), "", 'Data Entry'!f925)</f>
      </c>
      <c r="AM925">
        <f>IF(ISBLANK('Data Entry'!g925), "", 'Data Entry'!g925)</f>
      </c>
      <c r="AN925">
        <f>IF(ISBLANK('Data Entry'!h925), "", 'Data Entry'!h925)</f>
      </c>
    </row>
    <row r="926" spans="1:40" x14ac:dyDescent="0.25">
      <c r="A926">
        <f>IF(ISBLANK('Data Entry'!A926), "", 'Data Entry'!A926)</f>
      </c>
      <c r="B926">
        <f>IF(ISBLANK('Data Entry'!B926), "", 'Data Entry'!B926)</f>
      </c>
      <c r="C926">
        <f>IF(ISBLANK('Data Entry'!C926), "", 'Data Entry'!C926)</f>
      </c>
      <c r="D926">
        <f>IF(ISBLANK('Data Entry'!D926), "", 'Data Entry'!D926)</f>
      </c>
      <c r="E926">
        <f>IF(ISBLANK('Data Entry'!E926), "", 'Data Entry'!E926)</f>
      </c>
      <c r="F926">
        <f>IF(ISBLANK('Data Entry'!F926), "", 'Data Entry'!F926)</f>
      </c>
      <c r="G926">
        <f>IF(ISBLANK('Data Entry'!G926), "", 'Data Entry'!G926)</f>
      </c>
      <c r="H926">
        <f>IF(ISBLANK('Data Entry'!H926), "", 'Data Entry'!H926)</f>
      </c>
      <c r="I926">
        <f>IF(ISBLANK('Data Entry'!I926), "", 'Data Entry'!I926)</f>
      </c>
      <c r="J926">
        <f>IF(ISBLANK('Data Entry'!J926), "", 'Data Entry'!J926)</f>
      </c>
      <c r="K926">
        <f>IF(ISBLANK('Data Entry'!K926), "", 'Data Entry'!K926)</f>
      </c>
      <c r="L926">
        <f>IF(ISBLANK('Data Entry'!L926), "", 'Data Entry'!L926)</f>
      </c>
      <c r="M926">
        <f>IF(ISBLANK('Data Entry'!M926), "", 'Data Entry'!M926)</f>
      </c>
      <c r="N926">
        <f>IF(ISBLANK('Data Entry'!N926), "", 'Data Entry'!N926)</f>
      </c>
      <c r="O926">
        <f>IF(ISBLANK('Data Entry'!O926), "", 'Data Entry'!O926)</f>
      </c>
      <c r="P926">
        <f>IF(ISBLANK('Data Entry'!P926), "", 'Data Entry'!P926)</f>
      </c>
      <c r="Q926">
        <f>IF(ISBLANK('Data Entry'!Q926), "", 'Data Entry'!Q926)</f>
      </c>
      <c r="R926">
        <f>IF(ISBLANK('Data Entry'!R926), "", 'Data Entry'!R926)</f>
      </c>
      <c r="S926">
        <f>IF(ISBLANK('Data Entry'!S926), "", 'Data Entry'!S926)</f>
      </c>
      <c r="T926">
        <f>IF(ISBLANK('Data Entry'!T926), "", 'Data Entry'!T926)</f>
      </c>
      <c r="U926">
        <f>IF(ISBLANK('Data Entry'!U926), "", 'Data Entry'!U926)</f>
      </c>
      <c r="V926">
        <f>IF(ISBLANK('Data Entry'!V926), "", 'Data Entry'!V926)</f>
      </c>
      <c r="W926">
        <f>IF(ISBLANK('Data Entry'!W926), "", 'Data Entry'!W926)</f>
      </c>
      <c r="X926">
        <f>IF(ISBLANK('Data Entry'!X926), "", 'Data Entry'!X926)</f>
      </c>
      <c r="Y926">
        <f>IF(ISBLANK('Data Entry'!Y926), "", 'Data Entry'!Y926)</f>
      </c>
      <c r="Z926">
        <f>IF(ISBLANK('Data Entry'!Z926), "", 'Data Entry'!Z926)</f>
      </c>
      <c r="AA926">
        <f>IF(ISBLANK('Data Entry'![926), "", 'Data Entry'![926)</f>
      </c>
      <c r="AB926">
        <f>IF(ISBLANK('Data Entry'!\926), "", 'Data Entry'!\926)</f>
      </c>
      <c r="AC926">
        <f>IF(ISBLANK('Data Entry'!]926), "", 'Data Entry'!]926)</f>
      </c>
      <c r="AD926">
        <f>IF(ISBLANK('Data Entry'!^926), "", 'Data Entry'!^926)</f>
      </c>
      <c r="AE926">
        <f>IF(ISBLANK('Data Entry'!_926), "", 'Data Entry'!_926)</f>
      </c>
      <c r="AF926">
        <f>IF(ISBLANK('Data Entry'!`926), "", 'Data Entry'!`926)</f>
      </c>
      <c r="AG926">
        <f>IF(ISBLANK('Data Entry'!a926), "", 'Data Entry'!a926)</f>
      </c>
      <c r="AH926">
        <f>IF(ISBLANK('Data Entry'!b926), "", 'Data Entry'!b926)</f>
      </c>
      <c r="AI926">
        <f>IF(ISBLANK('Data Entry'!c926), "", 'Data Entry'!c926)</f>
      </c>
      <c r="AJ926">
        <f>IF(ISBLANK('Data Entry'!d926), "", 'Data Entry'!d926)</f>
      </c>
      <c r="AK926">
        <f>IF(ISBLANK('Data Entry'!e926), "", 'Data Entry'!e926)</f>
      </c>
      <c r="AL926">
        <f>IF(ISBLANK('Data Entry'!f926), "", 'Data Entry'!f926)</f>
      </c>
      <c r="AM926">
        <f>IF(ISBLANK('Data Entry'!g926), "", 'Data Entry'!g926)</f>
      </c>
      <c r="AN926">
        <f>IF(ISBLANK('Data Entry'!h926), "", 'Data Entry'!h926)</f>
      </c>
    </row>
    <row r="927" spans="1:40" x14ac:dyDescent="0.25">
      <c r="A927">
        <f>IF(ISBLANK('Data Entry'!A927), "", 'Data Entry'!A927)</f>
      </c>
      <c r="B927">
        <f>IF(ISBLANK('Data Entry'!B927), "", 'Data Entry'!B927)</f>
      </c>
      <c r="C927">
        <f>IF(ISBLANK('Data Entry'!C927), "", 'Data Entry'!C927)</f>
      </c>
      <c r="D927">
        <f>IF(ISBLANK('Data Entry'!D927), "", 'Data Entry'!D927)</f>
      </c>
      <c r="E927">
        <f>IF(ISBLANK('Data Entry'!E927), "", 'Data Entry'!E927)</f>
      </c>
      <c r="F927">
        <f>IF(ISBLANK('Data Entry'!F927), "", 'Data Entry'!F927)</f>
      </c>
      <c r="G927">
        <f>IF(ISBLANK('Data Entry'!G927), "", 'Data Entry'!G927)</f>
      </c>
      <c r="H927">
        <f>IF(ISBLANK('Data Entry'!H927), "", 'Data Entry'!H927)</f>
      </c>
      <c r="I927">
        <f>IF(ISBLANK('Data Entry'!I927), "", 'Data Entry'!I927)</f>
      </c>
      <c r="J927">
        <f>IF(ISBLANK('Data Entry'!J927), "", 'Data Entry'!J927)</f>
      </c>
      <c r="K927">
        <f>IF(ISBLANK('Data Entry'!K927), "", 'Data Entry'!K927)</f>
      </c>
      <c r="L927">
        <f>IF(ISBLANK('Data Entry'!L927), "", 'Data Entry'!L927)</f>
      </c>
      <c r="M927">
        <f>IF(ISBLANK('Data Entry'!M927), "", 'Data Entry'!M927)</f>
      </c>
      <c r="N927">
        <f>IF(ISBLANK('Data Entry'!N927), "", 'Data Entry'!N927)</f>
      </c>
      <c r="O927">
        <f>IF(ISBLANK('Data Entry'!O927), "", 'Data Entry'!O927)</f>
      </c>
      <c r="P927">
        <f>IF(ISBLANK('Data Entry'!P927), "", 'Data Entry'!P927)</f>
      </c>
      <c r="Q927">
        <f>IF(ISBLANK('Data Entry'!Q927), "", 'Data Entry'!Q927)</f>
      </c>
      <c r="R927">
        <f>IF(ISBLANK('Data Entry'!R927), "", 'Data Entry'!R927)</f>
      </c>
      <c r="S927">
        <f>IF(ISBLANK('Data Entry'!S927), "", 'Data Entry'!S927)</f>
      </c>
      <c r="T927">
        <f>IF(ISBLANK('Data Entry'!T927), "", 'Data Entry'!T927)</f>
      </c>
      <c r="U927">
        <f>IF(ISBLANK('Data Entry'!U927), "", 'Data Entry'!U927)</f>
      </c>
      <c r="V927">
        <f>IF(ISBLANK('Data Entry'!V927), "", 'Data Entry'!V927)</f>
      </c>
      <c r="W927">
        <f>IF(ISBLANK('Data Entry'!W927), "", 'Data Entry'!W927)</f>
      </c>
      <c r="X927">
        <f>IF(ISBLANK('Data Entry'!X927), "", 'Data Entry'!X927)</f>
      </c>
      <c r="Y927">
        <f>IF(ISBLANK('Data Entry'!Y927), "", 'Data Entry'!Y927)</f>
      </c>
      <c r="Z927">
        <f>IF(ISBLANK('Data Entry'!Z927), "", 'Data Entry'!Z927)</f>
      </c>
      <c r="AA927">
        <f>IF(ISBLANK('Data Entry'![927), "", 'Data Entry'![927)</f>
      </c>
      <c r="AB927">
        <f>IF(ISBLANK('Data Entry'!\927), "", 'Data Entry'!\927)</f>
      </c>
      <c r="AC927">
        <f>IF(ISBLANK('Data Entry'!]927), "", 'Data Entry'!]927)</f>
      </c>
      <c r="AD927">
        <f>IF(ISBLANK('Data Entry'!^927), "", 'Data Entry'!^927)</f>
      </c>
      <c r="AE927">
        <f>IF(ISBLANK('Data Entry'!_927), "", 'Data Entry'!_927)</f>
      </c>
      <c r="AF927">
        <f>IF(ISBLANK('Data Entry'!`927), "", 'Data Entry'!`927)</f>
      </c>
      <c r="AG927">
        <f>IF(ISBLANK('Data Entry'!a927), "", 'Data Entry'!a927)</f>
      </c>
      <c r="AH927">
        <f>IF(ISBLANK('Data Entry'!b927), "", 'Data Entry'!b927)</f>
      </c>
      <c r="AI927">
        <f>IF(ISBLANK('Data Entry'!c927), "", 'Data Entry'!c927)</f>
      </c>
      <c r="AJ927">
        <f>IF(ISBLANK('Data Entry'!d927), "", 'Data Entry'!d927)</f>
      </c>
      <c r="AK927">
        <f>IF(ISBLANK('Data Entry'!e927), "", 'Data Entry'!e927)</f>
      </c>
      <c r="AL927">
        <f>IF(ISBLANK('Data Entry'!f927), "", 'Data Entry'!f927)</f>
      </c>
      <c r="AM927">
        <f>IF(ISBLANK('Data Entry'!g927), "", 'Data Entry'!g927)</f>
      </c>
      <c r="AN927">
        <f>IF(ISBLANK('Data Entry'!h927), "", 'Data Entry'!h927)</f>
      </c>
    </row>
    <row r="928" spans="1:40" x14ac:dyDescent="0.25">
      <c r="A928">
        <f>IF(ISBLANK('Data Entry'!A928), "", 'Data Entry'!A928)</f>
      </c>
      <c r="B928">
        <f>IF(ISBLANK('Data Entry'!B928), "", 'Data Entry'!B928)</f>
      </c>
      <c r="C928">
        <f>IF(ISBLANK('Data Entry'!C928), "", 'Data Entry'!C928)</f>
      </c>
      <c r="D928">
        <f>IF(ISBLANK('Data Entry'!D928), "", 'Data Entry'!D928)</f>
      </c>
      <c r="E928">
        <f>IF(ISBLANK('Data Entry'!E928), "", 'Data Entry'!E928)</f>
      </c>
      <c r="F928">
        <f>IF(ISBLANK('Data Entry'!F928), "", 'Data Entry'!F928)</f>
      </c>
      <c r="G928">
        <f>IF(ISBLANK('Data Entry'!G928), "", 'Data Entry'!G928)</f>
      </c>
      <c r="H928">
        <f>IF(ISBLANK('Data Entry'!H928), "", 'Data Entry'!H928)</f>
      </c>
      <c r="I928">
        <f>IF(ISBLANK('Data Entry'!I928), "", 'Data Entry'!I928)</f>
      </c>
      <c r="J928">
        <f>IF(ISBLANK('Data Entry'!J928), "", 'Data Entry'!J928)</f>
      </c>
      <c r="K928">
        <f>IF(ISBLANK('Data Entry'!K928), "", 'Data Entry'!K928)</f>
      </c>
      <c r="L928">
        <f>IF(ISBLANK('Data Entry'!L928), "", 'Data Entry'!L928)</f>
      </c>
      <c r="M928">
        <f>IF(ISBLANK('Data Entry'!M928), "", 'Data Entry'!M928)</f>
      </c>
      <c r="N928">
        <f>IF(ISBLANK('Data Entry'!N928), "", 'Data Entry'!N928)</f>
      </c>
      <c r="O928">
        <f>IF(ISBLANK('Data Entry'!O928), "", 'Data Entry'!O928)</f>
      </c>
      <c r="P928">
        <f>IF(ISBLANK('Data Entry'!P928), "", 'Data Entry'!P928)</f>
      </c>
      <c r="Q928">
        <f>IF(ISBLANK('Data Entry'!Q928), "", 'Data Entry'!Q928)</f>
      </c>
      <c r="R928">
        <f>IF(ISBLANK('Data Entry'!R928), "", 'Data Entry'!R928)</f>
      </c>
      <c r="S928">
        <f>IF(ISBLANK('Data Entry'!S928), "", 'Data Entry'!S928)</f>
      </c>
      <c r="T928">
        <f>IF(ISBLANK('Data Entry'!T928), "", 'Data Entry'!T928)</f>
      </c>
      <c r="U928">
        <f>IF(ISBLANK('Data Entry'!U928), "", 'Data Entry'!U928)</f>
      </c>
      <c r="V928">
        <f>IF(ISBLANK('Data Entry'!V928), "", 'Data Entry'!V928)</f>
      </c>
      <c r="W928">
        <f>IF(ISBLANK('Data Entry'!W928), "", 'Data Entry'!W928)</f>
      </c>
      <c r="X928">
        <f>IF(ISBLANK('Data Entry'!X928), "", 'Data Entry'!X928)</f>
      </c>
      <c r="Y928">
        <f>IF(ISBLANK('Data Entry'!Y928), "", 'Data Entry'!Y928)</f>
      </c>
      <c r="Z928">
        <f>IF(ISBLANK('Data Entry'!Z928), "", 'Data Entry'!Z928)</f>
      </c>
      <c r="AA928">
        <f>IF(ISBLANK('Data Entry'![928), "", 'Data Entry'![928)</f>
      </c>
      <c r="AB928">
        <f>IF(ISBLANK('Data Entry'!\928), "", 'Data Entry'!\928)</f>
      </c>
      <c r="AC928">
        <f>IF(ISBLANK('Data Entry'!]928), "", 'Data Entry'!]928)</f>
      </c>
      <c r="AD928">
        <f>IF(ISBLANK('Data Entry'!^928), "", 'Data Entry'!^928)</f>
      </c>
      <c r="AE928">
        <f>IF(ISBLANK('Data Entry'!_928), "", 'Data Entry'!_928)</f>
      </c>
      <c r="AF928">
        <f>IF(ISBLANK('Data Entry'!`928), "", 'Data Entry'!`928)</f>
      </c>
      <c r="AG928">
        <f>IF(ISBLANK('Data Entry'!a928), "", 'Data Entry'!a928)</f>
      </c>
      <c r="AH928">
        <f>IF(ISBLANK('Data Entry'!b928), "", 'Data Entry'!b928)</f>
      </c>
      <c r="AI928">
        <f>IF(ISBLANK('Data Entry'!c928), "", 'Data Entry'!c928)</f>
      </c>
      <c r="AJ928">
        <f>IF(ISBLANK('Data Entry'!d928), "", 'Data Entry'!d928)</f>
      </c>
      <c r="AK928">
        <f>IF(ISBLANK('Data Entry'!e928), "", 'Data Entry'!e928)</f>
      </c>
      <c r="AL928">
        <f>IF(ISBLANK('Data Entry'!f928), "", 'Data Entry'!f928)</f>
      </c>
      <c r="AM928">
        <f>IF(ISBLANK('Data Entry'!g928), "", 'Data Entry'!g928)</f>
      </c>
      <c r="AN928">
        <f>IF(ISBLANK('Data Entry'!h928), "", 'Data Entry'!h928)</f>
      </c>
    </row>
    <row r="929" spans="1:40" x14ac:dyDescent="0.25">
      <c r="A929">
        <f>IF(ISBLANK('Data Entry'!A929), "", 'Data Entry'!A929)</f>
      </c>
      <c r="B929">
        <f>IF(ISBLANK('Data Entry'!B929), "", 'Data Entry'!B929)</f>
      </c>
      <c r="C929">
        <f>IF(ISBLANK('Data Entry'!C929), "", 'Data Entry'!C929)</f>
      </c>
      <c r="D929">
        <f>IF(ISBLANK('Data Entry'!D929), "", 'Data Entry'!D929)</f>
      </c>
      <c r="E929">
        <f>IF(ISBLANK('Data Entry'!E929), "", 'Data Entry'!E929)</f>
      </c>
      <c r="F929">
        <f>IF(ISBLANK('Data Entry'!F929), "", 'Data Entry'!F929)</f>
      </c>
      <c r="G929">
        <f>IF(ISBLANK('Data Entry'!G929), "", 'Data Entry'!G929)</f>
      </c>
      <c r="H929">
        <f>IF(ISBLANK('Data Entry'!H929), "", 'Data Entry'!H929)</f>
      </c>
      <c r="I929">
        <f>IF(ISBLANK('Data Entry'!I929), "", 'Data Entry'!I929)</f>
      </c>
      <c r="J929">
        <f>IF(ISBLANK('Data Entry'!J929), "", 'Data Entry'!J929)</f>
      </c>
      <c r="K929">
        <f>IF(ISBLANK('Data Entry'!K929), "", 'Data Entry'!K929)</f>
      </c>
      <c r="L929">
        <f>IF(ISBLANK('Data Entry'!L929), "", 'Data Entry'!L929)</f>
      </c>
      <c r="M929">
        <f>IF(ISBLANK('Data Entry'!M929), "", 'Data Entry'!M929)</f>
      </c>
      <c r="N929">
        <f>IF(ISBLANK('Data Entry'!N929), "", 'Data Entry'!N929)</f>
      </c>
      <c r="O929">
        <f>IF(ISBLANK('Data Entry'!O929), "", 'Data Entry'!O929)</f>
      </c>
      <c r="P929">
        <f>IF(ISBLANK('Data Entry'!P929), "", 'Data Entry'!P929)</f>
      </c>
      <c r="Q929">
        <f>IF(ISBLANK('Data Entry'!Q929), "", 'Data Entry'!Q929)</f>
      </c>
      <c r="R929">
        <f>IF(ISBLANK('Data Entry'!R929), "", 'Data Entry'!R929)</f>
      </c>
      <c r="S929">
        <f>IF(ISBLANK('Data Entry'!S929), "", 'Data Entry'!S929)</f>
      </c>
      <c r="T929">
        <f>IF(ISBLANK('Data Entry'!T929), "", 'Data Entry'!T929)</f>
      </c>
      <c r="U929">
        <f>IF(ISBLANK('Data Entry'!U929), "", 'Data Entry'!U929)</f>
      </c>
      <c r="V929">
        <f>IF(ISBLANK('Data Entry'!V929), "", 'Data Entry'!V929)</f>
      </c>
      <c r="W929">
        <f>IF(ISBLANK('Data Entry'!W929), "", 'Data Entry'!W929)</f>
      </c>
      <c r="X929">
        <f>IF(ISBLANK('Data Entry'!X929), "", 'Data Entry'!X929)</f>
      </c>
      <c r="Y929">
        <f>IF(ISBLANK('Data Entry'!Y929), "", 'Data Entry'!Y929)</f>
      </c>
      <c r="Z929">
        <f>IF(ISBLANK('Data Entry'!Z929), "", 'Data Entry'!Z929)</f>
      </c>
      <c r="AA929">
        <f>IF(ISBLANK('Data Entry'![929), "", 'Data Entry'![929)</f>
      </c>
      <c r="AB929">
        <f>IF(ISBLANK('Data Entry'!\929), "", 'Data Entry'!\929)</f>
      </c>
      <c r="AC929">
        <f>IF(ISBLANK('Data Entry'!]929), "", 'Data Entry'!]929)</f>
      </c>
      <c r="AD929">
        <f>IF(ISBLANK('Data Entry'!^929), "", 'Data Entry'!^929)</f>
      </c>
      <c r="AE929">
        <f>IF(ISBLANK('Data Entry'!_929), "", 'Data Entry'!_929)</f>
      </c>
      <c r="AF929">
        <f>IF(ISBLANK('Data Entry'!`929), "", 'Data Entry'!`929)</f>
      </c>
      <c r="AG929">
        <f>IF(ISBLANK('Data Entry'!a929), "", 'Data Entry'!a929)</f>
      </c>
      <c r="AH929">
        <f>IF(ISBLANK('Data Entry'!b929), "", 'Data Entry'!b929)</f>
      </c>
      <c r="AI929">
        <f>IF(ISBLANK('Data Entry'!c929), "", 'Data Entry'!c929)</f>
      </c>
      <c r="AJ929">
        <f>IF(ISBLANK('Data Entry'!d929), "", 'Data Entry'!d929)</f>
      </c>
      <c r="AK929">
        <f>IF(ISBLANK('Data Entry'!e929), "", 'Data Entry'!e929)</f>
      </c>
      <c r="AL929">
        <f>IF(ISBLANK('Data Entry'!f929), "", 'Data Entry'!f929)</f>
      </c>
      <c r="AM929">
        <f>IF(ISBLANK('Data Entry'!g929), "", 'Data Entry'!g929)</f>
      </c>
      <c r="AN929">
        <f>IF(ISBLANK('Data Entry'!h929), "", 'Data Entry'!h929)</f>
      </c>
    </row>
    <row r="930" spans="1:40" x14ac:dyDescent="0.25">
      <c r="A930">
        <f>IF(ISBLANK('Data Entry'!A930), "", 'Data Entry'!A930)</f>
      </c>
      <c r="B930">
        <f>IF(ISBLANK('Data Entry'!B930), "", 'Data Entry'!B930)</f>
      </c>
      <c r="C930">
        <f>IF(ISBLANK('Data Entry'!C930), "", 'Data Entry'!C930)</f>
      </c>
      <c r="D930">
        <f>IF(ISBLANK('Data Entry'!D930), "", 'Data Entry'!D930)</f>
      </c>
      <c r="E930">
        <f>IF(ISBLANK('Data Entry'!E930), "", 'Data Entry'!E930)</f>
      </c>
      <c r="F930">
        <f>IF(ISBLANK('Data Entry'!F930), "", 'Data Entry'!F930)</f>
      </c>
      <c r="G930">
        <f>IF(ISBLANK('Data Entry'!G930), "", 'Data Entry'!G930)</f>
      </c>
      <c r="H930">
        <f>IF(ISBLANK('Data Entry'!H930), "", 'Data Entry'!H930)</f>
      </c>
      <c r="I930">
        <f>IF(ISBLANK('Data Entry'!I930), "", 'Data Entry'!I930)</f>
      </c>
      <c r="J930">
        <f>IF(ISBLANK('Data Entry'!J930), "", 'Data Entry'!J930)</f>
      </c>
      <c r="K930">
        <f>IF(ISBLANK('Data Entry'!K930), "", 'Data Entry'!K930)</f>
      </c>
      <c r="L930">
        <f>IF(ISBLANK('Data Entry'!L930), "", 'Data Entry'!L930)</f>
      </c>
      <c r="M930">
        <f>IF(ISBLANK('Data Entry'!M930), "", 'Data Entry'!M930)</f>
      </c>
      <c r="N930">
        <f>IF(ISBLANK('Data Entry'!N930), "", 'Data Entry'!N930)</f>
      </c>
      <c r="O930">
        <f>IF(ISBLANK('Data Entry'!O930), "", 'Data Entry'!O930)</f>
      </c>
      <c r="P930">
        <f>IF(ISBLANK('Data Entry'!P930), "", 'Data Entry'!P930)</f>
      </c>
      <c r="Q930">
        <f>IF(ISBLANK('Data Entry'!Q930), "", 'Data Entry'!Q930)</f>
      </c>
      <c r="R930">
        <f>IF(ISBLANK('Data Entry'!R930), "", 'Data Entry'!R930)</f>
      </c>
      <c r="S930">
        <f>IF(ISBLANK('Data Entry'!S930), "", 'Data Entry'!S930)</f>
      </c>
      <c r="T930">
        <f>IF(ISBLANK('Data Entry'!T930), "", 'Data Entry'!T930)</f>
      </c>
      <c r="U930">
        <f>IF(ISBLANK('Data Entry'!U930), "", 'Data Entry'!U930)</f>
      </c>
      <c r="V930">
        <f>IF(ISBLANK('Data Entry'!V930), "", 'Data Entry'!V930)</f>
      </c>
      <c r="W930">
        <f>IF(ISBLANK('Data Entry'!W930), "", 'Data Entry'!W930)</f>
      </c>
      <c r="X930">
        <f>IF(ISBLANK('Data Entry'!X930), "", 'Data Entry'!X930)</f>
      </c>
      <c r="Y930">
        <f>IF(ISBLANK('Data Entry'!Y930), "", 'Data Entry'!Y930)</f>
      </c>
      <c r="Z930">
        <f>IF(ISBLANK('Data Entry'!Z930), "", 'Data Entry'!Z930)</f>
      </c>
      <c r="AA930">
        <f>IF(ISBLANK('Data Entry'![930), "", 'Data Entry'![930)</f>
      </c>
      <c r="AB930">
        <f>IF(ISBLANK('Data Entry'!\930), "", 'Data Entry'!\930)</f>
      </c>
      <c r="AC930">
        <f>IF(ISBLANK('Data Entry'!]930), "", 'Data Entry'!]930)</f>
      </c>
      <c r="AD930">
        <f>IF(ISBLANK('Data Entry'!^930), "", 'Data Entry'!^930)</f>
      </c>
      <c r="AE930">
        <f>IF(ISBLANK('Data Entry'!_930), "", 'Data Entry'!_930)</f>
      </c>
      <c r="AF930">
        <f>IF(ISBLANK('Data Entry'!`930), "", 'Data Entry'!`930)</f>
      </c>
      <c r="AG930">
        <f>IF(ISBLANK('Data Entry'!a930), "", 'Data Entry'!a930)</f>
      </c>
      <c r="AH930">
        <f>IF(ISBLANK('Data Entry'!b930), "", 'Data Entry'!b930)</f>
      </c>
      <c r="AI930">
        <f>IF(ISBLANK('Data Entry'!c930), "", 'Data Entry'!c930)</f>
      </c>
      <c r="AJ930">
        <f>IF(ISBLANK('Data Entry'!d930), "", 'Data Entry'!d930)</f>
      </c>
      <c r="AK930">
        <f>IF(ISBLANK('Data Entry'!e930), "", 'Data Entry'!e930)</f>
      </c>
      <c r="AL930">
        <f>IF(ISBLANK('Data Entry'!f930), "", 'Data Entry'!f930)</f>
      </c>
      <c r="AM930">
        <f>IF(ISBLANK('Data Entry'!g930), "", 'Data Entry'!g930)</f>
      </c>
      <c r="AN930">
        <f>IF(ISBLANK('Data Entry'!h930), "", 'Data Entry'!h930)</f>
      </c>
    </row>
    <row r="931" spans="1:40" x14ac:dyDescent="0.25">
      <c r="A931">
        <f>IF(ISBLANK('Data Entry'!A931), "", 'Data Entry'!A931)</f>
      </c>
      <c r="B931">
        <f>IF(ISBLANK('Data Entry'!B931), "", 'Data Entry'!B931)</f>
      </c>
      <c r="C931">
        <f>IF(ISBLANK('Data Entry'!C931), "", 'Data Entry'!C931)</f>
      </c>
      <c r="D931">
        <f>IF(ISBLANK('Data Entry'!D931), "", 'Data Entry'!D931)</f>
      </c>
      <c r="E931">
        <f>IF(ISBLANK('Data Entry'!E931), "", 'Data Entry'!E931)</f>
      </c>
      <c r="F931">
        <f>IF(ISBLANK('Data Entry'!F931), "", 'Data Entry'!F931)</f>
      </c>
      <c r="G931">
        <f>IF(ISBLANK('Data Entry'!G931), "", 'Data Entry'!G931)</f>
      </c>
      <c r="H931">
        <f>IF(ISBLANK('Data Entry'!H931), "", 'Data Entry'!H931)</f>
      </c>
      <c r="I931">
        <f>IF(ISBLANK('Data Entry'!I931), "", 'Data Entry'!I931)</f>
      </c>
      <c r="J931">
        <f>IF(ISBLANK('Data Entry'!J931), "", 'Data Entry'!J931)</f>
      </c>
      <c r="K931">
        <f>IF(ISBLANK('Data Entry'!K931), "", 'Data Entry'!K931)</f>
      </c>
      <c r="L931">
        <f>IF(ISBLANK('Data Entry'!L931), "", 'Data Entry'!L931)</f>
      </c>
      <c r="M931">
        <f>IF(ISBLANK('Data Entry'!M931), "", 'Data Entry'!M931)</f>
      </c>
      <c r="N931">
        <f>IF(ISBLANK('Data Entry'!N931), "", 'Data Entry'!N931)</f>
      </c>
      <c r="O931">
        <f>IF(ISBLANK('Data Entry'!O931), "", 'Data Entry'!O931)</f>
      </c>
      <c r="P931">
        <f>IF(ISBLANK('Data Entry'!P931), "", 'Data Entry'!P931)</f>
      </c>
      <c r="Q931">
        <f>IF(ISBLANK('Data Entry'!Q931), "", 'Data Entry'!Q931)</f>
      </c>
      <c r="R931">
        <f>IF(ISBLANK('Data Entry'!R931), "", 'Data Entry'!R931)</f>
      </c>
      <c r="S931">
        <f>IF(ISBLANK('Data Entry'!S931), "", 'Data Entry'!S931)</f>
      </c>
      <c r="T931">
        <f>IF(ISBLANK('Data Entry'!T931), "", 'Data Entry'!T931)</f>
      </c>
      <c r="U931">
        <f>IF(ISBLANK('Data Entry'!U931), "", 'Data Entry'!U931)</f>
      </c>
      <c r="V931">
        <f>IF(ISBLANK('Data Entry'!V931), "", 'Data Entry'!V931)</f>
      </c>
      <c r="W931">
        <f>IF(ISBLANK('Data Entry'!W931), "", 'Data Entry'!W931)</f>
      </c>
      <c r="X931">
        <f>IF(ISBLANK('Data Entry'!X931), "", 'Data Entry'!X931)</f>
      </c>
      <c r="Y931">
        <f>IF(ISBLANK('Data Entry'!Y931), "", 'Data Entry'!Y931)</f>
      </c>
      <c r="Z931">
        <f>IF(ISBLANK('Data Entry'!Z931), "", 'Data Entry'!Z931)</f>
      </c>
      <c r="AA931">
        <f>IF(ISBLANK('Data Entry'![931), "", 'Data Entry'![931)</f>
      </c>
      <c r="AB931">
        <f>IF(ISBLANK('Data Entry'!\931), "", 'Data Entry'!\931)</f>
      </c>
      <c r="AC931">
        <f>IF(ISBLANK('Data Entry'!]931), "", 'Data Entry'!]931)</f>
      </c>
      <c r="AD931">
        <f>IF(ISBLANK('Data Entry'!^931), "", 'Data Entry'!^931)</f>
      </c>
      <c r="AE931">
        <f>IF(ISBLANK('Data Entry'!_931), "", 'Data Entry'!_931)</f>
      </c>
      <c r="AF931">
        <f>IF(ISBLANK('Data Entry'!`931), "", 'Data Entry'!`931)</f>
      </c>
      <c r="AG931">
        <f>IF(ISBLANK('Data Entry'!a931), "", 'Data Entry'!a931)</f>
      </c>
      <c r="AH931">
        <f>IF(ISBLANK('Data Entry'!b931), "", 'Data Entry'!b931)</f>
      </c>
      <c r="AI931">
        <f>IF(ISBLANK('Data Entry'!c931), "", 'Data Entry'!c931)</f>
      </c>
      <c r="AJ931">
        <f>IF(ISBLANK('Data Entry'!d931), "", 'Data Entry'!d931)</f>
      </c>
      <c r="AK931">
        <f>IF(ISBLANK('Data Entry'!e931), "", 'Data Entry'!e931)</f>
      </c>
      <c r="AL931">
        <f>IF(ISBLANK('Data Entry'!f931), "", 'Data Entry'!f931)</f>
      </c>
      <c r="AM931">
        <f>IF(ISBLANK('Data Entry'!g931), "", 'Data Entry'!g931)</f>
      </c>
      <c r="AN931">
        <f>IF(ISBLANK('Data Entry'!h931), "", 'Data Entry'!h931)</f>
      </c>
    </row>
    <row r="932" spans="1:40" x14ac:dyDescent="0.25">
      <c r="A932">
        <f>IF(ISBLANK('Data Entry'!A932), "", 'Data Entry'!A932)</f>
      </c>
      <c r="B932">
        <f>IF(ISBLANK('Data Entry'!B932), "", 'Data Entry'!B932)</f>
      </c>
      <c r="C932">
        <f>IF(ISBLANK('Data Entry'!C932), "", 'Data Entry'!C932)</f>
      </c>
      <c r="D932">
        <f>IF(ISBLANK('Data Entry'!D932), "", 'Data Entry'!D932)</f>
      </c>
      <c r="E932">
        <f>IF(ISBLANK('Data Entry'!E932), "", 'Data Entry'!E932)</f>
      </c>
      <c r="F932">
        <f>IF(ISBLANK('Data Entry'!F932), "", 'Data Entry'!F932)</f>
      </c>
      <c r="G932">
        <f>IF(ISBLANK('Data Entry'!G932), "", 'Data Entry'!G932)</f>
      </c>
      <c r="H932">
        <f>IF(ISBLANK('Data Entry'!H932), "", 'Data Entry'!H932)</f>
      </c>
      <c r="I932">
        <f>IF(ISBLANK('Data Entry'!I932), "", 'Data Entry'!I932)</f>
      </c>
      <c r="J932">
        <f>IF(ISBLANK('Data Entry'!J932), "", 'Data Entry'!J932)</f>
      </c>
      <c r="K932">
        <f>IF(ISBLANK('Data Entry'!K932), "", 'Data Entry'!K932)</f>
      </c>
      <c r="L932">
        <f>IF(ISBLANK('Data Entry'!L932), "", 'Data Entry'!L932)</f>
      </c>
      <c r="M932">
        <f>IF(ISBLANK('Data Entry'!M932), "", 'Data Entry'!M932)</f>
      </c>
      <c r="N932">
        <f>IF(ISBLANK('Data Entry'!N932), "", 'Data Entry'!N932)</f>
      </c>
      <c r="O932">
        <f>IF(ISBLANK('Data Entry'!O932), "", 'Data Entry'!O932)</f>
      </c>
      <c r="P932">
        <f>IF(ISBLANK('Data Entry'!P932), "", 'Data Entry'!P932)</f>
      </c>
      <c r="Q932">
        <f>IF(ISBLANK('Data Entry'!Q932), "", 'Data Entry'!Q932)</f>
      </c>
      <c r="R932">
        <f>IF(ISBLANK('Data Entry'!R932), "", 'Data Entry'!R932)</f>
      </c>
      <c r="S932">
        <f>IF(ISBLANK('Data Entry'!S932), "", 'Data Entry'!S932)</f>
      </c>
      <c r="T932">
        <f>IF(ISBLANK('Data Entry'!T932), "", 'Data Entry'!T932)</f>
      </c>
      <c r="U932">
        <f>IF(ISBLANK('Data Entry'!U932), "", 'Data Entry'!U932)</f>
      </c>
      <c r="V932">
        <f>IF(ISBLANK('Data Entry'!V932), "", 'Data Entry'!V932)</f>
      </c>
      <c r="W932">
        <f>IF(ISBLANK('Data Entry'!W932), "", 'Data Entry'!W932)</f>
      </c>
      <c r="X932">
        <f>IF(ISBLANK('Data Entry'!X932), "", 'Data Entry'!X932)</f>
      </c>
      <c r="Y932">
        <f>IF(ISBLANK('Data Entry'!Y932), "", 'Data Entry'!Y932)</f>
      </c>
      <c r="Z932">
        <f>IF(ISBLANK('Data Entry'!Z932), "", 'Data Entry'!Z932)</f>
      </c>
      <c r="AA932">
        <f>IF(ISBLANK('Data Entry'![932), "", 'Data Entry'![932)</f>
      </c>
      <c r="AB932">
        <f>IF(ISBLANK('Data Entry'!\932), "", 'Data Entry'!\932)</f>
      </c>
      <c r="AC932">
        <f>IF(ISBLANK('Data Entry'!]932), "", 'Data Entry'!]932)</f>
      </c>
      <c r="AD932">
        <f>IF(ISBLANK('Data Entry'!^932), "", 'Data Entry'!^932)</f>
      </c>
      <c r="AE932">
        <f>IF(ISBLANK('Data Entry'!_932), "", 'Data Entry'!_932)</f>
      </c>
      <c r="AF932">
        <f>IF(ISBLANK('Data Entry'!`932), "", 'Data Entry'!`932)</f>
      </c>
      <c r="AG932">
        <f>IF(ISBLANK('Data Entry'!a932), "", 'Data Entry'!a932)</f>
      </c>
      <c r="AH932">
        <f>IF(ISBLANK('Data Entry'!b932), "", 'Data Entry'!b932)</f>
      </c>
      <c r="AI932">
        <f>IF(ISBLANK('Data Entry'!c932), "", 'Data Entry'!c932)</f>
      </c>
      <c r="AJ932">
        <f>IF(ISBLANK('Data Entry'!d932), "", 'Data Entry'!d932)</f>
      </c>
      <c r="AK932">
        <f>IF(ISBLANK('Data Entry'!e932), "", 'Data Entry'!e932)</f>
      </c>
      <c r="AL932">
        <f>IF(ISBLANK('Data Entry'!f932), "", 'Data Entry'!f932)</f>
      </c>
      <c r="AM932">
        <f>IF(ISBLANK('Data Entry'!g932), "", 'Data Entry'!g932)</f>
      </c>
      <c r="AN932">
        <f>IF(ISBLANK('Data Entry'!h932), "", 'Data Entry'!h932)</f>
      </c>
    </row>
    <row r="933" spans="1:40" x14ac:dyDescent="0.25">
      <c r="A933">
        <f>IF(ISBLANK('Data Entry'!A933), "", 'Data Entry'!A933)</f>
      </c>
      <c r="B933">
        <f>IF(ISBLANK('Data Entry'!B933), "", 'Data Entry'!B933)</f>
      </c>
      <c r="C933">
        <f>IF(ISBLANK('Data Entry'!C933), "", 'Data Entry'!C933)</f>
      </c>
      <c r="D933">
        <f>IF(ISBLANK('Data Entry'!D933), "", 'Data Entry'!D933)</f>
      </c>
      <c r="E933">
        <f>IF(ISBLANK('Data Entry'!E933), "", 'Data Entry'!E933)</f>
      </c>
      <c r="F933">
        <f>IF(ISBLANK('Data Entry'!F933), "", 'Data Entry'!F933)</f>
      </c>
      <c r="G933">
        <f>IF(ISBLANK('Data Entry'!G933), "", 'Data Entry'!G933)</f>
      </c>
      <c r="H933">
        <f>IF(ISBLANK('Data Entry'!H933), "", 'Data Entry'!H933)</f>
      </c>
      <c r="I933">
        <f>IF(ISBLANK('Data Entry'!I933), "", 'Data Entry'!I933)</f>
      </c>
      <c r="J933">
        <f>IF(ISBLANK('Data Entry'!J933), "", 'Data Entry'!J933)</f>
      </c>
      <c r="K933">
        <f>IF(ISBLANK('Data Entry'!K933), "", 'Data Entry'!K933)</f>
      </c>
      <c r="L933">
        <f>IF(ISBLANK('Data Entry'!L933), "", 'Data Entry'!L933)</f>
      </c>
      <c r="M933">
        <f>IF(ISBLANK('Data Entry'!M933), "", 'Data Entry'!M933)</f>
      </c>
      <c r="N933">
        <f>IF(ISBLANK('Data Entry'!N933), "", 'Data Entry'!N933)</f>
      </c>
      <c r="O933">
        <f>IF(ISBLANK('Data Entry'!O933), "", 'Data Entry'!O933)</f>
      </c>
      <c r="P933">
        <f>IF(ISBLANK('Data Entry'!P933), "", 'Data Entry'!P933)</f>
      </c>
      <c r="Q933">
        <f>IF(ISBLANK('Data Entry'!Q933), "", 'Data Entry'!Q933)</f>
      </c>
      <c r="R933">
        <f>IF(ISBLANK('Data Entry'!R933), "", 'Data Entry'!R933)</f>
      </c>
      <c r="S933">
        <f>IF(ISBLANK('Data Entry'!S933), "", 'Data Entry'!S933)</f>
      </c>
      <c r="T933">
        <f>IF(ISBLANK('Data Entry'!T933), "", 'Data Entry'!T933)</f>
      </c>
      <c r="U933">
        <f>IF(ISBLANK('Data Entry'!U933), "", 'Data Entry'!U933)</f>
      </c>
      <c r="V933">
        <f>IF(ISBLANK('Data Entry'!V933), "", 'Data Entry'!V933)</f>
      </c>
      <c r="W933">
        <f>IF(ISBLANK('Data Entry'!W933), "", 'Data Entry'!W933)</f>
      </c>
      <c r="X933">
        <f>IF(ISBLANK('Data Entry'!X933), "", 'Data Entry'!X933)</f>
      </c>
      <c r="Y933">
        <f>IF(ISBLANK('Data Entry'!Y933), "", 'Data Entry'!Y933)</f>
      </c>
      <c r="Z933">
        <f>IF(ISBLANK('Data Entry'!Z933), "", 'Data Entry'!Z933)</f>
      </c>
      <c r="AA933">
        <f>IF(ISBLANK('Data Entry'![933), "", 'Data Entry'![933)</f>
      </c>
      <c r="AB933">
        <f>IF(ISBLANK('Data Entry'!\933), "", 'Data Entry'!\933)</f>
      </c>
      <c r="AC933">
        <f>IF(ISBLANK('Data Entry'!]933), "", 'Data Entry'!]933)</f>
      </c>
      <c r="AD933">
        <f>IF(ISBLANK('Data Entry'!^933), "", 'Data Entry'!^933)</f>
      </c>
      <c r="AE933">
        <f>IF(ISBLANK('Data Entry'!_933), "", 'Data Entry'!_933)</f>
      </c>
      <c r="AF933">
        <f>IF(ISBLANK('Data Entry'!`933), "", 'Data Entry'!`933)</f>
      </c>
      <c r="AG933">
        <f>IF(ISBLANK('Data Entry'!a933), "", 'Data Entry'!a933)</f>
      </c>
      <c r="AH933">
        <f>IF(ISBLANK('Data Entry'!b933), "", 'Data Entry'!b933)</f>
      </c>
      <c r="AI933">
        <f>IF(ISBLANK('Data Entry'!c933), "", 'Data Entry'!c933)</f>
      </c>
      <c r="AJ933">
        <f>IF(ISBLANK('Data Entry'!d933), "", 'Data Entry'!d933)</f>
      </c>
      <c r="AK933">
        <f>IF(ISBLANK('Data Entry'!e933), "", 'Data Entry'!e933)</f>
      </c>
      <c r="AL933">
        <f>IF(ISBLANK('Data Entry'!f933), "", 'Data Entry'!f933)</f>
      </c>
      <c r="AM933">
        <f>IF(ISBLANK('Data Entry'!g933), "", 'Data Entry'!g933)</f>
      </c>
      <c r="AN933">
        <f>IF(ISBLANK('Data Entry'!h933), "", 'Data Entry'!h933)</f>
      </c>
    </row>
    <row r="934" spans="1:40" x14ac:dyDescent="0.25">
      <c r="A934">
        <f>IF(ISBLANK('Data Entry'!A934), "", 'Data Entry'!A934)</f>
      </c>
      <c r="B934">
        <f>IF(ISBLANK('Data Entry'!B934), "", 'Data Entry'!B934)</f>
      </c>
      <c r="C934">
        <f>IF(ISBLANK('Data Entry'!C934), "", 'Data Entry'!C934)</f>
      </c>
      <c r="D934">
        <f>IF(ISBLANK('Data Entry'!D934), "", 'Data Entry'!D934)</f>
      </c>
      <c r="E934">
        <f>IF(ISBLANK('Data Entry'!E934), "", 'Data Entry'!E934)</f>
      </c>
      <c r="F934">
        <f>IF(ISBLANK('Data Entry'!F934), "", 'Data Entry'!F934)</f>
      </c>
      <c r="G934">
        <f>IF(ISBLANK('Data Entry'!G934), "", 'Data Entry'!G934)</f>
      </c>
      <c r="H934">
        <f>IF(ISBLANK('Data Entry'!H934), "", 'Data Entry'!H934)</f>
      </c>
      <c r="I934">
        <f>IF(ISBLANK('Data Entry'!I934), "", 'Data Entry'!I934)</f>
      </c>
      <c r="J934">
        <f>IF(ISBLANK('Data Entry'!J934), "", 'Data Entry'!J934)</f>
      </c>
      <c r="K934">
        <f>IF(ISBLANK('Data Entry'!K934), "", 'Data Entry'!K934)</f>
      </c>
      <c r="L934">
        <f>IF(ISBLANK('Data Entry'!L934), "", 'Data Entry'!L934)</f>
      </c>
      <c r="M934">
        <f>IF(ISBLANK('Data Entry'!M934), "", 'Data Entry'!M934)</f>
      </c>
      <c r="N934">
        <f>IF(ISBLANK('Data Entry'!N934), "", 'Data Entry'!N934)</f>
      </c>
      <c r="O934">
        <f>IF(ISBLANK('Data Entry'!O934), "", 'Data Entry'!O934)</f>
      </c>
      <c r="P934">
        <f>IF(ISBLANK('Data Entry'!P934), "", 'Data Entry'!P934)</f>
      </c>
      <c r="Q934">
        <f>IF(ISBLANK('Data Entry'!Q934), "", 'Data Entry'!Q934)</f>
      </c>
      <c r="R934">
        <f>IF(ISBLANK('Data Entry'!R934), "", 'Data Entry'!R934)</f>
      </c>
      <c r="S934">
        <f>IF(ISBLANK('Data Entry'!S934), "", 'Data Entry'!S934)</f>
      </c>
      <c r="T934">
        <f>IF(ISBLANK('Data Entry'!T934), "", 'Data Entry'!T934)</f>
      </c>
      <c r="U934">
        <f>IF(ISBLANK('Data Entry'!U934), "", 'Data Entry'!U934)</f>
      </c>
      <c r="V934">
        <f>IF(ISBLANK('Data Entry'!V934), "", 'Data Entry'!V934)</f>
      </c>
      <c r="W934">
        <f>IF(ISBLANK('Data Entry'!W934), "", 'Data Entry'!W934)</f>
      </c>
      <c r="X934">
        <f>IF(ISBLANK('Data Entry'!X934), "", 'Data Entry'!X934)</f>
      </c>
      <c r="Y934">
        <f>IF(ISBLANK('Data Entry'!Y934), "", 'Data Entry'!Y934)</f>
      </c>
      <c r="Z934">
        <f>IF(ISBLANK('Data Entry'!Z934), "", 'Data Entry'!Z934)</f>
      </c>
      <c r="AA934">
        <f>IF(ISBLANK('Data Entry'![934), "", 'Data Entry'![934)</f>
      </c>
      <c r="AB934">
        <f>IF(ISBLANK('Data Entry'!\934), "", 'Data Entry'!\934)</f>
      </c>
      <c r="AC934">
        <f>IF(ISBLANK('Data Entry'!]934), "", 'Data Entry'!]934)</f>
      </c>
      <c r="AD934">
        <f>IF(ISBLANK('Data Entry'!^934), "", 'Data Entry'!^934)</f>
      </c>
      <c r="AE934">
        <f>IF(ISBLANK('Data Entry'!_934), "", 'Data Entry'!_934)</f>
      </c>
      <c r="AF934">
        <f>IF(ISBLANK('Data Entry'!`934), "", 'Data Entry'!`934)</f>
      </c>
      <c r="AG934">
        <f>IF(ISBLANK('Data Entry'!a934), "", 'Data Entry'!a934)</f>
      </c>
      <c r="AH934">
        <f>IF(ISBLANK('Data Entry'!b934), "", 'Data Entry'!b934)</f>
      </c>
      <c r="AI934">
        <f>IF(ISBLANK('Data Entry'!c934), "", 'Data Entry'!c934)</f>
      </c>
      <c r="AJ934">
        <f>IF(ISBLANK('Data Entry'!d934), "", 'Data Entry'!d934)</f>
      </c>
      <c r="AK934">
        <f>IF(ISBLANK('Data Entry'!e934), "", 'Data Entry'!e934)</f>
      </c>
      <c r="AL934">
        <f>IF(ISBLANK('Data Entry'!f934), "", 'Data Entry'!f934)</f>
      </c>
      <c r="AM934">
        <f>IF(ISBLANK('Data Entry'!g934), "", 'Data Entry'!g934)</f>
      </c>
      <c r="AN934">
        <f>IF(ISBLANK('Data Entry'!h934), "", 'Data Entry'!h934)</f>
      </c>
    </row>
    <row r="935" spans="1:40" x14ac:dyDescent="0.25">
      <c r="A935">
        <f>IF(ISBLANK('Data Entry'!A935), "", 'Data Entry'!A935)</f>
      </c>
      <c r="B935">
        <f>IF(ISBLANK('Data Entry'!B935), "", 'Data Entry'!B935)</f>
      </c>
      <c r="C935">
        <f>IF(ISBLANK('Data Entry'!C935), "", 'Data Entry'!C935)</f>
      </c>
      <c r="D935">
        <f>IF(ISBLANK('Data Entry'!D935), "", 'Data Entry'!D935)</f>
      </c>
      <c r="E935">
        <f>IF(ISBLANK('Data Entry'!E935), "", 'Data Entry'!E935)</f>
      </c>
      <c r="F935">
        <f>IF(ISBLANK('Data Entry'!F935), "", 'Data Entry'!F935)</f>
      </c>
      <c r="G935">
        <f>IF(ISBLANK('Data Entry'!G935), "", 'Data Entry'!G935)</f>
      </c>
      <c r="H935">
        <f>IF(ISBLANK('Data Entry'!H935), "", 'Data Entry'!H935)</f>
      </c>
      <c r="I935">
        <f>IF(ISBLANK('Data Entry'!I935), "", 'Data Entry'!I935)</f>
      </c>
      <c r="J935">
        <f>IF(ISBLANK('Data Entry'!J935), "", 'Data Entry'!J935)</f>
      </c>
      <c r="K935">
        <f>IF(ISBLANK('Data Entry'!K935), "", 'Data Entry'!K935)</f>
      </c>
      <c r="L935">
        <f>IF(ISBLANK('Data Entry'!L935), "", 'Data Entry'!L935)</f>
      </c>
      <c r="M935">
        <f>IF(ISBLANK('Data Entry'!M935), "", 'Data Entry'!M935)</f>
      </c>
      <c r="N935">
        <f>IF(ISBLANK('Data Entry'!N935), "", 'Data Entry'!N935)</f>
      </c>
      <c r="O935">
        <f>IF(ISBLANK('Data Entry'!O935), "", 'Data Entry'!O935)</f>
      </c>
      <c r="P935">
        <f>IF(ISBLANK('Data Entry'!P935), "", 'Data Entry'!P935)</f>
      </c>
      <c r="Q935">
        <f>IF(ISBLANK('Data Entry'!Q935), "", 'Data Entry'!Q935)</f>
      </c>
      <c r="R935">
        <f>IF(ISBLANK('Data Entry'!R935), "", 'Data Entry'!R935)</f>
      </c>
      <c r="S935">
        <f>IF(ISBLANK('Data Entry'!S935), "", 'Data Entry'!S935)</f>
      </c>
      <c r="T935">
        <f>IF(ISBLANK('Data Entry'!T935), "", 'Data Entry'!T935)</f>
      </c>
      <c r="U935">
        <f>IF(ISBLANK('Data Entry'!U935), "", 'Data Entry'!U935)</f>
      </c>
      <c r="V935">
        <f>IF(ISBLANK('Data Entry'!V935), "", 'Data Entry'!V935)</f>
      </c>
      <c r="W935">
        <f>IF(ISBLANK('Data Entry'!W935), "", 'Data Entry'!W935)</f>
      </c>
      <c r="X935">
        <f>IF(ISBLANK('Data Entry'!X935), "", 'Data Entry'!X935)</f>
      </c>
      <c r="Y935">
        <f>IF(ISBLANK('Data Entry'!Y935), "", 'Data Entry'!Y935)</f>
      </c>
      <c r="Z935">
        <f>IF(ISBLANK('Data Entry'!Z935), "", 'Data Entry'!Z935)</f>
      </c>
      <c r="AA935">
        <f>IF(ISBLANK('Data Entry'![935), "", 'Data Entry'![935)</f>
      </c>
      <c r="AB935">
        <f>IF(ISBLANK('Data Entry'!\935), "", 'Data Entry'!\935)</f>
      </c>
      <c r="AC935">
        <f>IF(ISBLANK('Data Entry'!]935), "", 'Data Entry'!]935)</f>
      </c>
      <c r="AD935">
        <f>IF(ISBLANK('Data Entry'!^935), "", 'Data Entry'!^935)</f>
      </c>
      <c r="AE935">
        <f>IF(ISBLANK('Data Entry'!_935), "", 'Data Entry'!_935)</f>
      </c>
      <c r="AF935">
        <f>IF(ISBLANK('Data Entry'!`935), "", 'Data Entry'!`935)</f>
      </c>
      <c r="AG935">
        <f>IF(ISBLANK('Data Entry'!a935), "", 'Data Entry'!a935)</f>
      </c>
      <c r="AH935">
        <f>IF(ISBLANK('Data Entry'!b935), "", 'Data Entry'!b935)</f>
      </c>
      <c r="AI935">
        <f>IF(ISBLANK('Data Entry'!c935), "", 'Data Entry'!c935)</f>
      </c>
      <c r="AJ935">
        <f>IF(ISBLANK('Data Entry'!d935), "", 'Data Entry'!d935)</f>
      </c>
      <c r="AK935">
        <f>IF(ISBLANK('Data Entry'!e935), "", 'Data Entry'!e935)</f>
      </c>
      <c r="AL935">
        <f>IF(ISBLANK('Data Entry'!f935), "", 'Data Entry'!f935)</f>
      </c>
      <c r="AM935">
        <f>IF(ISBLANK('Data Entry'!g935), "", 'Data Entry'!g935)</f>
      </c>
      <c r="AN935">
        <f>IF(ISBLANK('Data Entry'!h935), "", 'Data Entry'!h935)</f>
      </c>
    </row>
    <row r="936" spans="1:40" x14ac:dyDescent="0.25">
      <c r="A936">
        <f>IF(ISBLANK('Data Entry'!A936), "", 'Data Entry'!A936)</f>
      </c>
      <c r="B936">
        <f>IF(ISBLANK('Data Entry'!B936), "", 'Data Entry'!B936)</f>
      </c>
      <c r="C936">
        <f>IF(ISBLANK('Data Entry'!C936), "", 'Data Entry'!C936)</f>
      </c>
      <c r="D936">
        <f>IF(ISBLANK('Data Entry'!D936), "", 'Data Entry'!D936)</f>
      </c>
      <c r="E936">
        <f>IF(ISBLANK('Data Entry'!E936), "", 'Data Entry'!E936)</f>
      </c>
      <c r="F936">
        <f>IF(ISBLANK('Data Entry'!F936), "", 'Data Entry'!F936)</f>
      </c>
      <c r="G936">
        <f>IF(ISBLANK('Data Entry'!G936), "", 'Data Entry'!G936)</f>
      </c>
      <c r="H936">
        <f>IF(ISBLANK('Data Entry'!H936), "", 'Data Entry'!H936)</f>
      </c>
      <c r="I936">
        <f>IF(ISBLANK('Data Entry'!I936), "", 'Data Entry'!I936)</f>
      </c>
      <c r="J936">
        <f>IF(ISBLANK('Data Entry'!J936), "", 'Data Entry'!J936)</f>
      </c>
      <c r="K936">
        <f>IF(ISBLANK('Data Entry'!K936), "", 'Data Entry'!K936)</f>
      </c>
      <c r="L936">
        <f>IF(ISBLANK('Data Entry'!L936), "", 'Data Entry'!L936)</f>
      </c>
      <c r="M936">
        <f>IF(ISBLANK('Data Entry'!M936), "", 'Data Entry'!M936)</f>
      </c>
      <c r="N936">
        <f>IF(ISBLANK('Data Entry'!N936), "", 'Data Entry'!N936)</f>
      </c>
      <c r="O936">
        <f>IF(ISBLANK('Data Entry'!O936), "", 'Data Entry'!O936)</f>
      </c>
      <c r="P936">
        <f>IF(ISBLANK('Data Entry'!P936), "", 'Data Entry'!P936)</f>
      </c>
      <c r="Q936">
        <f>IF(ISBLANK('Data Entry'!Q936), "", 'Data Entry'!Q936)</f>
      </c>
      <c r="R936">
        <f>IF(ISBLANK('Data Entry'!R936), "", 'Data Entry'!R936)</f>
      </c>
      <c r="S936">
        <f>IF(ISBLANK('Data Entry'!S936), "", 'Data Entry'!S936)</f>
      </c>
      <c r="T936">
        <f>IF(ISBLANK('Data Entry'!T936), "", 'Data Entry'!T936)</f>
      </c>
      <c r="U936">
        <f>IF(ISBLANK('Data Entry'!U936), "", 'Data Entry'!U936)</f>
      </c>
      <c r="V936">
        <f>IF(ISBLANK('Data Entry'!V936), "", 'Data Entry'!V936)</f>
      </c>
      <c r="W936">
        <f>IF(ISBLANK('Data Entry'!W936), "", 'Data Entry'!W936)</f>
      </c>
      <c r="X936">
        <f>IF(ISBLANK('Data Entry'!X936), "", 'Data Entry'!X936)</f>
      </c>
      <c r="Y936">
        <f>IF(ISBLANK('Data Entry'!Y936), "", 'Data Entry'!Y936)</f>
      </c>
      <c r="Z936">
        <f>IF(ISBLANK('Data Entry'!Z936), "", 'Data Entry'!Z936)</f>
      </c>
      <c r="AA936">
        <f>IF(ISBLANK('Data Entry'![936), "", 'Data Entry'![936)</f>
      </c>
      <c r="AB936">
        <f>IF(ISBLANK('Data Entry'!\936), "", 'Data Entry'!\936)</f>
      </c>
      <c r="AC936">
        <f>IF(ISBLANK('Data Entry'!]936), "", 'Data Entry'!]936)</f>
      </c>
      <c r="AD936">
        <f>IF(ISBLANK('Data Entry'!^936), "", 'Data Entry'!^936)</f>
      </c>
      <c r="AE936">
        <f>IF(ISBLANK('Data Entry'!_936), "", 'Data Entry'!_936)</f>
      </c>
      <c r="AF936">
        <f>IF(ISBLANK('Data Entry'!`936), "", 'Data Entry'!`936)</f>
      </c>
      <c r="AG936">
        <f>IF(ISBLANK('Data Entry'!a936), "", 'Data Entry'!a936)</f>
      </c>
      <c r="AH936">
        <f>IF(ISBLANK('Data Entry'!b936), "", 'Data Entry'!b936)</f>
      </c>
      <c r="AI936">
        <f>IF(ISBLANK('Data Entry'!c936), "", 'Data Entry'!c936)</f>
      </c>
      <c r="AJ936">
        <f>IF(ISBLANK('Data Entry'!d936), "", 'Data Entry'!d936)</f>
      </c>
      <c r="AK936">
        <f>IF(ISBLANK('Data Entry'!e936), "", 'Data Entry'!e936)</f>
      </c>
      <c r="AL936">
        <f>IF(ISBLANK('Data Entry'!f936), "", 'Data Entry'!f936)</f>
      </c>
      <c r="AM936">
        <f>IF(ISBLANK('Data Entry'!g936), "", 'Data Entry'!g936)</f>
      </c>
      <c r="AN936">
        <f>IF(ISBLANK('Data Entry'!h936), "", 'Data Entry'!h936)</f>
      </c>
    </row>
    <row r="937" spans="1:40" x14ac:dyDescent="0.25">
      <c r="A937">
        <f>IF(ISBLANK('Data Entry'!A937), "", 'Data Entry'!A937)</f>
      </c>
      <c r="B937">
        <f>IF(ISBLANK('Data Entry'!B937), "", 'Data Entry'!B937)</f>
      </c>
      <c r="C937">
        <f>IF(ISBLANK('Data Entry'!C937), "", 'Data Entry'!C937)</f>
      </c>
      <c r="D937">
        <f>IF(ISBLANK('Data Entry'!D937), "", 'Data Entry'!D937)</f>
      </c>
      <c r="E937">
        <f>IF(ISBLANK('Data Entry'!E937), "", 'Data Entry'!E937)</f>
      </c>
      <c r="F937">
        <f>IF(ISBLANK('Data Entry'!F937), "", 'Data Entry'!F937)</f>
      </c>
      <c r="G937">
        <f>IF(ISBLANK('Data Entry'!G937), "", 'Data Entry'!G937)</f>
      </c>
      <c r="H937">
        <f>IF(ISBLANK('Data Entry'!H937), "", 'Data Entry'!H937)</f>
      </c>
      <c r="I937">
        <f>IF(ISBLANK('Data Entry'!I937), "", 'Data Entry'!I937)</f>
      </c>
      <c r="J937">
        <f>IF(ISBLANK('Data Entry'!J937), "", 'Data Entry'!J937)</f>
      </c>
      <c r="K937">
        <f>IF(ISBLANK('Data Entry'!K937), "", 'Data Entry'!K937)</f>
      </c>
      <c r="L937">
        <f>IF(ISBLANK('Data Entry'!L937), "", 'Data Entry'!L937)</f>
      </c>
      <c r="M937">
        <f>IF(ISBLANK('Data Entry'!M937), "", 'Data Entry'!M937)</f>
      </c>
      <c r="N937">
        <f>IF(ISBLANK('Data Entry'!N937), "", 'Data Entry'!N937)</f>
      </c>
      <c r="O937">
        <f>IF(ISBLANK('Data Entry'!O937), "", 'Data Entry'!O937)</f>
      </c>
      <c r="P937">
        <f>IF(ISBLANK('Data Entry'!P937), "", 'Data Entry'!P937)</f>
      </c>
      <c r="Q937">
        <f>IF(ISBLANK('Data Entry'!Q937), "", 'Data Entry'!Q937)</f>
      </c>
      <c r="R937">
        <f>IF(ISBLANK('Data Entry'!R937), "", 'Data Entry'!R937)</f>
      </c>
      <c r="S937">
        <f>IF(ISBLANK('Data Entry'!S937), "", 'Data Entry'!S937)</f>
      </c>
      <c r="T937">
        <f>IF(ISBLANK('Data Entry'!T937), "", 'Data Entry'!T937)</f>
      </c>
      <c r="U937">
        <f>IF(ISBLANK('Data Entry'!U937), "", 'Data Entry'!U937)</f>
      </c>
      <c r="V937">
        <f>IF(ISBLANK('Data Entry'!V937), "", 'Data Entry'!V937)</f>
      </c>
      <c r="W937">
        <f>IF(ISBLANK('Data Entry'!W937), "", 'Data Entry'!W937)</f>
      </c>
      <c r="X937">
        <f>IF(ISBLANK('Data Entry'!X937), "", 'Data Entry'!X937)</f>
      </c>
      <c r="Y937">
        <f>IF(ISBLANK('Data Entry'!Y937), "", 'Data Entry'!Y937)</f>
      </c>
      <c r="Z937">
        <f>IF(ISBLANK('Data Entry'!Z937), "", 'Data Entry'!Z937)</f>
      </c>
      <c r="AA937">
        <f>IF(ISBLANK('Data Entry'![937), "", 'Data Entry'![937)</f>
      </c>
      <c r="AB937">
        <f>IF(ISBLANK('Data Entry'!\937), "", 'Data Entry'!\937)</f>
      </c>
      <c r="AC937">
        <f>IF(ISBLANK('Data Entry'!]937), "", 'Data Entry'!]937)</f>
      </c>
      <c r="AD937">
        <f>IF(ISBLANK('Data Entry'!^937), "", 'Data Entry'!^937)</f>
      </c>
      <c r="AE937">
        <f>IF(ISBLANK('Data Entry'!_937), "", 'Data Entry'!_937)</f>
      </c>
      <c r="AF937">
        <f>IF(ISBLANK('Data Entry'!`937), "", 'Data Entry'!`937)</f>
      </c>
      <c r="AG937">
        <f>IF(ISBLANK('Data Entry'!a937), "", 'Data Entry'!a937)</f>
      </c>
      <c r="AH937">
        <f>IF(ISBLANK('Data Entry'!b937), "", 'Data Entry'!b937)</f>
      </c>
      <c r="AI937">
        <f>IF(ISBLANK('Data Entry'!c937), "", 'Data Entry'!c937)</f>
      </c>
      <c r="AJ937">
        <f>IF(ISBLANK('Data Entry'!d937), "", 'Data Entry'!d937)</f>
      </c>
      <c r="AK937">
        <f>IF(ISBLANK('Data Entry'!e937), "", 'Data Entry'!e937)</f>
      </c>
      <c r="AL937">
        <f>IF(ISBLANK('Data Entry'!f937), "", 'Data Entry'!f937)</f>
      </c>
      <c r="AM937">
        <f>IF(ISBLANK('Data Entry'!g937), "", 'Data Entry'!g937)</f>
      </c>
      <c r="AN937">
        <f>IF(ISBLANK('Data Entry'!h937), "", 'Data Entry'!h937)</f>
      </c>
    </row>
    <row r="938" spans="1:40" x14ac:dyDescent="0.25">
      <c r="A938">
        <f>IF(ISBLANK('Data Entry'!A938), "", 'Data Entry'!A938)</f>
      </c>
      <c r="B938">
        <f>IF(ISBLANK('Data Entry'!B938), "", 'Data Entry'!B938)</f>
      </c>
      <c r="C938">
        <f>IF(ISBLANK('Data Entry'!C938), "", 'Data Entry'!C938)</f>
      </c>
      <c r="D938">
        <f>IF(ISBLANK('Data Entry'!D938), "", 'Data Entry'!D938)</f>
      </c>
      <c r="E938">
        <f>IF(ISBLANK('Data Entry'!E938), "", 'Data Entry'!E938)</f>
      </c>
      <c r="F938">
        <f>IF(ISBLANK('Data Entry'!F938), "", 'Data Entry'!F938)</f>
      </c>
      <c r="G938">
        <f>IF(ISBLANK('Data Entry'!G938), "", 'Data Entry'!G938)</f>
      </c>
      <c r="H938">
        <f>IF(ISBLANK('Data Entry'!H938), "", 'Data Entry'!H938)</f>
      </c>
      <c r="I938">
        <f>IF(ISBLANK('Data Entry'!I938), "", 'Data Entry'!I938)</f>
      </c>
      <c r="J938">
        <f>IF(ISBLANK('Data Entry'!J938), "", 'Data Entry'!J938)</f>
      </c>
      <c r="K938">
        <f>IF(ISBLANK('Data Entry'!K938), "", 'Data Entry'!K938)</f>
      </c>
      <c r="L938">
        <f>IF(ISBLANK('Data Entry'!L938), "", 'Data Entry'!L938)</f>
      </c>
      <c r="M938">
        <f>IF(ISBLANK('Data Entry'!M938), "", 'Data Entry'!M938)</f>
      </c>
      <c r="N938">
        <f>IF(ISBLANK('Data Entry'!N938), "", 'Data Entry'!N938)</f>
      </c>
      <c r="O938">
        <f>IF(ISBLANK('Data Entry'!O938), "", 'Data Entry'!O938)</f>
      </c>
      <c r="P938">
        <f>IF(ISBLANK('Data Entry'!P938), "", 'Data Entry'!P938)</f>
      </c>
      <c r="Q938">
        <f>IF(ISBLANK('Data Entry'!Q938), "", 'Data Entry'!Q938)</f>
      </c>
      <c r="R938">
        <f>IF(ISBLANK('Data Entry'!R938), "", 'Data Entry'!R938)</f>
      </c>
      <c r="S938">
        <f>IF(ISBLANK('Data Entry'!S938), "", 'Data Entry'!S938)</f>
      </c>
      <c r="T938">
        <f>IF(ISBLANK('Data Entry'!T938), "", 'Data Entry'!T938)</f>
      </c>
      <c r="U938">
        <f>IF(ISBLANK('Data Entry'!U938), "", 'Data Entry'!U938)</f>
      </c>
      <c r="V938">
        <f>IF(ISBLANK('Data Entry'!V938), "", 'Data Entry'!V938)</f>
      </c>
      <c r="W938">
        <f>IF(ISBLANK('Data Entry'!W938), "", 'Data Entry'!W938)</f>
      </c>
      <c r="X938">
        <f>IF(ISBLANK('Data Entry'!X938), "", 'Data Entry'!X938)</f>
      </c>
      <c r="Y938">
        <f>IF(ISBLANK('Data Entry'!Y938), "", 'Data Entry'!Y938)</f>
      </c>
      <c r="Z938">
        <f>IF(ISBLANK('Data Entry'!Z938), "", 'Data Entry'!Z938)</f>
      </c>
      <c r="AA938">
        <f>IF(ISBLANK('Data Entry'![938), "", 'Data Entry'![938)</f>
      </c>
      <c r="AB938">
        <f>IF(ISBLANK('Data Entry'!\938), "", 'Data Entry'!\938)</f>
      </c>
      <c r="AC938">
        <f>IF(ISBLANK('Data Entry'!]938), "", 'Data Entry'!]938)</f>
      </c>
      <c r="AD938">
        <f>IF(ISBLANK('Data Entry'!^938), "", 'Data Entry'!^938)</f>
      </c>
      <c r="AE938">
        <f>IF(ISBLANK('Data Entry'!_938), "", 'Data Entry'!_938)</f>
      </c>
      <c r="AF938">
        <f>IF(ISBLANK('Data Entry'!`938), "", 'Data Entry'!`938)</f>
      </c>
      <c r="AG938">
        <f>IF(ISBLANK('Data Entry'!a938), "", 'Data Entry'!a938)</f>
      </c>
      <c r="AH938">
        <f>IF(ISBLANK('Data Entry'!b938), "", 'Data Entry'!b938)</f>
      </c>
      <c r="AI938">
        <f>IF(ISBLANK('Data Entry'!c938), "", 'Data Entry'!c938)</f>
      </c>
      <c r="AJ938">
        <f>IF(ISBLANK('Data Entry'!d938), "", 'Data Entry'!d938)</f>
      </c>
      <c r="AK938">
        <f>IF(ISBLANK('Data Entry'!e938), "", 'Data Entry'!e938)</f>
      </c>
      <c r="AL938">
        <f>IF(ISBLANK('Data Entry'!f938), "", 'Data Entry'!f938)</f>
      </c>
      <c r="AM938">
        <f>IF(ISBLANK('Data Entry'!g938), "", 'Data Entry'!g938)</f>
      </c>
      <c r="AN938">
        <f>IF(ISBLANK('Data Entry'!h938), "", 'Data Entry'!h938)</f>
      </c>
    </row>
    <row r="939" spans="1:40" x14ac:dyDescent="0.25">
      <c r="A939">
        <f>IF(ISBLANK('Data Entry'!A939), "", 'Data Entry'!A939)</f>
      </c>
      <c r="B939">
        <f>IF(ISBLANK('Data Entry'!B939), "", 'Data Entry'!B939)</f>
      </c>
      <c r="C939">
        <f>IF(ISBLANK('Data Entry'!C939), "", 'Data Entry'!C939)</f>
      </c>
      <c r="D939">
        <f>IF(ISBLANK('Data Entry'!D939), "", 'Data Entry'!D939)</f>
      </c>
      <c r="E939">
        <f>IF(ISBLANK('Data Entry'!E939), "", 'Data Entry'!E939)</f>
      </c>
      <c r="F939">
        <f>IF(ISBLANK('Data Entry'!F939), "", 'Data Entry'!F939)</f>
      </c>
      <c r="G939">
        <f>IF(ISBLANK('Data Entry'!G939), "", 'Data Entry'!G939)</f>
      </c>
      <c r="H939">
        <f>IF(ISBLANK('Data Entry'!H939), "", 'Data Entry'!H939)</f>
      </c>
      <c r="I939">
        <f>IF(ISBLANK('Data Entry'!I939), "", 'Data Entry'!I939)</f>
      </c>
      <c r="J939">
        <f>IF(ISBLANK('Data Entry'!J939), "", 'Data Entry'!J939)</f>
      </c>
      <c r="K939">
        <f>IF(ISBLANK('Data Entry'!K939), "", 'Data Entry'!K939)</f>
      </c>
      <c r="L939">
        <f>IF(ISBLANK('Data Entry'!L939), "", 'Data Entry'!L939)</f>
      </c>
      <c r="M939">
        <f>IF(ISBLANK('Data Entry'!M939), "", 'Data Entry'!M939)</f>
      </c>
      <c r="N939">
        <f>IF(ISBLANK('Data Entry'!N939), "", 'Data Entry'!N939)</f>
      </c>
      <c r="O939">
        <f>IF(ISBLANK('Data Entry'!O939), "", 'Data Entry'!O939)</f>
      </c>
      <c r="P939">
        <f>IF(ISBLANK('Data Entry'!P939), "", 'Data Entry'!P939)</f>
      </c>
      <c r="Q939">
        <f>IF(ISBLANK('Data Entry'!Q939), "", 'Data Entry'!Q939)</f>
      </c>
      <c r="R939">
        <f>IF(ISBLANK('Data Entry'!R939), "", 'Data Entry'!R939)</f>
      </c>
      <c r="S939">
        <f>IF(ISBLANK('Data Entry'!S939), "", 'Data Entry'!S939)</f>
      </c>
      <c r="T939">
        <f>IF(ISBLANK('Data Entry'!T939), "", 'Data Entry'!T939)</f>
      </c>
      <c r="U939">
        <f>IF(ISBLANK('Data Entry'!U939), "", 'Data Entry'!U939)</f>
      </c>
      <c r="V939">
        <f>IF(ISBLANK('Data Entry'!V939), "", 'Data Entry'!V939)</f>
      </c>
      <c r="W939">
        <f>IF(ISBLANK('Data Entry'!W939), "", 'Data Entry'!W939)</f>
      </c>
      <c r="X939">
        <f>IF(ISBLANK('Data Entry'!X939), "", 'Data Entry'!X939)</f>
      </c>
      <c r="Y939">
        <f>IF(ISBLANK('Data Entry'!Y939), "", 'Data Entry'!Y939)</f>
      </c>
      <c r="Z939">
        <f>IF(ISBLANK('Data Entry'!Z939), "", 'Data Entry'!Z939)</f>
      </c>
      <c r="AA939">
        <f>IF(ISBLANK('Data Entry'![939), "", 'Data Entry'![939)</f>
      </c>
      <c r="AB939">
        <f>IF(ISBLANK('Data Entry'!\939), "", 'Data Entry'!\939)</f>
      </c>
      <c r="AC939">
        <f>IF(ISBLANK('Data Entry'!]939), "", 'Data Entry'!]939)</f>
      </c>
      <c r="AD939">
        <f>IF(ISBLANK('Data Entry'!^939), "", 'Data Entry'!^939)</f>
      </c>
      <c r="AE939">
        <f>IF(ISBLANK('Data Entry'!_939), "", 'Data Entry'!_939)</f>
      </c>
      <c r="AF939">
        <f>IF(ISBLANK('Data Entry'!`939), "", 'Data Entry'!`939)</f>
      </c>
      <c r="AG939">
        <f>IF(ISBLANK('Data Entry'!a939), "", 'Data Entry'!a939)</f>
      </c>
      <c r="AH939">
        <f>IF(ISBLANK('Data Entry'!b939), "", 'Data Entry'!b939)</f>
      </c>
      <c r="AI939">
        <f>IF(ISBLANK('Data Entry'!c939), "", 'Data Entry'!c939)</f>
      </c>
      <c r="AJ939">
        <f>IF(ISBLANK('Data Entry'!d939), "", 'Data Entry'!d939)</f>
      </c>
      <c r="AK939">
        <f>IF(ISBLANK('Data Entry'!e939), "", 'Data Entry'!e939)</f>
      </c>
      <c r="AL939">
        <f>IF(ISBLANK('Data Entry'!f939), "", 'Data Entry'!f939)</f>
      </c>
      <c r="AM939">
        <f>IF(ISBLANK('Data Entry'!g939), "", 'Data Entry'!g939)</f>
      </c>
      <c r="AN939">
        <f>IF(ISBLANK('Data Entry'!h939), "", 'Data Entry'!h939)</f>
      </c>
    </row>
    <row r="940" spans="1:40" x14ac:dyDescent="0.25">
      <c r="A940">
        <f>IF(ISBLANK('Data Entry'!A940), "", 'Data Entry'!A940)</f>
      </c>
      <c r="B940">
        <f>IF(ISBLANK('Data Entry'!B940), "", 'Data Entry'!B940)</f>
      </c>
      <c r="C940">
        <f>IF(ISBLANK('Data Entry'!C940), "", 'Data Entry'!C940)</f>
      </c>
      <c r="D940">
        <f>IF(ISBLANK('Data Entry'!D940), "", 'Data Entry'!D940)</f>
      </c>
      <c r="E940">
        <f>IF(ISBLANK('Data Entry'!E940), "", 'Data Entry'!E940)</f>
      </c>
      <c r="F940">
        <f>IF(ISBLANK('Data Entry'!F940), "", 'Data Entry'!F940)</f>
      </c>
      <c r="G940">
        <f>IF(ISBLANK('Data Entry'!G940), "", 'Data Entry'!G940)</f>
      </c>
      <c r="H940">
        <f>IF(ISBLANK('Data Entry'!H940), "", 'Data Entry'!H940)</f>
      </c>
      <c r="I940">
        <f>IF(ISBLANK('Data Entry'!I940), "", 'Data Entry'!I940)</f>
      </c>
      <c r="J940">
        <f>IF(ISBLANK('Data Entry'!J940), "", 'Data Entry'!J940)</f>
      </c>
      <c r="K940">
        <f>IF(ISBLANK('Data Entry'!K940), "", 'Data Entry'!K940)</f>
      </c>
      <c r="L940">
        <f>IF(ISBLANK('Data Entry'!L940), "", 'Data Entry'!L940)</f>
      </c>
      <c r="M940">
        <f>IF(ISBLANK('Data Entry'!M940), "", 'Data Entry'!M940)</f>
      </c>
      <c r="N940">
        <f>IF(ISBLANK('Data Entry'!N940), "", 'Data Entry'!N940)</f>
      </c>
      <c r="O940">
        <f>IF(ISBLANK('Data Entry'!O940), "", 'Data Entry'!O940)</f>
      </c>
      <c r="P940">
        <f>IF(ISBLANK('Data Entry'!P940), "", 'Data Entry'!P940)</f>
      </c>
      <c r="Q940">
        <f>IF(ISBLANK('Data Entry'!Q940), "", 'Data Entry'!Q940)</f>
      </c>
      <c r="R940">
        <f>IF(ISBLANK('Data Entry'!R940), "", 'Data Entry'!R940)</f>
      </c>
      <c r="S940">
        <f>IF(ISBLANK('Data Entry'!S940), "", 'Data Entry'!S940)</f>
      </c>
      <c r="T940">
        <f>IF(ISBLANK('Data Entry'!T940), "", 'Data Entry'!T940)</f>
      </c>
      <c r="U940">
        <f>IF(ISBLANK('Data Entry'!U940), "", 'Data Entry'!U940)</f>
      </c>
      <c r="V940">
        <f>IF(ISBLANK('Data Entry'!V940), "", 'Data Entry'!V940)</f>
      </c>
      <c r="W940">
        <f>IF(ISBLANK('Data Entry'!W940), "", 'Data Entry'!W940)</f>
      </c>
      <c r="X940">
        <f>IF(ISBLANK('Data Entry'!X940), "", 'Data Entry'!X940)</f>
      </c>
      <c r="Y940">
        <f>IF(ISBLANK('Data Entry'!Y940), "", 'Data Entry'!Y940)</f>
      </c>
      <c r="Z940">
        <f>IF(ISBLANK('Data Entry'!Z940), "", 'Data Entry'!Z940)</f>
      </c>
      <c r="AA940">
        <f>IF(ISBLANK('Data Entry'![940), "", 'Data Entry'![940)</f>
      </c>
      <c r="AB940">
        <f>IF(ISBLANK('Data Entry'!\940), "", 'Data Entry'!\940)</f>
      </c>
      <c r="AC940">
        <f>IF(ISBLANK('Data Entry'!]940), "", 'Data Entry'!]940)</f>
      </c>
      <c r="AD940">
        <f>IF(ISBLANK('Data Entry'!^940), "", 'Data Entry'!^940)</f>
      </c>
      <c r="AE940">
        <f>IF(ISBLANK('Data Entry'!_940), "", 'Data Entry'!_940)</f>
      </c>
      <c r="AF940">
        <f>IF(ISBLANK('Data Entry'!`940), "", 'Data Entry'!`940)</f>
      </c>
      <c r="AG940">
        <f>IF(ISBLANK('Data Entry'!a940), "", 'Data Entry'!a940)</f>
      </c>
      <c r="AH940">
        <f>IF(ISBLANK('Data Entry'!b940), "", 'Data Entry'!b940)</f>
      </c>
      <c r="AI940">
        <f>IF(ISBLANK('Data Entry'!c940), "", 'Data Entry'!c940)</f>
      </c>
      <c r="AJ940">
        <f>IF(ISBLANK('Data Entry'!d940), "", 'Data Entry'!d940)</f>
      </c>
      <c r="AK940">
        <f>IF(ISBLANK('Data Entry'!e940), "", 'Data Entry'!e940)</f>
      </c>
      <c r="AL940">
        <f>IF(ISBLANK('Data Entry'!f940), "", 'Data Entry'!f940)</f>
      </c>
      <c r="AM940">
        <f>IF(ISBLANK('Data Entry'!g940), "", 'Data Entry'!g940)</f>
      </c>
      <c r="AN940">
        <f>IF(ISBLANK('Data Entry'!h940), "", 'Data Entry'!h940)</f>
      </c>
    </row>
    <row r="941" spans="1:40" x14ac:dyDescent="0.25">
      <c r="A941">
        <f>IF(ISBLANK('Data Entry'!A941), "", 'Data Entry'!A941)</f>
      </c>
      <c r="B941">
        <f>IF(ISBLANK('Data Entry'!B941), "", 'Data Entry'!B941)</f>
      </c>
      <c r="C941">
        <f>IF(ISBLANK('Data Entry'!C941), "", 'Data Entry'!C941)</f>
      </c>
      <c r="D941">
        <f>IF(ISBLANK('Data Entry'!D941), "", 'Data Entry'!D941)</f>
      </c>
      <c r="E941">
        <f>IF(ISBLANK('Data Entry'!E941), "", 'Data Entry'!E941)</f>
      </c>
      <c r="F941">
        <f>IF(ISBLANK('Data Entry'!F941), "", 'Data Entry'!F941)</f>
      </c>
      <c r="G941">
        <f>IF(ISBLANK('Data Entry'!G941), "", 'Data Entry'!G941)</f>
      </c>
      <c r="H941">
        <f>IF(ISBLANK('Data Entry'!H941), "", 'Data Entry'!H941)</f>
      </c>
      <c r="I941">
        <f>IF(ISBLANK('Data Entry'!I941), "", 'Data Entry'!I941)</f>
      </c>
      <c r="J941">
        <f>IF(ISBLANK('Data Entry'!J941), "", 'Data Entry'!J941)</f>
      </c>
      <c r="K941">
        <f>IF(ISBLANK('Data Entry'!K941), "", 'Data Entry'!K941)</f>
      </c>
      <c r="L941">
        <f>IF(ISBLANK('Data Entry'!L941), "", 'Data Entry'!L941)</f>
      </c>
      <c r="M941">
        <f>IF(ISBLANK('Data Entry'!M941), "", 'Data Entry'!M941)</f>
      </c>
      <c r="N941">
        <f>IF(ISBLANK('Data Entry'!N941), "", 'Data Entry'!N941)</f>
      </c>
      <c r="O941">
        <f>IF(ISBLANK('Data Entry'!O941), "", 'Data Entry'!O941)</f>
      </c>
      <c r="P941">
        <f>IF(ISBLANK('Data Entry'!P941), "", 'Data Entry'!P941)</f>
      </c>
      <c r="Q941">
        <f>IF(ISBLANK('Data Entry'!Q941), "", 'Data Entry'!Q941)</f>
      </c>
      <c r="R941">
        <f>IF(ISBLANK('Data Entry'!R941), "", 'Data Entry'!R941)</f>
      </c>
      <c r="S941">
        <f>IF(ISBLANK('Data Entry'!S941), "", 'Data Entry'!S941)</f>
      </c>
      <c r="T941">
        <f>IF(ISBLANK('Data Entry'!T941), "", 'Data Entry'!T941)</f>
      </c>
      <c r="U941">
        <f>IF(ISBLANK('Data Entry'!U941), "", 'Data Entry'!U941)</f>
      </c>
      <c r="V941">
        <f>IF(ISBLANK('Data Entry'!V941), "", 'Data Entry'!V941)</f>
      </c>
      <c r="W941">
        <f>IF(ISBLANK('Data Entry'!W941), "", 'Data Entry'!W941)</f>
      </c>
      <c r="X941">
        <f>IF(ISBLANK('Data Entry'!X941), "", 'Data Entry'!X941)</f>
      </c>
      <c r="Y941">
        <f>IF(ISBLANK('Data Entry'!Y941), "", 'Data Entry'!Y941)</f>
      </c>
      <c r="Z941">
        <f>IF(ISBLANK('Data Entry'!Z941), "", 'Data Entry'!Z941)</f>
      </c>
      <c r="AA941">
        <f>IF(ISBLANK('Data Entry'![941), "", 'Data Entry'![941)</f>
      </c>
      <c r="AB941">
        <f>IF(ISBLANK('Data Entry'!\941), "", 'Data Entry'!\941)</f>
      </c>
      <c r="AC941">
        <f>IF(ISBLANK('Data Entry'!]941), "", 'Data Entry'!]941)</f>
      </c>
      <c r="AD941">
        <f>IF(ISBLANK('Data Entry'!^941), "", 'Data Entry'!^941)</f>
      </c>
      <c r="AE941">
        <f>IF(ISBLANK('Data Entry'!_941), "", 'Data Entry'!_941)</f>
      </c>
      <c r="AF941">
        <f>IF(ISBLANK('Data Entry'!`941), "", 'Data Entry'!`941)</f>
      </c>
      <c r="AG941">
        <f>IF(ISBLANK('Data Entry'!a941), "", 'Data Entry'!a941)</f>
      </c>
      <c r="AH941">
        <f>IF(ISBLANK('Data Entry'!b941), "", 'Data Entry'!b941)</f>
      </c>
      <c r="AI941">
        <f>IF(ISBLANK('Data Entry'!c941), "", 'Data Entry'!c941)</f>
      </c>
      <c r="AJ941">
        <f>IF(ISBLANK('Data Entry'!d941), "", 'Data Entry'!d941)</f>
      </c>
      <c r="AK941">
        <f>IF(ISBLANK('Data Entry'!e941), "", 'Data Entry'!e941)</f>
      </c>
      <c r="AL941">
        <f>IF(ISBLANK('Data Entry'!f941), "", 'Data Entry'!f941)</f>
      </c>
      <c r="AM941">
        <f>IF(ISBLANK('Data Entry'!g941), "", 'Data Entry'!g941)</f>
      </c>
      <c r="AN941">
        <f>IF(ISBLANK('Data Entry'!h941), "", 'Data Entry'!h941)</f>
      </c>
    </row>
    <row r="942" spans="1:40" x14ac:dyDescent="0.25">
      <c r="A942">
        <f>IF(ISBLANK('Data Entry'!A942), "", 'Data Entry'!A942)</f>
      </c>
      <c r="B942">
        <f>IF(ISBLANK('Data Entry'!B942), "", 'Data Entry'!B942)</f>
      </c>
      <c r="C942">
        <f>IF(ISBLANK('Data Entry'!C942), "", 'Data Entry'!C942)</f>
      </c>
      <c r="D942">
        <f>IF(ISBLANK('Data Entry'!D942), "", 'Data Entry'!D942)</f>
      </c>
      <c r="E942">
        <f>IF(ISBLANK('Data Entry'!E942), "", 'Data Entry'!E942)</f>
      </c>
      <c r="F942">
        <f>IF(ISBLANK('Data Entry'!F942), "", 'Data Entry'!F942)</f>
      </c>
      <c r="G942">
        <f>IF(ISBLANK('Data Entry'!G942), "", 'Data Entry'!G942)</f>
      </c>
      <c r="H942">
        <f>IF(ISBLANK('Data Entry'!H942), "", 'Data Entry'!H942)</f>
      </c>
      <c r="I942">
        <f>IF(ISBLANK('Data Entry'!I942), "", 'Data Entry'!I942)</f>
      </c>
      <c r="J942">
        <f>IF(ISBLANK('Data Entry'!J942), "", 'Data Entry'!J942)</f>
      </c>
      <c r="K942">
        <f>IF(ISBLANK('Data Entry'!K942), "", 'Data Entry'!K942)</f>
      </c>
      <c r="L942">
        <f>IF(ISBLANK('Data Entry'!L942), "", 'Data Entry'!L942)</f>
      </c>
      <c r="M942">
        <f>IF(ISBLANK('Data Entry'!M942), "", 'Data Entry'!M942)</f>
      </c>
      <c r="N942">
        <f>IF(ISBLANK('Data Entry'!N942), "", 'Data Entry'!N942)</f>
      </c>
      <c r="O942">
        <f>IF(ISBLANK('Data Entry'!O942), "", 'Data Entry'!O942)</f>
      </c>
      <c r="P942">
        <f>IF(ISBLANK('Data Entry'!P942), "", 'Data Entry'!P942)</f>
      </c>
      <c r="Q942">
        <f>IF(ISBLANK('Data Entry'!Q942), "", 'Data Entry'!Q942)</f>
      </c>
      <c r="R942">
        <f>IF(ISBLANK('Data Entry'!R942), "", 'Data Entry'!R942)</f>
      </c>
      <c r="S942">
        <f>IF(ISBLANK('Data Entry'!S942), "", 'Data Entry'!S942)</f>
      </c>
      <c r="T942">
        <f>IF(ISBLANK('Data Entry'!T942), "", 'Data Entry'!T942)</f>
      </c>
      <c r="U942">
        <f>IF(ISBLANK('Data Entry'!U942), "", 'Data Entry'!U942)</f>
      </c>
      <c r="V942">
        <f>IF(ISBLANK('Data Entry'!V942), "", 'Data Entry'!V942)</f>
      </c>
      <c r="W942">
        <f>IF(ISBLANK('Data Entry'!W942), "", 'Data Entry'!W942)</f>
      </c>
      <c r="X942">
        <f>IF(ISBLANK('Data Entry'!X942), "", 'Data Entry'!X942)</f>
      </c>
      <c r="Y942">
        <f>IF(ISBLANK('Data Entry'!Y942), "", 'Data Entry'!Y942)</f>
      </c>
      <c r="Z942">
        <f>IF(ISBLANK('Data Entry'!Z942), "", 'Data Entry'!Z942)</f>
      </c>
      <c r="AA942">
        <f>IF(ISBLANK('Data Entry'![942), "", 'Data Entry'![942)</f>
      </c>
      <c r="AB942">
        <f>IF(ISBLANK('Data Entry'!\942), "", 'Data Entry'!\942)</f>
      </c>
      <c r="AC942">
        <f>IF(ISBLANK('Data Entry'!]942), "", 'Data Entry'!]942)</f>
      </c>
      <c r="AD942">
        <f>IF(ISBLANK('Data Entry'!^942), "", 'Data Entry'!^942)</f>
      </c>
      <c r="AE942">
        <f>IF(ISBLANK('Data Entry'!_942), "", 'Data Entry'!_942)</f>
      </c>
      <c r="AF942">
        <f>IF(ISBLANK('Data Entry'!`942), "", 'Data Entry'!`942)</f>
      </c>
      <c r="AG942">
        <f>IF(ISBLANK('Data Entry'!a942), "", 'Data Entry'!a942)</f>
      </c>
      <c r="AH942">
        <f>IF(ISBLANK('Data Entry'!b942), "", 'Data Entry'!b942)</f>
      </c>
      <c r="AI942">
        <f>IF(ISBLANK('Data Entry'!c942), "", 'Data Entry'!c942)</f>
      </c>
      <c r="AJ942">
        <f>IF(ISBLANK('Data Entry'!d942), "", 'Data Entry'!d942)</f>
      </c>
      <c r="AK942">
        <f>IF(ISBLANK('Data Entry'!e942), "", 'Data Entry'!e942)</f>
      </c>
      <c r="AL942">
        <f>IF(ISBLANK('Data Entry'!f942), "", 'Data Entry'!f942)</f>
      </c>
      <c r="AM942">
        <f>IF(ISBLANK('Data Entry'!g942), "", 'Data Entry'!g942)</f>
      </c>
      <c r="AN942">
        <f>IF(ISBLANK('Data Entry'!h942), "", 'Data Entry'!h942)</f>
      </c>
    </row>
    <row r="943" spans="1:40" x14ac:dyDescent="0.25">
      <c r="A943">
        <f>IF(ISBLANK('Data Entry'!A943), "", 'Data Entry'!A943)</f>
      </c>
      <c r="B943">
        <f>IF(ISBLANK('Data Entry'!B943), "", 'Data Entry'!B943)</f>
      </c>
      <c r="C943">
        <f>IF(ISBLANK('Data Entry'!C943), "", 'Data Entry'!C943)</f>
      </c>
      <c r="D943">
        <f>IF(ISBLANK('Data Entry'!D943), "", 'Data Entry'!D943)</f>
      </c>
      <c r="E943">
        <f>IF(ISBLANK('Data Entry'!E943), "", 'Data Entry'!E943)</f>
      </c>
      <c r="F943">
        <f>IF(ISBLANK('Data Entry'!F943), "", 'Data Entry'!F943)</f>
      </c>
      <c r="G943">
        <f>IF(ISBLANK('Data Entry'!G943), "", 'Data Entry'!G943)</f>
      </c>
      <c r="H943">
        <f>IF(ISBLANK('Data Entry'!H943), "", 'Data Entry'!H943)</f>
      </c>
      <c r="I943">
        <f>IF(ISBLANK('Data Entry'!I943), "", 'Data Entry'!I943)</f>
      </c>
      <c r="J943">
        <f>IF(ISBLANK('Data Entry'!J943), "", 'Data Entry'!J943)</f>
      </c>
      <c r="K943">
        <f>IF(ISBLANK('Data Entry'!K943), "", 'Data Entry'!K943)</f>
      </c>
      <c r="L943">
        <f>IF(ISBLANK('Data Entry'!L943), "", 'Data Entry'!L943)</f>
      </c>
      <c r="M943">
        <f>IF(ISBLANK('Data Entry'!M943), "", 'Data Entry'!M943)</f>
      </c>
      <c r="N943">
        <f>IF(ISBLANK('Data Entry'!N943), "", 'Data Entry'!N943)</f>
      </c>
      <c r="O943">
        <f>IF(ISBLANK('Data Entry'!O943), "", 'Data Entry'!O943)</f>
      </c>
      <c r="P943">
        <f>IF(ISBLANK('Data Entry'!P943), "", 'Data Entry'!P943)</f>
      </c>
      <c r="Q943">
        <f>IF(ISBLANK('Data Entry'!Q943), "", 'Data Entry'!Q943)</f>
      </c>
      <c r="R943">
        <f>IF(ISBLANK('Data Entry'!R943), "", 'Data Entry'!R943)</f>
      </c>
      <c r="S943">
        <f>IF(ISBLANK('Data Entry'!S943), "", 'Data Entry'!S943)</f>
      </c>
      <c r="T943">
        <f>IF(ISBLANK('Data Entry'!T943), "", 'Data Entry'!T943)</f>
      </c>
      <c r="U943">
        <f>IF(ISBLANK('Data Entry'!U943), "", 'Data Entry'!U943)</f>
      </c>
      <c r="V943">
        <f>IF(ISBLANK('Data Entry'!V943), "", 'Data Entry'!V943)</f>
      </c>
      <c r="W943">
        <f>IF(ISBLANK('Data Entry'!W943), "", 'Data Entry'!W943)</f>
      </c>
      <c r="X943">
        <f>IF(ISBLANK('Data Entry'!X943), "", 'Data Entry'!X943)</f>
      </c>
      <c r="Y943">
        <f>IF(ISBLANK('Data Entry'!Y943), "", 'Data Entry'!Y943)</f>
      </c>
      <c r="Z943">
        <f>IF(ISBLANK('Data Entry'!Z943), "", 'Data Entry'!Z943)</f>
      </c>
      <c r="AA943">
        <f>IF(ISBLANK('Data Entry'![943), "", 'Data Entry'![943)</f>
      </c>
      <c r="AB943">
        <f>IF(ISBLANK('Data Entry'!\943), "", 'Data Entry'!\943)</f>
      </c>
      <c r="AC943">
        <f>IF(ISBLANK('Data Entry'!]943), "", 'Data Entry'!]943)</f>
      </c>
      <c r="AD943">
        <f>IF(ISBLANK('Data Entry'!^943), "", 'Data Entry'!^943)</f>
      </c>
      <c r="AE943">
        <f>IF(ISBLANK('Data Entry'!_943), "", 'Data Entry'!_943)</f>
      </c>
      <c r="AF943">
        <f>IF(ISBLANK('Data Entry'!`943), "", 'Data Entry'!`943)</f>
      </c>
      <c r="AG943">
        <f>IF(ISBLANK('Data Entry'!a943), "", 'Data Entry'!a943)</f>
      </c>
      <c r="AH943">
        <f>IF(ISBLANK('Data Entry'!b943), "", 'Data Entry'!b943)</f>
      </c>
      <c r="AI943">
        <f>IF(ISBLANK('Data Entry'!c943), "", 'Data Entry'!c943)</f>
      </c>
      <c r="AJ943">
        <f>IF(ISBLANK('Data Entry'!d943), "", 'Data Entry'!d943)</f>
      </c>
      <c r="AK943">
        <f>IF(ISBLANK('Data Entry'!e943), "", 'Data Entry'!e943)</f>
      </c>
      <c r="AL943">
        <f>IF(ISBLANK('Data Entry'!f943), "", 'Data Entry'!f943)</f>
      </c>
      <c r="AM943">
        <f>IF(ISBLANK('Data Entry'!g943), "", 'Data Entry'!g943)</f>
      </c>
      <c r="AN943">
        <f>IF(ISBLANK('Data Entry'!h943), "", 'Data Entry'!h943)</f>
      </c>
    </row>
    <row r="944" spans="1:40" x14ac:dyDescent="0.25">
      <c r="A944">
        <f>IF(ISBLANK('Data Entry'!A944), "", 'Data Entry'!A944)</f>
      </c>
      <c r="B944">
        <f>IF(ISBLANK('Data Entry'!B944), "", 'Data Entry'!B944)</f>
      </c>
      <c r="C944">
        <f>IF(ISBLANK('Data Entry'!C944), "", 'Data Entry'!C944)</f>
      </c>
      <c r="D944">
        <f>IF(ISBLANK('Data Entry'!D944), "", 'Data Entry'!D944)</f>
      </c>
      <c r="E944">
        <f>IF(ISBLANK('Data Entry'!E944), "", 'Data Entry'!E944)</f>
      </c>
      <c r="F944">
        <f>IF(ISBLANK('Data Entry'!F944), "", 'Data Entry'!F944)</f>
      </c>
      <c r="G944">
        <f>IF(ISBLANK('Data Entry'!G944), "", 'Data Entry'!G944)</f>
      </c>
      <c r="H944">
        <f>IF(ISBLANK('Data Entry'!H944), "", 'Data Entry'!H944)</f>
      </c>
      <c r="I944">
        <f>IF(ISBLANK('Data Entry'!I944), "", 'Data Entry'!I944)</f>
      </c>
      <c r="J944">
        <f>IF(ISBLANK('Data Entry'!J944), "", 'Data Entry'!J944)</f>
      </c>
      <c r="K944">
        <f>IF(ISBLANK('Data Entry'!K944), "", 'Data Entry'!K944)</f>
      </c>
      <c r="L944">
        <f>IF(ISBLANK('Data Entry'!L944), "", 'Data Entry'!L944)</f>
      </c>
      <c r="M944">
        <f>IF(ISBLANK('Data Entry'!M944), "", 'Data Entry'!M944)</f>
      </c>
      <c r="N944">
        <f>IF(ISBLANK('Data Entry'!N944), "", 'Data Entry'!N944)</f>
      </c>
      <c r="O944">
        <f>IF(ISBLANK('Data Entry'!O944), "", 'Data Entry'!O944)</f>
      </c>
      <c r="P944">
        <f>IF(ISBLANK('Data Entry'!P944), "", 'Data Entry'!P944)</f>
      </c>
      <c r="Q944">
        <f>IF(ISBLANK('Data Entry'!Q944), "", 'Data Entry'!Q944)</f>
      </c>
      <c r="R944">
        <f>IF(ISBLANK('Data Entry'!R944), "", 'Data Entry'!R944)</f>
      </c>
      <c r="S944">
        <f>IF(ISBLANK('Data Entry'!S944), "", 'Data Entry'!S944)</f>
      </c>
      <c r="T944">
        <f>IF(ISBLANK('Data Entry'!T944), "", 'Data Entry'!T944)</f>
      </c>
      <c r="U944">
        <f>IF(ISBLANK('Data Entry'!U944), "", 'Data Entry'!U944)</f>
      </c>
      <c r="V944">
        <f>IF(ISBLANK('Data Entry'!V944), "", 'Data Entry'!V944)</f>
      </c>
      <c r="W944">
        <f>IF(ISBLANK('Data Entry'!W944), "", 'Data Entry'!W944)</f>
      </c>
      <c r="X944">
        <f>IF(ISBLANK('Data Entry'!X944), "", 'Data Entry'!X944)</f>
      </c>
      <c r="Y944">
        <f>IF(ISBLANK('Data Entry'!Y944), "", 'Data Entry'!Y944)</f>
      </c>
      <c r="Z944">
        <f>IF(ISBLANK('Data Entry'!Z944), "", 'Data Entry'!Z944)</f>
      </c>
      <c r="AA944">
        <f>IF(ISBLANK('Data Entry'![944), "", 'Data Entry'![944)</f>
      </c>
      <c r="AB944">
        <f>IF(ISBLANK('Data Entry'!\944), "", 'Data Entry'!\944)</f>
      </c>
      <c r="AC944">
        <f>IF(ISBLANK('Data Entry'!]944), "", 'Data Entry'!]944)</f>
      </c>
      <c r="AD944">
        <f>IF(ISBLANK('Data Entry'!^944), "", 'Data Entry'!^944)</f>
      </c>
      <c r="AE944">
        <f>IF(ISBLANK('Data Entry'!_944), "", 'Data Entry'!_944)</f>
      </c>
      <c r="AF944">
        <f>IF(ISBLANK('Data Entry'!`944), "", 'Data Entry'!`944)</f>
      </c>
      <c r="AG944">
        <f>IF(ISBLANK('Data Entry'!a944), "", 'Data Entry'!a944)</f>
      </c>
      <c r="AH944">
        <f>IF(ISBLANK('Data Entry'!b944), "", 'Data Entry'!b944)</f>
      </c>
      <c r="AI944">
        <f>IF(ISBLANK('Data Entry'!c944), "", 'Data Entry'!c944)</f>
      </c>
      <c r="AJ944">
        <f>IF(ISBLANK('Data Entry'!d944), "", 'Data Entry'!d944)</f>
      </c>
      <c r="AK944">
        <f>IF(ISBLANK('Data Entry'!e944), "", 'Data Entry'!e944)</f>
      </c>
      <c r="AL944">
        <f>IF(ISBLANK('Data Entry'!f944), "", 'Data Entry'!f944)</f>
      </c>
      <c r="AM944">
        <f>IF(ISBLANK('Data Entry'!g944), "", 'Data Entry'!g944)</f>
      </c>
      <c r="AN944">
        <f>IF(ISBLANK('Data Entry'!h944), "", 'Data Entry'!h944)</f>
      </c>
    </row>
    <row r="945" spans="1:40" x14ac:dyDescent="0.25">
      <c r="A945">
        <f>IF(ISBLANK('Data Entry'!A945), "", 'Data Entry'!A945)</f>
      </c>
      <c r="B945">
        <f>IF(ISBLANK('Data Entry'!B945), "", 'Data Entry'!B945)</f>
      </c>
      <c r="C945">
        <f>IF(ISBLANK('Data Entry'!C945), "", 'Data Entry'!C945)</f>
      </c>
      <c r="D945">
        <f>IF(ISBLANK('Data Entry'!D945), "", 'Data Entry'!D945)</f>
      </c>
      <c r="E945">
        <f>IF(ISBLANK('Data Entry'!E945), "", 'Data Entry'!E945)</f>
      </c>
      <c r="F945">
        <f>IF(ISBLANK('Data Entry'!F945), "", 'Data Entry'!F945)</f>
      </c>
      <c r="G945">
        <f>IF(ISBLANK('Data Entry'!G945), "", 'Data Entry'!G945)</f>
      </c>
      <c r="H945">
        <f>IF(ISBLANK('Data Entry'!H945), "", 'Data Entry'!H945)</f>
      </c>
      <c r="I945">
        <f>IF(ISBLANK('Data Entry'!I945), "", 'Data Entry'!I945)</f>
      </c>
      <c r="J945">
        <f>IF(ISBLANK('Data Entry'!J945), "", 'Data Entry'!J945)</f>
      </c>
      <c r="K945">
        <f>IF(ISBLANK('Data Entry'!K945), "", 'Data Entry'!K945)</f>
      </c>
      <c r="L945">
        <f>IF(ISBLANK('Data Entry'!L945), "", 'Data Entry'!L945)</f>
      </c>
      <c r="M945">
        <f>IF(ISBLANK('Data Entry'!M945), "", 'Data Entry'!M945)</f>
      </c>
      <c r="N945">
        <f>IF(ISBLANK('Data Entry'!N945), "", 'Data Entry'!N945)</f>
      </c>
      <c r="O945">
        <f>IF(ISBLANK('Data Entry'!O945), "", 'Data Entry'!O945)</f>
      </c>
      <c r="P945">
        <f>IF(ISBLANK('Data Entry'!P945), "", 'Data Entry'!P945)</f>
      </c>
      <c r="Q945">
        <f>IF(ISBLANK('Data Entry'!Q945), "", 'Data Entry'!Q945)</f>
      </c>
      <c r="R945">
        <f>IF(ISBLANK('Data Entry'!R945), "", 'Data Entry'!R945)</f>
      </c>
      <c r="S945">
        <f>IF(ISBLANK('Data Entry'!S945), "", 'Data Entry'!S945)</f>
      </c>
      <c r="T945">
        <f>IF(ISBLANK('Data Entry'!T945), "", 'Data Entry'!T945)</f>
      </c>
      <c r="U945">
        <f>IF(ISBLANK('Data Entry'!U945), "", 'Data Entry'!U945)</f>
      </c>
      <c r="V945">
        <f>IF(ISBLANK('Data Entry'!V945), "", 'Data Entry'!V945)</f>
      </c>
      <c r="W945">
        <f>IF(ISBLANK('Data Entry'!W945), "", 'Data Entry'!W945)</f>
      </c>
      <c r="X945">
        <f>IF(ISBLANK('Data Entry'!X945), "", 'Data Entry'!X945)</f>
      </c>
      <c r="Y945">
        <f>IF(ISBLANK('Data Entry'!Y945), "", 'Data Entry'!Y945)</f>
      </c>
      <c r="Z945">
        <f>IF(ISBLANK('Data Entry'!Z945), "", 'Data Entry'!Z945)</f>
      </c>
      <c r="AA945">
        <f>IF(ISBLANK('Data Entry'![945), "", 'Data Entry'![945)</f>
      </c>
      <c r="AB945">
        <f>IF(ISBLANK('Data Entry'!\945), "", 'Data Entry'!\945)</f>
      </c>
      <c r="AC945">
        <f>IF(ISBLANK('Data Entry'!]945), "", 'Data Entry'!]945)</f>
      </c>
      <c r="AD945">
        <f>IF(ISBLANK('Data Entry'!^945), "", 'Data Entry'!^945)</f>
      </c>
      <c r="AE945">
        <f>IF(ISBLANK('Data Entry'!_945), "", 'Data Entry'!_945)</f>
      </c>
      <c r="AF945">
        <f>IF(ISBLANK('Data Entry'!`945), "", 'Data Entry'!`945)</f>
      </c>
      <c r="AG945">
        <f>IF(ISBLANK('Data Entry'!a945), "", 'Data Entry'!a945)</f>
      </c>
      <c r="AH945">
        <f>IF(ISBLANK('Data Entry'!b945), "", 'Data Entry'!b945)</f>
      </c>
      <c r="AI945">
        <f>IF(ISBLANK('Data Entry'!c945), "", 'Data Entry'!c945)</f>
      </c>
      <c r="AJ945">
        <f>IF(ISBLANK('Data Entry'!d945), "", 'Data Entry'!d945)</f>
      </c>
      <c r="AK945">
        <f>IF(ISBLANK('Data Entry'!e945), "", 'Data Entry'!e945)</f>
      </c>
      <c r="AL945">
        <f>IF(ISBLANK('Data Entry'!f945), "", 'Data Entry'!f945)</f>
      </c>
      <c r="AM945">
        <f>IF(ISBLANK('Data Entry'!g945), "", 'Data Entry'!g945)</f>
      </c>
      <c r="AN945">
        <f>IF(ISBLANK('Data Entry'!h945), "", 'Data Entry'!h945)</f>
      </c>
    </row>
    <row r="946" spans="1:40" x14ac:dyDescent="0.25">
      <c r="A946">
        <f>IF(ISBLANK('Data Entry'!A946), "", 'Data Entry'!A946)</f>
      </c>
      <c r="B946">
        <f>IF(ISBLANK('Data Entry'!B946), "", 'Data Entry'!B946)</f>
      </c>
      <c r="C946">
        <f>IF(ISBLANK('Data Entry'!C946), "", 'Data Entry'!C946)</f>
      </c>
      <c r="D946">
        <f>IF(ISBLANK('Data Entry'!D946), "", 'Data Entry'!D946)</f>
      </c>
      <c r="E946">
        <f>IF(ISBLANK('Data Entry'!E946), "", 'Data Entry'!E946)</f>
      </c>
      <c r="F946">
        <f>IF(ISBLANK('Data Entry'!F946), "", 'Data Entry'!F946)</f>
      </c>
      <c r="G946">
        <f>IF(ISBLANK('Data Entry'!G946), "", 'Data Entry'!G946)</f>
      </c>
      <c r="H946">
        <f>IF(ISBLANK('Data Entry'!H946), "", 'Data Entry'!H946)</f>
      </c>
      <c r="I946">
        <f>IF(ISBLANK('Data Entry'!I946), "", 'Data Entry'!I946)</f>
      </c>
      <c r="J946">
        <f>IF(ISBLANK('Data Entry'!J946), "", 'Data Entry'!J946)</f>
      </c>
      <c r="K946">
        <f>IF(ISBLANK('Data Entry'!K946), "", 'Data Entry'!K946)</f>
      </c>
      <c r="L946">
        <f>IF(ISBLANK('Data Entry'!L946), "", 'Data Entry'!L946)</f>
      </c>
      <c r="M946">
        <f>IF(ISBLANK('Data Entry'!M946), "", 'Data Entry'!M946)</f>
      </c>
      <c r="N946">
        <f>IF(ISBLANK('Data Entry'!N946), "", 'Data Entry'!N946)</f>
      </c>
      <c r="O946">
        <f>IF(ISBLANK('Data Entry'!O946), "", 'Data Entry'!O946)</f>
      </c>
      <c r="P946">
        <f>IF(ISBLANK('Data Entry'!P946), "", 'Data Entry'!P946)</f>
      </c>
      <c r="Q946">
        <f>IF(ISBLANK('Data Entry'!Q946), "", 'Data Entry'!Q946)</f>
      </c>
      <c r="R946">
        <f>IF(ISBLANK('Data Entry'!R946), "", 'Data Entry'!R946)</f>
      </c>
      <c r="S946">
        <f>IF(ISBLANK('Data Entry'!S946), "", 'Data Entry'!S946)</f>
      </c>
      <c r="T946">
        <f>IF(ISBLANK('Data Entry'!T946), "", 'Data Entry'!T946)</f>
      </c>
      <c r="U946">
        <f>IF(ISBLANK('Data Entry'!U946), "", 'Data Entry'!U946)</f>
      </c>
      <c r="V946">
        <f>IF(ISBLANK('Data Entry'!V946), "", 'Data Entry'!V946)</f>
      </c>
      <c r="W946">
        <f>IF(ISBLANK('Data Entry'!W946), "", 'Data Entry'!W946)</f>
      </c>
      <c r="X946">
        <f>IF(ISBLANK('Data Entry'!X946), "", 'Data Entry'!X946)</f>
      </c>
      <c r="Y946">
        <f>IF(ISBLANK('Data Entry'!Y946), "", 'Data Entry'!Y946)</f>
      </c>
      <c r="Z946">
        <f>IF(ISBLANK('Data Entry'!Z946), "", 'Data Entry'!Z946)</f>
      </c>
      <c r="AA946">
        <f>IF(ISBLANK('Data Entry'![946), "", 'Data Entry'![946)</f>
      </c>
      <c r="AB946">
        <f>IF(ISBLANK('Data Entry'!\946), "", 'Data Entry'!\946)</f>
      </c>
      <c r="AC946">
        <f>IF(ISBLANK('Data Entry'!]946), "", 'Data Entry'!]946)</f>
      </c>
      <c r="AD946">
        <f>IF(ISBLANK('Data Entry'!^946), "", 'Data Entry'!^946)</f>
      </c>
      <c r="AE946">
        <f>IF(ISBLANK('Data Entry'!_946), "", 'Data Entry'!_946)</f>
      </c>
      <c r="AF946">
        <f>IF(ISBLANK('Data Entry'!`946), "", 'Data Entry'!`946)</f>
      </c>
      <c r="AG946">
        <f>IF(ISBLANK('Data Entry'!a946), "", 'Data Entry'!a946)</f>
      </c>
      <c r="AH946">
        <f>IF(ISBLANK('Data Entry'!b946), "", 'Data Entry'!b946)</f>
      </c>
      <c r="AI946">
        <f>IF(ISBLANK('Data Entry'!c946), "", 'Data Entry'!c946)</f>
      </c>
      <c r="AJ946">
        <f>IF(ISBLANK('Data Entry'!d946), "", 'Data Entry'!d946)</f>
      </c>
      <c r="AK946">
        <f>IF(ISBLANK('Data Entry'!e946), "", 'Data Entry'!e946)</f>
      </c>
      <c r="AL946">
        <f>IF(ISBLANK('Data Entry'!f946), "", 'Data Entry'!f946)</f>
      </c>
      <c r="AM946">
        <f>IF(ISBLANK('Data Entry'!g946), "", 'Data Entry'!g946)</f>
      </c>
      <c r="AN946">
        <f>IF(ISBLANK('Data Entry'!h946), "", 'Data Entry'!h946)</f>
      </c>
    </row>
    <row r="947" spans="1:40" x14ac:dyDescent="0.25">
      <c r="A947">
        <f>IF(ISBLANK('Data Entry'!A947), "", 'Data Entry'!A947)</f>
      </c>
      <c r="B947">
        <f>IF(ISBLANK('Data Entry'!B947), "", 'Data Entry'!B947)</f>
      </c>
      <c r="C947">
        <f>IF(ISBLANK('Data Entry'!C947), "", 'Data Entry'!C947)</f>
      </c>
      <c r="D947">
        <f>IF(ISBLANK('Data Entry'!D947), "", 'Data Entry'!D947)</f>
      </c>
      <c r="E947">
        <f>IF(ISBLANK('Data Entry'!E947), "", 'Data Entry'!E947)</f>
      </c>
      <c r="F947">
        <f>IF(ISBLANK('Data Entry'!F947), "", 'Data Entry'!F947)</f>
      </c>
      <c r="G947">
        <f>IF(ISBLANK('Data Entry'!G947), "", 'Data Entry'!G947)</f>
      </c>
      <c r="H947">
        <f>IF(ISBLANK('Data Entry'!H947), "", 'Data Entry'!H947)</f>
      </c>
      <c r="I947">
        <f>IF(ISBLANK('Data Entry'!I947), "", 'Data Entry'!I947)</f>
      </c>
      <c r="J947">
        <f>IF(ISBLANK('Data Entry'!J947), "", 'Data Entry'!J947)</f>
      </c>
      <c r="K947">
        <f>IF(ISBLANK('Data Entry'!K947), "", 'Data Entry'!K947)</f>
      </c>
      <c r="L947">
        <f>IF(ISBLANK('Data Entry'!L947), "", 'Data Entry'!L947)</f>
      </c>
      <c r="M947">
        <f>IF(ISBLANK('Data Entry'!M947), "", 'Data Entry'!M947)</f>
      </c>
      <c r="N947">
        <f>IF(ISBLANK('Data Entry'!N947), "", 'Data Entry'!N947)</f>
      </c>
      <c r="O947">
        <f>IF(ISBLANK('Data Entry'!O947), "", 'Data Entry'!O947)</f>
      </c>
      <c r="P947">
        <f>IF(ISBLANK('Data Entry'!P947), "", 'Data Entry'!P947)</f>
      </c>
      <c r="Q947">
        <f>IF(ISBLANK('Data Entry'!Q947), "", 'Data Entry'!Q947)</f>
      </c>
      <c r="R947">
        <f>IF(ISBLANK('Data Entry'!R947), "", 'Data Entry'!R947)</f>
      </c>
      <c r="S947">
        <f>IF(ISBLANK('Data Entry'!S947), "", 'Data Entry'!S947)</f>
      </c>
      <c r="T947">
        <f>IF(ISBLANK('Data Entry'!T947), "", 'Data Entry'!T947)</f>
      </c>
      <c r="U947">
        <f>IF(ISBLANK('Data Entry'!U947), "", 'Data Entry'!U947)</f>
      </c>
      <c r="V947">
        <f>IF(ISBLANK('Data Entry'!V947), "", 'Data Entry'!V947)</f>
      </c>
      <c r="W947">
        <f>IF(ISBLANK('Data Entry'!W947), "", 'Data Entry'!W947)</f>
      </c>
      <c r="X947">
        <f>IF(ISBLANK('Data Entry'!X947), "", 'Data Entry'!X947)</f>
      </c>
      <c r="Y947">
        <f>IF(ISBLANK('Data Entry'!Y947), "", 'Data Entry'!Y947)</f>
      </c>
      <c r="Z947">
        <f>IF(ISBLANK('Data Entry'!Z947), "", 'Data Entry'!Z947)</f>
      </c>
      <c r="AA947">
        <f>IF(ISBLANK('Data Entry'![947), "", 'Data Entry'![947)</f>
      </c>
      <c r="AB947">
        <f>IF(ISBLANK('Data Entry'!\947), "", 'Data Entry'!\947)</f>
      </c>
      <c r="AC947">
        <f>IF(ISBLANK('Data Entry'!]947), "", 'Data Entry'!]947)</f>
      </c>
      <c r="AD947">
        <f>IF(ISBLANK('Data Entry'!^947), "", 'Data Entry'!^947)</f>
      </c>
      <c r="AE947">
        <f>IF(ISBLANK('Data Entry'!_947), "", 'Data Entry'!_947)</f>
      </c>
      <c r="AF947">
        <f>IF(ISBLANK('Data Entry'!`947), "", 'Data Entry'!`947)</f>
      </c>
      <c r="AG947">
        <f>IF(ISBLANK('Data Entry'!a947), "", 'Data Entry'!a947)</f>
      </c>
      <c r="AH947">
        <f>IF(ISBLANK('Data Entry'!b947), "", 'Data Entry'!b947)</f>
      </c>
      <c r="AI947">
        <f>IF(ISBLANK('Data Entry'!c947), "", 'Data Entry'!c947)</f>
      </c>
      <c r="AJ947">
        <f>IF(ISBLANK('Data Entry'!d947), "", 'Data Entry'!d947)</f>
      </c>
      <c r="AK947">
        <f>IF(ISBLANK('Data Entry'!e947), "", 'Data Entry'!e947)</f>
      </c>
      <c r="AL947">
        <f>IF(ISBLANK('Data Entry'!f947), "", 'Data Entry'!f947)</f>
      </c>
      <c r="AM947">
        <f>IF(ISBLANK('Data Entry'!g947), "", 'Data Entry'!g947)</f>
      </c>
      <c r="AN947">
        <f>IF(ISBLANK('Data Entry'!h947), "", 'Data Entry'!h947)</f>
      </c>
    </row>
    <row r="948" spans="1:40" x14ac:dyDescent="0.25">
      <c r="A948">
        <f>IF(ISBLANK('Data Entry'!A948), "", 'Data Entry'!A948)</f>
      </c>
      <c r="B948">
        <f>IF(ISBLANK('Data Entry'!B948), "", 'Data Entry'!B948)</f>
      </c>
      <c r="C948">
        <f>IF(ISBLANK('Data Entry'!C948), "", 'Data Entry'!C948)</f>
      </c>
      <c r="D948">
        <f>IF(ISBLANK('Data Entry'!D948), "", 'Data Entry'!D948)</f>
      </c>
      <c r="E948">
        <f>IF(ISBLANK('Data Entry'!E948), "", 'Data Entry'!E948)</f>
      </c>
      <c r="F948">
        <f>IF(ISBLANK('Data Entry'!F948), "", 'Data Entry'!F948)</f>
      </c>
      <c r="G948">
        <f>IF(ISBLANK('Data Entry'!G948), "", 'Data Entry'!G948)</f>
      </c>
      <c r="H948">
        <f>IF(ISBLANK('Data Entry'!H948), "", 'Data Entry'!H948)</f>
      </c>
      <c r="I948">
        <f>IF(ISBLANK('Data Entry'!I948), "", 'Data Entry'!I948)</f>
      </c>
      <c r="J948">
        <f>IF(ISBLANK('Data Entry'!J948), "", 'Data Entry'!J948)</f>
      </c>
      <c r="K948">
        <f>IF(ISBLANK('Data Entry'!K948), "", 'Data Entry'!K948)</f>
      </c>
      <c r="L948">
        <f>IF(ISBLANK('Data Entry'!L948), "", 'Data Entry'!L948)</f>
      </c>
      <c r="M948">
        <f>IF(ISBLANK('Data Entry'!M948), "", 'Data Entry'!M948)</f>
      </c>
      <c r="N948">
        <f>IF(ISBLANK('Data Entry'!N948), "", 'Data Entry'!N948)</f>
      </c>
      <c r="O948">
        <f>IF(ISBLANK('Data Entry'!O948), "", 'Data Entry'!O948)</f>
      </c>
      <c r="P948">
        <f>IF(ISBLANK('Data Entry'!P948), "", 'Data Entry'!P948)</f>
      </c>
      <c r="Q948">
        <f>IF(ISBLANK('Data Entry'!Q948), "", 'Data Entry'!Q948)</f>
      </c>
      <c r="R948">
        <f>IF(ISBLANK('Data Entry'!R948), "", 'Data Entry'!R948)</f>
      </c>
      <c r="S948">
        <f>IF(ISBLANK('Data Entry'!S948), "", 'Data Entry'!S948)</f>
      </c>
      <c r="T948">
        <f>IF(ISBLANK('Data Entry'!T948), "", 'Data Entry'!T948)</f>
      </c>
      <c r="U948">
        <f>IF(ISBLANK('Data Entry'!U948), "", 'Data Entry'!U948)</f>
      </c>
      <c r="V948">
        <f>IF(ISBLANK('Data Entry'!V948), "", 'Data Entry'!V948)</f>
      </c>
      <c r="W948">
        <f>IF(ISBLANK('Data Entry'!W948), "", 'Data Entry'!W948)</f>
      </c>
      <c r="X948">
        <f>IF(ISBLANK('Data Entry'!X948), "", 'Data Entry'!X948)</f>
      </c>
      <c r="Y948">
        <f>IF(ISBLANK('Data Entry'!Y948), "", 'Data Entry'!Y948)</f>
      </c>
      <c r="Z948">
        <f>IF(ISBLANK('Data Entry'!Z948), "", 'Data Entry'!Z948)</f>
      </c>
      <c r="AA948">
        <f>IF(ISBLANK('Data Entry'![948), "", 'Data Entry'![948)</f>
      </c>
      <c r="AB948">
        <f>IF(ISBLANK('Data Entry'!\948), "", 'Data Entry'!\948)</f>
      </c>
      <c r="AC948">
        <f>IF(ISBLANK('Data Entry'!]948), "", 'Data Entry'!]948)</f>
      </c>
      <c r="AD948">
        <f>IF(ISBLANK('Data Entry'!^948), "", 'Data Entry'!^948)</f>
      </c>
      <c r="AE948">
        <f>IF(ISBLANK('Data Entry'!_948), "", 'Data Entry'!_948)</f>
      </c>
      <c r="AF948">
        <f>IF(ISBLANK('Data Entry'!`948), "", 'Data Entry'!`948)</f>
      </c>
      <c r="AG948">
        <f>IF(ISBLANK('Data Entry'!a948), "", 'Data Entry'!a948)</f>
      </c>
      <c r="AH948">
        <f>IF(ISBLANK('Data Entry'!b948), "", 'Data Entry'!b948)</f>
      </c>
      <c r="AI948">
        <f>IF(ISBLANK('Data Entry'!c948), "", 'Data Entry'!c948)</f>
      </c>
      <c r="AJ948">
        <f>IF(ISBLANK('Data Entry'!d948), "", 'Data Entry'!d948)</f>
      </c>
      <c r="AK948">
        <f>IF(ISBLANK('Data Entry'!e948), "", 'Data Entry'!e948)</f>
      </c>
      <c r="AL948">
        <f>IF(ISBLANK('Data Entry'!f948), "", 'Data Entry'!f948)</f>
      </c>
      <c r="AM948">
        <f>IF(ISBLANK('Data Entry'!g948), "", 'Data Entry'!g948)</f>
      </c>
      <c r="AN948">
        <f>IF(ISBLANK('Data Entry'!h948), "", 'Data Entry'!h948)</f>
      </c>
    </row>
    <row r="949" spans="1:40" x14ac:dyDescent="0.25">
      <c r="A949">
        <f>IF(ISBLANK('Data Entry'!A949), "", 'Data Entry'!A949)</f>
      </c>
      <c r="B949">
        <f>IF(ISBLANK('Data Entry'!B949), "", 'Data Entry'!B949)</f>
      </c>
      <c r="C949">
        <f>IF(ISBLANK('Data Entry'!C949), "", 'Data Entry'!C949)</f>
      </c>
      <c r="D949">
        <f>IF(ISBLANK('Data Entry'!D949), "", 'Data Entry'!D949)</f>
      </c>
      <c r="E949">
        <f>IF(ISBLANK('Data Entry'!E949), "", 'Data Entry'!E949)</f>
      </c>
      <c r="F949">
        <f>IF(ISBLANK('Data Entry'!F949), "", 'Data Entry'!F949)</f>
      </c>
      <c r="G949">
        <f>IF(ISBLANK('Data Entry'!G949), "", 'Data Entry'!G949)</f>
      </c>
      <c r="H949">
        <f>IF(ISBLANK('Data Entry'!H949), "", 'Data Entry'!H949)</f>
      </c>
      <c r="I949">
        <f>IF(ISBLANK('Data Entry'!I949), "", 'Data Entry'!I949)</f>
      </c>
      <c r="J949">
        <f>IF(ISBLANK('Data Entry'!J949), "", 'Data Entry'!J949)</f>
      </c>
      <c r="K949">
        <f>IF(ISBLANK('Data Entry'!K949), "", 'Data Entry'!K949)</f>
      </c>
      <c r="L949">
        <f>IF(ISBLANK('Data Entry'!L949), "", 'Data Entry'!L949)</f>
      </c>
      <c r="M949">
        <f>IF(ISBLANK('Data Entry'!M949), "", 'Data Entry'!M949)</f>
      </c>
      <c r="N949">
        <f>IF(ISBLANK('Data Entry'!N949), "", 'Data Entry'!N949)</f>
      </c>
      <c r="O949">
        <f>IF(ISBLANK('Data Entry'!O949), "", 'Data Entry'!O949)</f>
      </c>
      <c r="P949">
        <f>IF(ISBLANK('Data Entry'!P949), "", 'Data Entry'!P949)</f>
      </c>
      <c r="Q949">
        <f>IF(ISBLANK('Data Entry'!Q949), "", 'Data Entry'!Q949)</f>
      </c>
      <c r="R949">
        <f>IF(ISBLANK('Data Entry'!R949), "", 'Data Entry'!R949)</f>
      </c>
      <c r="S949">
        <f>IF(ISBLANK('Data Entry'!S949), "", 'Data Entry'!S949)</f>
      </c>
      <c r="T949">
        <f>IF(ISBLANK('Data Entry'!T949), "", 'Data Entry'!T949)</f>
      </c>
      <c r="U949">
        <f>IF(ISBLANK('Data Entry'!U949), "", 'Data Entry'!U949)</f>
      </c>
      <c r="V949">
        <f>IF(ISBLANK('Data Entry'!V949), "", 'Data Entry'!V949)</f>
      </c>
      <c r="W949">
        <f>IF(ISBLANK('Data Entry'!W949), "", 'Data Entry'!W949)</f>
      </c>
      <c r="X949">
        <f>IF(ISBLANK('Data Entry'!X949), "", 'Data Entry'!X949)</f>
      </c>
      <c r="Y949">
        <f>IF(ISBLANK('Data Entry'!Y949), "", 'Data Entry'!Y949)</f>
      </c>
      <c r="Z949">
        <f>IF(ISBLANK('Data Entry'!Z949), "", 'Data Entry'!Z949)</f>
      </c>
      <c r="AA949">
        <f>IF(ISBLANK('Data Entry'![949), "", 'Data Entry'![949)</f>
      </c>
      <c r="AB949">
        <f>IF(ISBLANK('Data Entry'!\949), "", 'Data Entry'!\949)</f>
      </c>
      <c r="AC949">
        <f>IF(ISBLANK('Data Entry'!]949), "", 'Data Entry'!]949)</f>
      </c>
      <c r="AD949">
        <f>IF(ISBLANK('Data Entry'!^949), "", 'Data Entry'!^949)</f>
      </c>
      <c r="AE949">
        <f>IF(ISBLANK('Data Entry'!_949), "", 'Data Entry'!_949)</f>
      </c>
      <c r="AF949">
        <f>IF(ISBLANK('Data Entry'!`949), "", 'Data Entry'!`949)</f>
      </c>
      <c r="AG949">
        <f>IF(ISBLANK('Data Entry'!a949), "", 'Data Entry'!a949)</f>
      </c>
      <c r="AH949">
        <f>IF(ISBLANK('Data Entry'!b949), "", 'Data Entry'!b949)</f>
      </c>
      <c r="AI949">
        <f>IF(ISBLANK('Data Entry'!c949), "", 'Data Entry'!c949)</f>
      </c>
      <c r="AJ949">
        <f>IF(ISBLANK('Data Entry'!d949), "", 'Data Entry'!d949)</f>
      </c>
      <c r="AK949">
        <f>IF(ISBLANK('Data Entry'!e949), "", 'Data Entry'!e949)</f>
      </c>
      <c r="AL949">
        <f>IF(ISBLANK('Data Entry'!f949), "", 'Data Entry'!f949)</f>
      </c>
      <c r="AM949">
        <f>IF(ISBLANK('Data Entry'!g949), "", 'Data Entry'!g949)</f>
      </c>
      <c r="AN949">
        <f>IF(ISBLANK('Data Entry'!h949), "", 'Data Entry'!h949)</f>
      </c>
    </row>
    <row r="950" spans="1:40" x14ac:dyDescent="0.25">
      <c r="A950">
        <f>IF(ISBLANK('Data Entry'!A950), "", 'Data Entry'!A950)</f>
      </c>
      <c r="B950">
        <f>IF(ISBLANK('Data Entry'!B950), "", 'Data Entry'!B950)</f>
      </c>
      <c r="C950">
        <f>IF(ISBLANK('Data Entry'!C950), "", 'Data Entry'!C950)</f>
      </c>
      <c r="D950">
        <f>IF(ISBLANK('Data Entry'!D950), "", 'Data Entry'!D950)</f>
      </c>
      <c r="E950">
        <f>IF(ISBLANK('Data Entry'!E950), "", 'Data Entry'!E950)</f>
      </c>
      <c r="F950">
        <f>IF(ISBLANK('Data Entry'!F950), "", 'Data Entry'!F950)</f>
      </c>
      <c r="G950">
        <f>IF(ISBLANK('Data Entry'!G950), "", 'Data Entry'!G950)</f>
      </c>
      <c r="H950">
        <f>IF(ISBLANK('Data Entry'!H950), "", 'Data Entry'!H950)</f>
      </c>
      <c r="I950">
        <f>IF(ISBLANK('Data Entry'!I950), "", 'Data Entry'!I950)</f>
      </c>
      <c r="J950">
        <f>IF(ISBLANK('Data Entry'!J950), "", 'Data Entry'!J950)</f>
      </c>
      <c r="K950">
        <f>IF(ISBLANK('Data Entry'!K950), "", 'Data Entry'!K950)</f>
      </c>
      <c r="L950">
        <f>IF(ISBLANK('Data Entry'!L950), "", 'Data Entry'!L950)</f>
      </c>
      <c r="M950">
        <f>IF(ISBLANK('Data Entry'!M950), "", 'Data Entry'!M950)</f>
      </c>
      <c r="N950">
        <f>IF(ISBLANK('Data Entry'!N950), "", 'Data Entry'!N950)</f>
      </c>
      <c r="O950">
        <f>IF(ISBLANK('Data Entry'!O950), "", 'Data Entry'!O950)</f>
      </c>
      <c r="P950">
        <f>IF(ISBLANK('Data Entry'!P950), "", 'Data Entry'!P950)</f>
      </c>
      <c r="Q950">
        <f>IF(ISBLANK('Data Entry'!Q950), "", 'Data Entry'!Q950)</f>
      </c>
      <c r="R950">
        <f>IF(ISBLANK('Data Entry'!R950), "", 'Data Entry'!R950)</f>
      </c>
      <c r="S950">
        <f>IF(ISBLANK('Data Entry'!S950), "", 'Data Entry'!S950)</f>
      </c>
      <c r="T950">
        <f>IF(ISBLANK('Data Entry'!T950), "", 'Data Entry'!T950)</f>
      </c>
      <c r="U950">
        <f>IF(ISBLANK('Data Entry'!U950), "", 'Data Entry'!U950)</f>
      </c>
      <c r="V950">
        <f>IF(ISBLANK('Data Entry'!V950), "", 'Data Entry'!V950)</f>
      </c>
      <c r="W950">
        <f>IF(ISBLANK('Data Entry'!W950), "", 'Data Entry'!W950)</f>
      </c>
      <c r="X950">
        <f>IF(ISBLANK('Data Entry'!X950), "", 'Data Entry'!X950)</f>
      </c>
      <c r="Y950">
        <f>IF(ISBLANK('Data Entry'!Y950), "", 'Data Entry'!Y950)</f>
      </c>
      <c r="Z950">
        <f>IF(ISBLANK('Data Entry'!Z950), "", 'Data Entry'!Z950)</f>
      </c>
      <c r="AA950">
        <f>IF(ISBLANK('Data Entry'![950), "", 'Data Entry'![950)</f>
      </c>
      <c r="AB950">
        <f>IF(ISBLANK('Data Entry'!\950), "", 'Data Entry'!\950)</f>
      </c>
      <c r="AC950">
        <f>IF(ISBLANK('Data Entry'!]950), "", 'Data Entry'!]950)</f>
      </c>
      <c r="AD950">
        <f>IF(ISBLANK('Data Entry'!^950), "", 'Data Entry'!^950)</f>
      </c>
      <c r="AE950">
        <f>IF(ISBLANK('Data Entry'!_950), "", 'Data Entry'!_950)</f>
      </c>
      <c r="AF950">
        <f>IF(ISBLANK('Data Entry'!`950), "", 'Data Entry'!`950)</f>
      </c>
      <c r="AG950">
        <f>IF(ISBLANK('Data Entry'!a950), "", 'Data Entry'!a950)</f>
      </c>
      <c r="AH950">
        <f>IF(ISBLANK('Data Entry'!b950), "", 'Data Entry'!b950)</f>
      </c>
      <c r="AI950">
        <f>IF(ISBLANK('Data Entry'!c950), "", 'Data Entry'!c950)</f>
      </c>
      <c r="AJ950">
        <f>IF(ISBLANK('Data Entry'!d950), "", 'Data Entry'!d950)</f>
      </c>
      <c r="AK950">
        <f>IF(ISBLANK('Data Entry'!e950), "", 'Data Entry'!e950)</f>
      </c>
      <c r="AL950">
        <f>IF(ISBLANK('Data Entry'!f950), "", 'Data Entry'!f950)</f>
      </c>
      <c r="AM950">
        <f>IF(ISBLANK('Data Entry'!g950), "", 'Data Entry'!g950)</f>
      </c>
      <c r="AN950">
        <f>IF(ISBLANK('Data Entry'!h950), "", 'Data Entry'!h950)</f>
      </c>
    </row>
    <row r="951" spans="1:40" x14ac:dyDescent="0.25">
      <c r="A951">
        <f>IF(ISBLANK('Data Entry'!A951), "", 'Data Entry'!A951)</f>
      </c>
      <c r="B951">
        <f>IF(ISBLANK('Data Entry'!B951), "", 'Data Entry'!B951)</f>
      </c>
      <c r="C951">
        <f>IF(ISBLANK('Data Entry'!C951), "", 'Data Entry'!C951)</f>
      </c>
      <c r="D951">
        <f>IF(ISBLANK('Data Entry'!D951), "", 'Data Entry'!D951)</f>
      </c>
      <c r="E951">
        <f>IF(ISBLANK('Data Entry'!E951), "", 'Data Entry'!E951)</f>
      </c>
      <c r="F951">
        <f>IF(ISBLANK('Data Entry'!F951), "", 'Data Entry'!F951)</f>
      </c>
      <c r="G951">
        <f>IF(ISBLANK('Data Entry'!G951), "", 'Data Entry'!G951)</f>
      </c>
      <c r="H951">
        <f>IF(ISBLANK('Data Entry'!H951), "", 'Data Entry'!H951)</f>
      </c>
      <c r="I951">
        <f>IF(ISBLANK('Data Entry'!I951), "", 'Data Entry'!I951)</f>
      </c>
      <c r="J951">
        <f>IF(ISBLANK('Data Entry'!J951), "", 'Data Entry'!J951)</f>
      </c>
      <c r="K951">
        <f>IF(ISBLANK('Data Entry'!K951), "", 'Data Entry'!K951)</f>
      </c>
      <c r="L951">
        <f>IF(ISBLANK('Data Entry'!L951), "", 'Data Entry'!L951)</f>
      </c>
      <c r="M951">
        <f>IF(ISBLANK('Data Entry'!M951), "", 'Data Entry'!M951)</f>
      </c>
      <c r="N951">
        <f>IF(ISBLANK('Data Entry'!N951), "", 'Data Entry'!N951)</f>
      </c>
      <c r="O951">
        <f>IF(ISBLANK('Data Entry'!O951), "", 'Data Entry'!O951)</f>
      </c>
      <c r="P951">
        <f>IF(ISBLANK('Data Entry'!P951), "", 'Data Entry'!P951)</f>
      </c>
      <c r="Q951">
        <f>IF(ISBLANK('Data Entry'!Q951), "", 'Data Entry'!Q951)</f>
      </c>
      <c r="R951">
        <f>IF(ISBLANK('Data Entry'!R951), "", 'Data Entry'!R951)</f>
      </c>
      <c r="S951">
        <f>IF(ISBLANK('Data Entry'!S951), "", 'Data Entry'!S951)</f>
      </c>
      <c r="T951">
        <f>IF(ISBLANK('Data Entry'!T951), "", 'Data Entry'!T951)</f>
      </c>
      <c r="U951">
        <f>IF(ISBLANK('Data Entry'!U951), "", 'Data Entry'!U951)</f>
      </c>
      <c r="V951">
        <f>IF(ISBLANK('Data Entry'!V951), "", 'Data Entry'!V951)</f>
      </c>
      <c r="W951">
        <f>IF(ISBLANK('Data Entry'!W951), "", 'Data Entry'!W951)</f>
      </c>
      <c r="X951">
        <f>IF(ISBLANK('Data Entry'!X951), "", 'Data Entry'!X951)</f>
      </c>
      <c r="Y951">
        <f>IF(ISBLANK('Data Entry'!Y951), "", 'Data Entry'!Y951)</f>
      </c>
      <c r="Z951">
        <f>IF(ISBLANK('Data Entry'!Z951), "", 'Data Entry'!Z951)</f>
      </c>
      <c r="AA951">
        <f>IF(ISBLANK('Data Entry'![951), "", 'Data Entry'![951)</f>
      </c>
      <c r="AB951">
        <f>IF(ISBLANK('Data Entry'!\951), "", 'Data Entry'!\951)</f>
      </c>
      <c r="AC951">
        <f>IF(ISBLANK('Data Entry'!]951), "", 'Data Entry'!]951)</f>
      </c>
      <c r="AD951">
        <f>IF(ISBLANK('Data Entry'!^951), "", 'Data Entry'!^951)</f>
      </c>
      <c r="AE951">
        <f>IF(ISBLANK('Data Entry'!_951), "", 'Data Entry'!_951)</f>
      </c>
      <c r="AF951">
        <f>IF(ISBLANK('Data Entry'!`951), "", 'Data Entry'!`951)</f>
      </c>
      <c r="AG951">
        <f>IF(ISBLANK('Data Entry'!a951), "", 'Data Entry'!a951)</f>
      </c>
      <c r="AH951">
        <f>IF(ISBLANK('Data Entry'!b951), "", 'Data Entry'!b951)</f>
      </c>
      <c r="AI951">
        <f>IF(ISBLANK('Data Entry'!c951), "", 'Data Entry'!c951)</f>
      </c>
      <c r="AJ951">
        <f>IF(ISBLANK('Data Entry'!d951), "", 'Data Entry'!d951)</f>
      </c>
      <c r="AK951">
        <f>IF(ISBLANK('Data Entry'!e951), "", 'Data Entry'!e951)</f>
      </c>
      <c r="AL951">
        <f>IF(ISBLANK('Data Entry'!f951), "", 'Data Entry'!f951)</f>
      </c>
      <c r="AM951">
        <f>IF(ISBLANK('Data Entry'!g951), "", 'Data Entry'!g951)</f>
      </c>
      <c r="AN951">
        <f>IF(ISBLANK('Data Entry'!h951), "", 'Data Entry'!h951)</f>
      </c>
    </row>
    <row r="952" spans="1:40" x14ac:dyDescent="0.25">
      <c r="A952">
        <f>IF(ISBLANK('Data Entry'!A952), "", 'Data Entry'!A952)</f>
      </c>
      <c r="B952">
        <f>IF(ISBLANK('Data Entry'!B952), "", 'Data Entry'!B952)</f>
      </c>
      <c r="C952">
        <f>IF(ISBLANK('Data Entry'!C952), "", 'Data Entry'!C952)</f>
      </c>
      <c r="D952">
        <f>IF(ISBLANK('Data Entry'!D952), "", 'Data Entry'!D952)</f>
      </c>
      <c r="E952">
        <f>IF(ISBLANK('Data Entry'!E952), "", 'Data Entry'!E952)</f>
      </c>
      <c r="F952">
        <f>IF(ISBLANK('Data Entry'!F952), "", 'Data Entry'!F952)</f>
      </c>
      <c r="G952">
        <f>IF(ISBLANK('Data Entry'!G952), "", 'Data Entry'!G952)</f>
      </c>
      <c r="H952">
        <f>IF(ISBLANK('Data Entry'!H952), "", 'Data Entry'!H952)</f>
      </c>
      <c r="I952">
        <f>IF(ISBLANK('Data Entry'!I952), "", 'Data Entry'!I952)</f>
      </c>
      <c r="J952">
        <f>IF(ISBLANK('Data Entry'!J952), "", 'Data Entry'!J952)</f>
      </c>
      <c r="K952">
        <f>IF(ISBLANK('Data Entry'!K952), "", 'Data Entry'!K952)</f>
      </c>
      <c r="L952">
        <f>IF(ISBLANK('Data Entry'!L952), "", 'Data Entry'!L952)</f>
      </c>
      <c r="M952">
        <f>IF(ISBLANK('Data Entry'!M952), "", 'Data Entry'!M952)</f>
      </c>
      <c r="N952">
        <f>IF(ISBLANK('Data Entry'!N952), "", 'Data Entry'!N952)</f>
      </c>
      <c r="O952">
        <f>IF(ISBLANK('Data Entry'!O952), "", 'Data Entry'!O952)</f>
      </c>
      <c r="P952">
        <f>IF(ISBLANK('Data Entry'!P952), "", 'Data Entry'!P952)</f>
      </c>
      <c r="Q952">
        <f>IF(ISBLANK('Data Entry'!Q952), "", 'Data Entry'!Q952)</f>
      </c>
      <c r="R952">
        <f>IF(ISBLANK('Data Entry'!R952), "", 'Data Entry'!R952)</f>
      </c>
      <c r="S952">
        <f>IF(ISBLANK('Data Entry'!S952), "", 'Data Entry'!S952)</f>
      </c>
      <c r="T952">
        <f>IF(ISBLANK('Data Entry'!T952), "", 'Data Entry'!T952)</f>
      </c>
      <c r="U952">
        <f>IF(ISBLANK('Data Entry'!U952), "", 'Data Entry'!U952)</f>
      </c>
      <c r="V952">
        <f>IF(ISBLANK('Data Entry'!V952), "", 'Data Entry'!V952)</f>
      </c>
      <c r="W952">
        <f>IF(ISBLANK('Data Entry'!W952), "", 'Data Entry'!W952)</f>
      </c>
      <c r="X952">
        <f>IF(ISBLANK('Data Entry'!X952), "", 'Data Entry'!X952)</f>
      </c>
      <c r="Y952">
        <f>IF(ISBLANK('Data Entry'!Y952), "", 'Data Entry'!Y952)</f>
      </c>
      <c r="Z952">
        <f>IF(ISBLANK('Data Entry'!Z952), "", 'Data Entry'!Z952)</f>
      </c>
      <c r="AA952">
        <f>IF(ISBLANK('Data Entry'![952), "", 'Data Entry'![952)</f>
      </c>
      <c r="AB952">
        <f>IF(ISBLANK('Data Entry'!\952), "", 'Data Entry'!\952)</f>
      </c>
      <c r="AC952">
        <f>IF(ISBLANK('Data Entry'!]952), "", 'Data Entry'!]952)</f>
      </c>
      <c r="AD952">
        <f>IF(ISBLANK('Data Entry'!^952), "", 'Data Entry'!^952)</f>
      </c>
      <c r="AE952">
        <f>IF(ISBLANK('Data Entry'!_952), "", 'Data Entry'!_952)</f>
      </c>
      <c r="AF952">
        <f>IF(ISBLANK('Data Entry'!`952), "", 'Data Entry'!`952)</f>
      </c>
      <c r="AG952">
        <f>IF(ISBLANK('Data Entry'!a952), "", 'Data Entry'!a952)</f>
      </c>
      <c r="AH952">
        <f>IF(ISBLANK('Data Entry'!b952), "", 'Data Entry'!b952)</f>
      </c>
      <c r="AI952">
        <f>IF(ISBLANK('Data Entry'!c952), "", 'Data Entry'!c952)</f>
      </c>
      <c r="AJ952">
        <f>IF(ISBLANK('Data Entry'!d952), "", 'Data Entry'!d952)</f>
      </c>
      <c r="AK952">
        <f>IF(ISBLANK('Data Entry'!e952), "", 'Data Entry'!e952)</f>
      </c>
      <c r="AL952">
        <f>IF(ISBLANK('Data Entry'!f952), "", 'Data Entry'!f952)</f>
      </c>
      <c r="AM952">
        <f>IF(ISBLANK('Data Entry'!g952), "", 'Data Entry'!g952)</f>
      </c>
      <c r="AN952">
        <f>IF(ISBLANK('Data Entry'!h952), "", 'Data Entry'!h952)</f>
      </c>
    </row>
    <row r="953" spans="1:40" x14ac:dyDescent="0.25">
      <c r="A953">
        <f>IF(ISBLANK('Data Entry'!A953), "", 'Data Entry'!A953)</f>
      </c>
      <c r="B953">
        <f>IF(ISBLANK('Data Entry'!B953), "", 'Data Entry'!B953)</f>
      </c>
      <c r="C953">
        <f>IF(ISBLANK('Data Entry'!C953), "", 'Data Entry'!C953)</f>
      </c>
      <c r="D953">
        <f>IF(ISBLANK('Data Entry'!D953), "", 'Data Entry'!D953)</f>
      </c>
      <c r="E953">
        <f>IF(ISBLANK('Data Entry'!E953), "", 'Data Entry'!E953)</f>
      </c>
      <c r="F953">
        <f>IF(ISBLANK('Data Entry'!F953), "", 'Data Entry'!F953)</f>
      </c>
      <c r="G953">
        <f>IF(ISBLANK('Data Entry'!G953), "", 'Data Entry'!G953)</f>
      </c>
      <c r="H953">
        <f>IF(ISBLANK('Data Entry'!H953), "", 'Data Entry'!H953)</f>
      </c>
      <c r="I953">
        <f>IF(ISBLANK('Data Entry'!I953), "", 'Data Entry'!I953)</f>
      </c>
      <c r="J953">
        <f>IF(ISBLANK('Data Entry'!J953), "", 'Data Entry'!J953)</f>
      </c>
      <c r="K953">
        <f>IF(ISBLANK('Data Entry'!K953), "", 'Data Entry'!K953)</f>
      </c>
      <c r="L953">
        <f>IF(ISBLANK('Data Entry'!L953), "", 'Data Entry'!L953)</f>
      </c>
      <c r="M953">
        <f>IF(ISBLANK('Data Entry'!M953), "", 'Data Entry'!M953)</f>
      </c>
      <c r="N953">
        <f>IF(ISBLANK('Data Entry'!N953), "", 'Data Entry'!N953)</f>
      </c>
      <c r="O953">
        <f>IF(ISBLANK('Data Entry'!O953), "", 'Data Entry'!O953)</f>
      </c>
      <c r="P953">
        <f>IF(ISBLANK('Data Entry'!P953), "", 'Data Entry'!P953)</f>
      </c>
      <c r="Q953">
        <f>IF(ISBLANK('Data Entry'!Q953), "", 'Data Entry'!Q953)</f>
      </c>
      <c r="R953">
        <f>IF(ISBLANK('Data Entry'!R953), "", 'Data Entry'!R953)</f>
      </c>
      <c r="S953">
        <f>IF(ISBLANK('Data Entry'!S953), "", 'Data Entry'!S953)</f>
      </c>
      <c r="T953">
        <f>IF(ISBLANK('Data Entry'!T953), "", 'Data Entry'!T953)</f>
      </c>
      <c r="U953">
        <f>IF(ISBLANK('Data Entry'!U953), "", 'Data Entry'!U953)</f>
      </c>
      <c r="V953">
        <f>IF(ISBLANK('Data Entry'!V953), "", 'Data Entry'!V953)</f>
      </c>
      <c r="W953">
        <f>IF(ISBLANK('Data Entry'!W953), "", 'Data Entry'!W953)</f>
      </c>
      <c r="X953">
        <f>IF(ISBLANK('Data Entry'!X953), "", 'Data Entry'!X953)</f>
      </c>
      <c r="Y953">
        <f>IF(ISBLANK('Data Entry'!Y953), "", 'Data Entry'!Y953)</f>
      </c>
      <c r="Z953">
        <f>IF(ISBLANK('Data Entry'!Z953), "", 'Data Entry'!Z953)</f>
      </c>
      <c r="AA953">
        <f>IF(ISBLANK('Data Entry'![953), "", 'Data Entry'![953)</f>
      </c>
      <c r="AB953">
        <f>IF(ISBLANK('Data Entry'!\953), "", 'Data Entry'!\953)</f>
      </c>
      <c r="AC953">
        <f>IF(ISBLANK('Data Entry'!]953), "", 'Data Entry'!]953)</f>
      </c>
      <c r="AD953">
        <f>IF(ISBLANK('Data Entry'!^953), "", 'Data Entry'!^953)</f>
      </c>
      <c r="AE953">
        <f>IF(ISBLANK('Data Entry'!_953), "", 'Data Entry'!_953)</f>
      </c>
      <c r="AF953">
        <f>IF(ISBLANK('Data Entry'!`953), "", 'Data Entry'!`953)</f>
      </c>
      <c r="AG953">
        <f>IF(ISBLANK('Data Entry'!a953), "", 'Data Entry'!a953)</f>
      </c>
      <c r="AH953">
        <f>IF(ISBLANK('Data Entry'!b953), "", 'Data Entry'!b953)</f>
      </c>
      <c r="AI953">
        <f>IF(ISBLANK('Data Entry'!c953), "", 'Data Entry'!c953)</f>
      </c>
      <c r="AJ953">
        <f>IF(ISBLANK('Data Entry'!d953), "", 'Data Entry'!d953)</f>
      </c>
      <c r="AK953">
        <f>IF(ISBLANK('Data Entry'!e953), "", 'Data Entry'!e953)</f>
      </c>
      <c r="AL953">
        <f>IF(ISBLANK('Data Entry'!f953), "", 'Data Entry'!f953)</f>
      </c>
      <c r="AM953">
        <f>IF(ISBLANK('Data Entry'!g953), "", 'Data Entry'!g953)</f>
      </c>
      <c r="AN953">
        <f>IF(ISBLANK('Data Entry'!h953), "", 'Data Entry'!h953)</f>
      </c>
    </row>
    <row r="954" spans="1:40" x14ac:dyDescent="0.25">
      <c r="A954">
        <f>IF(ISBLANK('Data Entry'!A954), "", 'Data Entry'!A954)</f>
      </c>
      <c r="B954">
        <f>IF(ISBLANK('Data Entry'!B954), "", 'Data Entry'!B954)</f>
      </c>
      <c r="C954">
        <f>IF(ISBLANK('Data Entry'!C954), "", 'Data Entry'!C954)</f>
      </c>
      <c r="D954">
        <f>IF(ISBLANK('Data Entry'!D954), "", 'Data Entry'!D954)</f>
      </c>
      <c r="E954">
        <f>IF(ISBLANK('Data Entry'!E954), "", 'Data Entry'!E954)</f>
      </c>
      <c r="F954">
        <f>IF(ISBLANK('Data Entry'!F954), "", 'Data Entry'!F954)</f>
      </c>
      <c r="G954">
        <f>IF(ISBLANK('Data Entry'!G954), "", 'Data Entry'!G954)</f>
      </c>
      <c r="H954">
        <f>IF(ISBLANK('Data Entry'!H954), "", 'Data Entry'!H954)</f>
      </c>
      <c r="I954">
        <f>IF(ISBLANK('Data Entry'!I954), "", 'Data Entry'!I954)</f>
      </c>
      <c r="J954">
        <f>IF(ISBLANK('Data Entry'!J954), "", 'Data Entry'!J954)</f>
      </c>
      <c r="K954">
        <f>IF(ISBLANK('Data Entry'!K954), "", 'Data Entry'!K954)</f>
      </c>
      <c r="L954">
        <f>IF(ISBLANK('Data Entry'!L954), "", 'Data Entry'!L954)</f>
      </c>
      <c r="M954">
        <f>IF(ISBLANK('Data Entry'!M954), "", 'Data Entry'!M954)</f>
      </c>
      <c r="N954">
        <f>IF(ISBLANK('Data Entry'!N954), "", 'Data Entry'!N954)</f>
      </c>
      <c r="O954">
        <f>IF(ISBLANK('Data Entry'!O954), "", 'Data Entry'!O954)</f>
      </c>
      <c r="P954">
        <f>IF(ISBLANK('Data Entry'!P954), "", 'Data Entry'!P954)</f>
      </c>
      <c r="Q954">
        <f>IF(ISBLANK('Data Entry'!Q954), "", 'Data Entry'!Q954)</f>
      </c>
      <c r="R954">
        <f>IF(ISBLANK('Data Entry'!R954), "", 'Data Entry'!R954)</f>
      </c>
      <c r="S954">
        <f>IF(ISBLANK('Data Entry'!S954), "", 'Data Entry'!S954)</f>
      </c>
      <c r="T954">
        <f>IF(ISBLANK('Data Entry'!T954), "", 'Data Entry'!T954)</f>
      </c>
      <c r="U954">
        <f>IF(ISBLANK('Data Entry'!U954), "", 'Data Entry'!U954)</f>
      </c>
      <c r="V954">
        <f>IF(ISBLANK('Data Entry'!V954), "", 'Data Entry'!V954)</f>
      </c>
      <c r="W954">
        <f>IF(ISBLANK('Data Entry'!W954), "", 'Data Entry'!W954)</f>
      </c>
      <c r="X954">
        <f>IF(ISBLANK('Data Entry'!X954), "", 'Data Entry'!X954)</f>
      </c>
      <c r="Y954">
        <f>IF(ISBLANK('Data Entry'!Y954), "", 'Data Entry'!Y954)</f>
      </c>
      <c r="Z954">
        <f>IF(ISBLANK('Data Entry'!Z954), "", 'Data Entry'!Z954)</f>
      </c>
      <c r="AA954">
        <f>IF(ISBLANK('Data Entry'![954), "", 'Data Entry'![954)</f>
      </c>
      <c r="AB954">
        <f>IF(ISBLANK('Data Entry'!\954), "", 'Data Entry'!\954)</f>
      </c>
      <c r="AC954">
        <f>IF(ISBLANK('Data Entry'!]954), "", 'Data Entry'!]954)</f>
      </c>
      <c r="AD954">
        <f>IF(ISBLANK('Data Entry'!^954), "", 'Data Entry'!^954)</f>
      </c>
      <c r="AE954">
        <f>IF(ISBLANK('Data Entry'!_954), "", 'Data Entry'!_954)</f>
      </c>
      <c r="AF954">
        <f>IF(ISBLANK('Data Entry'!`954), "", 'Data Entry'!`954)</f>
      </c>
      <c r="AG954">
        <f>IF(ISBLANK('Data Entry'!a954), "", 'Data Entry'!a954)</f>
      </c>
      <c r="AH954">
        <f>IF(ISBLANK('Data Entry'!b954), "", 'Data Entry'!b954)</f>
      </c>
      <c r="AI954">
        <f>IF(ISBLANK('Data Entry'!c954), "", 'Data Entry'!c954)</f>
      </c>
      <c r="AJ954">
        <f>IF(ISBLANK('Data Entry'!d954), "", 'Data Entry'!d954)</f>
      </c>
      <c r="AK954">
        <f>IF(ISBLANK('Data Entry'!e954), "", 'Data Entry'!e954)</f>
      </c>
      <c r="AL954">
        <f>IF(ISBLANK('Data Entry'!f954), "", 'Data Entry'!f954)</f>
      </c>
      <c r="AM954">
        <f>IF(ISBLANK('Data Entry'!g954), "", 'Data Entry'!g954)</f>
      </c>
      <c r="AN954">
        <f>IF(ISBLANK('Data Entry'!h954), "", 'Data Entry'!h954)</f>
      </c>
    </row>
    <row r="955" spans="1:40" x14ac:dyDescent="0.25">
      <c r="A955">
        <f>IF(ISBLANK('Data Entry'!A955), "", 'Data Entry'!A955)</f>
      </c>
      <c r="B955">
        <f>IF(ISBLANK('Data Entry'!B955), "", 'Data Entry'!B955)</f>
      </c>
      <c r="C955">
        <f>IF(ISBLANK('Data Entry'!C955), "", 'Data Entry'!C955)</f>
      </c>
      <c r="D955">
        <f>IF(ISBLANK('Data Entry'!D955), "", 'Data Entry'!D955)</f>
      </c>
      <c r="E955">
        <f>IF(ISBLANK('Data Entry'!E955), "", 'Data Entry'!E955)</f>
      </c>
      <c r="F955">
        <f>IF(ISBLANK('Data Entry'!F955), "", 'Data Entry'!F955)</f>
      </c>
      <c r="G955">
        <f>IF(ISBLANK('Data Entry'!G955), "", 'Data Entry'!G955)</f>
      </c>
      <c r="H955">
        <f>IF(ISBLANK('Data Entry'!H955), "", 'Data Entry'!H955)</f>
      </c>
      <c r="I955">
        <f>IF(ISBLANK('Data Entry'!I955), "", 'Data Entry'!I955)</f>
      </c>
      <c r="J955">
        <f>IF(ISBLANK('Data Entry'!J955), "", 'Data Entry'!J955)</f>
      </c>
      <c r="K955">
        <f>IF(ISBLANK('Data Entry'!K955), "", 'Data Entry'!K955)</f>
      </c>
      <c r="L955">
        <f>IF(ISBLANK('Data Entry'!L955), "", 'Data Entry'!L955)</f>
      </c>
      <c r="M955">
        <f>IF(ISBLANK('Data Entry'!M955), "", 'Data Entry'!M955)</f>
      </c>
      <c r="N955">
        <f>IF(ISBLANK('Data Entry'!N955), "", 'Data Entry'!N955)</f>
      </c>
      <c r="O955">
        <f>IF(ISBLANK('Data Entry'!O955), "", 'Data Entry'!O955)</f>
      </c>
      <c r="P955">
        <f>IF(ISBLANK('Data Entry'!P955), "", 'Data Entry'!P955)</f>
      </c>
      <c r="Q955">
        <f>IF(ISBLANK('Data Entry'!Q955), "", 'Data Entry'!Q955)</f>
      </c>
      <c r="R955">
        <f>IF(ISBLANK('Data Entry'!R955), "", 'Data Entry'!R955)</f>
      </c>
      <c r="S955">
        <f>IF(ISBLANK('Data Entry'!S955), "", 'Data Entry'!S955)</f>
      </c>
      <c r="T955">
        <f>IF(ISBLANK('Data Entry'!T955), "", 'Data Entry'!T955)</f>
      </c>
      <c r="U955">
        <f>IF(ISBLANK('Data Entry'!U955), "", 'Data Entry'!U955)</f>
      </c>
      <c r="V955">
        <f>IF(ISBLANK('Data Entry'!V955), "", 'Data Entry'!V955)</f>
      </c>
      <c r="W955">
        <f>IF(ISBLANK('Data Entry'!W955), "", 'Data Entry'!W955)</f>
      </c>
      <c r="X955">
        <f>IF(ISBLANK('Data Entry'!X955), "", 'Data Entry'!X955)</f>
      </c>
      <c r="Y955">
        <f>IF(ISBLANK('Data Entry'!Y955), "", 'Data Entry'!Y955)</f>
      </c>
      <c r="Z955">
        <f>IF(ISBLANK('Data Entry'!Z955), "", 'Data Entry'!Z955)</f>
      </c>
      <c r="AA955">
        <f>IF(ISBLANK('Data Entry'![955), "", 'Data Entry'![955)</f>
      </c>
      <c r="AB955">
        <f>IF(ISBLANK('Data Entry'!\955), "", 'Data Entry'!\955)</f>
      </c>
      <c r="AC955">
        <f>IF(ISBLANK('Data Entry'!]955), "", 'Data Entry'!]955)</f>
      </c>
      <c r="AD955">
        <f>IF(ISBLANK('Data Entry'!^955), "", 'Data Entry'!^955)</f>
      </c>
      <c r="AE955">
        <f>IF(ISBLANK('Data Entry'!_955), "", 'Data Entry'!_955)</f>
      </c>
      <c r="AF955">
        <f>IF(ISBLANK('Data Entry'!`955), "", 'Data Entry'!`955)</f>
      </c>
      <c r="AG955">
        <f>IF(ISBLANK('Data Entry'!a955), "", 'Data Entry'!a955)</f>
      </c>
      <c r="AH955">
        <f>IF(ISBLANK('Data Entry'!b955), "", 'Data Entry'!b955)</f>
      </c>
      <c r="AI955">
        <f>IF(ISBLANK('Data Entry'!c955), "", 'Data Entry'!c955)</f>
      </c>
      <c r="AJ955">
        <f>IF(ISBLANK('Data Entry'!d955), "", 'Data Entry'!d955)</f>
      </c>
      <c r="AK955">
        <f>IF(ISBLANK('Data Entry'!e955), "", 'Data Entry'!e955)</f>
      </c>
      <c r="AL955">
        <f>IF(ISBLANK('Data Entry'!f955), "", 'Data Entry'!f955)</f>
      </c>
      <c r="AM955">
        <f>IF(ISBLANK('Data Entry'!g955), "", 'Data Entry'!g955)</f>
      </c>
      <c r="AN955">
        <f>IF(ISBLANK('Data Entry'!h955), "", 'Data Entry'!h955)</f>
      </c>
    </row>
    <row r="956" spans="1:40" x14ac:dyDescent="0.25">
      <c r="A956">
        <f>IF(ISBLANK('Data Entry'!A956), "", 'Data Entry'!A956)</f>
      </c>
      <c r="B956">
        <f>IF(ISBLANK('Data Entry'!B956), "", 'Data Entry'!B956)</f>
      </c>
      <c r="C956">
        <f>IF(ISBLANK('Data Entry'!C956), "", 'Data Entry'!C956)</f>
      </c>
      <c r="D956">
        <f>IF(ISBLANK('Data Entry'!D956), "", 'Data Entry'!D956)</f>
      </c>
      <c r="E956">
        <f>IF(ISBLANK('Data Entry'!E956), "", 'Data Entry'!E956)</f>
      </c>
      <c r="F956">
        <f>IF(ISBLANK('Data Entry'!F956), "", 'Data Entry'!F956)</f>
      </c>
      <c r="G956">
        <f>IF(ISBLANK('Data Entry'!G956), "", 'Data Entry'!G956)</f>
      </c>
      <c r="H956">
        <f>IF(ISBLANK('Data Entry'!H956), "", 'Data Entry'!H956)</f>
      </c>
      <c r="I956">
        <f>IF(ISBLANK('Data Entry'!I956), "", 'Data Entry'!I956)</f>
      </c>
      <c r="J956">
        <f>IF(ISBLANK('Data Entry'!J956), "", 'Data Entry'!J956)</f>
      </c>
      <c r="K956">
        <f>IF(ISBLANK('Data Entry'!K956), "", 'Data Entry'!K956)</f>
      </c>
      <c r="L956">
        <f>IF(ISBLANK('Data Entry'!L956), "", 'Data Entry'!L956)</f>
      </c>
      <c r="M956">
        <f>IF(ISBLANK('Data Entry'!M956), "", 'Data Entry'!M956)</f>
      </c>
      <c r="N956">
        <f>IF(ISBLANK('Data Entry'!N956), "", 'Data Entry'!N956)</f>
      </c>
      <c r="O956">
        <f>IF(ISBLANK('Data Entry'!O956), "", 'Data Entry'!O956)</f>
      </c>
      <c r="P956">
        <f>IF(ISBLANK('Data Entry'!P956), "", 'Data Entry'!P956)</f>
      </c>
      <c r="Q956">
        <f>IF(ISBLANK('Data Entry'!Q956), "", 'Data Entry'!Q956)</f>
      </c>
      <c r="R956">
        <f>IF(ISBLANK('Data Entry'!R956), "", 'Data Entry'!R956)</f>
      </c>
      <c r="S956">
        <f>IF(ISBLANK('Data Entry'!S956), "", 'Data Entry'!S956)</f>
      </c>
      <c r="T956">
        <f>IF(ISBLANK('Data Entry'!T956), "", 'Data Entry'!T956)</f>
      </c>
      <c r="U956">
        <f>IF(ISBLANK('Data Entry'!U956), "", 'Data Entry'!U956)</f>
      </c>
      <c r="V956">
        <f>IF(ISBLANK('Data Entry'!V956), "", 'Data Entry'!V956)</f>
      </c>
      <c r="W956">
        <f>IF(ISBLANK('Data Entry'!W956), "", 'Data Entry'!W956)</f>
      </c>
      <c r="X956">
        <f>IF(ISBLANK('Data Entry'!X956), "", 'Data Entry'!X956)</f>
      </c>
      <c r="Y956">
        <f>IF(ISBLANK('Data Entry'!Y956), "", 'Data Entry'!Y956)</f>
      </c>
      <c r="Z956">
        <f>IF(ISBLANK('Data Entry'!Z956), "", 'Data Entry'!Z956)</f>
      </c>
      <c r="AA956">
        <f>IF(ISBLANK('Data Entry'![956), "", 'Data Entry'![956)</f>
      </c>
      <c r="AB956">
        <f>IF(ISBLANK('Data Entry'!\956), "", 'Data Entry'!\956)</f>
      </c>
      <c r="AC956">
        <f>IF(ISBLANK('Data Entry'!]956), "", 'Data Entry'!]956)</f>
      </c>
      <c r="AD956">
        <f>IF(ISBLANK('Data Entry'!^956), "", 'Data Entry'!^956)</f>
      </c>
      <c r="AE956">
        <f>IF(ISBLANK('Data Entry'!_956), "", 'Data Entry'!_956)</f>
      </c>
      <c r="AF956">
        <f>IF(ISBLANK('Data Entry'!`956), "", 'Data Entry'!`956)</f>
      </c>
      <c r="AG956">
        <f>IF(ISBLANK('Data Entry'!a956), "", 'Data Entry'!a956)</f>
      </c>
      <c r="AH956">
        <f>IF(ISBLANK('Data Entry'!b956), "", 'Data Entry'!b956)</f>
      </c>
      <c r="AI956">
        <f>IF(ISBLANK('Data Entry'!c956), "", 'Data Entry'!c956)</f>
      </c>
      <c r="AJ956">
        <f>IF(ISBLANK('Data Entry'!d956), "", 'Data Entry'!d956)</f>
      </c>
      <c r="AK956">
        <f>IF(ISBLANK('Data Entry'!e956), "", 'Data Entry'!e956)</f>
      </c>
      <c r="AL956">
        <f>IF(ISBLANK('Data Entry'!f956), "", 'Data Entry'!f956)</f>
      </c>
      <c r="AM956">
        <f>IF(ISBLANK('Data Entry'!g956), "", 'Data Entry'!g956)</f>
      </c>
      <c r="AN956">
        <f>IF(ISBLANK('Data Entry'!h956), "", 'Data Entry'!h956)</f>
      </c>
    </row>
    <row r="957" spans="1:40" x14ac:dyDescent="0.25">
      <c r="A957">
        <f>IF(ISBLANK('Data Entry'!A957), "", 'Data Entry'!A957)</f>
      </c>
      <c r="B957">
        <f>IF(ISBLANK('Data Entry'!B957), "", 'Data Entry'!B957)</f>
      </c>
      <c r="C957">
        <f>IF(ISBLANK('Data Entry'!C957), "", 'Data Entry'!C957)</f>
      </c>
      <c r="D957">
        <f>IF(ISBLANK('Data Entry'!D957), "", 'Data Entry'!D957)</f>
      </c>
      <c r="E957">
        <f>IF(ISBLANK('Data Entry'!E957), "", 'Data Entry'!E957)</f>
      </c>
      <c r="F957">
        <f>IF(ISBLANK('Data Entry'!F957), "", 'Data Entry'!F957)</f>
      </c>
      <c r="G957">
        <f>IF(ISBLANK('Data Entry'!G957), "", 'Data Entry'!G957)</f>
      </c>
      <c r="H957">
        <f>IF(ISBLANK('Data Entry'!H957), "", 'Data Entry'!H957)</f>
      </c>
      <c r="I957">
        <f>IF(ISBLANK('Data Entry'!I957), "", 'Data Entry'!I957)</f>
      </c>
      <c r="J957">
        <f>IF(ISBLANK('Data Entry'!J957), "", 'Data Entry'!J957)</f>
      </c>
      <c r="K957">
        <f>IF(ISBLANK('Data Entry'!K957), "", 'Data Entry'!K957)</f>
      </c>
      <c r="L957">
        <f>IF(ISBLANK('Data Entry'!L957), "", 'Data Entry'!L957)</f>
      </c>
      <c r="M957">
        <f>IF(ISBLANK('Data Entry'!M957), "", 'Data Entry'!M957)</f>
      </c>
      <c r="N957">
        <f>IF(ISBLANK('Data Entry'!N957), "", 'Data Entry'!N957)</f>
      </c>
      <c r="O957">
        <f>IF(ISBLANK('Data Entry'!O957), "", 'Data Entry'!O957)</f>
      </c>
      <c r="P957">
        <f>IF(ISBLANK('Data Entry'!P957), "", 'Data Entry'!P957)</f>
      </c>
      <c r="Q957">
        <f>IF(ISBLANK('Data Entry'!Q957), "", 'Data Entry'!Q957)</f>
      </c>
      <c r="R957">
        <f>IF(ISBLANK('Data Entry'!R957), "", 'Data Entry'!R957)</f>
      </c>
      <c r="S957">
        <f>IF(ISBLANK('Data Entry'!S957), "", 'Data Entry'!S957)</f>
      </c>
      <c r="T957">
        <f>IF(ISBLANK('Data Entry'!T957), "", 'Data Entry'!T957)</f>
      </c>
      <c r="U957">
        <f>IF(ISBLANK('Data Entry'!U957), "", 'Data Entry'!U957)</f>
      </c>
      <c r="V957">
        <f>IF(ISBLANK('Data Entry'!V957), "", 'Data Entry'!V957)</f>
      </c>
      <c r="W957">
        <f>IF(ISBLANK('Data Entry'!W957), "", 'Data Entry'!W957)</f>
      </c>
      <c r="X957">
        <f>IF(ISBLANK('Data Entry'!X957), "", 'Data Entry'!X957)</f>
      </c>
      <c r="Y957">
        <f>IF(ISBLANK('Data Entry'!Y957), "", 'Data Entry'!Y957)</f>
      </c>
      <c r="Z957">
        <f>IF(ISBLANK('Data Entry'!Z957), "", 'Data Entry'!Z957)</f>
      </c>
      <c r="AA957">
        <f>IF(ISBLANK('Data Entry'![957), "", 'Data Entry'![957)</f>
      </c>
      <c r="AB957">
        <f>IF(ISBLANK('Data Entry'!\957), "", 'Data Entry'!\957)</f>
      </c>
      <c r="AC957">
        <f>IF(ISBLANK('Data Entry'!]957), "", 'Data Entry'!]957)</f>
      </c>
      <c r="AD957">
        <f>IF(ISBLANK('Data Entry'!^957), "", 'Data Entry'!^957)</f>
      </c>
      <c r="AE957">
        <f>IF(ISBLANK('Data Entry'!_957), "", 'Data Entry'!_957)</f>
      </c>
      <c r="AF957">
        <f>IF(ISBLANK('Data Entry'!`957), "", 'Data Entry'!`957)</f>
      </c>
      <c r="AG957">
        <f>IF(ISBLANK('Data Entry'!a957), "", 'Data Entry'!a957)</f>
      </c>
      <c r="AH957">
        <f>IF(ISBLANK('Data Entry'!b957), "", 'Data Entry'!b957)</f>
      </c>
      <c r="AI957">
        <f>IF(ISBLANK('Data Entry'!c957), "", 'Data Entry'!c957)</f>
      </c>
      <c r="AJ957">
        <f>IF(ISBLANK('Data Entry'!d957), "", 'Data Entry'!d957)</f>
      </c>
      <c r="AK957">
        <f>IF(ISBLANK('Data Entry'!e957), "", 'Data Entry'!e957)</f>
      </c>
      <c r="AL957">
        <f>IF(ISBLANK('Data Entry'!f957), "", 'Data Entry'!f957)</f>
      </c>
      <c r="AM957">
        <f>IF(ISBLANK('Data Entry'!g957), "", 'Data Entry'!g957)</f>
      </c>
      <c r="AN957">
        <f>IF(ISBLANK('Data Entry'!h957), "", 'Data Entry'!h957)</f>
      </c>
    </row>
    <row r="958" spans="1:40" x14ac:dyDescent="0.25">
      <c r="A958">
        <f>IF(ISBLANK('Data Entry'!A958), "", 'Data Entry'!A958)</f>
      </c>
      <c r="B958">
        <f>IF(ISBLANK('Data Entry'!B958), "", 'Data Entry'!B958)</f>
      </c>
      <c r="C958">
        <f>IF(ISBLANK('Data Entry'!C958), "", 'Data Entry'!C958)</f>
      </c>
      <c r="D958">
        <f>IF(ISBLANK('Data Entry'!D958), "", 'Data Entry'!D958)</f>
      </c>
      <c r="E958">
        <f>IF(ISBLANK('Data Entry'!E958), "", 'Data Entry'!E958)</f>
      </c>
      <c r="F958">
        <f>IF(ISBLANK('Data Entry'!F958), "", 'Data Entry'!F958)</f>
      </c>
      <c r="G958">
        <f>IF(ISBLANK('Data Entry'!G958), "", 'Data Entry'!G958)</f>
      </c>
      <c r="H958">
        <f>IF(ISBLANK('Data Entry'!H958), "", 'Data Entry'!H958)</f>
      </c>
      <c r="I958">
        <f>IF(ISBLANK('Data Entry'!I958), "", 'Data Entry'!I958)</f>
      </c>
      <c r="J958">
        <f>IF(ISBLANK('Data Entry'!J958), "", 'Data Entry'!J958)</f>
      </c>
      <c r="K958">
        <f>IF(ISBLANK('Data Entry'!K958), "", 'Data Entry'!K958)</f>
      </c>
      <c r="L958">
        <f>IF(ISBLANK('Data Entry'!L958), "", 'Data Entry'!L958)</f>
      </c>
      <c r="M958">
        <f>IF(ISBLANK('Data Entry'!M958), "", 'Data Entry'!M958)</f>
      </c>
      <c r="N958">
        <f>IF(ISBLANK('Data Entry'!N958), "", 'Data Entry'!N958)</f>
      </c>
      <c r="O958">
        <f>IF(ISBLANK('Data Entry'!O958), "", 'Data Entry'!O958)</f>
      </c>
      <c r="P958">
        <f>IF(ISBLANK('Data Entry'!P958), "", 'Data Entry'!P958)</f>
      </c>
      <c r="Q958">
        <f>IF(ISBLANK('Data Entry'!Q958), "", 'Data Entry'!Q958)</f>
      </c>
      <c r="R958">
        <f>IF(ISBLANK('Data Entry'!R958), "", 'Data Entry'!R958)</f>
      </c>
      <c r="S958">
        <f>IF(ISBLANK('Data Entry'!S958), "", 'Data Entry'!S958)</f>
      </c>
      <c r="T958">
        <f>IF(ISBLANK('Data Entry'!T958), "", 'Data Entry'!T958)</f>
      </c>
      <c r="U958">
        <f>IF(ISBLANK('Data Entry'!U958), "", 'Data Entry'!U958)</f>
      </c>
      <c r="V958">
        <f>IF(ISBLANK('Data Entry'!V958), "", 'Data Entry'!V958)</f>
      </c>
      <c r="W958">
        <f>IF(ISBLANK('Data Entry'!W958), "", 'Data Entry'!W958)</f>
      </c>
      <c r="X958">
        <f>IF(ISBLANK('Data Entry'!X958), "", 'Data Entry'!X958)</f>
      </c>
      <c r="Y958">
        <f>IF(ISBLANK('Data Entry'!Y958), "", 'Data Entry'!Y958)</f>
      </c>
      <c r="Z958">
        <f>IF(ISBLANK('Data Entry'!Z958), "", 'Data Entry'!Z958)</f>
      </c>
      <c r="AA958">
        <f>IF(ISBLANK('Data Entry'![958), "", 'Data Entry'![958)</f>
      </c>
      <c r="AB958">
        <f>IF(ISBLANK('Data Entry'!\958), "", 'Data Entry'!\958)</f>
      </c>
      <c r="AC958">
        <f>IF(ISBLANK('Data Entry'!]958), "", 'Data Entry'!]958)</f>
      </c>
      <c r="AD958">
        <f>IF(ISBLANK('Data Entry'!^958), "", 'Data Entry'!^958)</f>
      </c>
      <c r="AE958">
        <f>IF(ISBLANK('Data Entry'!_958), "", 'Data Entry'!_958)</f>
      </c>
      <c r="AF958">
        <f>IF(ISBLANK('Data Entry'!`958), "", 'Data Entry'!`958)</f>
      </c>
      <c r="AG958">
        <f>IF(ISBLANK('Data Entry'!a958), "", 'Data Entry'!a958)</f>
      </c>
      <c r="AH958">
        <f>IF(ISBLANK('Data Entry'!b958), "", 'Data Entry'!b958)</f>
      </c>
      <c r="AI958">
        <f>IF(ISBLANK('Data Entry'!c958), "", 'Data Entry'!c958)</f>
      </c>
      <c r="AJ958">
        <f>IF(ISBLANK('Data Entry'!d958), "", 'Data Entry'!d958)</f>
      </c>
      <c r="AK958">
        <f>IF(ISBLANK('Data Entry'!e958), "", 'Data Entry'!e958)</f>
      </c>
      <c r="AL958">
        <f>IF(ISBLANK('Data Entry'!f958), "", 'Data Entry'!f958)</f>
      </c>
      <c r="AM958">
        <f>IF(ISBLANK('Data Entry'!g958), "", 'Data Entry'!g958)</f>
      </c>
      <c r="AN958">
        <f>IF(ISBLANK('Data Entry'!h958), "", 'Data Entry'!h958)</f>
      </c>
    </row>
    <row r="959" spans="1:40" x14ac:dyDescent="0.25">
      <c r="A959">
        <f>IF(ISBLANK('Data Entry'!A959), "", 'Data Entry'!A959)</f>
      </c>
      <c r="B959">
        <f>IF(ISBLANK('Data Entry'!B959), "", 'Data Entry'!B959)</f>
      </c>
      <c r="C959">
        <f>IF(ISBLANK('Data Entry'!C959), "", 'Data Entry'!C959)</f>
      </c>
      <c r="D959">
        <f>IF(ISBLANK('Data Entry'!D959), "", 'Data Entry'!D959)</f>
      </c>
      <c r="E959">
        <f>IF(ISBLANK('Data Entry'!E959), "", 'Data Entry'!E959)</f>
      </c>
      <c r="F959">
        <f>IF(ISBLANK('Data Entry'!F959), "", 'Data Entry'!F959)</f>
      </c>
      <c r="G959">
        <f>IF(ISBLANK('Data Entry'!G959), "", 'Data Entry'!G959)</f>
      </c>
      <c r="H959">
        <f>IF(ISBLANK('Data Entry'!H959), "", 'Data Entry'!H959)</f>
      </c>
      <c r="I959">
        <f>IF(ISBLANK('Data Entry'!I959), "", 'Data Entry'!I959)</f>
      </c>
      <c r="J959">
        <f>IF(ISBLANK('Data Entry'!J959), "", 'Data Entry'!J959)</f>
      </c>
      <c r="K959">
        <f>IF(ISBLANK('Data Entry'!K959), "", 'Data Entry'!K959)</f>
      </c>
      <c r="L959">
        <f>IF(ISBLANK('Data Entry'!L959), "", 'Data Entry'!L959)</f>
      </c>
      <c r="M959">
        <f>IF(ISBLANK('Data Entry'!M959), "", 'Data Entry'!M959)</f>
      </c>
      <c r="N959">
        <f>IF(ISBLANK('Data Entry'!N959), "", 'Data Entry'!N959)</f>
      </c>
      <c r="O959">
        <f>IF(ISBLANK('Data Entry'!O959), "", 'Data Entry'!O959)</f>
      </c>
      <c r="P959">
        <f>IF(ISBLANK('Data Entry'!P959), "", 'Data Entry'!P959)</f>
      </c>
      <c r="Q959">
        <f>IF(ISBLANK('Data Entry'!Q959), "", 'Data Entry'!Q959)</f>
      </c>
      <c r="R959">
        <f>IF(ISBLANK('Data Entry'!R959), "", 'Data Entry'!R959)</f>
      </c>
      <c r="S959">
        <f>IF(ISBLANK('Data Entry'!S959), "", 'Data Entry'!S959)</f>
      </c>
      <c r="T959">
        <f>IF(ISBLANK('Data Entry'!T959), "", 'Data Entry'!T959)</f>
      </c>
      <c r="U959">
        <f>IF(ISBLANK('Data Entry'!U959), "", 'Data Entry'!U959)</f>
      </c>
      <c r="V959">
        <f>IF(ISBLANK('Data Entry'!V959), "", 'Data Entry'!V959)</f>
      </c>
      <c r="W959">
        <f>IF(ISBLANK('Data Entry'!W959), "", 'Data Entry'!W959)</f>
      </c>
      <c r="X959">
        <f>IF(ISBLANK('Data Entry'!X959), "", 'Data Entry'!X959)</f>
      </c>
      <c r="Y959">
        <f>IF(ISBLANK('Data Entry'!Y959), "", 'Data Entry'!Y959)</f>
      </c>
      <c r="Z959">
        <f>IF(ISBLANK('Data Entry'!Z959), "", 'Data Entry'!Z959)</f>
      </c>
      <c r="AA959">
        <f>IF(ISBLANK('Data Entry'![959), "", 'Data Entry'![959)</f>
      </c>
      <c r="AB959">
        <f>IF(ISBLANK('Data Entry'!\959), "", 'Data Entry'!\959)</f>
      </c>
      <c r="AC959">
        <f>IF(ISBLANK('Data Entry'!]959), "", 'Data Entry'!]959)</f>
      </c>
      <c r="AD959">
        <f>IF(ISBLANK('Data Entry'!^959), "", 'Data Entry'!^959)</f>
      </c>
      <c r="AE959">
        <f>IF(ISBLANK('Data Entry'!_959), "", 'Data Entry'!_959)</f>
      </c>
      <c r="AF959">
        <f>IF(ISBLANK('Data Entry'!`959), "", 'Data Entry'!`959)</f>
      </c>
      <c r="AG959">
        <f>IF(ISBLANK('Data Entry'!a959), "", 'Data Entry'!a959)</f>
      </c>
      <c r="AH959">
        <f>IF(ISBLANK('Data Entry'!b959), "", 'Data Entry'!b959)</f>
      </c>
      <c r="AI959">
        <f>IF(ISBLANK('Data Entry'!c959), "", 'Data Entry'!c959)</f>
      </c>
      <c r="AJ959">
        <f>IF(ISBLANK('Data Entry'!d959), "", 'Data Entry'!d959)</f>
      </c>
      <c r="AK959">
        <f>IF(ISBLANK('Data Entry'!e959), "", 'Data Entry'!e959)</f>
      </c>
      <c r="AL959">
        <f>IF(ISBLANK('Data Entry'!f959), "", 'Data Entry'!f959)</f>
      </c>
      <c r="AM959">
        <f>IF(ISBLANK('Data Entry'!g959), "", 'Data Entry'!g959)</f>
      </c>
      <c r="AN959">
        <f>IF(ISBLANK('Data Entry'!h959), "", 'Data Entry'!h959)</f>
      </c>
    </row>
    <row r="960" spans="1:40" x14ac:dyDescent="0.25">
      <c r="A960">
        <f>IF(ISBLANK('Data Entry'!A960), "", 'Data Entry'!A960)</f>
      </c>
      <c r="B960">
        <f>IF(ISBLANK('Data Entry'!B960), "", 'Data Entry'!B960)</f>
      </c>
      <c r="C960">
        <f>IF(ISBLANK('Data Entry'!C960), "", 'Data Entry'!C960)</f>
      </c>
      <c r="D960">
        <f>IF(ISBLANK('Data Entry'!D960), "", 'Data Entry'!D960)</f>
      </c>
      <c r="E960">
        <f>IF(ISBLANK('Data Entry'!E960), "", 'Data Entry'!E960)</f>
      </c>
      <c r="F960">
        <f>IF(ISBLANK('Data Entry'!F960), "", 'Data Entry'!F960)</f>
      </c>
      <c r="G960">
        <f>IF(ISBLANK('Data Entry'!G960), "", 'Data Entry'!G960)</f>
      </c>
      <c r="H960">
        <f>IF(ISBLANK('Data Entry'!H960), "", 'Data Entry'!H960)</f>
      </c>
      <c r="I960">
        <f>IF(ISBLANK('Data Entry'!I960), "", 'Data Entry'!I960)</f>
      </c>
      <c r="J960">
        <f>IF(ISBLANK('Data Entry'!J960), "", 'Data Entry'!J960)</f>
      </c>
      <c r="K960">
        <f>IF(ISBLANK('Data Entry'!K960), "", 'Data Entry'!K960)</f>
      </c>
      <c r="L960">
        <f>IF(ISBLANK('Data Entry'!L960), "", 'Data Entry'!L960)</f>
      </c>
      <c r="M960">
        <f>IF(ISBLANK('Data Entry'!M960), "", 'Data Entry'!M960)</f>
      </c>
      <c r="N960">
        <f>IF(ISBLANK('Data Entry'!N960), "", 'Data Entry'!N960)</f>
      </c>
      <c r="O960">
        <f>IF(ISBLANK('Data Entry'!O960), "", 'Data Entry'!O960)</f>
      </c>
      <c r="P960">
        <f>IF(ISBLANK('Data Entry'!P960), "", 'Data Entry'!P960)</f>
      </c>
      <c r="Q960">
        <f>IF(ISBLANK('Data Entry'!Q960), "", 'Data Entry'!Q960)</f>
      </c>
      <c r="R960">
        <f>IF(ISBLANK('Data Entry'!R960), "", 'Data Entry'!R960)</f>
      </c>
      <c r="S960">
        <f>IF(ISBLANK('Data Entry'!S960), "", 'Data Entry'!S960)</f>
      </c>
      <c r="T960">
        <f>IF(ISBLANK('Data Entry'!T960), "", 'Data Entry'!T960)</f>
      </c>
      <c r="U960">
        <f>IF(ISBLANK('Data Entry'!U960), "", 'Data Entry'!U960)</f>
      </c>
      <c r="V960">
        <f>IF(ISBLANK('Data Entry'!V960), "", 'Data Entry'!V960)</f>
      </c>
      <c r="W960">
        <f>IF(ISBLANK('Data Entry'!W960), "", 'Data Entry'!W960)</f>
      </c>
      <c r="X960">
        <f>IF(ISBLANK('Data Entry'!X960), "", 'Data Entry'!X960)</f>
      </c>
      <c r="Y960">
        <f>IF(ISBLANK('Data Entry'!Y960), "", 'Data Entry'!Y960)</f>
      </c>
      <c r="Z960">
        <f>IF(ISBLANK('Data Entry'!Z960), "", 'Data Entry'!Z960)</f>
      </c>
      <c r="AA960">
        <f>IF(ISBLANK('Data Entry'![960), "", 'Data Entry'![960)</f>
      </c>
      <c r="AB960">
        <f>IF(ISBLANK('Data Entry'!\960), "", 'Data Entry'!\960)</f>
      </c>
      <c r="AC960">
        <f>IF(ISBLANK('Data Entry'!]960), "", 'Data Entry'!]960)</f>
      </c>
      <c r="AD960">
        <f>IF(ISBLANK('Data Entry'!^960), "", 'Data Entry'!^960)</f>
      </c>
      <c r="AE960">
        <f>IF(ISBLANK('Data Entry'!_960), "", 'Data Entry'!_960)</f>
      </c>
      <c r="AF960">
        <f>IF(ISBLANK('Data Entry'!`960), "", 'Data Entry'!`960)</f>
      </c>
      <c r="AG960">
        <f>IF(ISBLANK('Data Entry'!a960), "", 'Data Entry'!a960)</f>
      </c>
      <c r="AH960">
        <f>IF(ISBLANK('Data Entry'!b960), "", 'Data Entry'!b960)</f>
      </c>
      <c r="AI960">
        <f>IF(ISBLANK('Data Entry'!c960), "", 'Data Entry'!c960)</f>
      </c>
      <c r="AJ960">
        <f>IF(ISBLANK('Data Entry'!d960), "", 'Data Entry'!d960)</f>
      </c>
      <c r="AK960">
        <f>IF(ISBLANK('Data Entry'!e960), "", 'Data Entry'!e960)</f>
      </c>
      <c r="AL960">
        <f>IF(ISBLANK('Data Entry'!f960), "", 'Data Entry'!f960)</f>
      </c>
      <c r="AM960">
        <f>IF(ISBLANK('Data Entry'!g960), "", 'Data Entry'!g960)</f>
      </c>
      <c r="AN960">
        <f>IF(ISBLANK('Data Entry'!h960), "", 'Data Entry'!h960)</f>
      </c>
    </row>
    <row r="961" spans="1:40" x14ac:dyDescent="0.25">
      <c r="A961">
        <f>IF(ISBLANK('Data Entry'!A961), "", 'Data Entry'!A961)</f>
      </c>
      <c r="B961">
        <f>IF(ISBLANK('Data Entry'!B961), "", 'Data Entry'!B961)</f>
      </c>
      <c r="C961">
        <f>IF(ISBLANK('Data Entry'!C961), "", 'Data Entry'!C961)</f>
      </c>
      <c r="D961">
        <f>IF(ISBLANK('Data Entry'!D961), "", 'Data Entry'!D961)</f>
      </c>
      <c r="E961">
        <f>IF(ISBLANK('Data Entry'!E961), "", 'Data Entry'!E961)</f>
      </c>
      <c r="F961">
        <f>IF(ISBLANK('Data Entry'!F961), "", 'Data Entry'!F961)</f>
      </c>
      <c r="G961">
        <f>IF(ISBLANK('Data Entry'!G961), "", 'Data Entry'!G961)</f>
      </c>
      <c r="H961">
        <f>IF(ISBLANK('Data Entry'!H961), "", 'Data Entry'!H961)</f>
      </c>
      <c r="I961">
        <f>IF(ISBLANK('Data Entry'!I961), "", 'Data Entry'!I961)</f>
      </c>
      <c r="J961">
        <f>IF(ISBLANK('Data Entry'!J961), "", 'Data Entry'!J961)</f>
      </c>
      <c r="K961">
        <f>IF(ISBLANK('Data Entry'!K961), "", 'Data Entry'!K961)</f>
      </c>
      <c r="L961">
        <f>IF(ISBLANK('Data Entry'!L961), "", 'Data Entry'!L961)</f>
      </c>
      <c r="M961">
        <f>IF(ISBLANK('Data Entry'!M961), "", 'Data Entry'!M961)</f>
      </c>
      <c r="N961">
        <f>IF(ISBLANK('Data Entry'!N961), "", 'Data Entry'!N961)</f>
      </c>
      <c r="O961">
        <f>IF(ISBLANK('Data Entry'!O961), "", 'Data Entry'!O961)</f>
      </c>
      <c r="P961">
        <f>IF(ISBLANK('Data Entry'!P961), "", 'Data Entry'!P961)</f>
      </c>
      <c r="Q961">
        <f>IF(ISBLANK('Data Entry'!Q961), "", 'Data Entry'!Q961)</f>
      </c>
      <c r="R961">
        <f>IF(ISBLANK('Data Entry'!R961), "", 'Data Entry'!R961)</f>
      </c>
      <c r="S961">
        <f>IF(ISBLANK('Data Entry'!S961), "", 'Data Entry'!S961)</f>
      </c>
      <c r="T961">
        <f>IF(ISBLANK('Data Entry'!T961), "", 'Data Entry'!T961)</f>
      </c>
      <c r="U961">
        <f>IF(ISBLANK('Data Entry'!U961), "", 'Data Entry'!U961)</f>
      </c>
      <c r="V961">
        <f>IF(ISBLANK('Data Entry'!V961), "", 'Data Entry'!V961)</f>
      </c>
      <c r="W961">
        <f>IF(ISBLANK('Data Entry'!W961), "", 'Data Entry'!W961)</f>
      </c>
      <c r="X961">
        <f>IF(ISBLANK('Data Entry'!X961), "", 'Data Entry'!X961)</f>
      </c>
      <c r="Y961">
        <f>IF(ISBLANK('Data Entry'!Y961), "", 'Data Entry'!Y961)</f>
      </c>
      <c r="Z961">
        <f>IF(ISBLANK('Data Entry'!Z961), "", 'Data Entry'!Z961)</f>
      </c>
      <c r="AA961">
        <f>IF(ISBLANK('Data Entry'![961), "", 'Data Entry'![961)</f>
      </c>
      <c r="AB961">
        <f>IF(ISBLANK('Data Entry'!\961), "", 'Data Entry'!\961)</f>
      </c>
      <c r="AC961">
        <f>IF(ISBLANK('Data Entry'!]961), "", 'Data Entry'!]961)</f>
      </c>
      <c r="AD961">
        <f>IF(ISBLANK('Data Entry'!^961), "", 'Data Entry'!^961)</f>
      </c>
      <c r="AE961">
        <f>IF(ISBLANK('Data Entry'!_961), "", 'Data Entry'!_961)</f>
      </c>
      <c r="AF961">
        <f>IF(ISBLANK('Data Entry'!`961), "", 'Data Entry'!`961)</f>
      </c>
      <c r="AG961">
        <f>IF(ISBLANK('Data Entry'!a961), "", 'Data Entry'!a961)</f>
      </c>
      <c r="AH961">
        <f>IF(ISBLANK('Data Entry'!b961), "", 'Data Entry'!b961)</f>
      </c>
      <c r="AI961">
        <f>IF(ISBLANK('Data Entry'!c961), "", 'Data Entry'!c961)</f>
      </c>
      <c r="AJ961">
        <f>IF(ISBLANK('Data Entry'!d961), "", 'Data Entry'!d961)</f>
      </c>
      <c r="AK961">
        <f>IF(ISBLANK('Data Entry'!e961), "", 'Data Entry'!e961)</f>
      </c>
      <c r="AL961">
        <f>IF(ISBLANK('Data Entry'!f961), "", 'Data Entry'!f961)</f>
      </c>
      <c r="AM961">
        <f>IF(ISBLANK('Data Entry'!g961), "", 'Data Entry'!g961)</f>
      </c>
      <c r="AN961">
        <f>IF(ISBLANK('Data Entry'!h961), "", 'Data Entry'!h961)</f>
      </c>
    </row>
    <row r="962" spans="1:40" x14ac:dyDescent="0.25">
      <c r="A962">
        <f>IF(ISBLANK('Data Entry'!A962), "", 'Data Entry'!A962)</f>
      </c>
      <c r="B962">
        <f>IF(ISBLANK('Data Entry'!B962), "", 'Data Entry'!B962)</f>
      </c>
      <c r="C962">
        <f>IF(ISBLANK('Data Entry'!C962), "", 'Data Entry'!C962)</f>
      </c>
      <c r="D962">
        <f>IF(ISBLANK('Data Entry'!D962), "", 'Data Entry'!D962)</f>
      </c>
      <c r="E962">
        <f>IF(ISBLANK('Data Entry'!E962), "", 'Data Entry'!E962)</f>
      </c>
      <c r="F962">
        <f>IF(ISBLANK('Data Entry'!F962), "", 'Data Entry'!F962)</f>
      </c>
      <c r="G962">
        <f>IF(ISBLANK('Data Entry'!G962), "", 'Data Entry'!G962)</f>
      </c>
      <c r="H962">
        <f>IF(ISBLANK('Data Entry'!H962), "", 'Data Entry'!H962)</f>
      </c>
      <c r="I962">
        <f>IF(ISBLANK('Data Entry'!I962), "", 'Data Entry'!I962)</f>
      </c>
      <c r="J962">
        <f>IF(ISBLANK('Data Entry'!J962), "", 'Data Entry'!J962)</f>
      </c>
      <c r="K962">
        <f>IF(ISBLANK('Data Entry'!K962), "", 'Data Entry'!K962)</f>
      </c>
      <c r="L962">
        <f>IF(ISBLANK('Data Entry'!L962), "", 'Data Entry'!L962)</f>
      </c>
      <c r="M962">
        <f>IF(ISBLANK('Data Entry'!M962), "", 'Data Entry'!M962)</f>
      </c>
      <c r="N962">
        <f>IF(ISBLANK('Data Entry'!N962), "", 'Data Entry'!N962)</f>
      </c>
      <c r="O962">
        <f>IF(ISBLANK('Data Entry'!O962), "", 'Data Entry'!O962)</f>
      </c>
      <c r="P962">
        <f>IF(ISBLANK('Data Entry'!P962), "", 'Data Entry'!P962)</f>
      </c>
      <c r="Q962">
        <f>IF(ISBLANK('Data Entry'!Q962), "", 'Data Entry'!Q962)</f>
      </c>
      <c r="R962">
        <f>IF(ISBLANK('Data Entry'!R962), "", 'Data Entry'!R962)</f>
      </c>
      <c r="S962">
        <f>IF(ISBLANK('Data Entry'!S962), "", 'Data Entry'!S962)</f>
      </c>
      <c r="T962">
        <f>IF(ISBLANK('Data Entry'!T962), "", 'Data Entry'!T962)</f>
      </c>
      <c r="U962">
        <f>IF(ISBLANK('Data Entry'!U962), "", 'Data Entry'!U962)</f>
      </c>
      <c r="V962">
        <f>IF(ISBLANK('Data Entry'!V962), "", 'Data Entry'!V962)</f>
      </c>
      <c r="W962">
        <f>IF(ISBLANK('Data Entry'!W962), "", 'Data Entry'!W962)</f>
      </c>
      <c r="X962">
        <f>IF(ISBLANK('Data Entry'!X962), "", 'Data Entry'!X962)</f>
      </c>
      <c r="Y962">
        <f>IF(ISBLANK('Data Entry'!Y962), "", 'Data Entry'!Y962)</f>
      </c>
      <c r="Z962">
        <f>IF(ISBLANK('Data Entry'!Z962), "", 'Data Entry'!Z962)</f>
      </c>
      <c r="AA962">
        <f>IF(ISBLANK('Data Entry'![962), "", 'Data Entry'![962)</f>
      </c>
      <c r="AB962">
        <f>IF(ISBLANK('Data Entry'!\962), "", 'Data Entry'!\962)</f>
      </c>
      <c r="AC962">
        <f>IF(ISBLANK('Data Entry'!]962), "", 'Data Entry'!]962)</f>
      </c>
      <c r="AD962">
        <f>IF(ISBLANK('Data Entry'!^962), "", 'Data Entry'!^962)</f>
      </c>
      <c r="AE962">
        <f>IF(ISBLANK('Data Entry'!_962), "", 'Data Entry'!_962)</f>
      </c>
      <c r="AF962">
        <f>IF(ISBLANK('Data Entry'!`962), "", 'Data Entry'!`962)</f>
      </c>
      <c r="AG962">
        <f>IF(ISBLANK('Data Entry'!a962), "", 'Data Entry'!a962)</f>
      </c>
      <c r="AH962">
        <f>IF(ISBLANK('Data Entry'!b962), "", 'Data Entry'!b962)</f>
      </c>
      <c r="AI962">
        <f>IF(ISBLANK('Data Entry'!c962), "", 'Data Entry'!c962)</f>
      </c>
      <c r="AJ962">
        <f>IF(ISBLANK('Data Entry'!d962), "", 'Data Entry'!d962)</f>
      </c>
      <c r="AK962">
        <f>IF(ISBLANK('Data Entry'!e962), "", 'Data Entry'!e962)</f>
      </c>
      <c r="AL962">
        <f>IF(ISBLANK('Data Entry'!f962), "", 'Data Entry'!f962)</f>
      </c>
      <c r="AM962">
        <f>IF(ISBLANK('Data Entry'!g962), "", 'Data Entry'!g962)</f>
      </c>
      <c r="AN962">
        <f>IF(ISBLANK('Data Entry'!h962), "", 'Data Entry'!h962)</f>
      </c>
    </row>
    <row r="963" spans="1:40" x14ac:dyDescent="0.25">
      <c r="A963">
        <f>IF(ISBLANK('Data Entry'!A963), "", 'Data Entry'!A963)</f>
      </c>
      <c r="B963">
        <f>IF(ISBLANK('Data Entry'!B963), "", 'Data Entry'!B963)</f>
      </c>
      <c r="C963">
        <f>IF(ISBLANK('Data Entry'!C963), "", 'Data Entry'!C963)</f>
      </c>
      <c r="D963">
        <f>IF(ISBLANK('Data Entry'!D963), "", 'Data Entry'!D963)</f>
      </c>
      <c r="E963">
        <f>IF(ISBLANK('Data Entry'!E963), "", 'Data Entry'!E963)</f>
      </c>
      <c r="F963">
        <f>IF(ISBLANK('Data Entry'!F963), "", 'Data Entry'!F963)</f>
      </c>
      <c r="G963">
        <f>IF(ISBLANK('Data Entry'!G963), "", 'Data Entry'!G963)</f>
      </c>
      <c r="H963">
        <f>IF(ISBLANK('Data Entry'!H963), "", 'Data Entry'!H963)</f>
      </c>
      <c r="I963">
        <f>IF(ISBLANK('Data Entry'!I963), "", 'Data Entry'!I963)</f>
      </c>
      <c r="J963">
        <f>IF(ISBLANK('Data Entry'!J963), "", 'Data Entry'!J963)</f>
      </c>
      <c r="K963">
        <f>IF(ISBLANK('Data Entry'!K963), "", 'Data Entry'!K963)</f>
      </c>
      <c r="L963">
        <f>IF(ISBLANK('Data Entry'!L963), "", 'Data Entry'!L963)</f>
      </c>
      <c r="M963">
        <f>IF(ISBLANK('Data Entry'!M963), "", 'Data Entry'!M963)</f>
      </c>
      <c r="N963">
        <f>IF(ISBLANK('Data Entry'!N963), "", 'Data Entry'!N963)</f>
      </c>
      <c r="O963">
        <f>IF(ISBLANK('Data Entry'!O963), "", 'Data Entry'!O963)</f>
      </c>
      <c r="P963">
        <f>IF(ISBLANK('Data Entry'!P963), "", 'Data Entry'!P963)</f>
      </c>
      <c r="Q963">
        <f>IF(ISBLANK('Data Entry'!Q963), "", 'Data Entry'!Q963)</f>
      </c>
      <c r="R963">
        <f>IF(ISBLANK('Data Entry'!R963), "", 'Data Entry'!R963)</f>
      </c>
      <c r="S963">
        <f>IF(ISBLANK('Data Entry'!S963), "", 'Data Entry'!S963)</f>
      </c>
      <c r="T963">
        <f>IF(ISBLANK('Data Entry'!T963), "", 'Data Entry'!T963)</f>
      </c>
      <c r="U963">
        <f>IF(ISBLANK('Data Entry'!U963), "", 'Data Entry'!U963)</f>
      </c>
      <c r="V963">
        <f>IF(ISBLANK('Data Entry'!V963), "", 'Data Entry'!V963)</f>
      </c>
      <c r="W963">
        <f>IF(ISBLANK('Data Entry'!W963), "", 'Data Entry'!W963)</f>
      </c>
      <c r="X963">
        <f>IF(ISBLANK('Data Entry'!X963), "", 'Data Entry'!X963)</f>
      </c>
      <c r="Y963">
        <f>IF(ISBLANK('Data Entry'!Y963), "", 'Data Entry'!Y963)</f>
      </c>
      <c r="Z963">
        <f>IF(ISBLANK('Data Entry'!Z963), "", 'Data Entry'!Z963)</f>
      </c>
      <c r="AA963">
        <f>IF(ISBLANK('Data Entry'![963), "", 'Data Entry'![963)</f>
      </c>
      <c r="AB963">
        <f>IF(ISBLANK('Data Entry'!\963), "", 'Data Entry'!\963)</f>
      </c>
      <c r="AC963">
        <f>IF(ISBLANK('Data Entry'!]963), "", 'Data Entry'!]963)</f>
      </c>
      <c r="AD963">
        <f>IF(ISBLANK('Data Entry'!^963), "", 'Data Entry'!^963)</f>
      </c>
      <c r="AE963">
        <f>IF(ISBLANK('Data Entry'!_963), "", 'Data Entry'!_963)</f>
      </c>
      <c r="AF963">
        <f>IF(ISBLANK('Data Entry'!`963), "", 'Data Entry'!`963)</f>
      </c>
      <c r="AG963">
        <f>IF(ISBLANK('Data Entry'!a963), "", 'Data Entry'!a963)</f>
      </c>
      <c r="AH963">
        <f>IF(ISBLANK('Data Entry'!b963), "", 'Data Entry'!b963)</f>
      </c>
      <c r="AI963">
        <f>IF(ISBLANK('Data Entry'!c963), "", 'Data Entry'!c963)</f>
      </c>
      <c r="AJ963">
        <f>IF(ISBLANK('Data Entry'!d963), "", 'Data Entry'!d963)</f>
      </c>
      <c r="AK963">
        <f>IF(ISBLANK('Data Entry'!e963), "", 'Data Entry'!e963)</f>
      </c>
      <c r="AL963">
        <f>IF(ISBLANK('Data Entry'!f963), "", 'Data Entry'!f963)</f>
      </c>
      <c r="AM963">
        <f>IF(ISBLANK('Data Entry'!g963), "", 'Data Entry'!g963)</f>
      </c>
      <c r="AN963">
        <f>IF(ISBLANK('Data Entry'!h963), "", 'Data Entry'!h963)</f>
      </c>
    </row>
    <row r="964" spans="1:40" x14ac:dyDescent="0.25">
      <c r="A964">
        <f>IF(ISBLANK('Data Entry'!A964), "", 'Data Entry'!A964)</f>
      </c>
      <c r="B964">
        <f>IF(ISBLANK('Data Entry'!B964), "", 'Data Entry'!B964)</f>
      </c>
      <c r="C964">
        <f>IF(ISBLANK('Data Entry'!C964), "", 'Data Entry'!C964)</f>
      </c>
      <c r="D964">
        <f>IF(ISBLANK('Data Entry'!D964), "", 'Data Entry'!D964)</f>
      </c>
      <c r="E964">
        <f>IF(ISBLANK('Data Entry'!E964), "", 'Data Entry'!E964)</f>
      </c>
      <c r="F964">
        <f>IF(ISBLANK('Data Entry'!F964), "", 'Data Entry'!F964)</f>
      </c>
      <c r="G964">
        <f>IF(ISBLANK('Data Entry'!G964), "", 'Data Entry'!G964)</f>
      </c>
      <c r="H964">
        <f>IF(ISBLANK('Data Entry'!H964), "", 'Data Entry'!H964)</f>
      </c>
      <c r="I964">
        <f>IF(ISBLANK('Data Entry'!I964), "", 'Data Entry'!I964)</f>
      </c>
      <c r="J964">
        <f>IF(ISBLANK('Data Entry'!J964), "", 'Data Entry'!J964)</f>
      </c>
      <c r="K964">
        <f>IF(ISBLANK('Data Entry'!K964), "", 'Data Entry'!K964)</f>
      </c>
      <c r="L964">
        <f>IF(ISBLANK('Data Entry'!L964), "", 'Data Entry'!L964)</f>
      </c>
      <c r="M964">
        <f>IF(ISBLANK('Data Entry'!M964), "", 'Data Entry'!M964)</f>
      </c>
      <c r="N964">
        <f>IF(ISBLANK('Data Entry'!N964), "", 'Data Entry'!N964)</f>
      </c>
      <c r="O964">
        <f>IF(ISBLANK('Data Entry'!O964), "", 'Data Entry'!O964)</f>
      </c>
      <c r="P964">
        <f>IF(ISBLANK('Data Entry'!P964), "", 'Data Entry'!P964)</f>
      </c>
      <c r="Q964">
        <f>IF(ISBLANK('Data Entry'!Q964), "", 'Data Entry'!Q964)</f>
      </c>
      <c r="R964">
        <f>IF(ISBLANK('Data Entry'!R964), "", 'Data Entry'!R964)</f>
      </c>
      <c r="S964">
        <f>IF(ISBLANK('Data Entry'!S964), "", 'Data Entry'!S964)</f>
      </c>
      <c r="T964">
        <f>IF(ISBLANK('Data Entry'!T964), "", 'Data Entry'!T964)</f>
      </c>
      <c r="U964">
        <f>IF(ISBLANK('Data Entry'!U964), "", 'Data Entry'!U964)</f>
      </c>
      <c r="V964">
        <f>IF(ISBLANK('Data Entry'!V964), "", 'Data Entry'!V964)</f>
      </c>
      <c r="W964">
        <f>IF(ISBLANK('Data Entry'!W964), "", 'Data Entry'!W964)</f>
      </c>
      <c r="X964">
        <f>IF(ISBLANK('Data Entry'!X964), "", 'Data Entry'!X964)</f>
      </c>
      <c r="Y964">
        <f>IF(ISBLANK('Data Entry'!Y964), "", 'Data Entry'!Y964)</f>
      </c>
      <c r="Z964">
        <f>IF(ISBLANK('Data Entry'!Z964), "", 'Data Entry'!Z964)</f>
      </c>
      <c r="AA964">
        <f>IF(ISBLANK('Data Entry'![964), "", 'Data Entry'![964)</f>
      </c>
      <c r="AB964">
        <f>IF(ISBLANK('Data Entry'!\964), "", 'Data Entry'!\964)</f>
      </c>
      <c r="AC964">
        <f>IF(ISBLANK('Data Entry'!]964), "", 'Data Entry'!]964)</f>
      </c>
      <c r="AD964">
        <f>IF(ISBLANK('Data Entry'!^964), "", 'Data Entry'!^964)</f>
      </c>
      <c r="AE964">
        <f>IF(ISBLANK('Data Entry'!_964), "", 'Data Entry'!_964)</f>
      </c>
      <c r="AF964">
        <f>IF(ISBLANK('Data Entry'!`964), "", 'Data Entry'!`964)</f>
      </c>
      <c r="AG964">
        <f>IF(ISBLANK('Data Entry'!a964), "", 'Data Entry'!a964)</f>
      </c>
      <c r="AH964">
        <f>IF(ISBLANK('Data Entry'!b964), "", 'Data Entry'!b964)</f>
      </c>
      <c r="AI964">
        <f>IF(ISBLANK('Data Entry'!c964), "", 'Data Entry'!c964)</f>
      </c>
      <c r="AJ964">
        <f>IF(ISBLANK('Data Entry'!d964), "", 'Data Entry'!d964)</f>
      </c>
      <c r="AK964">
        <f>IF(ISBLANK('Data Entry'!e964), "", 'Data Entry'!e964)</f>
      </c>
      <c r="AL964">
        <f>IF(ISBLANK('Data Entry'!f964), "", 'Data Entry'!f964)</f>
      </c>
      <c r="AM964">
        <f>IF(ISBLANK('Data Entry'!g964), "", 'Data Entry'!g964)</f>
      </c>
      <c r="AN964">
        <f>IF(ISBLANK('Data Entry'!h964), "", 'Data Entry'!h964)</f>
      </c>
    </row>
    <row r="965" spans="1:40" x14ac:dyDescent="0.25">
      <c r="A965">
        <f>IF(ISBLANK('Data Entry'!A965), "", 'Data Entry'!A965)</f>
      </c>
      <c r="B965">
        <f>IF(ISBLANK('Data Entry'!B965), "", 'Data Entry'!B965)</f>
      </c>
      <c r="C965">
        <f>IF(ISBLANK('Data Entry'!C965), "", 'Data Entry'!C965)</f>
      </c>
      <c r="D965">
        <f>IF(ISBLANK('Data Entry'!D965), "", 'Data Entry'!D965)</f>
      </c>
      <c r="E965">
        <f>IF(ISBLANK('Data Entry'!E965), "", 'Data Entry'!E965)</f>
      </c>
      <c r="F965">
        <f>IF(ISBLANK('Data Entry'!F965), "", 'Data Entry'!F965)</f>
      </c>
      <c r="G965">
        <f>IF(ISBLANK('Data Entry'!G965), "", 'Data Entry'!G965)</f>
      </c>
      <c r="H965">
        <f>IF(ISBLANK('Data Entry'!H965), "", 'Data Entry'!H965)</f>
      </c>
      <c r="I965">
        <f>IF(ISBLANK('Data Entry'!I965), "", 'Data Entry'!I965)</f>
      </c>
      <c r="J965">
        <f>IF(ISBLANK('Data Entry'!J965), "", 'Data Entry'!J965)</f>
      </c>
      <c r="K965">
        <f>IF(ISBLANK('Data Entry'!K965), "", 'Data Entry'!K965)</f>
      </c>
      <c r="L965">
        <f>IF(ISBLANK('Data Entry'!L965), "", 'Data Entry'!L965)</f>
      </c>
      <c r="M965">
        <f>IF(ISBLANK('Data Entry'!M965), "", 'Data Entry'!M965)</f>
      </c>
      <c r="N965">
        <f>IF(ISBLANK('Data Entry'!N965), "", 'Data Entry'!N965)</f>
      </c>
      <c r="O965">
        <f>IF(ISBLANK('Data Entry'!O965), "", 'Data Entry'!O965)</f>
      </c>
      <c r="P965">
        <f>IF(ISBLANK('Data Entry'!P965), "", 'Data Entry'!P965)</f>
      </c>
      <c r="Q965">
        <f>IF(ISBLANK('Data Entry'!Q965), "", 'Data Entry'!Q965)</f>
      </c>
      <c r="R965">
        <f>IF(ISBLANK('Data Entry'!R965), "", 'Data Entry'!R965)</f>
      </c>
      <c r="S965">
        <f>IF(ISBLANK('Data Entry'!S965), "", 'Data Entry'!S965)</f>
      </c>
      <c r="T965">
        <f>IF(ISBLANK('Data Entry'!T965), "", 'Data Entry'!T965)</f>
      </c>
      <c r="U965">
        <f>IF(ISBLANK('Data Entry'!U965), "", 'Data Entry'!U965)</f>
      </c>
      <c r="V965">
        <f>IF(ISBLANK('Data Entry'!V965), "", 'Data Entry'!V965)</f>
      </c>
      <c r="W965">
        <f>IF(ISBLANK('Data Entry'!W965), "", 'Data Entry'!W965)</f>
      </c>
      <c r="X965">
        <f>IF(ISBLANK('Data Entry'!X965), "", 'Data Entry'!X965)</f>
      </c>
      <c r="Y965">
        <f>IF(ISBLANK('Data Entry'!Y965), "", 'Data Entry'!Y965)</f>
      </c>
      <c r="Z965">
        <f>IF(ISBLANK('Data Entry'!Z965), "", 'Data Entry'!Z965)</f>
      </c>
      <c r="AA965">
        <f>IF(ISBLANK('Data Entry'![965), "", 'Data Entry'![965)</f>
      </c>
      <c r="AB965">
        <f>IF(ISBLANK('Data Entry'!\965), "", 'Data Entry'!\965)</f>
      </c>
      <c r="AC965">
        <f>IF(ISBLANK('Data Entry'!]965), "", 'Data Entry'!]965)</f>
      </c>
      <c r="AD965">
        <f>IF(ISBLANK('Data Entry'!^965), "", 'Data Entry'!^965)</f>
      </c>
      <c r="AE965">
        <f>IF(ISBLANK('Data Entry'!_965), "", 'Data Entry'!_965)</f>
      </c>
      <c r="AF965">
        <f>IF(ISBLANK('Data Entry'!`965), "", 'Data Entry'!`965)</f>
      </c>
      <c r="AG965">
        <f>IF(ISBLANK('Data Entry'!a965), "", 'Data Entry'!a965)</f>
      </c>
      <c r="AH965">
        <f>IF(ISBLANK('Data Entry'!b965), "", 'Data Entry'!b965)</f>
      </c>
      <c r="AI965">
        <f>IF(ISBLANK('Data Entry'!c965), "", 'Data Entry'!c965)</f>
      </c>
      <c r="AJ965">
        <f>IF(ISBLANK('Data Entry'!d965), "", 'Data Entry'!d965)</f>
      </c>
      <c r="AK965">
        <f>IF(ISBLANK('Data Entry'!e965), "", 'Data Entry'!e965)</f>
      </c>
      <c r="AL965">
        <f>IF(ISBLANK('Data Entry'!f965), "", 'Data Entry'!f965)</f>
      </c>
      <c r="AM965">
        <f>IF(ISBLANK('Data Entry'!g965), "", 'Data Entry'!g965)</f>
      </c>
      <c r="AN965">
        <f>IF(ISBLANK('Data Entry'!h965), "", 'Data Entry'!h965)</f>
      </c>
    </row>
    <row r="966" spans="1:40" x14ac:dyDescent="0.25">
      <c r="A966">
        <f>IF(ISBLANK('Data Entry'!A966), "", 'Data Entry'!A966)</f>
      </c>
      <c r="B966">
        <f>IF(ISBLANK('Data Entry'!B966), "", 'Data Entry'!B966)</f>
      </c>
      <c r="C966">
        <f>IF(ISBLANK('Data Entry'!C966), "", 'Data Entry'!C966)</f>
      </c>
      <c r="D966">
        <f>IF(ISBLANK('Data Entry'!D966), "", 'Data Entry'!D966)</f>
      </c>
      <c r="E966">
        <f>IF(ISBLANK('Data Entry'!E966), "", 'Data Entry'!E966)</f>
      </c>
      <c r="F966">
        <f>IF(ISBLANK('Data Entry'!F966), "", 'Data Entry'!F966)</f>
      </c>
      <c r="G966">
        <f>IF(ISBLANK('Data Entry'!G966), "", 'Data Entry'!G966)</f>
      </c>
      <c r="H966">
        <f>IF(ISBLANK('Data Entry'!H966), "", 'Data Entry'!H966)</f>
      </c>
      <c r="I966">
        <f>IF(ISBLANK('Data Entry'!I966), "", 'Data Entry'!I966)</f>
      </c>
      <c r="J966">
        <f>IF(ISBLANK('Data Entry'!J966), "", 'Data Entry'!J966)</f>
      </c>
      <c r="K966">
        <f>IF(ISBLANK('Data Entry'!K966), "", 'Data Entry'!K966)</f>
      </c>
      <c r="L966">
        <f>IF(ISBLANK('Data Entry'!L966), "", 'Data Entry'!L966)</f>
      </c>
      <c r="M966">
        <f>IF(ISBLANK('Data Entry'!M966), "", 'Data Entry'!M966)</f>
      </c>
      <c r="N966">
        <f>IF(ISBLANK('Data Entry'!N966), "", 'Data Entry'!N966)</f>
      </c>
      <c r="O966">
        <f>IF(ISBLANK('Data Entry'!O966), "", 'Data Entry'!O966)</f>
      </c>
      <c r="P966">
        <f>IF(ISBLANK('Data Entry'!P966), "", 'Data Entry'!P966)</f>
      </c>
      <c r="Q966">
        <f>IF(ISBLANK('Data Entry'!Q966), "", 'Data Entry'!Q966)</f>
      </c>
      <c r="R966">
        <f>IF(ISBLANK('Data Entry'!R966), "", 'Data Entry'!R966)</f>
      </c>
      <c r="S966">
        <f>IF(ISBLANK('Data Entry'!S966), "", 'Data Entry'!S966)</f>
      </c>
      <c r="T966">
        <f>IF(ISBLANK('Data Entry'!T966), "", 'Data Entry'!T966)</f>
      </c>
      <c r="U966">
        <f>IF(ISBLANK('Data Entry'!U966), "", 'Data Entry'!U966)</f>
      </c>
      <c r="V966">
        <f>IF(ISBLANK('Data Entry'!V966), "", 'Data Entry'!V966)</f>
      </c>
      <c r="W966">
        <f>IF(ISBLANK('Data Entry'!W966), "", 'Data Entry'!W966)</f>
      </c>
      <c r="X966">
        <f>IF(ISBLANK('Data Entry'!X966), "", 'Data Entry'!X966)</f>
      </c>
      <c r="Y966">
        <f>IF(ISBLANK('Data Entry'!Y966), "", 'Data Entry'!Y966)</f>
      </c>
      <c r="Z966">
        <f>IF(ISBLANK('Data Entry'!Z966), "", 'Data Entry'!Z966)</f>
      </c>
      <c r="AA966">
        <f>IF(ISBLANK('Data Entry'![966), "", 'Data Entry'![966)</f>
      </c>
      <c r="AB966">
        <f>IF(ISBLANK('Data Entry'!\966), "", 'Data Entry'!\966)</f>
      </c>
      <c r="AC966">
        <f>IF(ISBLANK('Data Entry'!]966), "", 'Data Entry'!]966)</f>
      </c>
      <c r="AD966">
        <f>IF(ISBLANK('Data Entry'!^966), "", 'Data Entry'!^966)</f>
      </c>
      <c r="AE966">
        <f>IF(ISBLANK('Data Entry'!_966), "", 'Data Entry'!_966)</f>
      </c>
      <c r="AF966">
        <f>IF(ISBLANK('Data Entry'!`966), "", 'Data Entry'!`966)</f>
      </c>
      <c r="AG966">
        <f>IF(ISBLANK('Data Entry'!a966), "", 'Data Entry'!a966)</f>
      </c>
      <c r="AH966">
        <f>IF(ISBLANK('Data Entry'!b966), "", 'Data Entry'!b966)</f>
      </c>
      <c r="AI966">
        <f>IF(ISBLANK('Data Entry'!c966), "", 'Data Entry'!c966)</f>
      </c>
      <c r="AJ966">
        <f>IF(ISBLANK('Data Entry'!d966), "", 'Data Entry'!d966)</f>
      </c>
      <c r="AK966">
        <f>IF(ISBLANK('Data Entry'!e966), "", 'Data Entry'!e966)</f>
      </c>
      <c r="AL966">
        <f>IF(ISBLANK('Data Entry'!f966), "", 'Data Entry'!f966)</f>
      </c>
      <c r="AM966">
        <f>IF(ISBLANK('Data Entry'!g966), "", 'Data Entry'!g966)</f>
      </c>
      <c r="AN966">
        <f>IF(ISBLANK('Data Entry'!h966), "", 'Data Entry'!h966)</f>
      </c>
    </row>
    <row r="967" spans="1:40" x14ac:dyDescent="0.25">
      <c r="A967">
        <f>IF(ISBLANK('Data Entry'!A967), "", 'Data Entry'!A967)</f>
      </c>
      <c r="B967">
        <f>IF(ISBLANK('Data Entry'!B967), "", 'Data Entry'!B967)</f>
      </c>
      <c r="C967">
        <f>IF(ISBLANK('Data Entry'!C967), "", 'Data Entry'!C967)</f>
      </c>
      <c r="D967">
        <f>IF(ISBLANK('Data Entry'!D967), "", 'Data Entry'!D967)</f>
      </c>
      <c r="E967">
        <f>IF(ISBLANK('Data Entry'!E967), "", 'Data Entry'!E967)</f>
      </c>
      <c r="F967">
        <f>IF(ISBLANK('Data Entry'!F967), "", 'Data Entry'!F967)</f>
      </c>
      <c r="G967">
        <f>IF(ISBLANK('Data Entry'!G967), "", 'Data Entry'!G967)</f>
      </c>
      <c r="H967">
        <f>IF(ISBLANK('Data Entry'!H967), "", 'Data Entry'!H967)</f>
      </c>
      <c r="I967">
        <f>IF(ISBLANK('Data Entry'!I967), "", 'Data Entry'!I967)</f>
      </c>
      <c r="J967">
        <f>IF(ISBLANK('Data Entry'!J967), "", 'Data Entry'!J967)</f>
      </c>
      <c r="K967">
        <f>IF(ISBLANK('Data Entry'!K967), "", 'Data Entry'!K967)</f>
      </c>
      <c r="L967">
        <f>IF(ISBLANK('Data Entry'!L967), "", 'Data Entry'!L967)</f>
      </c>
      <c r="M967">
        <f>IF(ISBLANK('Data Entry'!M967), "", 'Data Entry'!M967)</f>
      </c>
      <c r="N967">
        <f>IF(ISBLANK('Data Entry'!N967), "", 'Data Entry'!N967)</f>
      </c>
      <c r="O967">
        <f>IF(ISBLANK('Data Entry'!O967), "", 'Data Entry'!O967)</f>
      </c>
      <c r="P967">
        <f>IF(ISBLANK('Data Entry'!P967), "", 'Data Entry'!P967)</f>
      </c>
      <c r="Q967">
        <f>IF(ISBLANK('Data Entry'!Q967), "", 'Data Entry'!Q967)</f>
      </c>
      <c r="R967">
        <f>IF(ISBLANK('Data Entry'!R967), "", 'Data Entry'!R967)</f>
      </c>
      <c r="S967">
        <f>IF(ISBLANK('Data Entry'!S967), "", 'Data Entry'!S967)</f>
      </c>
      <c r="T967">
        <f>IF(ISBLANK('Data Entry'!T967), "", 'Data Entry'!T967)</f>
      </c>
      <c r="U967">
        <f>IF(ISBLANK('Data Entry'!U967), "", 'Data Entry'!U967)</f>
      </c>
      <c r="V967">
        <f>IF(ISBLANK('Data Entry'!V967), "", 'Data Entry'!V967)</f>
      </c>
      <c r="W967">
        <f>IF(ISBLANK('Data Entry'!W967), "", 'Data Entry'!W967)</f>
      </c>
      <c r="X967">
        <f>IF(ISBLANK('Data Entry'!X967), "", 'Data Entry'!X967)</f>
      </c>
      <c r="Y967">
        <f>IF(ISBLANK('Data Entry'!Y967), "", 'Data Entry'!Y967)</f>
      </c>
      <c r="Z967">
        <f>IF(ISBLANK('Data Entry'!Z967), "", 'Data Entry'!Z967)</f>
      </c>
      <c r="AA967">
        <f>IF(ISBLANK('Data Entry'![967), "", 'Data Entry'![967)</f>
      </c>
      <c r="AB967">
        <f>IF(ISBLANK('Data Entry'!\967), "", 'Data Entry'!\967)</f>
      </c>
      <c r="AC967">
        <f>IF(ISBLANK('Data Entry'!]967), "", 'Data Entry'!]967)</f>
      </c>
      <c r="AD967">
        <f>IF(ISBLANK('Data Entry'!^967), "", 'Data Entry'!^967)</f>
      </c>
      <c r="AE967">
        <f>IF(ISBLANK('Data Entry'!_967), "", 'Data Entry'!_967)</f>
      </c>
      <c r="AF967">
        <f>IF(ISBLANK('Data Entry'!`967), "", 'Data Entry'!`967)</f>
      </c>
      <c r="AG967">
        <f>IF(ISBLANK('Data Entry'!a967), "", 'Data Entry'!a967)</f>
      </c>
      <c r="AH967">
        <f>IF(ISBLANK('Data Entry'!b967), "", 'Data Entry'!b967)</f>
      </c>
      <c r="AI967">
        <f>IF(ISBLANK('Data Entry'!c967), "", 'Data Entry'!c967)</f>
      </c>
      <c r="AJ967">
        <f>IF(ISBLANK('Data Entry'!d967), "", 'Data Entry'!d967)</f>
      </c>
      <c r="AK967">
        <f>IF(ISBLANK('Data Entry'!e967), "", 'Data Entry'!e967)</f>
      </c>
      <c r="AL967">
        <f>IF(ISBLANK('Data Entry'!f967), "", 'Data Entry'!f967)</f>
      </c>
      <c r="AM967">
        <f>IF(ISBLANK('Data Entry'!g967), "", 'Data Entry'!g967)</f>
      </c>
      <c r="AN967">
        <f>IF(ISBLANK('Data Entry'!h967), "", 'Data Entry'!h967)</f>
      </c>
    </row>
    <row r="968" spans="1:40" x14ac:dyDescent="0.25">
      <c r="A968">
        <f>IF(ISBLANK('Data Entry'!A968), "", 'Data Entry'!A968)</f>
      </c>
      <c r="B968">
        <f>IF(ISBLANK('Data Entry'!B968), "", 'Data Entry'!B968)</f>
      </c>
      <c r="C968">
        <f>IF(ISBLANK('Data Entry'!C968), "", 'Data Entry'!C968)</f>
      </c>
      <c r="D968">
        <f>IF(ISBLANK('Data Entry'!D968), "", 'Data Entry'!D968)</f>
      </c>
      <c r="E968">
        <f>IF(ISBLANK('Data Entry'!E968), "", 'Data Entry'!E968)</f>
      </c>
      <c r="F968">
        <f>IF(ISBLANK('Data Entry'!F968), "", 'Data Entry'!F968)</f>
      </c>
      <c r="G968">
        <f>IF(ISBLANK('Data Entry'!G968), "", 'Data Entry'!G968)</f>
      </c>
      <c r="H968">
        <f>IF(ISBLANK('Data Entry'!H968), "", 'Data Entry'!H968)</f>
      </c>
      <c r="I968">
        <f>IF(ISBLANK('Data Entry'!I968), "", 'Data Entry'!I968)</f>
      </c>
      <c r="J968">
        <f>IF(ISBLANK('Data Entry'!J968), "", 'Data Entry'!J968)</f>
      </c>
      <c r="K968">
        <f>IF(ISBLANK('Data Entry'!K968), "", 'Data Entry'!K968)</f>
      </c>
      <c r="L968">
        <f>IF(ISBLANK('Data Entry'!L968), "", 'Data Entry'!L968)</f>
      </c>
      <c r="M968">
        <f>IF(ISBLANK('Data Entry'!M968), "", 'Data Entry'!M968)</f>
      </c>
      <c r="N968">
        <f>IF(ISBLANK('Data Entry'!N968), "", 'Data Entry'!N968)</f>
      </c>
      <c r="O968">
        <f>IF(ISBLANK('Data Entry'!O968), "", 'Data Entry'!O968)</f>
      </c>
      <c r="P968">
        <f>IF(ISBLANK('Data Entry'!P968), "", 'Data Entry'!P968)</f>
      </c>
      <c r="Q968">
        <f>IF(ISBLANK('Data Entry'!Q968), "", 'Data Entry'!Q968)</f>
      </c>
      <c r="R968">
        <f>IF(ISBLANK('Data Entry'!R968), "", 'Data Entry'!R968)</f>
      </c>
      <c r="S968">
        <f>IF(ISBLANK('Data Entry'!S968), "", 'Data Entry'!S968)</f>
      </c>
      <c r="T968">
        <f>IF(ISBLANK('Data Entry'!T968), "", 'Data Entry'!T968)</f>
      </c>
      <c r="U968">
        <f>IF(ISBLANK('Data Entry'!U968), "", 'Data Entry'!U968)</f>
      </c>
      <c r="V968">
        <f>IF(ISBLANK('Data Entry'!V968), "", 'Data Entry'!V968)</f>
      </c>
      <c r="W968">
        <f>IF(ISBLANK('Data Entry'!W968), "", 'Data Entry'!W968)</f>
      </c>
      <c r="X968">
        <f>IF(ISBLANK('Data Entry'!X968), "", 'Data Entry'!X968)</f>
      </c>
      <c r="Y968">
        <f>IF(ISBLANK('Data Entry'!Y968), "", 'Data Entry'!Y968)</f>
      </c>
      <c r="Z968">
        <f>IF(ISBLANK('Data Entry'!Z968), "", 'Data Entry'!Z968)</f>
      </c>
      <c r="AA968">
        <f>IF(ISBLANK('Data Entry'![968), "", 'Data Entry'![968)</f>
      </c>
      <c r="AB968">
        <f>IF(ISBLANK('Data Entry'!\968), "", 'Data Entry'!\968)</f>
      </c>
      <c r="AC968">
        <f>IF(ISBLANK('Data Entry'!]968), "", 'Data Entry'!]968)</f>
      </c>
      <c r="AD968">
        <f>IF(ISBLANK('Data Entry'!^968), "", 'Data Entry'!^968)</f>
      </c>
      <c r="AE968">
        <f>IF(ISBLANK('Data Entry'!_968), "", 'Data Entry'!_968)</f>
      </c>
      <c r="AF968">
        <f>IF(ISBLANK('Data Entry'!`968), "", 'Data Entry'!`968)</f>
      </c>
      <c r="AG968">
        <f>IF(ISBLANK('Data Entry'!a968), "", 'Data Entry'!a968)</f>
      </c>
      <c r="AH968">
        <f>IF(ISBLANK('Data Entry'!b968), "", 'Data Entry'!b968)</f>
      </c>
      <c r="AI968">
        <f>IF(ISBLANK('Data Entry'!c968), "", 'Data Entry'!c968)</f>
      </c>
      <c r="AJ968">
        <f>IF(ISBLANK('Data Entry'!d968), "", 'Data Entry'!d968)</f>
      </c>
      <c r="AK968">
        <f>IF(ISBLANK('Data Entry'!e968), "", 'Data Entry'!e968)</f>
      </c>
      <c r="AL968">
        <f>IF(ISBLANK('Data Entry'!f968), "", 'Data Entry'!f968)</f>
      </c>
      <c r="AM968">
        <f>IF(ISBLANK('Data Entry'!g968), "", 'Data Entry'!g968)</f>
      </c>
      <c r="AN968">
        <f>IF(ISBLANK('Data Entry'!h968), "", 'Data Entry'!h968)</f>
      </c>
    </row>
    <row r="969" spans="1:40" x14ac:dyDescent="0.25">
      <c r="A969">
        <f>IF(ISBLANK('Data Entry'!A969), "", 'Data Entry'!A969)</f>
      </c>
      <c r="B969">
        <f>IF(ISBLANK('Data Entry'!B969), "", 'Data Entry'!B969)</f>
      </c>
      <c r="C969">
        <f>IF(ISBLANK('Data Entry'!C969), "", 'Data Entry'!C969)</f>
      </c>
      <c r="D969">
        <f>IF(ISBLANK('Data Entry'!D969), "", 'Data Entry'!D969)</f>
      </c>
      <c r="E969">
        <f>IF(ISBLANK('Data Entry'!E969), "", 'Data Entry'!E969)</f>
      </c>
      <c r="F969">
        <f>IF(ISBLANK('Data Entry'!F969), "", 'Data Entry'!F969)</f>
      </c>
      <c r="G969">
        <f>IF(ISBLANK('Data Entry'!G969), "", 'Data Entry'!G969)</f>
      </c>
      <c r="H969">
        <f>IF(ISBLANK('Data Entry'!H969), "", 'Data Entry'!H969)</f>
      </c>
      <c r="I969">
        <f>IF(ISBLANK('Data Entry'!I969), "", 'Data Entry'!I969)</f>
      </c>
      <c r="J969">
        <f>IF(ISBLANK('Data Entry'!J969), "", 'Data Entry'!J969)</f>
      </c>
      <c r="K969">
        <f>IF(ISBLANK('Data Entry'!K969), "", 'Data Entry'!K969)</f>
      </c>
      <c r="L969">
        <f>IF(ISBLANK('Data Entry'!L969), "", 'Data Entry'!L969)</f>
      </c>
      <c r="M969">
        <f>IF(ISBLANK('Data Entry'!M969), "", 'Data Entry'!M969)</f>
      </c>
      <c r="N969">
        <f>IF(ISBLANK('Data Entry'!N969), "", 'Data Entry'!N969)</f>
      </c>
      <c r="O969">
        <f>IF(ISBLANK('Data Entry'!O969), "", 'Data Entry'!O969)</f>
      </c>
      <c r="P969">
        <f>IF(ISBLANK('Data Entry'!P969), "", 'Data Entry'!P969)</f>
      </c>
      <c r="Q969">
        <f>IF(ISBLANK('Data Entry'!Q969), "", 'Data Entry'!Q969)</f>
      </c>
      <c r="R969">
        <f>IF(ISBLANK('Data Entry'!R969), "", 'Data Entry'!R969)</f>
      </c>
      <c r="S969">
        <f>IF(ISBLANK('Data Entry'!S969), "", 'Data Entry'!S969)</f>
      </c>
      <c r="T969">
        <f>IF(ISBLANK('Data Entry'!T969), "", 'Data Entry'!T969)</f>
      </c>
      <c r="U969">
        <f>IF(ISBLANK('Data Entry'!U969), "", 'Data Entry'!U969)</f>
      </c>
      <c r="V969">
        <f>IF(ISBLANK('Data Entry'!V969), "", 'Data Entry'!V969)</f>
      </c>
      <c r="W969">
        <f>IF(ISBLANK('Data Entry'!W969), "", 'Data Entry'!W969)</f>
      </c>
      <c r="X969">
        <f>IF(ISBLANK('Data Entry'!X969), "", 'Data Entry'!X969)</f>
      </c>
      <c r="Y969">
        <f>IF(ISBLANK('Data Entry'!Y969), "", 'Data Entry'!Y969)</f>
      </c>
      <c r="Z969">
        <f>IF(ISBLANK('Data Entry'!Z969), "", 'Data Entry'!Z969)</f>
      </c>
      <c r="AA969">
        <f>IF(ISBLANK('Data Entry'![969), "", 'Data Entry'![969)</f>
      </c>
      <c r="AB969">
        <f>IF(ISBLANK('Data Entry'!\969), "", 'Data Entry'!\969)</f>
      </c>
      <c r="AC969">
        <f>IF(ISBLANK('Data Entry'!]969), "", 'Data Entry'!]969)</f>
      </c>
      <c r="AD969">
        <f>IF(ISBLANK('Data Entry'!^969), "", 'Data Entry'!^969)</f>
      </c>
      <c r="AE969">
        <f>IF(ISBLANK('Data Entry'!_969), "", 'Data Entry'!_969)</f>
      </c>
      <c r="AF969">
        <f>IF(ISBLANK('Data Entry'!`969), "", 'Data Entry'!`969)</f>
      </c>
      <c r="AG969">
        <f>IF(ISBLANK('Data Entry'!a969), "", 'Data Entry'!a969)</f>
      </c>
      <c r="AH969">
        <f>IF(ISBLANK('Data Entry'!b969), "", 'Data Entry'!b969)</f>
      </c>
      <c r="AI969">
        <f>IF(ISBLANK('Data Entry'!c969), "", 'Data Entry'!c969)</f>
      </c>
      <c r="AJ969">
        <f>IF(ISBLANK('Data Entry'!d969), "", 'Data Entry'!d969)</f>
      </c>
      <c r="AK969">
        <f>IF(ISBLANK('Data Entry'!e969), "", 'Data Entry'!e969)</f>
      </c>
      <c r="AL969">
        <f>IF(ISBLANK('Data Entry'!f969), "", 'Data Entry'!f969)</f>
      </c>
      <c r="AM969">
        <f>IF(ISBLANK('Data Entry'!g969), "", 'Data Entry'!g969)</f>
      </c>
      <c r="AN969">
        <f>IF(ISBLANK('Data Entry'!h969), "", 'Data Entry'!h969)</f>
      </c>
    </row>
    <row r="970" spans="1:40" x14ac:dyDescent="0.25">
      <c r="A970">
        <f>IF(ISBLANK('Data Entry'!A970), "", 'Data Entry'!A970)</f>
      </c>
      <c r="B970">
        <f>IF(ISBLANK('Data Entry'!B970), "", 'Data Entry'!B970)</f>
      </c>
      <c r="C970">
        <f>IF(ISBLANK('Data Entry'!C970), "", 'Data Entry'!C970)</f>
      </c>
      <c r="D970">
        <f>IF(ISBLANK('Data Entry'!D970), "", 'Data Entry'!D970)</f>
      </c>
      <c r="E970">
        <f>IF(ISBLANK('Data Entry'!E970), "", 'Data Entry'!E970)</f>
      </c>
      <c r="F970">
        <f>IF(ISBLANK('Data Entry'!F970), "", 'Data Entry'!F970)</f>
      </c>
      <c r="G970">
        <f>IF(ISBLANK('Data Entry'!G970), "", 'Data Entry'!G970)</f>
      </c>
      <c r="H970">
        <f>IF(ISBLANK('Data Entry'!H970), "", 'Data Entry'!H970)</f>
      </c>
      <c r="I970">
        <f>IF(ISBLANK('Data Entry'!I970), "", 'Data Entry'!I970)</f>
      </c>
      <c r="J970">
        <f>IF(ISBLANK('Data Entry'!J970), "", 'Data Entry'!J970)</f>
      </c>
      <c r="K970">
        <f>IF(ISBLANK('Data Entry'!K970), "", 'Data Entry'!K970)</f>
      </c>
      <c r="L970">
        <f>IF(ISBLANK('Data Entry'!L970), "", 'Data Entry'!L970)</f>
      </c>
      <c r="M970">
        <f>IF(ISBLANK('Data Entry'!M970), "", 'Data Entry'!M970)</f>
      </c>
      <c r="N970">
        <f>IF(ISBLANK('Data Entry'!N970), "", 'Data Entry'!N970)</f>
      </c>
      <c r="O970">
        <f>IF(ISBLANK('Data Entry'!O970), "", 'Data Entry'!O970)</f>
      </c>
      <c r="P970">
        <f>IF(ISBLANK('Data Entry'!P970), "", 'Data Entry'!P970)</f>
      </c>
      <c r="Q970">
        <f>IF(ISBLANK('Data Entry'!Q970), "", 'Data Entry'!Q970)</f>
      </c>
      <c r="R970">
        <f>IF(ISBLANK('Data Entry'!R970), "", 'Data Entry'!R970)</f>
      </c>
      <c r="S970">
        <f>IF(ISBLANK('Data Entry'!S970), "", 'Data Entry'!S970)</f>
      </c>
      <c r="T970">
        <f>IF(ISBLANK('Data Entry'!T970), "", 'Data Entry'!T970)</f>
      </c>
      <c r="U970">
        <f>IF(ISBLANK('Data Entry'!U970), "", 'Data Entry'!U970)</f>
      </c>
      <c r="V970">
        <f>IF(ISBLANK('Data Entry'!V970), "", 'Data Entry'!V970)</f>
      </c>
      <c r="W970">
        <f>IF(ISBLANK('Data Entry'!W970), "", 'Data Entry'!W970)</f>
      </c>
      <c r="X970">
        <f>IF(ISBLANK('Data Entry'!X970), "", 'Data Entry'!X970)</f>
      </c>
      <c r="Y970">
        <f>IF(ISBLANK('Data Entry'!Y970), "", 'Data Entry'!Y970)</f>
      </c>
      <c r="Z970">
        <f>IF(ISBLANK('Data Entry'!Z970), "", 'Data Entry'!Z970)</f>
      </c>
      <c r="AA970">
        <f>IF(ISBLANK('Data Entry'![970), "", 'Data Entry'![970)</f>
      </c>
      <c r="AB970">
        <f>IF(ISBLANK('Data Entry'!\970), "", 'Data Entry'!\970)</f>
      </c>
      <c r="AC970">
        <f>IF(ISBLANK('Data Entry'!]970), "", 'Data Entry'!]970)</f>
      </c>
      <c r="AD970">
        <f>IF(ISBLANK('Data Entry'!^970), "", 'Data Entry'!^970)</f>
      </c>
      <c r="AE970">
        <f>IF(ISBLANK('Data Entry'!_970), "", 'Data Entry'!_970)</f>
      </c>
      <c r="AF970">
        <f>IF(ISBLANK('Data Entry'!`970), "", 'Data Entry'!`970)</f>
      </c>
      <c r="AG970">
        <f>IF(ISBLANK('Data Entry'!a970), "", 'Data Entry'!a970)</f>
      </c>
      <c r="AH970">
        <f>IF(ISBLANK('Data Entry'!b970), "", 'Data Entry'!b970)</f>
      </c>
      <c r="AI970">
        <f>IF(ISBLANK('Data Entry'!c970), "", 'Data Entry'!c970)</f>
      </c>
      <c r="AJ970">
        <f>IF(ISBLANK('Data Entry'!d970), "", 'Data Entry'!d970)</f>
      </c>
      <c r="AK970">
        <f>IF(ISBLANK('Data Entry'!e970), "", 'Data Entry'!e970)</f>
      </c>
      <c r="AL970">
        <f>IF(ISBLANK('Data Entry'!f970), "", 'Data Entry'!f970)</f>
      </c>
      <c r="AM970">
        <f>IF(ISBLANK('Data Entry'!g970), "", 'Data Entry'!g970)</f>
      </c>
      <c r="AN970">
        <f>IF(ISBLANK('Data Entry'!h970), "", 'Data Entry'!h970)</f>
      </c>
    </row>
    <row r="971" spans="1:40" x14ac:dyDescent="0.25">
      <c r="A971">
        <f>IF(ISBLANK('Data Entry'!A971), "", 'Data Entry'!A971)</f>
      </c>
      <c r="B971">
        <f>IF(ISBLANK('Data Entry'!B971), "", 'Data Entry'!B971)</f>
      </c>
      <c r="C971">
        <f>IF(ISBLANK('Data Entry'!C971), "", 'Data Entry'!C971)</f>
      </c>
      <c r="D971">
        <f>IF(ISBLANK('Data Entry'!D971), "", 'Data Entry'!D971)</f>
      </c>
      <c r="E971">
        <f>IF(ISBLANK('Data Entry'!E971), "", 'Data Entry'!E971)</f>
      </c>
      <c r="F971">
        <f>IF(ISBLANK('Data Entry'!F971), "", 'Data Entry'!F971)</f>
      </c>
      <c r="G971">
        <f>IF(ISBLANK('Data Entry'!G971), "", 'Data Entry'!G971)</f>
      </c>
      <c r="H971">
        <f>IF(ISBLANK('Data Entry'!H971), "", 'Data Entry'!H971)</f>
      </c>
      <c r="I971">
        <f>IF(ISBLANK('Data Entry'!I971), "", 'Data Entry'!I971)</f>
      </c>
      <c r="J971">
        <f>IF(ISBLANK('Data Entry'!J971), "", 'Data Entry'!J971)</f>
      </c>
      <c r="K971">
        <f>IF(ISBLANK('Data Entry'!K971), "", 'Data Entry'!K971)</f>
      </c>
      <c r="L971">
        <f>IF(ISBLANK('Data Entry'!L971), "", 'Data Entry'!L971)</f>
      </c>
      <c r="M971">
        <f>IF(ISBLANK('Data Entry'!M971), "", 'Data Entry'!M971)</f>
      </c>
      <c r="N971">
        <f>IF(ISBLANK('Data Entry'!N971), "", 'Data Entry'!N971)</f>
      </c>
      <c r="O971">
        <f>IF(ISBLANK('Data Entry'!O971), "", 'Data Entry'!O971)</f>
      </c>
      <c r="P971">
        <f>IF(ISBLANK('Data Entry'!P971), "", 'Data Entry'!P971)</f>
      </c>
      <c r="Q971">
        <f>IF(ISBLANK('Data Entry'!Q971), "", 'Data Entry'!Q971)</f>
      </c>
      <c r="R971">
        <f>IF(ISBLANK('Data Entry'!R971), "", 'Data Entry'!R971)</f>
      </c>
      <c r="S971">
        <f>IF(ISBLANK('Data Entry'!S971), "", 'Data Entry'!S971)</f>
      </c>
      <c r="T971">
        <f>IF(ISBLANK('Data Entry'!T971), "", 'Data Entry'!T971)</f>
      </c>
      <c r="U971">
        <f>IF(ISBLANK('Data Entry'!U971), "", 'Data Entry'!U971)</f>
      </c>
      <c r="V971">
        <f>IF(ISBLANK('Data Entry'!V971), "", 'Data Entry'!V971)</f>
      </c>
      <c r="W971">
        <f>IF(ISBLANK('Data Entry'!W971), "", 'Data Entry'!W971)</f>
      </c>
      <c r="X971">
        <f>IF(ISBLANK('Data Entry'!X971), "", 'Data Entry'!X971)</f>
      </c>
      <c r="Y971">
        <f>IF(ISBLANK('Data Entry'!Y971), "", 'Data Entry'!Y971)</f>
      </c>
      <c r="Z971">
        <f>IF(ISBLANK('Data Entry'!Z971), "", 'Data Entry'!Z971)</f>
      </c>
      <c r="AA971">
        <f>IF(ISBLANK('Data Entry'![971), "", 'Data Entry'![971)</f>
      </c>
      <c r="AB971">
        <f>IF(ISBLANK('Data Entry'!\971), "", 'Data Entry'!\971)</f>
      </c>
      <c r="AC971">
        <f>IF(ISBLANK('Data Entry'!]971), "", 'Data Entry'!]971)</f>
      </c>
      <c r="AD971">
        <f>IF(ISBLANK('Data Entry'!^971), "", 'Data Entry'!^971)</f>
      </c>
      <c r="AE971">
        <f>IF(ISBLANK('Data Entry'!_971), "", 'Data Entry'!_971)</f>
      </c>
      <c r="AF971">
        <f>IF(ISBLANK('Data Entry'!`971), "", 'Data Entry'!`971)</f>
      </c>
      <c r="AG971">
        <f>IF(ISBLANK('Data Entry'!a971), "", 'Data Entry'!a971)</f>
      </c>
      <c r="AH971">
        <f>IF(ISBLANK('Data Entry'!b971), "", 'Data Entry'!b971)</f>
      </c>
      <c r="AI971">
        <f>IF(ISBLANK('Data Entry'!c971), "", 'Data Entry'!c971)</f>
      </c>
      <c r="AJ971">
        <f>IF(ISBLANK('Data Entry'!d971), "", 'Data Entry'!d971)</f>
      </c>
      <c r="AK971">
        <f>IF(ISBLANK('Data Entry'!e971), "", 'Data Entry'!e971)</f>
      </c>
      <c r="AL971">
        <f>IF(ISBLANK('Data Entry'!f971), "", 'Data Entry'!f971)</f>
      </c>
      <c r="AM971">
        <f>IF(ISBLANK('Data Entry'!g971), "", 'Data Entry'!g971)</f>
      </c>
      <c r="AN971">
        <f>IF(ISBLANK('Data Entry'!h971), "", 'Data Entry'!h971)</f>
      </c>
    </row>
    <row r="972" spans="1:40" x14ac:dyDescent="0.25">
      <c r="A972">
        <f>IF(ISBLANK('Data Entry'!A972), "", 'Data Entry'!A972)</f>
      </c>
      <c r="B972">
        <f>IF(ISBLANK('Data Entry'!B972), "", 'Data Entry'!B972)</f>
      </c>
      <c r="C972">
        <f>IF(ISBLANK('Data Entry'!C972), "", 'Data Entry'!C972)</f>
      </c>
      <c r="D972">
        <f>IF(ISBLANK('Data Entry'!D972), "", 'Data Entry'!D972)</f>
      </c>
      <c r="E972">
        <f>IF(ISBLANK('Data Entry'!E972), "", 'Data Entry'!E972)</f>
      </c>
      <c r="F972">
        <f>IF(ISBLANK('Data Entry'!F972), "", 'Data Entry'!F972)</f>
      </c>
      <c r="G972">
        <f>IF(ISBLANK('Data Entry'!G972), "", 'Data Entry'!G972)</f>
      </c>
      <c r="H972">
        <f>IF(ISBLANK('Data Entry'!H972), "", 'Data Entry'!H972)</f>
      </c>
      <c r="I972">
        <f>IF(ISBLANK('Data Entry'!I972), "", 'Data Entry'!I972)</f>
      </c>
      <c r="J972">
        <f>IF(ISBLANK('Data Entry'!J972), "", 'Data Entry'!J972)</f>
      </c>
      <c r="K972">
        <f>IF(ISBLANK('Data Entry'!K972), "", 'Data Entry'!K972)</f>
      </c>
      <c r="L972">
        <f>IF(ISBLANK('Data Entry'!L972), "", 'Data Entry'!L972)</f>
      </c>
      <c r="M972">
        <f>IF(ISBLANK('Data Entry'!M972), "", 'Data Entry'!M972)</f>
      </c>
      <c r="N972">
        <f>IF(ISBLANK('Data Entry'!N972), "", 'Data Entry'!N972)</f>
      </c>
      <c r="O972">
        <f>IF(ISBLANK('Data Entry'!O972), "", 'Data Entry'!O972)</f>
      </c>
      <c r="P972">
        <f>IF(ISBLANK('Data Entry'!P972), "", 'Data Entry'!P972)</f>
      </c>
      <c r="Q972">
        <f>IF(ISBLANK('Data Entry'!Q972), "", 'Data Entry'!Q972)</f>
      </c>
      <c r="R972">
        <f>IF(ISBLANK('Data Entry'!R972), "", 'Data Entry'!R972)</f>
      </c>
      <c r="S972">
        <f>IF(ISBLANK('Data Entry'!S972), "", 'Data Entry'!S972)</f>
      </c>
      <c r="T972">
        <f>IF(ISBLANK('Data Entry'!T972), "", 'Data Entry'!T972)</f>
      </c>
      <c r="U972">
        <f>IF(ISBLANK('Data Entry'!U972), "", 'Data Entry'!U972)</f>
      </c>
      <c r="V972">
        <f>IF(ISBLANK('Data Entry'!V972), "", 'Data Entry'!V972)</f>
      </c>
      <c r="W972">
        <f>IF(ISBLANK('Data Entry'!W972), "", 'Data Entry'!W972)</f>
      </c>
      <c r="X972">
        <f>IF(ISBLANK('Data Entry'!X972), "", 'Data Entry'!X972)</f>
      </c>
      <c r="Y972">
        <f>IF(ISBLANK('Data Entry'!Y972), "", 'Data Entry'!Y972)</f>
      </c>
      <c r="Z972">
        <f>IF(ISBLANK('Data Entry'!Z972), "", 'Data Entry'!Z972)</f>
      </c>
      <c r="AA972">
        <f>IF(ISBLANK('Data Entry'![972), "", 'Data Entry'![972)</f>
      </c>
      <c r="AB972">
        <f>IF(ISBLANK('Data Entry'!\972), "", 'Data Entry'!\972)</f>
      </c>
      <c r="AC972">
        <f>IF(ISBLANK('Data Entry'!]972), "", 'Data Entry'!]972)</f>
      </c>
      <c r="AD972">
        <f>IF(ISBLANK('Data Entry'!^972), "", 'Data Entry'!^972)</f>
      </c>
      <c r="AE972">
        <f>IF(ISBLANK('Data Entry'!_972), "", 'Data Entry'!_972)</f>
      </c>
      <c r="AF972">
        <f>IF(ISBLANK('Data Entry'!`972), "", 'Data Entry'!`972)</f>
      </c>
      <c r="AG972">
        <f>IF(ISBLANK('Data Entry'!a972), "", 'Data Entry'!a972)</f>
      </c>
      <c r="AH972">
        <f>IF(ISBLANK('Data Entry'!b972), "", 'Data Entry'!b972)</f>
      </c>
      <c r="AI972">
        <f>IF(ISBLANK('Data Entry'!c972), "", 'Data Entry'!c972)</f>
      </c>
      <c r="AJ972">
        <f>IF(ISBLANK('Data Entry'!d972), "", 'Data Entry'!d972)</f>
      </c>
      <c r="AK972">
        <f>IF(ISBLANK('Data Entry'!e972), "", 'Data Entry'!e972)</f>
      </c>
      <c r="AL972">
        <f>IF(ISBLANK('Data Entry'!f972), "", 'Data Entry'!f972)</f>
      </c>
      <c r="AM972">
        <f>IF(ISBLANK('Data Entry'!g972), "", 'Data Entry'!g972)</f>
      </c>
      <c r="AN972">
        <f>IF(ISBLANK('Data Entry'!h972), "", 'Data Entry'!h972)</f>
      </c>
    </row>
    <row r="973" spans="1:40" x14ac:dyDescent="0.25">
      <c r="A973">
        <f>IF(ISBLANK('Data Entry'!A973), "", 'Data Entry'!A973)</f>
      </c>
      <c r="B973">
        <f>IF(ISBLANK('Data Entry'!B973), "", 'Data Entry'!B973)</f>
      </c>
      <c r="C973">
        <f>IF(ISBLANK('Data Entry'!C973), "", 'Data Entry'!C973)</f>
      </c>
      <c r="D973">
        <f>IF(ISBLANK('Data Entry'!D973), "", 'Data Entry'!D973)</f>
      </c>
      <c r="E973">
        <f>IF(ISBLANK('Data Entry'!E973), "", 'Data Entry'!E973)</f>
      </c>
      <c r="F973">
        <f>IF(ISBLANK('Data Entry'!F973), "", 'Data Entry'!F973)</f>
      </c>
      <c r="G973">
        <f>IF(ISBLANK('Data Entry'!G973), "", 'Data Entry'!G973)</f>
      </c>
      <c r="H973">
        <f>IF(ISBLANK('Data Entry'!H973), "", 'Data Entry'!H973)</f>
      </c>
      <c r="I973">
        <f>IF(ISBLANK('Data Entry'!I973), "", 'Data Entry'!I973)</f>
      </c>
      <c r="J973">
        <f>IF(ISBLANK('Data Entry'!J973), "", 'Data Entry'!J973)</f>
      </c>
      <c r="K973">
        <f>IF(ISBLANK('Data Entry'!K973), "", 'Data Entry'!K973)</f>
      </c>
      <c r="L973">
        <f>IF(ISBLANK('Data Entry'!L973), "", 'Data Entry'!L973)</f>
      </c>
      <c r="M973">
        <f>IF(ISBLANK('Data Entry'!M973), "", 'Data Entry'!M973)</f>
      </c>
      <c r="N973">
        <f>IF(ISBLANK('Data Entry'!N973), "", 'Data Entry'!N973)</f>
      </c>
      <c r="O973">
        <f>IF(ISBLANK('Data Entry'!O973), "", 'Data Entry'!O973)</f>
      </c>
      <c r="P973">
        <f>IF(ISBLANK('Data Entry'!P973), "", 'Data Entry'!P973)</f>
      </c>
      <c r="Q973">
        <f>IF(ISBLANK('Data Entry'!Q973), "", 'Data Entry'!Q973)</f>
      </c>
      <c r="R973">
        <f>IF(ISBLANK('Data Entry'!R973), "", 'Data Entry'!R973)</f>
      </c>
      <c r="S973">
        <f>IF(ISBLANK('Data Entry'!S973), "", 'Data Entry'!S973)</f>
      </c>
      <c r="T973">
        <f>IF(ISBLANK('Data Entry'!T973), "", 'Data Entry'!T973)</f>
      </c>
      <c r="U973">
        <f>IF(ISBLANK('Data Entry'!U973), "", 'Data Entry'!U973)</f>
      </c>
      <c r="V973">
        <f>IF(ISBLANK('Data Entry'!V973), "", 'Data Entry'!V973)</f>
      </c>
      <c r="W973">
        <f>IF(ISBLANK('Data Entry'!W973), "", 'Data Entry'!W973)</f>
      </c>
      <c r="X973">
        <f>IF(ISBLANK('Data Entry'!X973), "", 'Data Entry'!X973)</f>
      </c>
      <c r="Y973">
        <f>IF(ISBLANK('Data Entry'!Y973), "", 'Data Entry'!Y973)</f>
      </c>
      <c r="Z973">
        <f>IF(ISBLANK('Data Entry'!Z973), "", 'Data Entry'!Z973)</f>
      </c>
      <c r="AA973">
        <f>IF(ISBLANK('Data Entry'![973), "", 'Data Entry'![973)</f>
      </c>
      <c r="AB973">
        <f>IF(ISBLANK('Data Entry'!\973), "", 'Data Entry'!\973)</f>
      </c>
      <c r="AC973">
        <f>IF(ISBLANK('Data Entry'!]973), "", 'Data Entry'!]973)</f>
      </c>
      <c r="AD973">
        <f>IF(ISBLANK('Data Entry'!^973), "", 'Data Entry'!^973)</f>
      </c>
      <c r="AE973">
        <f>IF(ISBLANK('Data Entry'!_973), "", 'Data Entry'!_973)</f>
      </c>
      <c r="AF973">
        <f>IF(ISBLANK('Data Entry'!`973), "", 'Data Entry'!`973)</f>
      </c>
      <c r="AG973">
        <f>IF(ISBLANK('Data Entry'!a973), "", 'Data Entry'!a973)</f>
      </c>
      <c r="AH973">
        <f>IF(ISBLANK('Data Entry'!b973), "", 'Data Entry'!b973)</f>
      </c>
      <c r="AI973">
        <f>IF(ISBLANK('Data Entry'!c973), "", 'Data Entry'!c973)</f>
      </c>
      <c r="AJ973">
        <f>IF(ISBLANK('Data Entry'!d973), "", 'Data Entry'!d973)</f>
      </c>
      <c r="AK973">
        <f>IF(ISBLANK('Data Entry'!e973), "", 'Data Entry'!e973)</f>
      </c>
      <c r="AL973">
        <f>IF(ISBLANK('Data Entry'!f973), "", 'Data Entry'!f973)</f>
      </c>
      <c r="AM973">
        <f>IF(ISBLANK('Data Entry'!g973), "", 'Data Entry'!g973)</f>
      </c>
      <c r="AN973">
        <f>IF(ISBLANK('Data Entry'!h973), "", 'Data Entry'!h973)</f>
      </c>
    </row>
    <row r="974" spans="1:40" x14ac:dyDescent="0.25">
      <c r="A974">
        <f>IF(ISBLANK('Data Entry'!A974), "", 'Data Entry'!A974)</f>
      </c>
      <c r="B974">
        <f>IF(ISBLANK('Data Entry'!B974), "", 'Data Entry'!B974)</f>
      </c>
      <c r="C974">
        <f>IF(ISBLANK('Data Entry'!C974), "", 'Data Entry'!C974)</f>
      </c>
      <c r="D974">
        <f>IF(ISBLANK('Data Entry'!D974), "", 'Data Entry'!D974)</f>
      </c>
      <c r="E974">
        <f>IF(ISBLANK('Data Entry'!E974), "", 'Data Entry'!E974)</f>
      </c>
      <c r="F974">
        <f>IF(ISBLANK('Data Entry'!F974), "", 'Data Entry'!F974)</f>
      </c>
      <c r="G974">
        <f>IF(ISBLANK('Data Entry'!G974), "", 'Data Entry'!G974)</f>
      </c>
      <c r="H974">
        <f>IF(ISBLANK('Data Entry'!H974), "", 'Data Entry'!H974)</f>
      </c>
      <c r="I974">
        <f>IF(ISBLANK('Data Entry'!I974), "", 'Data Entry'!I974)</f>
      </c>
      <c r="J974">
        <f>IF(ISBLANK('Data Entry'!J974), "", 'Data Entry'!J974)</f>
      </c>
      <c r="K974">
        <f>IF(ISBLANK('Data Entry'!K974), "", 'Data Entry'!K974)</f>
      </c>
      <c r="L974">
        <f>IF(ISBLANK('Data Entry'!L974), "", 'Data Entry'!L974)</f>
      </c>
      <c r="M974">
        <f>IF(ISBLANK('Data Entry'!M974), "", 'Data Entry'!M974)</f>
      </c>
      <c r="N974">
        <f>IF(ISBLANK('Data Entry'!N974), "", 'Data Entry'!N974)</f>
      </c>
      <c r="O974">
        <f>IF(ISBLANK('Data Entry'!O974), "", 'Data Entry'!O974)</f>
      </c>
      <c r="P974">
        <f>IF(ISBLANK('Data Entry'!P974), "", 'Data Entry'!P974)</f>
      </c>
      <c r="Q974">
        <f>IF(ISBLANK('Data Entry'!Q974), "", 'Data Entry'!Q974)</f>
      </c>
      <c r="R974">
        <f>IF(ISBLANK('Data Entry'!R974), "", 'Data Entry'!R974)</f>
      </c>
      <c r="S974">
        <f>IF(ISBLANK('Data Entry'!S974), "", 'Data Entry'!S974)</f>
      </c>
      <c r="T974">
        <f>IF(ISBLANK('Data Entry'!T974), "", 'Data Entry'!T974)</f>
      </c>
      <c r="U974">
        <f>IF(ISBLANK('Data Entry'!U974), "", 'Data Entry'!U974)</f>
      </c>
      <c r="V974">
        <f>IF(ISBLANK('Data Entry'!V974), "", 'Data Entry'!V974)</f>
      </c>
      <c r="W974">
        <f>IF(ISBLANK('Data Entry'!W974), "", 'Data Entry'!W974)</f>
      </c>
      <c r="X974">
        <f>IF(ISBLANK('Data Entry'!X974), "", 'Data Entry'!X974)</f>
      </c>
      <c r="Y974">
        <f>IF(ISBLANK('Data Entry'!Y974), "", 'Data Entry'!Y974)</f>
      </c>
      <c r="Z974">
        <f>IF(ISBLANK('Data Entry'!Z974), "", 'Data Entry'!Z974)</f>
      </c>
      <c r="AA974">
        <f>IF(ISBLANK('Data Entry'![974), "", 'Data Entry'![974)</f>
      </c>
      <c r="AB974">
        <f>IF(ISBLANK('Data Entry'!\974), "", 'Data Entry'!\974)</f>
      </c>
      <c r="AC974">
        <f>IF(ISBLANK('Data Entry'!]974), "", 'Data Entry'!]974)</f>
      </c>
      <c r="AD974">
        <f>IF(ISBLANK('Data Entry'!^974), "", 'Data Entry'!^974)</f>
      </c>
      <c r="AE974">
        <f>IF(ISBLANK('Data Entry'!_974), "", 'Data Entry'!_974)</f>
      </c>
      <c r="AF974">
        <f>IF(ISBLANK('Data Entry'!`974), "", 'Data Entry'!`974)</f>
      </c>
      <c r="AG974">
        <f>IF(ISBLANK('Data Entry'!a974), "", 'Data Entry'!a974)</f>
      </c>
      <c r="AH974">
        <f>IF(ISBLANK('Data Entry'!b974), "", 'Data Entry'!b974)</f>
      </c>
      <c r="AI974">
        <f>IF(ISBLANK('Data Entry'!c974), "", 'Data Entry'!c974)</f>
      </c>
      <c r="AJ974">
        <f>IF(ISBLANK('Data Entry'!d974), "", 'Data Entry'!d974)</f>
      </c>
      <c r="AK974">
        <f>IF(ISBLANK('Data Entry'!e974), "", 'Data Entry'!e974)</f>
      </c>
      <c r="AL974">
        <f>IF(ISBLANK('Data Entry'!f974), "", 'Data Entry'!f974)</f>
      </c>
      <c r="AM974">
        <f>IF(ISBLANK('Data Entry'!g974), "", 'Data Entry'!g974)</f>
      </c>
      <c r="AN974">
        <f>IF(ISBLANK('Data Entry'!h974), "", 'Data Entry'!h974)</f>
      </c>
    </row>
    <row r="975" spans="1:40" x14ac:dyDescent="0.25">
      <c r="A975">
        <f>IF(ISBLANK('Data Entry'!A975), "", 'Data Entry'!A975)</f>
      </c>
      <c r="B975">
        <f>IF(ISBLANK('Data Entry'!B975), "", 'Data Entry'!B975)</f>
      </c>
      <c r="C975">
        <f>IF(ISBLANK('Data Entry'!C975), "", 'Data Entry'!C975)</f>
      </c>
      <c r="D975">
        <f>IF(ISBLANK('Data Entry'!D975), "", 'Data Entry'!D975)</f>
      </c>
      <c r="E975">
        <f>IF(ISBLANK('Data Entry'!E975), "", 'Data Entry'!E975)</f>
      </c>
      <c r="F975">
        <f>IF(ISBLANK('Data Entry'!F975), "", 'Data Entry'!F975)</f>
      </c>
      <c r="G975">
        <f>IF(ISBLANK('Data Entry'!G975), "", 'Data Entry'!G975)</f>
      </c>
      <c r="H975">
        <f>IF(ISBLANK('Data Entry'!H975), "", 'Data Entry'!H975)</f>
      </c>
      <c r="I975">
        <f>IF(ISBLANK('Data Entry'!I975), "", 'Data Entry'!I975)</f>
      </c>
      <c r="J975">
        <f>IF(ISBLANK('Data Entry'!J975), "", 'Data Entry'!J975)</f>
      </c>
      <c r="K975">
        <f>IF(ISBLANK('Data Entry'!K975), "", 'Data Entry'!K975)</f>
      </c>
      <c r="L975">
        <f>IF(ISBLANK('Data Entry'!L975), "", 'Data Entry'!L975)</f>
      </c>
      <c r="M975">
        <f>IF(ISBLANK('Data Entry'!M975), "", 'Data Entry'!M975)</f>
      </c>
      <c r="N975">
        <f>IF(ISBLANK('Data Entry'!N975), "", 'Data Entry'!N975)</f>
      </c>
      <c r="O975">
        <f>IF(ISBLANK('Data Entry'!O975), "", 'Data Entry'!O975)</f>
      </c>
      <c r="P975">
        <f>IF(ISBLANK('Data Entry'!P975), "", 'Data Entry'!P975)</f>
      </c>
      <c r="Q975">
        <f>IF(ISBLANK('Data Entry'!Q975), "", 'Data Entry'!Q975)</f>
      </c>
      <c r="R975">
        <f>IF(ISBLANK('Data Entry'!R975), "", 'Data Entry'!R975)</f>
      </c>
      <c r="S975">
        <f>IF(ISBLANK('Data Entry'!S975), "", 'Data Entry'!S975)</f>
      </c>
      <c r="T975">
        <f>IF(ISBLANK('Data Entry'!T975), "", 'Data Entry'!T975)</f>
      </c>
      <c r="U975">
        <f>IF(ISBLANK('Data Entry'!U975), "", 'Data Entry'!U975)</f>
      </c>
      <c r="V975">
        <f>IF(ISBLANK('Data Entry'!V975), "", 'Data Entry'!V975)</f>
      </c>
      <c r="W975">
        <f>IF(ISBLANK('Data Entry'!W975), "", 'Data Entry'!W975)</f>
      </c>
      <c r="X975">
        <f>IF(ISBLANK('Data Entry'!X975), "", 'Data Entry'!X975)</f>
      </c>
      <c r="Y975">
        <f>IF(ISBLANK('Data Entry'!Y975), "", 'Data Entry'!Y975)</f>
      </c>
      <c r="Z975">
        <f>IF(ISBLANK('Data Entry'!Z975), "", 'Data Entry'!Z975)</f>
      </c>
      <c r="AA975">
        <f>IF(ISBLANK('Data Entry'![975), "", 'Data Entry'![975)</f>
      </c>
      <c r="AB975">
        <f>IF(ISBLANK('Data Entry'!\975), "", 'Data Entry'!\975)</f>
      </c>
      <c r="AC975">
        <f>IF(ISBLANK('Data Entry'!]975), "", 'Data Entry'!]975)</f>
      </c>
      <c r="AD975">
        <f>IF(ISBLANK('Data Entry'!^975), "", 'Data Entry'!^975)</f>
      </c>
      <c r="AE975">
        <f>IF(ISBLANK('Data Entry'!_975), "", 'Data Entry'!_975)</f>
      </c>
      <c r="AF975">
        <f>IF(ISBLANK('Data Entry'!`975), "", 'Data Entry'!`975)</f>
      </c>
      <c r="AG975">
        <f>IF(ISBLANK('Data Entry'!a975), "", 'Data Entry'!a975)</f>
      </c>
      <c r="AH975">
        <f>IF(ISBLANK('Data Entry'!b975), "", 'Data Entry'!b975)</f>
      </c>
      <c r="AI975">
        <f>IF(ISBLANK('Data Entry'!c975), "", 'Data Entry'!c975)</f>
      </c>
      <c r="AJ975">
        <f>IF(ISBLANK('Data Entry'!d975), "", 'Data Entry'!d975)</f>
      </c>
      <c r="AK975">
        <f>IF(ISBLANK('Data Entry'!e975), "", 'Data Entry'!e975)</f>
      </c>
      <c r="AL975">
        <f>IF(ISBLANK('Data Entry'!f975), "", 'Data Entry'!f975)</f>
      </c>
      <c r="AM975">
        <f>IF(ISBLANK('Data Entry'!g975), "", 'Data Entry'!g975)</f>
      </c>
      <c r="AN975">
        <f>IF(ISBLANK('Data Entry'!h975), "", 'Data Entry'!h975)</f>
      </c>
    </row>
    <row r="976" spans="1:40" x14ac:dyDescent="0.25">
      <c r="A976">
        <f>IF(ISBLANK('Data Entry'!A976), "", 'Data Entry'!A976)</f>
      </c>
      <c r="B976">
        <f>IF(ISBLANK('Data Entry'!B976), "", 'Data Entry'!B976)</f>
      </c>
      <c r="C976">
        <f>IF(ISBLANK('Data Entry'!C976), "", 'Data Entry'!C976)</f>
      </c>
      <c r="D976">
        <f>IF(ISBLANK('Data Entry'!D976), "", 'Data Entry'!D976)</f>
      </c>
      <c r="E976">
        <f>IF(ISBLANK('Data Entry'!E976), "", 'Data Entry'!E976)</f>
      </c>
      <c r="F976">
        <f>IF(ISBLANK('Data Entry'!F976), "", 'Data Entry'!F976)</f>
      </c>
      <c r="G976">
        <f>IF(ISBLANK('Data Entry'!G976), "", 'Data Entry'!G976)</f>
      </c>
      <c r="H976">
        <f>IF(ISBLANK('Data Entry'!H976), "", 'Data Entry'!H976)</f>
      </c>
      <c r="I976">
        <f>IF(ISBLANK('Data Entry'!I976), "", 'Data Entry'!I976)</f>
      </c>
      <c r="J976">
        <f>IF(ISBLANK('Data Entry'!J976), "", 'Data Entry'!J976)</f>
      </c>
      <c r="K976">
        <f>IF(ISBLANK('Data Entry'!K976), "", 'Data Entry'!K976)</f>
      </c>
      <c r="L976">
        <f>IF(ISBLANK('Data Entry'!L976), "", 'Data Entry'!L976)</f>
      </c>
      <c r="M976">
        <f>IF(ISBLANK('Data Entry'!M976), "", 'Data Entry'!M976)</f>
      </c>
      <c r="N976">
        <f>IF(ISBLANK('Data Entry'!N976), "", 'Data Entry'!N976)</f>
      </c>
      <c r="O976">
        <f>IF(ISBLANK('Data Entry'!O976), "", 'Data Entry'!O976)</f>
      </c>
      <c r="P976">
        <f>IF(ISBLANK('Data Entry'!P976), "", 'Data Entry'!P976)</f>
      </c>
      <c r="Q976">
        <f>IF(ISBLANK('Data Entry'!Q976), "", 'Data Entry'!Q976)</f>
      </c>
      <c r="R976">
        <f>IF(ISBLANK('Data Entry'!R976), "", 'Data Entry'!R976)</f>
      </c>
      <c r="S976">
        <f>IF(ISBLANK('Data Entry'!S976), "", 'Data Entry'!S976)</f>
      </c>
      <c r="T976">
        <f>IF(ISBLANK('Data Entry'!T976), "", 'Data Entry'!T976)</f>
      </c>
      <c r="U976">
        <f>IF(ISBLANK('Data Entry'!U976), "", 'Data Entry'!U976)</f>
      </c>
      <c r="V976">
        <f>IF(ISBLANK('Data Entry'!V976), "", 'Data Entry'!V976)</f>
      </c>
      <c r="W976">
        <f>IF(ISBLANK('Data Entry'!W976), "", 'Data Entry'!W976)</f>
      </c>
      <c r="X976">
        <f>IF(ISBLANK('Data Entry'!X976), "", 'Data Entry'!X976)</f>
      </c>
      <c r="Y976">
        <f>IF(ISBLANK('Data Entry'!Y976), "", 'Data Entry'!Y976)</f>
      </c>
      <c r="Z976">
        <f>IF(ISBLANK('Data Entry'!Z976), "", 'Data Entry'!Z976)</f>
      </c>
      <c r="AA976">
        <f>IF(ISBLANK('Data Entry'![976), "", 'Data Entry'![976)</f>
      </c>
      <c r="AB976">
        <f>IF(ISBLANK('Data Entry'!\976), "", 'Data Entry'!\976)</f>
      </c>
      <c r="AC976">
        <f>IF(ISBLANK('Data Entry'!]976), "", 'Data Entry'!]976)</f>
      </c>
      <c r="AD976">
        <f>IF(ISBLANK('Data Entry'!^976), "", 'Data Entry'!^976)</f>
      </c>
      <c r="AE976">
        <f>IF(ISBLANK('Data Entry'!_976), "", 'Data Entry'!_976)</f>
      </c>
      <c r="AF976">
        <f>IF(ISBLANK('Data Entry'!`976), "", 'Data Entry'!`976)</f>
      </c>
      <c r="AG976">
        <f>IF(ISBLANK('Data Entry'!a976), "", 'Data Entry'!a976)</f>
      </c>
      <c r="AH976">
        <f>IF(ISBLANK('Data Entry'!b976), "", 'Data Entry'!b976)</f>
      </c>
      <c r="AI976">
        <f>IF(ISBLANK('Data Entry'!c976), "", 'Data Entry'!c976)</f>
      </c>
      <c r="AJ976">
        <f>IF(ISBLANK('Data Entry'!d976), "", 'Data Entry'!d976)</f>
      </c>
      <c r="AK976">
        <f>IF(ISBLANK('Data Entry'!e976), "", 'Data Entry'!e976)</f>
      </c>
      <c r="AL976">
        <f>IF(ISBLANK('Data Entry'!f976), "", 'Data Entry'!f976)</f>
      </c>
      <c r="AM976">
        <f>IF(ISBLANK('Data Entry'!g976), "", 'Data Entry'!g976)</f>
      </c>
      <c r="AN976">
        <f>IF(ISBLANK('Data Entry'!h976), "", 'Data Entry'!h976)</f>
      </c>
    </row>
    <row r="977" spans="1:40" x14ac:dyDescent="0.25">
      <c r="A977">
        <f>IF(ISBLANK('Data Entry'!A977), "", 'Data Entry'!A977)</f>
      </c>
      <c r="B977">
        <f>IF(ISBLANK('Data Entry'!B977), "", 'Data Entry'!B977)</f>
      </c>
      <c r="C977">
        <f>IF(ISBLANK('Data Entry'!C977), "", 'Data Entry'!C977)</f>
      </c>
      <c r="D977">
        <f>IF(ISBLANK('Data Entry'!D977), "", 'Data Entry'!D977)</f>
      </c>
      <c r="E977">
        <f>IF(ISBLANK('Data Entry'!E977), "", 'Data Entry'!E977)</f>
      </c>
      <c r="F977">
        <f>IF(ISBLANK('Data Entry'!F977), "", 'Data Entry'!F977)</f>
      </c>
      <c r="G977">
        <f>IF(ISBLANK('Data Entry'!G977), "", 'Data Entry'!G977)</f>
      </c>
      <c r="H977">
        <f>IF(ISBLANK('Data Entry'!H977), "", 'Data Entry'!H977)</f>
      </c>
      <c r="I977">
        <f>IF(ISBLANK('Data Entry'!I977), "", 'Data Entry'!I977)</f>
      </c>
      <c r="J977">
        <f>IF(ISBLANK('Data Entry'!J977), "", 'Data Entry'!J977)</f>
      </c>
      <c r="K977">
        <f>IF(ISBLANK('Data Entry'!K977), "", 'Data Entry'!K977)</f>
      </c>
      <c r="L977">
        <f>IF(ISBLANK('Data Entry'!L977), "", 'Data Entry'!L977)</f>
      </c>
      <c r="M977">
        <f>IF(ISBLANK('Data Entry'!M977), "", 'Data Entry'!M977)</f>
      </c>
      <c r="N977">
        <f>IF(ISBLANK('Data Entry'!N977), "", 'Data Entry'!N977)</f>
      </c>
      <c r="O977">
        <f>IF(ISBLANK('Data Entry'!O977), "", 'Data Entry'!O977)</f>
      </c>
      <c r="P977">
        <f>IF(ISBLANK('Data Entry'!P977), "", 'Data Entry'!P977)</f>
      </c>
      <c r="Q977">
        <f>IF(ISBLANK('Data Entry'!Q977), "", 'Data Entry'!Q977)</f>
      </c>
      <c r="R977">
        <f>IF(ISBLANK('Data Entry'!R977), "", 'Data Entry'!R977)</f>
      </c>
      <c r="S977">
        <f>IF(ISBLANK('Data Entry'!S977), "", 'Data Entry'!S977)</f>
      </c>
      <c r="T977">
        <f>IF(ISBLANK('Data Entry'!T977), "", 'Data Entry'!T977)</f>
      </c>
      <c r="U977">
        <f>IF(ISBLANK('Data Entry'!U977), "", 'Data Entry'!U977)</f>
      </c>
      <c r="V977">
        <f>IF(ISBLANK('Data Entry'!V977), "", 'Data Entry'!V977)</f>
      </c>
      <c r="W977">
        <f>IF(ISBLANK('Data Entry'!W977), "", 'Data Entry'!W977)</f>
      </c>
      <c r="X977">
        <f>IF(ISBLANK('Data Entry'!X977), "", 'Data Entry'!X977)</f>
      </c>
      <c r="Y977">
        <f>IF(ISBLANK('Data Entry'!Y977), "", 'Data Entry'!Y977)</f>
      </c>
      <c r="Z977">
        <f>IF(ISBLANK('Data Entry'!Z977), "", 'Data Entry'!Z977)</f>
      </c>
      <c r="AA977">
        <f>IF(ISBLANK('Data Entry'![977), "", 'Data Entry'![977)</f>
      </c>
      <c r="AB977">
        <f>IF(ISBLANK('Data Entry'!\977), "", 'Data Entry'!\977)</f>
      </c>
      <c r="AC977">
        <f>IF(ISBLANK('Data Entry'!]977), "", 'Data Entry'!]977)</f>
      </c>
      <c r="AD977">
        <f>IF(ISBLANK('Data Entry'!^977), "", 'Data Entry'!^977)</f>
      </c>
      <c r="AE977">
        <f>IF(ISBLANK('Data Entry'!_977), "", 'Data Entry'!_977)</f>
      </c>
      <c r="AF977">
        <f>IF(ISBLANK('Data Entry'!`977), "", 'Data Entry'!`977)</f>
      </c>
      <c r="AG977">
        <f>IF(ISBLANK('Data Entry'!a977), "", 'Data Entry'!a977)</f>
      </c>
      <c r="AH977">
        <f>IF(ISBLANK('Data Entry'!b977), "", 'Data Entry'!b977)</f>
      </c>
      <c r="AI977">
        <f>IF(ISBLANK('Data Entry'!c977), "", 'Data Entry'!c977)</f>
      </c>
      <c r="AJ977">
        <f>IF(ISBLANK('Data Entry'!d977), "", 'Data Entry'!d977)</f>
      </c>
      <c r="AK977">
        <f>IF(ISBLANK('Data Entry'!e977), "", 'Data Entry'!e977)</f>
      </c>
      <c r="AL977">
        <f>IF(ISBLANK('Data Entry'!f977), "", 'Data Entry'!f977)</f>
      </c>
      <c r="AM977">
        <f>IF(ISBLANK('Data Entry'!g977), "", 'Data Entry'!g977)</f>
      </c>
      <c r="AN977">
        <f>IF(ISBLANK('Data Entry'!h977), "", 'Data Entry'!h977)</f>
      </c>
    </row>
    <row r="978" spans="1:40" x14ac:dyDescent="0.25">
      <c r="A978">
        <f>IF(ISBLANK('Data Entry'!A978), "", 'Data Entry'!A978)</f>
      </c>
      <c r="B978">
        <f>IF(ISBLANK('Data Entry'!B978), "", 'Data Entry'!B978)</f>
      </c>
      <c r="C978">
        <f>IF(ISBLANK('Data Entry'!C978), "", 'Data Entry'!C978)</f>
      </c>
      <c r="D978">
        <f>IF(ISBLANK('Data Entry'!D978), "", 'Data Entry'!D978)</f>
      </c>
      <c r="E978">
        <f>IF(ISBLANK('Data Entry'!E978), "", 'Data Entry'!E978)</f>
      </c>
      <c r="F978">
        <f>IF(ISBLANK('Data Entry'!F978), "", 'Data Entry'!F978)</f>
      </c>
      <c r="G978">
        <f>IF(ISBLANK('Data Entry'!G978), "", 'Data Entry'!G978)</f>
      </c>
      <c r="H978">
        <f>IF(ISBLANK('Data Entry'!H978), "", 'Data Entry'!H978)</f>
      </c>
      <c r="I978">
        <f>IF(ISBLANK('Data Entry'!I978), "", 'Data Entry'!I978)</f>
      </c>
      <c r="J978">
        <f>IF(ISBLANK('Data Entry'!J978), "", 'Data Entry'!J978)</f>
      </c>
      <c r="K978">
        <f>IF(ISBLANK('Data Entry'!K978), "", 'Data Entry'!K978)</f>
      </c>
      <c r="L978">
        <f>IF(ISBLANK('Data Entry'!L978), "", 'Data Entry'!L978)</f>
      </c>
      <c r="M978">
        <f>IF(ISBLANK('Data Entry'!M978), "", 'Data Entry'!M978)</f>
      </c>
      <c r="N978">
        <f>IF(ISBLANK('Data Entry'!N978), "", 'Data Entry'!N978)</f>
      </c>
      <c r="O978">
        <f>IF(ISBLANK('Data Entry'!O978), "", 'Data Entry'!O978)</f>
      </c>
      <c r="P978">
        <f>IF(ISBLANK('Data Entry'!P978), "", 'Data Entry'!P978)</f>
      </c>
      <c r="Q978">
        <f>IF(ISBLANK('Data Entry'!Q978), "", 'Data Entry'!Q978)</f>
      </c>
      <c r="R978">
        <f>IF(ISBLANK('Data Entry'!R978), "", 'Data Entry'!R978)</f>
      </c>
      <c r="S978">
        <f>IF(ISBLANK('Data Entry'!S978), "", 'Data Entry'!S978)</f>
      </c>
      <c r="T978">
        <f>IF(ISBLANK('Data Entry'!T978), "", 'Data Entry'!T978)</f>
      </c>
      <c r="U978">
        <f>IF(ISBLANK('Data Entry'!U978), "", 'Data Entry'!U978)</f>
      </c>
      <c r="V978">
        <f>IF(ISBLANK('Data Entry'!V978), "", 'Data Entry'!V978)</f>
      </c>
      <c r="W978">
        <f>IF(ISBLANK('Data Entry'!W978), "", 'Data Entry'!W978)</f>
      </c>
      <c r="X978">
        <f>IF(ISBLANK('Data Entry'!X978), "", 'Data Entry'!X978)</f>
      </c>
      <c r="Y978">
        <f>IF(ISBLANK('Data Entry'!Y978), "", 'Data Entry'!Y978)</f>
      </c>
      <c r="Z978">
        <f>IF(ISBLANK('Data Entry'!Z978), "", 'Data Entry'!Z978)</f>
      </c>
      <c r="AA978">
        <f>IF(ISBLANK('Data Entry'![978), "", 'Data Entry'![978)</f>
      </c>
      <c r="AB978">
        <f>IF(ISBLANK('Data Entry'!\978), "", 'Data Entry'!\978)</f>
      </c>
      <c r="AC978">
        <f>IF(ISBLANK('Data Entry'!]978), "", 'Data Entry'!]978)</f>
      </c>
      <c r="AD978">
        <f>IF(ISBLANK('Data Entry'!^978), "", 'Data Entry'!^978)</f>
      </c>
      <c r="AE978">
        <f>IF(ISBLANK('Data Entry'!_978), "", 'Data Entry'!_978)</f>
      </c>
      <c r="AF978">
        <f>IF(ISBLANK('Data Entry'!`978), "", 'Data Entry'!`978)</f>
      </c>
      <c r="AG978">
        <f>IF(ISBLANK('Data Entry'!a978), "", 'Data Entry'!a978)</f>
      </c>
      <c r="AH978">
        <f>IF(ISBLANK('Data Entry'!b978), "", 'Data Entry'!b978)</f>
      </c>
      <c r="AI978">
        <f>IF(ISBLANK('Data Entry'!c978), "", 'Data Entry'!c978)</f>
      </c>
      <c r="AJ978">
        <f>IF(ISBLANK('Data Entry'!d978), "", 'Data Entry'!d978)</f>
      </c>
      <c r="AK978">
        <f>IF(ISBLANK('Data Entry'!e978), "", 'Data Entry'!e978)</f>
      </c>
      <c r="AL978">
        <f>IF(ISBLANK('Data Entry'!f978), "", 'Data Entry'!f978)</f>
      </c>
      <c r="AM978">
        <f>IF(ISBLANK('Data Entry'!g978), "", 'Data Entry'!g978)</f>
      </c>
      <c r="AN978">
        <f>IF(ISBLANK('Data Entry'!h978), "", 'Data Entry'!h978)</f>
      </c>
    </row>
    <row r="979" spans="1:40" x14ac:dyDescent="0.25">
      <c r="A979">
        <f>IF(ISBLANK('Data Entry'!A979), "", 'Data Entry'!A979)</f>
      </c>
      <c r="B979">
        <f>IF(ISBLANK('Data Entry'!B979), "", 'Data Entry'!B979)</f>
      </c>
      <c r="C979">
        <f>IF(ISBLANK('Data Entry'!C979), "", 'Data Entry'!C979)</f>
      </c>
      <c r="D979">
        <f>IF(ISBLANK('Data Entry'!D979), "", 'Data Entry'!D979)</f>
      </c>
      <c r="E979">
        <f>IF(ISBLANK('Data Entry'!E979), "", 'Data Entry'!E979)</f>
      </c>
      <c r="F979">
        <f>IF(ISBLANK('Data Entry'!F979), "", 'Data Entry'!F979)</f>
      </c>
      <c r="G979">
        <f>IF(ISBLANK('Data Entry'!G979), "", 'Data Entry'!G979)</f>
      </c>
      <c r="H979">
        <f>IF(ISBLANK('Data Entry'!H979), "", 'Data Entry'!H979)</f>
      </c>
      <c r="I979">
        <f>IF(ISBLANK('Data Entry'!I979), "", 'Data Entry'!I979)</f>
      </c>
      <c r="J979">
        <f>IF(ISBLANK('Data Entry'!J979), "", 'Data Entry'!J979)</f>
      </c>
      <c r="K979">
        <f>IF(ISBLANK('Data Entry'!K979), "", 'Data Entry'!K979)</f>
      </c>
      <c r="L979">
        <f>IF(ISBLANK('Data Entry'!L979), "", 'Data Entry'!L979)</f>
      </c>
      <c r="M979">
        <f>IF(ISBLANK('Data Entry'!M979), "", 'Data Entry'!M979)</f>
      </c>
      <c r="N979">
        <f>IF(ISBLANK('Data Entry'!N979), "", 'Data Entry'!N979)</f>
      </c>
      <c r="O979">
        <f>IF(ISBLANK('Data Entry'!O979), "", 'Data Entry'!O979)</f>
      </c>
      <c r="P979">
        <f>IF(ISBLANK('Data Entry'!P979), "", 'Data Entry'!P979)</f>
      </c>
      <c r="Q979">
        <f>IF(ISBLANK('Data Entry'!Q979), "", 'Data Entry'!Q979)</f>
      </c>
      <c r="R979">
        <f>IF(ISBLANK('Data Entry'!R979), "", 'Data Entry'!R979)</f>
      </c>
      <c r="S979">
        <f>IF(ISBLANK('Data Entry'!S979), "", 'Data Entry'!S979)</f>
      </c>
      <c r="T979">
        <f>IF(ISBLANK('Data Entry'!T979), "", 'Data Entry'!T979)</f>
      </c>
      <c r="U979">
        <f>IF(ISBLANK('Data Entry'!U979), "", 'Data Entry'!U979)</f>
      </c>
      <c r="V979">
        <f>IF(ISBLANK('Data Entry'!V979), "", 'Data Entry'!V979)</f>
      </c>
      <c r="W979">
        <f>IF(ISBLANK('Data Entry'!W979), "", 'Data Entry'!W979)</f>
      </c>
      <c r="X979">
        <f>IF(ISBLANK('Data Entry'!X979), "", 'Data Entry'!X979)</f>
      </c>
      <c r="Y979">
        <f>IF(ISBLANK('Data Entry'!Y979), "", 'Data Entry'!Y979)</f>
      </c>
      <c r="Z979">
        <f>IF(ISBLANK('Data Entry'!Z979), "", 'Data Entry'!Z979)</f>
      </c>
      <c r="AA979">
        <f>IF(ISBLANK('Data Entry'![979), "", 'Data Entry'![979)</f>
      </c>
      <c r="AB979">
        <f>IF(ISBLANK('Data Entry'!\979), "", 'Data Entry'!\979)</f>
      </c>
      <c r="AC979">
        <f>IF(ISBLANK('Data Entry'!]979), "", 'Data Entry'!]979)</f>
      </c>
      <c r="AD979">
        <f>IF(ISBLANK('Data Entry'!^979), "", 'Data Entry'!^979)</f>
      </c>
      <c r="AE979">
        <f>IF(ISBLANK('Data Entry'!_979), "", 'Data Entry'!_979)</f>
      </c>
      <c r="AF979">
        <f>IF(ISBLANK('Data Entry'!`979), "", 'Data Entry'!`979)</f>
      </c>
      <c r="AG979">
        <f>IF(ISBLANK('Data Entry'!a979), "", 'Data Entry'!a979)</f>
      </c>
      <c r="AH979">
        <f>IF(ISBLANK('Data Entry'!b979), "", 'Data Entry'!b979)</f>
      </c>
      <c r="AI979">
        <f>IF(ISBLANK('Data Entry'!c979), "", 'Data Entry'!c979)</f>
      </c>
      <c r="AJ979">
        <f>IF(ISBLANK('Data Entry'!d979), "", 'Data Entry'!d979)</f>
      </c>
      <c r="AK979">
        <f>IF(ISBLANK('Data Entry'!e979), "", 'Data Entry'!e979)</f>
      </c>
      <c r="AL979">
        <f>IF(ISBLANK('Data Entry'!f979), "", 'Data Entry'!f979)</f>
      </c>
      <c r="AM979">
        <f>IF(ISBLANK('Data Entry'!g979), "", 'Data Entry'!g979)</f>
      </c>
      <c r="AN979">
        <f>IF(ISBLANK('Data Entry'!h979), "", 'Data Entry'!h979)</f>
      </c>
    </row>
    <row r="980" spans="1:40" x14ac:dyDescent="0.25">
      <c r="A980">
        <f>IF(ISBLANK('Data Entry'!A980), "", 'Data Entry'!A980)</f>
      </c>
      <c r="B980">
        <f>IF(ISBLANK('Data Entry'!B980), "", 'Data Entry'!B980)</f>
      </c>
      <c r="C980">
        <f>IF(ISBLANK('Data Entry'!C980), "", 'Data Entry'!C980)</f>
      </c>
      <c r="D980">
        <f>IF(ISBLANK('Data Entry'!D980), "", 'Data Entry'!D980)</f>
      </c>
      <c r="E980">
        <f>IF(ISBLANK('Data Entry'!E980), "", 'Data Entry'!E980)</f>
      </c>
      <c r="F980">
        <f>IF(ISBLANK('Data Entry'!F980), "", 'Data Entry'!F980)</f>
      </c>
      <c r="G980">
        <f>IF(ISBLANK('Data Entry'!G980), "", 'Data Entry'!G980)</f>
      </c>
      <c r="H980">
        <f>IF(ISBLANK('Data Entry'!H980), "", 'Data Entry'!H980)</f>
      </c>
      <c r="I980">
        <f>IF(ISBLANK('Data Entry'!I980), "", 'Data Entry'!I980)</f>
      </c>
      <c r="J980">
        <f>IF(ISBLANK('Data Entry'!J980), "", 'Data Entry'!J980)</f>
      </c>
      <c r="K980">
        <f>IF(ISBLANK('Data Entry'!K980), "", 'Data Entry'!K980)</f>
      </c>
      <c r="L980">
        <f>IF(ISBLANK('Data Entry'!L980), "", 'Data Entry'!L980)</f>
      </c>
      <c r="M980">
        <f>IF(ISBLANK('Data Entry'!M980), "", 'Data Entry'!M980)</f>
      </c>
      <c r="N980">
        <f>IF(ISBLANK('Data Entry'!N980), "", 'Data Entry'!N980)</f>
      </c>
      <c r="O980">
        <f>IF(ISBLANK('Data Entry'!O980), "", 'Data Entry'!O980)</f>
      </c>
      <c r="P980">
        <f>IF(ISBLANK('Data Entry'!P980), "", 'Data Entry'!P980)</f>
      </c>
      <c r="Q980">
        <f>IF(ISBLANK('Data Entry'!Q980), "", 'Data Entry'!Q980)</f>
      </c>
      <c r="R980">
        <f>IF(ISBLANK('Data Entry'!R980), "", 'Data Entry'!R980)</f>
      </c>
      <c r="S980">
        <f>IF(ISBLANK('Data Entry'!S980), "", 'Data Entry'!S980)</f>
      </c>
      <c r="T980">
        <f>IF(ISBLANK('Data Entry'!T980), "", 'Data Entry'!T980)</f>
      </c>
      <c r="U980">
        <f>IF(ISBLANK('Data Entry'!U980), "", 'Data Entry'!U980)</f>
      </c>
      <c r="V980">
        <f>IF(ISBLANK('Data Entry'!V980), "", 'Data Entry'!V980)</f>
      </c>
      <c r="W980">
        <f>IF(ISBLANK('Data Entry'!W980), "", 'Data Entry'!W980)</f>
      </c>
      <c r="X980">
        <f>IF(ISBLANK('Data Entry'!X980), "", 'Data Entry'!X980)</f>
      </c>
      <c r="Y980">
        <f>IF(ISBLANK('Data Entry'!Y980), "", 'Data Entry'!Y980)</f>
      </c>
      <c r="Z980">
        <f>IF(ISBLANK('Data Entry'!Z980), "", 'Data Entry'!Z980)</f>
      </c>
      <c r="AA980">
        <f>IF(ISBLANK('Data Entry'![980), "", 'Data Entry'![980)</f>
      </c>
      <c r="AB980">
        <f>IF(ISBLANK('Data Entry'!\980), "", 'Data Entry'!\980)</f>
      </c>
      <c r="AC980">
        <f>IF(ISBLANK('Data Entry'!]980), "", 'Data Entry'!]980)</f>
      </c>
      <c r="AD980">
        <f>IF(ISBLANK('Data Entry'!^980), "", 'Data Entry'!^980)</f>
      </c>
      <c r="AE980">
        <f>IF(ISBLANK('Data Entry'!_980), "", 'Data Entry'!_980)</f>
      </c>
      <c r="AF980">
        <f>IF(ISBLANK('Data Entry'!`980), "", 'Data Entry'!`980)</f>
      </c>
      <c r="AG980">
        <f>IF(ISBLANK('Data Entry'!a980), "", 'Data Entry'!a980)</f>
      </c>
      <c r="AH980">
        <f>IF(ISBLANK('Data Entry'!b980), "", 'Data Entry'!b980)</f>
      </c>
      <c r="AI980">
        <f>IF(ISBLANK('Data Entry'!c980), "", 'Data Entry'!c980)</f>
      </c>
      <c r="AJ980">
        <f>IF(ISBLANK('Data Entry'!d980), "", 'Data Entry'!d980)</f>
      </c>
      <c r="AK980">
        <f>IF(ISBLANK('Data Entry'!e980), "", 'Data Entry'!e980)</f>
      </c>
      <c r="AL980">
        <f>IF(ISBLANK('Data Entry'!f980), "", 'Data Entry'!f980)</f>
      </c>
      <c r="AM980">
        <f>IF(ISBLANK('Data Entry'!g980), "", 'Data Entry'!g980)</f>
      </c>
      <c r="AN980">
        <f>IF(ISBLANK('Data Entry'!h980), "", 'Data Entry'!h980)</f>
      </c>
    </row>
    <row r="981" spans="1:40" x14ac:dyDescent="0.25">
      <c r="A981">
        <f>IF(ISBLANK('Data Entry'!A981), "", 'Data Entry'!A981)</f>
      </c>
      <c r="B981">
        <f>IF(ISBLANK('Data Entry'!B981), "", 'Data Entry'!B981)</f>
      </c>
      <c r="C981">
        <f>IF(ISBLANK('Data Entry'!C981), "", 'Data Entry'!C981)</f>
      </c>
      <c r="D981">
        <f>IF(ISBLANK('Data Entry'!D981), "", 'Data Entry'!D981)</f>
      </c>
      <c r="E981">
        <f>IF(ISBLANK('Data Entry'!E981), "", 'Data Entry'!E981)</f>
      </c>
      <c r="F981">
        <f>IF(ISBLANK('Data Entry'!F981), "", 'Data Entry'!F981)</f>
      </c>
      <c r="G981">
        <f>IF(ISBLANK('Data Entry'!G981), "", 'Data Entry'!G981)</f>
      </c>
      <c r="H981">
        <f>IF(ISBLANK('Data Entry'!H981), "", 'Data Entry'!H981)</f>
      </c>
      <c r="I981">
        <f>IF(ISBLANK('Data Entry'!I981), "", 'Data Entry'!I981)</f>
      </c>
      <c r="J981">
        <f>IF(ISBLANK('Data Entry'!J981), "", 'Data Entry'!J981)</f>
      </c>
      <c r="K981">
        <f>IF(ISBLANK('Data Entry'!K981), "", 'Data Entry'!K981)</f>
      </c>
      <c r="L981">
        <f>IF(ISBLANK('Data Entry'!L981), "", 'Data Entry'!L981)</f>
      </c>
      <c r="M981">
        <f>IF(ISBLANK('Data Entry'!M981), "", 'Data Entry'!M981)</f>
      </c>
      <c r="N981">
        <f>IF(ISBLANK('Data Entry'!N981), "", 'Data Entry'!N981)</f>
      </c>
      <c r="O981">
        <f>IF(ISBLANK('Data Entry'!O981), "", 'Data Entry'!O981)</f>
      </c>
      <c r="P981">
        <f>IF(ISBLANK('Data Entry'!P981), "", 'Data Entry'!P981)</f>
      </c>
      <c r="Q981">
        <f>IF(ISBLANK('Data Entry'!Q981), "", 'Data Entry'!Q981)</f>
      </c>
      <c r="R981">
        <f>IF(ISBLANK('Data Entry'!R981), "", 'Data Entry'!R981)</f>
      </c>
      <c r="S981">
        <f>IF(ISBLANK('Data Entry'!S981), "", 'Data Entry'!S981)</f>
      </c>
      <c r="T981">
        <f>IF(ISBLANK('Data Entry'!T981), "", 'Data Entry'!T981)</f>
      </c>
      <c r="U981">
        <f>IF(ISBLANK('Data Entry'!U981), "", 'Data Entry'!U981)</f>
      </c>
      <c r="V981">
        <f>IF(ISBLANK('Data Entry'!V981), "", 'Data Entry'!V981)</f>
      </c>
      <c r="W981">
        <f>IF(ISBLANK('Data Entry'!W981), "", 'Data Entry'!W981)</f>
      </c>
      <c r="X981">
        <f>IF(ISBLANK('Data Entry'!X981), "", 'Data Entry'!X981)</f>
      </c>
      <c r="Y981">
        <f>IF(ISBLANK('Data Entry'!Y981), "", 'Data Entry'!Y981)</f>
      </c>
      <c r="Z981">
        <f>IF(ISBLANK('Data Entry'!Z981), "", 'Data Entry'!Z981)</f>
      </c>
      <c r="AA981">
        <f>IF(ISBLANK('Data Entry'![981), "", 'Data Entry'![981)</f>
      </c>
      <c r="AB981">
        <f>IF(ISBLANK('Data Entry'!\981), "", 'Data Entry'!\981)</f>
      </c>
      <c r="AC981">
        <f>IF(ISBLANK('Data Entry'!]981), "", 'Data Entry'!]981)</f>
      </c>
      <c r="AD981">
        <f>IF(ISBLANK('Data Entry'!^981), "", 'Data Entry'!^981)</f>
      </c>
      <c r="AE981">
        <f>IF(ISBLANK('Data Entry'!_981), "", 'Data Entry'!_981)</f>
      </c>
      <c r="AF981">
        <f>IF(ISBLANK('Data Entry'!`981), "", 'Data Entry'!`981)</f>
      </c>
      <c r="AG981">
        <f>IF(ISBLANK('Data Entry'!a981), "", 'Data Entry'!a981)</f>
      </c>
      <c r="AH981">
        <f>IF(ISBLANK('Data Entry'!b981), "", 'Data Entry'!b981)</f>
      </c>
      <c r="AI981">
        <f>IF(ISBLANK('Data Entry'!c981), "", 'Data Entry'!c981)</f>
      </c>
      <c r="AJ981">
        <f>IF(ISBLANK('Data Entry'!d981), "", 'Data Entry'!d981)</f>
      </c>
      <c r="AK981">
        <f>IF(ISBLANK('Data Entry'!e981), "", 'Data Entry'!e981)</f>
      </c>
      <c r="AL981">
        <f>IF(ISBLANK('Data Entry'!f981), "", 'Data Entry'!f981)</f>
      </c>
      <c r="AM981">
        <f>IF(ISBLANK('Data Entry'!g981), "", 'Data Entry'!g981)</f>
      </c>
      <c r="AN981">
        <f>IF(ISBLANK('Data Entry'!h981), "", 'Data Entry'!h981)</f>
      </c>
    </row>
    <row r="982" spans="1:40" x14ac:dyDescent="0.25">
      <c r="A982">
        <f>IF(ISBLANK('Data Entry'!A982), "", 'Data Entry'!A982)</f>
      </c>
      <c r="B982">
        <f>IF(ISBLANK('Data Entry'!B982), "", 'Data Entry'!B982)</f>
      </c>
      <c r="C982">
        <f>IF(ISBLANK('Data Entry'!C982), "", 'Data Entry'!C982)</f>
      </c>
      <c r="D982">
        <f>IF(ISBLANK('Data Entry'!D982), "", 'Data Entry'!D982)</f>
      </c>
      <c r="E982">
        <f>IF(ISBLANK('Data Entry'!E982), "", 'Data Entry'!E982)</f>
      </c>
      <c r="F982">
        <f>IF(ISBLANK('Data Entry'!F982), "", 'Data Entry'!F982)</f>
      </c>
      <c r="G982">
        <f>IF(ISBLANK('Data Entry'!G982), "", 'Data Entry'!G982)</f>
      </c>
      <c r="H982">
        <f>IF(ISBLANK('Data Entry'!H982), "", 'Data Entry'!H982)</f>
      </c>
      <c r="I982">
        <f>IF(ISBLANK('Data Entry'!I982), "", 'Data Entry'!I982)</f>
      </c>
      <c r="J982">
        <f>IF(ISBLANK('Data Entry'!J982), "", 'Data Entry'!J982)</f>
      </c>
      <c r="K982">
        <f>IF(ISBLANK('Data Entry'!K982), "", 'Data Entry'!K982)</f>
      </c>
      <c r="L982">
        <f>IF(ISBLANK('Data Entry'!L982), "", 'Data Entry'!L982)</f>
      </c>
      <c r="M982">
        <f>IF(ISBLANK('Data Entry'!M982), "", 'Data Entry'!M982)</f>
      </c>
      <c r="N982">
        <f>IF(ISBLANK('Data Entry'!N982), "", 'Data Entry'!N982)</f>
      </c>
      <c r="O982">
        <f>IF(ISBLANK('Data Entry'!O982), "", 'Data Entry'!O982)</f>
      </c>
      <c r="P982">
        <f>IF(ISBLANK('Data Entry'!P982), "", 'Data Entry'!P982)</f>
      </c>
      <c r="Q982">
        <f>IF(ISBLANK('Data Entry'!Q982), "", 'Data Entry'!Q982)</f>
      </c>
      <c r="R982">
        <f>IF(ISBLANK('Data Entry'!R982), "", 'Data Entry'!R982)</f>
      </c>
      <c r="S982">
        <f>IF(ISBLANK('Data Entry'!S982), "", 'Data Entry'!S982)</f>
      </c>
      <c r="T982">
        <f>IF(ISBLANK('Data Entry'!T982), "", 'Data Entry'!T982)</f>
      </c>
      <c r="U982">
        <f>IF(ISBLANK('Data Entry'!U982), "", 'Data Entry'!U982)</f>
      </c>
      <c r="V982">
        <f>IF(ISBLANK('Data Entry'!V982), "", 'Data Entry'!V982)</f>
      </c>
      <c r="W982">
        <f>IF(ISBLANK('Data Entry'!W982), "", 'Data Entry'!W982)</f>
      </c>
      <c r="X982">
        <f>IF(ISBLANK('Data Entry'!X982), "", 'Data Entry'!X982)</f>
      </c>
      <c r="Y982">
        <f>IF(ISBLANK('Data Entry'!Y982), "", 'Data Entry'!Y982)</f>
      </c>
      <c r="Z982">
        <f>IF(ISBLANK('Data Entry'!Z982), "", 'Data Entry'!Z982)</f>
      </c>
      <c r="AA982">
        <f>IF(ISBLANK('Data Entry'![982), "", 'Data Entry'![982)</f>
      </c>
      <c r="AB982">
        <f>IF(ISBLANK('Data Entry'!\982), "", 'Data Entry'!\982)</f>
      </c>
      <c r="AC982">
        <f>IF(ISBLANK('Data Entry'!]982), "", 'Data Entry'!]982)</f>
      </c>
      <c r="AD982">
        <f>IF(ISBLANK('Data Entry'!^982), "", 'Data Entry'!^982)</f>
      </c>
      <c r="AE982">
        <f>IF(ISBLANK('Data Entry'!_982), "", 'Data Entry'!_982)</f>
      </c>
      <c r="AF982">
        <f>IF(ISBLANK('Data Entry'!`982), "", 'Data Entry'!`982)</f>
      </c>
      <c r="AG982">
        <f>IF(ISBLANK('Data Entry'!a982), "", 'Data Entry'!a982)</f>
      </c>
      <c r="AH982">
        <f>IF(ISBLANK('Data Entry'!b982), "", 'Data Entry'!b982)</f>
      </c>
      <c r="AI982">
        <f>IF(ISBLANK('Data Entry'!c982), "", 'Data Entry'!c982)</f>
      </c>
      <c r="AJ982">
        <f>IF(ISBLANK('Data Entry'!d982), "", 'Data Entry'!d982)</f>
      </c>
      <c r="AK982">
        <f>IF(ISBLANK('Data Entry'!e982), "", 'Data Entry'!e982)</f>
      </c>
      <c r="AL982">
        <f>IF(ISBLANK('Data Entry'!f982), "", 'Data Entry'!f982)</f>
      </c>
      <c r="AM982">
        <f>IF(ISBLANK('Data Entry'!g982), "", 'Data Entry'!g982)</f>
      </c>
      <c r="AN982">
        <f>IF(ISBLANK('Data Entry'!h982), "", 'Data Entry'!h982)</f>
      </c>
    </row>
    <row r="983" spans="1:40" x14ac:dyDescent="0.25">
      <c r="A983">
        <f>IF(ISBLANK('Data Entry'!A983), "", 'Data Entry'!A983)</f>
      </c>
      <c r="B983">
        <f>IF(ISBLANK('Data Entry'!B983), "", 'Data Entry'!B983)</f>
      </c>
      <c r="C983">
        <f>IF(ISBLANK('Data Entry'!C983), "", 'Data Entry'!C983)</f>
      </c>
      <c r="D983">
        <f>IF(ISBLANK('Data Entry'!D983), "", 'Data Entry'!D983)</f>
      </c>
      <c r="E983">
        <f>IF(ISBLANK('Data Entry'!E983), "", 'Data Entry'!E983)</f>
      </c>
      <c r="F983">
        <f>IF(ISBLANK('Data Entry'!F983), "", 'Data Entry'!F983)</f>
      </c>
      <c r="G983">
        <f>IF(ISBLANK('Data Entry'!G983), "", 'Data Entry'!G983)</f>
      </c>
      <c r="H983">
        <f>IF(ISBLANK('Data Entry'!H983), "", 'Data Entry'!H983)</f>
      </c>
      <c r="I983">
        <f>IF(ISBLANK('Data Entry'!I983), "", 'Data Entry'!I983)</f>
      </c>
      <c r="J983">
        <f>IF(ISBLANK('Data Entry'!J983), "", 'Data Entry'!J983)</f>
      </c>
      <c r="K983">
        <f>IF(ISBLANK('Data Entry'!K983), "", 'Data Entry'!K983)</f>
      </c>
      <c r="L983">
        <f>IF(ISBLANK('Data Entry'!L983), "", 'Data Entry'!L983)</f>
      </c>
      <c r="M983">
        <f>IF(ISBLANK('Data Entry'!M983), "", 'Data Entry'!M983)</f>
      </c>
      <c r="N983">
        <f>IF(ISBLANK('Data Entry'!N983), "", 'Data Entry'!N983)</f>
      </c>
      <c r="O983">
        <f>IF(ISBLANK('Data Entry'!O983), "", 'Data Entry'!O983)</f>
      </c>
      <c r="P983">
        <f>IF(ISBLANK('Data Entry'!P983), "", 'Data Entry'!P983)</f>
      </c>
      <c r="Q983">
        <f>IF(ISBLANK('Data Entry'!Q983), "", 'Data Entry'!Q983)</f>
      </c>
      <c r="R983">
        <f>IF(ISBLANK('Data Entry'!R983), "", 'Data Entry'!R983)</f>
      </c>
      <c r="S983">
        <f>IF(ISBLANK('Data Entry'!S983), "", 'Data Entry'!S983)</f>
      </c>
      <c r="T983">
        <f>IF(ISBLANK('Data Entry'!T983), "", 'Data Entry'!T983)</f>
      </c>
      <c r="U983">
        <f>IF(ISBLANK('Data Entry'!U983), "", 'Data Entry'!U983)</f>
      </c>
      <c r="V983">
        <f>IF(ISBLANK('Data Entry'!V983), "", 'Data Entry'!V983)</f>
      </c>
      <c r="W983">
        <f>IF(ISBLANK('Data Entry'!W983), "", 'Data Entry'!W983)</f>
      </c>
      <c r="X983">
        <f>IF(ISBLANK('Data Entry'!X983), "", 'Data Entry'!X983)</f>
      </c>
      <c r="Y983">
        <f>IF(ISBLANK('Data Entry'!Y983), "", 'Data Entry'!Y983)</f>
      </c>
      <c r="Z983">
        <f>IF(ISBLANK('Data Entry'!Z983), "", 'Data Entry'!Z983)</f>
      </c>
      <c r="AA983">
        <f>IF(ISBLANK('Data Entry'![983), "", 'Data Entry'![983)</f>
      </c>
      <c r="AB983">
        <f>IF(ISBLANK('Data Entry'!\983), "", 'Data Entry'!\983)</f>
      </c>
      <c r="AC983">
        <f>IF(ISBLANK('Data Entry'!]983), "", 'Data Entry'!]983)</f>
      </c>
      <c r="AD983">
        <f>IF(ISBLANK('Data Entry'!^983), "", 'Data Entry'!^983)</f>
      </c>
      <c r="AE983">
        <f>IF(ISBLANK('Data Entry'!_983), "", 'Data Entry'!_983)</f>
      </c>
      <c r="AF983">
        <f>IF(ISBLANK('Data Entry'!`983), "", 'Data Entry'!`983)</f>
      </c>
      <c r="AG983">
        <f>IF(ISBLANK('Data Entry'!a983), "", 'Data Entry'!a983)</f>
      </c>
      <c r="AH983">
        <f>IF(ISBLANK('Data Entry'!b983), "", 'Data Entry'!b983)</f>
      </c>
      <c r="AI983">
        <f>IF(ISBLANK('Data Entry'!c983), "", 'Data Entry'!c983)</f>
      </c>
      <c r="AJ983">
        <f>IF(ISBLANK('Data Entry'!d983), "", 'Data Entry'!d983)</f>
      </c>
      <c r="AK983">
        <f>IF(ISBLANK('Data Entry'!e983), "", 'Data Entry'!e983)</f>
      </c>
      <c r="AL983">
        <f>IF(ISBLANK('Data Entry'!f983), "", 'Data Entry'!f983)</f>
      </c>
      <c r="AM983">
        <f>IF(ISBLANK('Data Entry'!g983), "", 'Data Entry'!g983)</f>
      </c>
      <c r="AN983">
        <f>IF(ISBLANK('Data Entry'!h983), "", 'Data Entry'!h983)</f>
      </c>
    </row>
    <row r="984" spans="1:40" x14ac:dyDescent="0.25">
      <c r="A984">
        <f>IF(ISBLANK('Data Entry'!A984), "", 'Data Entry'!A984)</f>
      </c>
      <c r="B984">
        <f>IF(ISBLANK('Data Entry'!B984), "", 'Data Entry'!B984)</f>
      </c>
      <c r="C984">
        <f>IF(ISBLANK('Data Entry'!C984), "", 'Data Entry'!C984)</f>
      </c>
      <c r="D984">
        <f>IF(ISBLANK('Data Entry'!D984), "", 'Data Entry'!D984)</f>
      </c>
      <c r="E984">
        <f>IF(ISBLANK('Data Entry'!E984), "", 'Data Entry'!E984)</f>
      </c>
      <c r="F984">
        <f>IF(ISBLANK('Data Entry'!F984), "", 'Data Entry'!F984)</f>
      </c>
      <c r="G984">
        <f>IF(ISBLANK('Data Entry'!G984), "", 'Data Entry'!G984)</f>
      </c>
      <c r="H984">
        <f>IF(ISBLANK('Data Entry'!H984), "", 'Data Entry'!H984)</f>
      </c>
      <c r="I984">
        <f>IF(ISBLANK('Data Entry'!I984), "", 'Data Entry'!I984)</f>
      </c>
      <c r="J984">
        <f>IF(ISBLANK('Data Entry'!J984), "", 'Data Entry'!J984)</f>
      </c>
      <c r="K984">
        <f>IF(ISBLANK('Data Entry'!K984), "", 'Data Entry'!K984)</f>
      </c>
      <c r="L984">
        <f>IF(ISBLANK('Data Entry'!L984), "", 'Data Entry'!L984)</f>
      </c>
      <c r="M984">
        <f>IF(ISBLANK('Data Entry'!M984), "", 'Data Entry'!M984)</f>
      </c>
      <c r="N984">
        <f>IF(ISBLANK('Data Entry'!N984), "", 'Data Entry'!N984)</f>
      </c>
      <c r="O984">
        <f>IF(ISBLANK('Data Entry'!O984), "", 'Data Entry'!O984)</f>
      </c>
      <c r="P984">
        <f>IF(ISBLANK('Data Entry'!P984), "", 'Data Entry'!P984)</f>
      </c>
      <c r="Q984">
        <f>IF(ISBLANK('Data Entry'!Q984), "", 'Data Entry'!Q984)</f>
      </c>
      <c r="R984">
        <f>IF(ISBLANK('Data Entry'!R984), "", 'Data Entry'!R984)</f>
      </c>
      <c r="S984">
        <f>IF(ISBLANK('Data Entry'!S984), "", 'Data Entry'!S984)</f>
      </c>
      <c r="T984">
        <f>IF(ISBLANK('Data Entry'!T984), "", 'Data Entry'!T984)</f>
      </c>
      <c r="U984">
        <f>IF(ISBLANK('Data Entry'!U984), "", 'Data Entry'!U984)</f>
      </c>
      <c r="V984">
        <f>IF(ISBLANK('Data Entry'!V984), "", 'Data Entry'!V984)</f>
      </c>
      <c r="W984">
        <f>IF(ISBLANK('Data Entry'!W984), "", 'Data Entry'!W984)</f>
      </c>
      <c r="X984">
        <f>IF(ISBLANK('Data Entry'!X984), "", 'Data Entry'!X984)</f>
      </c>
      <c r="Y984">
        <f>IF(ISBLANK('Data Entry'!Y984), "", 'Data Entry'!Y984)</f>
      </c>
      <c r="Z984">
        <f>IF(ISBLANK('Data Entry'!Z984), "", 'Data Entry'!Z984)</f>
      </c>
      <c r="AA984">
        <f>IF(ISBLANK('Data Entry'![984), "", 'Data Entry'![984)</f>
      </c>
      <c r="AB984">
        <f>IF(ISBLANK('Data Entry'!\984), "", 'Data Entry'!\984)</f>
      </c>
      <c r="AC984">
        <f>IF(ISBLANK('Data Entry'!]984), "", 'Data Entry'!]984)</f>
      </c>
      <c r="AD984">
        <f>IF(ISBLANK('Data Entry'!^984), "", 'Data Entry'!^984)</f>
      </c>
      <c r="AE984">
        <f>IF(ISBLANK('Data Entry'!_984), "", 'Data Entry'!_984)</f>
      </c>
      <c r="AF984">
        <f>IF(ISBLANK('Data Entry'!`984), "", 'Data Entry'!`984)</f>
      </c>
      <c r="AG984">
        <f>IF(ISBLANK('Data Entry'!a984), "", 'Data Entry'!a984)</f>
      </c>
      <c r="AH984">
        <f>IF(ISBLANK('Data Entry'!b984), "", 'Data Entry'!b984)</f>
      </c>
      <c r="AI984">
        <f>IF(ISBLANK('Data Entry'!c984), "", 'Data Entry'!c984)</f>
      </c>
      <c r="AJ984">
        <f>IF(ISBLANK('Data Entry'!d984), "", 'Data Entry'!d984)</f>
      </c>
      <c r="AK984">
        <f>IF(ISBLANK('Data Entry'!e984), "", 'Data Entry'!e984)</f>
      </c>
      <c r="AL984">
        <f>IF(ISBLANK('Data Entry'!f984), "", 'Data Entry'!f984)</f>
      </c>
      <c r="AM984">
        <f>IF(ISBLANK('Data Entry'!g984), "", 'Data Entry'!g984)</f>
      </c>
      <c r="AN984">
        <f>IF(ISBLANK('Data Entry'!h984), "", 'Data Entry'!h984)</f>
      </c>
    </row>
    <row r="985" spans="1:40" x14ac:dyDescent="0.25">
      <c r="A985">
        <f>IF(ISBLANK('Data Entry'!A985), "", 'Data Entry'!A985)</f>
      </c>
      <c r="B985">
        <f>IF(ISBLANK('Data Entry'!B985), "", 'Data Entry'!B985)</f>
      </c>
      <c r="C985">
        <f>IF(ISBLANK('Data Entry'!C985), "", 'Data Entry'!C985)</f>
      </c>
      <c r="D985">
        <f>IF(ISBLANK('Data Entry'!D985), "", 'Data Entry'!D985)</f>
      </c>
      <c r="E985">
        <f>IF(ISBLANK('Data Entry'!E985), "", 'Data Entry'!E985)</f>
      </c>
      <c r="F985">
        <f>IF(ISBLANK('Data Entry'!F985), "", 'Data Entry'!F985)</f>
      </c>
      <c r="G985">
        <f>IF(ISBLANK('Data Entry'!G985), "", 'Data Entry'!G985)</f>
      </c>
      <c r="H985">
        <f>IF(ISBLANK('Data Entry'!H985), "", 'Data Entry'!H985)</f>
      </c>
      <c r="I985">
        <f>IF(ISBLANK('Data Entry'!I985), "", 'Data Entry'!I985)</f>
      </c>
      <c r="J985">
        <f>IF(ISBLANK('Data Entry'!J985), "", 'Data Entry'!J985)</f>
      </c>
      <c r="K985">
        <f>IF(ISBLANK('Data Entry'!K985), "", 'Data Entry'!K985)</f>
      </c>
      <c r="L985">
        <f>IF(ISBLANK('Data Entry'!L985), "", 'Data Entry'!L985)</f>
      </c>
      <c r="M985">
        <f>IF(ISBLANK('Data Entry'!M985), "", 'Data Entry'!M985)</f>
      </c>
      <c r="N985">
        <f>IF(ISBLANK('Data Entry'!N985), "", 'Data Entry'!N985)</f>
      </c>
      <c r="O985">
        <f>IF(ISBLANK('Data Entry'!O985), "", 'Data Entry'!O985)</f>
      </c>
      <c r="P985">
        <f>IF(ISBLANK('Data Entry'!P985), "", 'Data Entry'!P985)</f>
      </c>
      <c r="Q985">
        <f>IF(ISBLANK('Data Entry'!Q985), "", 'Data Entry'!Q985)</f>
      </c>
      <c r="R985">
        <f>IF(ISBLANK('Data Entry'!R985), "", 'Data Entry'!R985)</f>
      </c>
      <c r="S985">
        <f>IF(ISBLANK('Data Entry'!S985), "", 'Data Entry'!S985)</f>
      </c>
      <c r="T985">
        <f>IF(ISBLANK('Data Entry'!T985), "", 'Data Entry'!T985)</f>
      </c>
      <c r="U985">
        <f>IF(ISBLANK('Data Entry'!U985), "", 'Data Entry'!U985)</f>
      </c>
      <c r="V985">
        <f>IF(ISBLANK('Data Entry'!V985), "", 'Data Entry'!V985)</f>
      </c>
      <c r="W985">
        <f>IF(ISBLANK('Data Entry'!W985), "", 'Data Entry'!W985)</f>
      </c>
      <c r="X985">
        <f>IF(ISBLANK('Data Entry'!X985), "", 'Data Entry'!X985)</f>
      </c>
      <c r="Y985">
        <f>IF(ISBLANK('Data Entry'!Y985), "", 'Data Entry'!Y985)</f>
      </c>
      <c r="Z985">
        <f>IF(ISBLANK('Data Entry'!Z985), "", 'Data Entry'!Z985)</f>
      </c>
      <c r="AA985">
        <f>IF(ISBLANK('Data Entry'![985), "", 'Data Entry'![985)</f>
      </c>
      <c r="AB985">
        <f>IF(ISBLANK('Data Entry'!\985), "", 'Data Entry'!\985)</f>
      </c>
      <c r="AC985">
        <f>IF(ISBLANK('Data Entry'!]985), "", 'Data Entry'!]985)</f>
      </c>
      <c r="AD985">
        <f>IF(ISBLANK('Data Entry'!^985), "", 'Data Entry'!^985)</f>
      </c>
      <c r="AE985">
        <f>IF(ISBLANK('Data Entry'!_985), "", 'Data Entry'!_985)</f>
      </c>
      <c r="AF985">
        <f>IF(ISBLANK('Data Entry'!`985), "", 'Data Entry'!`985)</f>
      </c>
      <c r="AG985">
        <f>IF(ISBLANK('Data Entry'!a985), "", 'Data Entry'!a985)</f>
      </c>
      <c r="AH985">
        <f>IF(ISBLANK('Data Entry'!b985), "", 'Data Entry'!b985)</f>
      </c>
      <c r="AI985">
        <f>IF(ISBLANK('Data Entry'!c985), "", 'Data Entry'!c985)</f>
      </c>
      <c r="AJ985">
        <f>IF(ISBLANK('Data Entry'!d985), "", 'Data Entry'!d985)</f>
      </c>
      <c r="AK985">
        <f>IF(ISBLANK('Data Entry'!e985), "", 'Data Entry'!e985)</f>
      </c>
      <c r="AL985">
        <f>IF(ISBLANK('Data Entry'!f985), "", 'Data Entry'!f985)</f>
      </c>
      <c r="AM985">
        <f>IF(ISBLANK('Data Entry'!g985), "", 'Data Entry'!g985)</f>
      </c>
      <c r="AN985">
        <f>IF(ISBLANK('Data Entry'!h985), "", 'Data Entry'!h985)</f>
      </c>
    </row>
    <row r="986" spans="1:40" x14ac:dyDescent="0.25">
      <c r="A986">
        <f>IF(ISBLANK('Data Entry'!A986), "", 'Data Entry'!A986)</f>
      </c>
      <c r="B986">
        <f>IF(ISBLANK('Data Entry'!B986), "", 'Data Entry'!B986)</f>
      </c>
      <c r="C986">
        <f>IF(ISBLANK('Data Entry'!C986), "", 'Data Entry'!C986)</f>
      </c>
      <c r="D986">
        <f>IF(ISBLANK('Data Entry'!D986), "", 'Data Entry'!D986)</f>
      </c>
      <c r="E986">
        <f>IF(ISBLANK('Data Entry'!E986), "", 'Data Entry'!E986)</f>
      </c>
      <c r="F986">
        <f>IF(ISBLANK('Data Entry'!F986), "", 'Data Entry'!F986)</f>
      </c>
      <c r="G986">
        <f>IF(ISBLANK('Data Entry'!G986), "", 'Data Entry'!G986)</f>
      </c>
      <c r="H986">
        <f>IF(ISBLANK('Data Entry'!H986), "", 'Data Entry'!H986)</f>
      </c>
      <c r="I986">
        <f>IF(ISBLANK('Data Entry'!I986), "", 'Data Entry'!I986)</f>
      </c>
      <c r="J986">
        <f>IF(ISBLANK('Data Entry'!J986), "", 'Data Entry'!J986)</f>
      </c>
      <c r="K986">
        <f>IF(ISBLANK('Data Entry'!K986), "", 'Data Entry'!K986)</f>
      </c>
      <c r="L986">
        <f>IF(ISBLANK('Data Entry'!L986), "", 'Data Entry'!L986)</f>
      </c>
      <c r="M986">
        <f>IF(ISBLANK('Data Entry'!M986), "", 'Data Entry'!M986)</f>
      </c>
      <c r="N986">
        <f>IF(ISBLANK('Data Entry'!N986), "", 'Data Entry'!N986)</f>
      </c>
      <c r="O986">
        <f>IF(ISBLANK('Data Entry'!O986), "", 'Data Entry'!O986)</f>
      </c>
      <c r="P986">
        <f>IF(ISBLANK('Data Entry'!P986), "", 'Data Entry'!P986)</f>
      </c>
      <c r="Q986">
        <f>IF(ISBLANK('Data Entry'!Q986), "", 'Data Entry'!Q986)</f>
      </c>
      <c r="R986">
        <f>IF(ISBLANK('Data Entry'!R986), "", 'Data Entry'!R986)</f>
      </c>
      <c r="S986">
        <f>IF(ISBLANK('Data Entry'!S986), "", 'Data Entry'!S986)</f>
      </c>
      <c r="T986">
        <f>IF(ISBLANK('Data Entry'!T986), "", 'Data Entry'!T986)</f>
      </c>
      <c r="U986">
        <f>IF(ISBLANK('Data Entry'!U986), "", 'Data Entry'!U986)</f>
      </c>
      <c r="V986">
        <f>IF(ISBLANK('Data Entry'!V986), "", 'Data Entry'!V986)</f>
      </c>
      <c r="W986">
        <f>IF(ISBLANK('Data Entry'!W986), "", 'Data Entry'!W986)</f>
      </c>
      <c r="X986">
        <f>IF(ISBLANK('Data Entry'!X986), "", 'Data Entry'!X986)</f>
      </c>
      <c r="Y986">
        <f>IF(ISBLANK('Data Entry'!Y986), "", 'Data Entry'!Y986)</f>
      </c>
      <c r="Z986">
        <f>IF(ISBLANK('Data Entry'!Z986), "", 'Data Entry'!Z986)</f>
      </c>
      <c r="AA986">
        <f>IF(ISBLANK('Data Entry'![986), "", 'Data Entry'![986)</f>
      </c>
      <c r="AB986">
        <f>IF(ISBLANK('Data Entry'!\986), "", 'Data Entry'!\986)</f>
      </c>
      <c r="AC986">
        <f>IF(ISBLANK('Data Entry'!]986), "", 'Data Entry'!]986)</f>
      </c>
      <c r="AD986">
        <f>IF(ISBLANK('Data Entry'!^986), "", 'Data Entry'!^986)</f>
      </c>
      <c r="AE986">
        <f>IF(ISBLANK('Data Entry'!_986), "", 'Data Entry'!_986)</f>
      </c>
      <c r="AF986">
        <f>IF(ISBLANK('Data Entry'!`986), "", 'Data Entry'!`986)</f>
      </c>
      <c r="AG986">
        <f>IF(ISBLANK('Data Entry'!a986), "", 'Data Entry'!a986)</f>
      </c>
      <c r="AH986">
        <f>IF(ISBLANK('Data Entry'!b986), "", 'Data Entry'!b986)</f>
      </c>
      <c r="AI986">
        <f>IF(ISBLANK('Data Entry'!c986), "", 'Data Entry'!c986)</f>
      </c>
      <c r="AJ986">
        <f>IF(ISBLANK('Data Entry'!d986), "", 'Data Entry'!d986)</f>
      </c>
      <c r="AK986">
        <f>IF(ISBLANK('Data Entry'!e986), "", 'Data Entry'!e986)</f>
      </c>
      <c r="AL986">
        <f>IF(ISBLANK('Data Entry'!f986), "", 'Data Entry'!f986)</f>
      </c>
      <c r="AM986">
        <f>IF(ISBLANK('Data Entry'!g986), "", 'Data Entry'!g986)</f>
      </c>
      <c r="AN986">
        <f>IF(ISBLANK('Data Entry'!h986), "", 'Data Entry'!h986)</f>
      </c>
    </row>
    <row r="987" spans="1:40" x14ac:dyDescent="0.25">
      <c r="A987">
        <f>IF(ISBLANK('Data Entry'!A987), "", 'Data Entry'!A987)</f>
      </c>
      <c r="B987">
        <f>IF(ISBLANK('Data Entry'!B987), "", 'Data Entry'!B987)</f>
      </c>
      <c r="C987">
        <f>IF(ISBLANK('Data Entry'!C987), "", 'Data Entry'!C987)</f>
      </c>
      <c r="D987">
        <f>IF(ISBLANK('Data Entry'!D987), "", 'Data Entry'!D987)</f>
      </c>
      <c r="E987">
        <f>IF(ISBLANK('Data Entry'!E987), "", 'Data Entry'!E987)</f>
      </c>
      <c r="F987">
        <f>IF(ISBLANK('Data Entry'!F987), "", 'Data Entry'!F987)</f>
      </c>
      <c r="G987">
        <f>IF(ISBLANK('Data Entry'!G987), "", 'Data Entry'!G987)</f>
      </c>
      <c r="H987">
        <f>IF(ISBLANK('Data Entry'!H987), "", 'Data Entry'!H987)</f>
      </c>
      <c r="I987">
        <f>IF(ISBLANK('Data Entry'!I987), "", 'Data Entry'!I987)</f>
      </c>
      <c r="J987">
        <f>IF(ISBLANK('Data Entry'!J987), "", 'Data Entry'!J987)</f>
      </c>
      <c r="K987">
        <f>IF(ISBLANK('Data Entry'!K987), "", 'Data Entry'!K987)</f>
      </c>
      <c r="L987">
        <f>IF(ISBLANK('Data Entry'!L987), "", 'Data Entry'!L987)</f>
      </c>
      <c r="M987">
        <f>IF(ISBLANK('Data Entry'!M987), "", 'Data Entry'!M987)</f>
      </c>
      <c r="N987">
        <f>IF(ISBLANK('Data Entry'!N987), "", 'Data Entry'!N987)</f>
      </c>
      <c r="O987">
        <f>IF(ISBLANK('Data Entry'!O987), "", 'Data Entry'!O987)</f>
      </c>
      <c r="P987">
        <f>IF(ISBLANK('Data Entry'!P987), "", 'Data Entry'!P987)</f>
      </c>
      <c r="Q987">
        <f>IF(ISBLANK('Data Entry'!Q987), "", 'Data Entry'!Q987)</f>
      </c>
      <c r="R987">
        <f>IF(ISBLANK('Data Entry'!R987), "", 'Data Entry'!R987)</f>
      </c>
      <c r="S987">
        <f>IF(ISBLANK('Data Entry'!S987), "", 'Data Entry'!S987)</f>
      </c>
      <c r="T987">
        <f>IF(ISBLANK('Data Entry'!T987), "", 'Data Entry'!T987)</f>
      </c>
      <c r="U987">
        <f>IF(ISBLANK('Data Entry'!U987), "", 'Data Entry'!U987)</f>
      </c>
      <c r="V987">
        <f>IF(ISBLANK('Data Entry'!V987), "", 'Data Entry'!V987)</f>
      </c>
      <c r="W987">
        <f>IF(ISBLANK('Data Entry'!W987), "", 'Data Entry'!W987)</f>
      </c>
      <c r="X987">
        <f>IF(ISBLANK('Data Entry'!X987), "", 'Data Entry'!X987)</f>
      </c>
      <c r="Y987">
        <f>IF(ISBLANK('Data Entry'!Y987), "", 'Data Entry'!Y987)</f>
      </c>
      <c r="Z987">
        <f>IF(ISBLANK('Data Entry'!Z987), "", 'Data Entry'!Z987)</f>
      </c>
      <c r="AA987">
        <f>IF(ISBLANK('Data Entry'![987), "", 'Data Entry'![987)</f>
      </c>
      <c r="AB987">
        <f>IF(ISBLANK('Data Entry'!\987), "", 'Data Entry'!\987)</f>
      </c>
      <c r="AC987">
        <f>IF(ISBLANK('Data Entry'!]987), "", 'Data Entry'!]987)</f>
      </c>
      <c r="AD987">
        <f>IF(ISBLANK('Data Entry'!^987), "", 'Data Entry'!^987)</f>
      </c>
      <c r="AE987">
        <f>IF(ISBLANK('Data Entry'!_987), "", 'Data Entry'!_987)</f>
      </c>
      <c r="AF987">
        <f>IF(ISBLANK('Data Entry'!`987), "", 'Data Entry'!`987)</f>
      </c>
      <c r="AG987">
        <f>IF(ISBLANK('Data Entry'!a987), "", 'Data Entry'!a987)</f>
      </c>
      <c r="AH987">
        <f>IF(ISBLANK('Data Entry'!b987), "", 'Data Entry'!b987)</f>
      </c>
      <c r="AI987">
        <f>IF(ISBLANK('Data Entry'!c987), "", 'Data Entry'!c987)</f>
      </c>
      <c r="AJ987">
        <f>IF(ISBLANK('Data Entry'!d987), "", 'Data Entry'!d987)</f>
      </c>
      <c r="AK987">
        <f>IF(ISBLANK('Data Entry'!e987), "", 'Data Entry'!e987)</f>
      </c>
      <c r="AL987">
        <f>IF(ISBLANK('Data Entry'!f987), "", 'Data Entry'!f987)</f>
      </c>
      <c r="AM987">
        <f>IF(ISBLANK('Data Entry'!g987), "", 'Data Entry'!g987)</f>
      </c>
      <c r="AN987">
        <f>IF(ISBLANK('Data Entry'!h987), "", 'Data Entry'!h987)</f>
      </c>
    </row>
    <row r="988" spans="1:40" x14ac:dyDescent="0.25">
      <c r="A988">
        <f>IF(ISBLANK('Data Entry'!A988), "", 'Data Entry'!A988)</f>
      </c>
      <c r="B988">
        <f>IF(ISBLANK('Data Entry'!B988), "", 'Data Entry'!B988)</f>
      </c>
      <c r="C988">
        <f>IF(ISBLANK('Data Entry'!C988), "", 'Data Entry'!C988)</f>
      </c>
      <c r="D988">
        <f>IF(ISBLANK('Data Entry'!D988), "", 'Data Entry'!D988)</f>
      </c>
      <c r="E988">
        <f>IF(ISBLANK('Data Entry'!E988), "", 'Data Entry'!E988)</f>
      </c>
      <c r="F988">
        <f>IF(ISBLANK('Data Entry'!F988), "", 'Data Entry'!F988)</f>
      </c>
      <c r="G988">
        <f>IF(ISBLANK('Data Entry'!G988), "", 'Data Entry'!G988)</f>
      </c>
      <c r="H988">
        <f>IF(ISBLANK('Data Entry'!H988), "", 'Data Entry'!H988)</f>
      </c>
      <c r="I988">
        <f>IF(ISBLANK('Data Entry'!I988), "", 'Data Entry'!I988)</f>
      </c>
      <c r="J988">
        <f>IF(ISBLANK('Data Entry'!J988), "", 'Data Entry'!J988)</f>
      </c>
      <c r="K988">
        <f>IF(ISBLANK('Data Entry'!K988), "", 'Data Entry'!K988)</f>
      </c>
      <c r="L988">
        <f>IF(ISBLANK('Data Entry'!L988), "", 'Data Entry'!L988)</f>
      </c>
      <c r="M988">
        <f>IF(ISBLANK('Data Entry'!M988), "", 'Data Entry'!M988)</f>
      </c>
      <c r="N988">
        <f>IF(ISBLANK('Data Entry'!N988), "", 'Data Entry'!N988)</f>
      </c>
      <c r="O988">
        <f>IF(ISBLANK('Data Entry'!O988), "", 'Data Entry'!O988)</f>
      </c>
      <c r="P988">
        <f>IF(ISBLANK('Data Entry'!P988), "", 'Data Entry'!P988)</f>
      </c>
      <c r="Q988">
        <f>IF(ISBLANK('Data Entry'!Q988), "", 'Data Entry'!Q988)</f>
      </c>
      <c r="R988">
        <f>IF(ISBLANK('Data Entry'!R988), "", 'Data Entry'!R988)</f>
      </c>
      <c r="S988">
        <f>IF(ISBLANK('Data Entry'!S988), "", 'Data Entry'!S988)</f>
      </c>
      <c r="T988">
        <f>IF(ISBLANK('Data Entry'!T988), "", 'Data Entry'!T988)</f>
      </c>
      <c r="U988">
        <f>IF(ISBLANK('Data Entry'!U988), "", 'Data Entry'!U988)</f>
      </c>
      <c r="V988">
        <f>IF(ISBLANK('Data Entry'!V988), "", 'Data Entry'!V988)</f>
      </c>
      <c r="W988">
        <f>IF(ISBLANK('Data Entry'!W988), "", 'Data Entry'!W988)</f>
      </c>
      <c r="X988">
        <f>IF(ISBLANK('Data Entry'!X988), "", 'Data Entry'!X988)</f>
      </c>
      <c r="Y988">
        <f>IF(ISBLANK('Data Entry'!Y988), "", 'Data Entry'!Y988)</f>
      </c>
      <c r="Z988">
        <f>IF(ISBLANK('Data Entry'!Z988), "", 'Data Entry'!Z988)</f>
      </c>
      <c r="AA988">
        <f>IF(ISBLANK('Data Entry'![988), "", 'Data Entry'![988)</f>
      </c>
      <c r="AB988">
        <f>IF(ISBLANK('Data Entry'!\988), "", 'Data Entry'!\988)</f>
      </c>
      <c r="AC988">
        <f>IF(ISBLANK('Data Entry'!]988), "", 'Data Entry'!]988)</f>
      </c>
      <c r="AD988">
        <f>IF(ISBLANK('Data Entry'!^988), "", 'Data Entry'!^988)</f>
      </c>
      <c r="AE988">
        <f>IF(ISBLANK('Data Entry'!_988), "", 'Data Entry'!_988)</f>
      </c>
      <c r="AF988">
        <f>IF(ISBLANK('Data Entry'!`988), "", 'Data Entry'!`988)</f>
      </c>
      <c r="AG988">
        <f>IF(ISBLANK('Data Entry'!a988), "", 'Data Entry'!a988)</f>
      </c>
      <c r="AH988">
        <f>IF(ISBLANK('Data Entry'!b988), "", 'Data Entry'!b988)</f>
      </c>
      <c r="AI988">
        <f>IF(ISBLANK('Data Entry'!c988), "", 'Data Entry'!c988)</f>
      </c>
      <c r="AJ988">
        <f>IF(ISBLANK('Data Entry'!d988), "", 'Data Entry'!d988)</f>
      </c>
      <c r="AK988">
        <f>IF(ISBLANK('Data Entry'!e988), "", 'Data Entry'!e988)</f>
      </c>
      <c r="AL988">
        <f>IF(ISBLANK('Data Entry'!f988), "", 'Data Entry'!f988)</f>
      </c>
      <c r="AM988">
        <f>IF(ISBLANK('Data Entry'!g988), "", 'Data Entry'!g988)</f>
      </c>
      <c r="AN988">
        <f>IF(ISBLANK('Data Entry'!h988), "", 'Data Entry'!h988)</f>
      </c>
    </row>
    <row r="989" spans="1:40" x14ac:dyDescent="0.25">
      <c r="A989">
        <f>IF(ISBLANK('Data Entry'!A989), "", 'Data Entry'!A989)</f>
      </c>
      <c r="B989">
        <f>IF(ISBLANK('Data Entry'!B989), "", 'Data Entry'!B989)</f>
      </c>
      <c r="C989">
        <f>IF(ISBLANK('Data Entry'!C989), "", 'Data Entry'!C989)</f>
      </c>
      <c r="D989">
        <f>IF(ISBLANK('Data Entry'!D989), "", 'Data Entry'!D989)</f>
      </c>
      <c r="E989">
        <f>IF(ISBLANK('Data Entry'!E989), "", 'Data Entry'!E989)</f>
      </c>
      <c r="F989">
        <f>IF(ISBLANK('Data Entry'!F989), "", 'Data Entry'!F989)</f>
      </c>
      <c r="G989">
        <f>IF(ISBLANK('Data Entry'!G989), "", 'Data Entry'!G989)</f>
      </c>
      <c r="H989">
        <f>IF(ISBLANK('Data Entry'!H989), "", 'Data Entry'!H989)</f>
      </c>
      <c r="I989">
        <f>IF(ISBLANK('Data Entry'!I989), "", 'Data Entry'!I989)</f>
      </c>
      <c r="J989">
        <f>IF(ISBLANK('Data Entry'!J989), "", 'Data Entry'!J989)</f>
      </c>
      <c r="K989">
        <f>IF(ISBLANK('Data Entry'!K989), "", 'Data Entry'!K989)</f>
      </c>
      <c r="L989">
        <f>IF(ISBLANK('Data Entry'!L989), "", 'Data Entry'!L989)</f>
      </c>
      <c r="M989">
        <f>IF(ISBLANK('Data Entry'!M989), "", 'Data Entry'!M989)</f>
      </c>
      <c r="N989">
        <f>IF(ISBLANK('Data Entry'!N989), "", 'Data Entry'!N989)</f>
      </c>
      <c r="O989">
        <f>IF(ISBLANK('Data Entry'!O989), "", 'Data Entry'!O989)</f>
      </c>
      <c r="P989">
        <f>IF(ISBLANK('Data Entry'!P989), "", 'Data Entry'!P989)</f>
      </c>
      <c r="Q989">
        <f>IF(ISBLANK('Data Entry'!Q989), "", 'Data Entry'!Q989)</f>
      </c>
      <c r="R989">
        <f>IF(ISBLANK('Data Entry'!R989), "", 'Data Entry'!R989)</f>
      </c>
      <c r="S989">
        <f>IF(ISBLANK('Data Entry'!S989), "", 'Data Entry'!S989)</f>
      </c>
      <c r="T989">
        <f>IF(ISBLANK('Data Entry'!T989), "", 'Data Entry'!T989)</f>
      </c>
      <c r="U989">
        <f>IF(ISBLANK('Data Entry'!U989), "", 'Data Entry'!U989)</f>
      </c>
      <c r="V989">
        <f>IF(ISBLANK('Data Entry'!V989), "", 'Data Entry'!V989)</f>
      </c>
      <c r="W989">
        <f>IF(ISBLANK('Data Entry'!W989), "", 'Data Entry'!W989)</f>
      </c>
      <c r="X989">
        <f>IF(ISBLANK('Data Entry'!X989), "", 'Data Entry'!X989)</f>
      </c>
      <c r="Y989">
        <f>IF(ISBLANK('Data Entry'!Y989), "", 'Data Entry'!Y989)</f>
      </c>
      <c r="Z989">
        <f>IF(ISBLANK('Data Entry'!Z989), "", 'Data Entry'!Z989)</f>
      </c>
      <c r="AA989">
        <f>IF(ISBLANK('Data Entry'![989), "", 'Data Entry'![989)</f>
      </c>
      <c r="AB989">
        <f>IF(ISBLANK('Data Entry'!\989), "", 'Data Entry'!\989)</f>
      </c>
      <c r="AC989">
        <f>IF(ISBLANK('Data Entry'!]989), "", 'Data Entry'!]989)</f>
      </c>
      <c r="AD989">
        <f>IF(ISBLANK('Data Entry'!^989), "", 'Data Entry'!^989)</f>
      </c>
      <c r="AE989">
        <f>IF(ISBLANK('Data Entry'!_989), "", 'Data Entry'!_989)</f>
      </c>
      <c r="AF989">
        <f>IF(ISBLANK('Data Entry'!`989), "", 'Data Entry'!`989)</f>
      </c>
      <c r="AG989">
        <f>IF(ISBLANK('Data Entry'!a989), "", 'Data Entry'!a989)</f>
      </c>
      <c r="AH989">
        <f>IF(ISBLANK('Data Entry'!b989), "", 'Data Entry'!b989)</f>
      </c>
      <c r="AI989">
        <f>IF(ISBLANK('Data Entry'!c989), "", 'Data Entry'!c989)</f>
      </c>
      <c r="AJ989">
        <f>IF(ISBLANK('Data Entry'!d989), "", 'Data Entry'!d989)</f>
      </c>
      <c r="AK989">
        <f>IF(ISBLANK('Data Entry'!e989), "", 'Data Entry'!e989)</f>
      </c>
      <c r="AL989">
        <f>IF(ISBLANK('Data Entry'!f989), "", 'Data Entry'!f989)</f>
      </c>
      <c r="AM989">
        <f>IF(ISBLANK('Data Entry'!g989), "", 'Data Entry'!g989)</f>
      </c>
      <c r="AN989">
        <f>IF(ISBLANK('Data Entry'!h989), "", 'Data Entry'!h989)</f>
      </c>
    </row>
    <row r="990" spans="1:40" x14ac:dyDescent="0.25">
      <c r="A990">
        <f>IF(ISBLANK('Data Entry'!A990), "", 'Data Entry'!A990)</f>
      </c>
      <c r="B990">
        <f>IF(ISBLANK('Data Entry'!B990), "", 'Data Entry'!B990)</f>
      </c>
      <c r="C990">
        <f>IF(ISBLANK('Data Entry'!C990), "", 'Data Entry'!C990)</f>
      </c>
      <c r="D990">
        <f>IF(ISBLANK('Data Entry'!D990), "", 'Data Entry'!D990)</f>
      </c>
      <c r="E990">
        <f>IF(ISBLANK('Data Entry'!E990), "", 'Data Entry'!E990)</f>
      </c>
      <c r="F990">
        <f>IF(ISBLANK('Data Entry'!F990), "", 'Data Entry'!F990)</f>
      </c>
      <c r="G990">
        <f>IF(ISBLANK('Data Entry'!G990), "", 'Data Entry'!G990)</f>
      </c>
      <c r="H990">
        <f>IF(ISBLANK('Data Entry'!H990), "", 'Data Entry'!H990)</f>
      </c>
      <c r="I990">
        <f>IF(ISBLANK('Data Entry'!I990), "", 'Data Entry'!I990)</f>
      </c>
      <c r="J990">
        <f>IF(ISBLANK('Data Entry'!J990), "", 'Data Entry'!J990)</f>
      </c>
      <c r="K990">
        <f>IF(ISBLANK('Data Entry'!K990), "", 'Data Entry'!K990)</f>
      </c>
      <c r="L990">
        <f>IF(ISBLANK('Data Entry'!L990), "", 'Data Entry'!L990)</f>
      </c>
      <c r="M990">
        <f>IF(ISBLANK('Data Entry'!M990), "", 'Data Entry'!M990)</f>
      </c>
      <c r="N990">
        <f>IF(ISBLANK('Data Entry'!N990), "", 'Data Entry'!N990)</f>
      </c>
      <c r="O990">
        <f>IF(ISBLANK('Data Entry'!O990), "", 'Data Entry'!O990)</f>
      </c>
      <c r="P990">
        <f>IF(ISBLANK('Data Entry'!P990), "", 'Data Entry'!P990)</f>
      </c>
      <c r="Q990">
        <f>IF(ISBLANK('Data Entry'!Q990), "", 'Data Entry'!Q990)</f>
      </c>
      <c r="R990">
        <f>IF(ISBLANK('Data Entry'!R990), "", 'Data Entry'!R990)</f>
      </c>
      <c r="S990">
        <f>IF(ISBLANK('Data Entry'!S990), "", 'Data Entry'!S990)</f>
      </c>
      <c r="T990">
        <f>IF(ISBLANK('Data Entry'!T990), "", 'Data Entry'!T990)</f>
      </c>
      <c r="U990">
        <f>IF(ISBLANK('Data Entry'!U990), "", 'Data Entry'!U990)</f>
      </c>
      <c r="V990">
        <f>IF(ISBLANK('Data Entry'!V990), "", 'Data Entry'!V990)</f>
      </c>
      <c r="W990">
        <f>IF(ISBLANK('Data Entry'!W990), "", 'Data Entry'!W990)</f>
      </c>
      <c r="X990">
        <f>IF(ISBLANK('Data Entry'!X990), "", 'Data Entry'!X990)</f>
      </c>
      <c r="Y990">
        <f>IF(ISBLANK('Data Entry'!Y990), "", 'Data Entry'!Y990)</f>
      </c>
      <c r="Z990">
        <f>IF(ISBLANK('Data Entry'!Z990), "", 'Data Entry'!Z990)</f>
      </c>
      <c r="AA990">
        <f>IF(ISBLANK('Data Entry'![990), "", 'Data Entry'![990)</f>
      </c>
      <c r="AB990">
        <f>IF(ISBLANK('Data Entry'!\990), "", 'Data Entry'!\990)</f>
      </c>
      <c r="AC990">
        <f>IF(ISBLANK('Data Entry'!]990), "", 'Data Entry'!]990)</f>
      </c>
      <c r="AD990">
        <f>IF(ISBLANK('Data Entry'!^990), "", 'Data Entry'!^990)</f>
      </c>
      <c r="AE990">
        <f>IF(ISBLANK('Data Entry'!_990), "", 'Data Entry'!_990)</f>
      </c>
      <c r="AF990">
        <f>IF(ISBLANK('Data Entry'!`990), "", 'Data Entry'!`990)</f>
      </c>
      <c r="AG990">
        <f>IF(ISBLANK('Data Entry'!a990), "", 'Data Entry'!a990)</f>
      </c>
      <c r="AH990">
        <f>IF(ISBLANK('Data Entry'!b990), "", 'Data Entry'!b990)</f>
      </c>
      <c r="AI990">
        <f>IF(ISBLANK('Data Entry'!c990), "", 'Data Entry'!c990)</f>
      </c>
      <c r="AJ990">
        <f>IF(ISBLANK('Data Entry'!d990), "", 'Data Entry'!d990)</f>
      </c>
      <c r="AK990">
        <f>IF(ISBLANK('Data Entry'!e990), "", 'Data Entry'!e990)</f>
      </c>
      <c r="AL990">
        <f>IF(ISBLANK('Data Entry'!f990), "", 'Data Entry'!f990)</f>
      </c>
      <c r="AM990">
        <f>IF(ISBLANK('Data Entry'!g990), "", 'Data Entry'!g990)</f>
      </c>
      <c r="AN990">
        <f>IF(ISBLANK('Data Entry'!h990), "", 'Data Entry'!h990)</f>
      </c>
    </row>
    <row r="991" spans="1:40" x14ac:dyDescent="0.25">
      <c r="A991">
        <f>IF(ISBLANK('Data Entry'!A991), "", 'Data Entry'!A991)</f>
      </c>
      <c r="B991">
        <f>IF(ISBLANK('Data Entry'!B991), "", 'Data Entry'!B991)</f>
      </c>
      <c r="C991">
        <f>IF(ISBLANK('Data Entry'!C991), "", 'Data Entry'!C991)</f>
      </c>
      <c r="D991">
        <f>IF(ISBLANK('Data Entry'!D991), "", 'Data Entry'!D991)</f>
      </c>
      <c r="E991">
        <f>IF(ISBLANK('Data Entry'!E991), "", 'Data Entry'!E991)</f>
      </c>
      <c r="F991">
        <f>IF(ISBLANK('Data Entry'!F991), "", 'Data Entry'!F991)</f>
      </c>
      <c r="G991">
        <f>IF(ISBLANK('Data Entry'!G991), "", 'Data Entry'!G991)</f>
      </c>
      <c r="H991">
        <f>IF(ISBLANK('Data Entry'!H991), "", 'Data Entry'!H991)</f>
      </c>
      <c r="I991">
        <f>IF(ISBLANK('Data Entry'!I991), "", 'Data Entry'!I991)</f>
      </c>
      <c r="J991">
        <f>IF(ISBLANK('Data Entry'!J991), "", 'Data Entry'!J991)</f>
      </c>
      <c r="K991">
        <f>IF(ISBLANK('Data Entry'!K991), "", 'Data Entry'!K991)</f>
      </c>
      <c r="L991">
        <f>IF(ISBLANK('Data Entry'!L991), "", 'Data Entry'!L991)</f>
      </c>
      <c r="M991">
        <f>IF(ISBLANK('Data Entry'!M991), "", 'Data Entry'!M991)</f>
      </c>
      <c r="N991">
        <f>IF(ISBLANK('Data Entry'!N991), "", 'Data Entry'!N991)</f>
      </c>
      <c r="O991">
        <f>IF(ISBLANK('Data Entry'!O991), "", 'Data Entry'!O991)</f>
      </c>
      <c r="P991">
        <f>IF(ISBLANK('Data Entry'!P991), "", 'Data Entry'!P991)</f>
      </c>
      <c r="Q991">
        <f>IF(ISBLANK('Data Entry'!Q991), "", 'Data Entry'!Q991)</f>
      </c>
      <c r="R991">
        <f>IF(ISBLANK('Data Entry'!R991), "", 'Data Entry'!R991)</f>
      </c>
      <c r="S991">
        <f>IF(ISBLANK('Data Entry'!S991), "", 'Data Entry'!S991)</f>
      </c>
      <c r="T991">
        <f>IF(ISBLANK('Data Entry'!T991), "", 'Data Entry'!T991)</f>
      </c>
      <c r="U991">
        <f>IF(ISBLANK('Data Entry'!U991), "", 'Data Entry'!U991)</f>
      </c>
      <c r="V991">
        <f>IF(ISBLANK('Data Entry'!V991), "", 'Data Entry'!V991)</f>
      </c>
      <c r="W991">
        <f>IF(ISBLANK('Data Entry'!W991), "", 'Data Entry'!W991)</f>
      </c>
      <c r="X991">
        <f>IF(ISBLANK('Data Entry'!X991), "", 'Data Entry'!X991)</f>
      </c>
      <c r="Y991">
        <f>IF(ISBLANK('Data Entry'!Y991), "", 'Data Entry'!Y991)</f>
      </c>
      <c r="Z991">
        <f>IF(ISBLANK('Data Entry'!Z991), "", 'Data Entry'!Z991)</f>
      </c>
      <c r="AA991">
        <f>IF(ISBLANK('Data Entry'![991), "", 'Data Entry'![991)</f>
      </c>
      <c r="AB991">
        <f>IF(ISBLANK('Data Entry'!\991), "", 'Data Entry'!\991)</f>
      </c>
      <c r="AC991">
        <f>IF(ISBLANK('Data Entry'!]991), "", 'Data Entry'!]991)</f>
      </c>
      <c r="AD991">
        <f>IF(ISBLANK('Data Entry'!^991), "", 'Data Entry'!^991)</f>
      </c>
      <c r="AE991">
        <f>IF(ISBLANK('Data Entry'!_991), "", 'Data Entry'!_991)</f>
      </c>
      <c r="AF991">
        <f>IF(ISBLANK('Data Entry'!`991), "", 'Data Entry'!`991)</f>
      </c>
      <c r="AG991">
        <f>IF(ISBLANK('Data Entry'!a991), "", 'Data Entry'!a991)</f>
      </c>
      <c r="AH991">
        <f>IF(ISBLANK('Data Entry'!b991), "", 'Data Entry'!b991)</f>
      </c>
      <c r="AI991">
        <f>IF(ISBLANK('Data Entry'!c991), "", 'Data Entry'!c991)</f>
      </c>
      <c r="AJ991">
        <f>IF(ISBLANK('Data Entry'!d991), "", 'Data Entry'!d991)</f>
      </c>
      <c r="AK991">
        <f>IF(ISBLANK('Data Entry'!e991), "", 'Data Entry'!e991)</f>
      </c>
      <c r="AL991">
        <f>IF(ISBLANK('Data Entry'!f991), "", 'Data Entry'!f991)</f>
      </c>
      <c r="AM991">
        <f>IF(ISBLANK('Data Entry'!g991), "", 'Data Entry'!g991)</f>
      </c>
      <c r="AN991">
        <f>IF(ISBLANK('Data Entry'!h991), "", 'Data Entry'!h991)</f>
      </c>
    </row>
    <row r="992" spans="1:40" x14ac:dyDescent="0.25">
      <c r="A992">
        <f>IF(ISBLANK('Data Entry'!A992), "", 'Data Entry'!A992)</f>
      </c>
      <c r="B992">
        <f>IF(ISBLANK('Data Entry'!B992), "", 'Data Entry'!B992)</f>
      </c>
      <c r="C992">
        <f>IF(ISBLANK('Data Entry'!C992), "", 'Data Entry'!C992)</f>
      </c>
      <c r="D992">
        <f>IF(ISBLANK('Data Entry'!D992), "", 'Data Entry'!D992)</f>
      </c>
      <c r="E992">
        <f>IF(ISBLANK('Data Entry'!E992), "", 'Data Entry'!E992)</f>
      </c>
      <c r="F992">
        <f>IF(ISBLANK('Data Entry'!F992), "", 'Data Entry'!F992)</f>
      </c>
      <c r="G992">
        <f>IF(ISBLANK('Data Entry'!G992), "", 'Data Entry'!G992)</f>
      </c>
      <c r="H992">
        <f>IF(ISBLANK('Data Entry'!H992), "", 'Data Entry'!H992)</f>
      </c>
      <c r="I992">
        <f>IF(ISBLANK('Data Entry'!I992), "", 'Data Entry'!I992)</f>
      </c>
      <c r="J992">
        <f>IF(ISBLANK('Data Entry'!J992), "", 'Data Entry'!J992)</f>
      </c>
      <c r="K992">
        <f>IF(ISBLANK('Data Entry'!K992), "", 'Data Entry'!K992)</f>
      </c>
      <c r="L992">
        <f>IF(ISBLANK('Data Entry'!L992), "", 'Data Entry'!L992)</f>
      </c>
      <c r="M992">
        <f>IF(ISBLANK('Data Entry'!M992), "", 'Data Entry'!M992)</f>
      </c>
      <c r="N992">
        <f>IF(ISBLANK('Data Entry'!N992), "", 'Data Entry'!N992)</f>
      </c>
      <c r="O992">
        <f>IF(ISBLANK('Data Entry'!O992), "", 'Data Entry'!O992)</f>
      </c>
      <c r="P992">
        <f>IF(ISBLANK('Data Entry'!P992), "", 'Data Entry'!P992)</f>
      </c>
      <c r="Q992">
        <f>IF(ISBLANK('Data Entry'!Q992), "", 'Data Entry'!Q992)</f>
      </c>
      <c r="R992">
        <f>IF(ISBLANK('Data Entry'!R992), "", 'Data Entry'!R992)</f>
      </c>
      <c r="S992">
        <f>IF(ISBLANK('Data Entry'!S992), "", 'Data Entry'!S992)</f>
      </c>
      <c r="T992">
        <f>IF(ISBLANK('Data Entry'!T992), "", 'Data Entry'!T992)</f>
      </c>
      <c r="U992">
        <f>IF(ISBLANK('Data Entry'!U992), "", 'Data Entry'!U992)</f>
      </c>
      <c r="V992">
        <f>IF(ISBLANK('Data Entry'!V992), "", 'Data Entry'!V992)</f>
      </c>
      <c r="W992">
        <f>IF(ISBLANK('Data Entry'!W992), "", 'Data Entry'!W992)</f>
      </c>
      <c r="X992">
        <f>IF(ISBLANK('Data Entry'!X992), "", 'Data Entry'!X992)</f>
      </c>
      <c r="Y992">
        <f>IF(ISBLANK('Data Entry'!Y992), "", 'Data Entry'!Y992)</f>
      </c>
      <c r="Z992">
        <f>IF(ISBLANK('Data Entry'!Z992), "", 'Data Entry'!Z992)</f>
      </c>
      <c r="AA992">
        <f>IF(ISBLANK('Data Entry'![992), "", 'Data Entry'![992)</f>
      </c>
      <c r="AB992">
        <f>IF(ISBLANK('Data Entry'!\992), "", 'Data Entry'!\992)</f>
      </c>
      <c r="AC992">
        <f>IF(ISBLANK('Data Entry'!]992), "", 'Data Entry'!]992)</f>
      </c>
      <c r="AD992">
        <f>IF(ISBLANK('Data Entry'!^992), "", 'Data Entry'!^992)</f>
      </c>
      <c r="AE992">
        <f>IF(ISBLANK('Data Entry'!_992), "", 'Data Entry'!_992)</f>
      </c>
      <c r="AF992">
        <f>IF(ISBLANK('Data Entry'!`992), "", 'Data Entry'!`992)</f>
      </c>
      <c r="AG992">
        <f>IF(ISBLANK('Data Entry'!a992), "", 'Data Entry'!a992)</f>
      </c>
      <c r="AH992">
        <f>IF(ISBLANK('Data Entry'!b992), "", 'Data Entry'!b992)</f>
      </c>
      <c r="AI992">
        <f>IF(ISBLANK('Data Entry'!c992), "", 'Data Entry'!c992)</f>
      </c>
      <c r="AJ992">
        <f>IF(ISBLANK('Data Entry'!d992), "", 'Data Entry'!d992)</f>
      </c>
      <c r="AK992">
        <f>IF(ISBLANK('Data Entry'!e992), "", 'Data Entry'!e992)</f>
      </c>
      <c r="AL992">
        <f>IF(ISBLANK('Data Entry'!f992), "", 'Data Entry'!f992)</f>
      </c>
      <c r="AM992">
        <f>IF(ISBLANK('Data Entry'!g992), "", 'Data Entry'!g992)</f>
      </c>
      <c r="AN992">
        <f>IF(ISBLANK('Data Entry'!h992), "", 'Data Entry'!h992)</f>
      </c>
    </row>
    <row r="993" spans="1:40" x14ac:dyDescent="0.25">
      <c r="A993">
        <f>IF(ISBLANK('Data Entry'!A993), "", 'Data Entry'!A993)</f>
      </c>
      <c r="B993">
        <f>IF(ISBLANK('Data Entry'!B993), "", 'Data Entry'!B993)</f>
      </c>
      <c r="C993">
        <f>IF(ISBLANK('Data Entry'!C993), "", 'Data Entry'!C993)</f>
      </c>
      <c r="D993">
        <f>IF(ISBLANK('Data Entry'!D993), "", 'Data Entry'!D993)</f>
      </c>
      <c r="E993">
        <f>IF(ISBLANK('Data Entry'!E993), "", 'Data Entry'!E993)</f>
      </c>
      <c r="F993">
        <f>IF(ISBLANK('Data Entry'!F993), "", 'Data Entry'!F993)</f>
      </c>
      <c r="G993">
        <f>IF(ISBLANK('Data Entry'!G993), "", 'Data Entry'!G993)</f>
      </c>
      <c r="H993">
        <f>IF(ISBLANK('Data Entry'!H993), "", 'Data Entry'!H993)</f>
      </c>
      <c r="I993">
        <f>IF(ISBLANK('Data Entry'!I993), "", 'Data Entry'!I993)</f>
      </c>
      <c r="J993">
        <f>IF(ISBLANK('Data Entry'!J993), "", 'Data Entry'!J993)</f>
      </c>
      <c r="K993">
        <f>IF(ISBLANK('Data Entry'!K993), "", 'Data Entry'!K993)</f>
      </c>
      <c r="L993">
        <f>IF(ISBLANK('Data Entry'!L993), "", 'Data Entry'!L993)</f>
      </c>
      <c r="M993">
        <f>IF(ISBLANK('Data Entry'!M993), "", 'Data Entry'!M993)</f>
      </c>
      <c r="N993">
        <f>IF(ISBLANK('Data Entry'!N993), "", 'Data Entry'!N993)</f>
      </c>
      <c r="O993">
        <f>IF(ISBLANK('Data Entry'!O993), "", 'Data Entry'!O993)</f>
      </c>
      <c r="P993">
        <f>IF(ISBLANK('Data Entry'!P993), "", 'Data Entry'!P993)</f>
      </c>
      <c r="Q993">
        <f>IF(ISBLANK('Data Entry'!Q993), "", 'Data Entry'!Q993)</f>
      </c>
      <c r="R993">
        <f>IF(ISBLANK('Data Entry'!R993), "", 'Data Entry'!R993)</f>
      </c>
      <c r="S993">
        <f>IF(ISBLANK('Data Entry'!S993), "", 'Data Entry'!S993)</f>
      </c>
      <c r="T993">
        <f>IF(ISBLANK('Data Entry'!T993), "", 'Data Entry'!T993)</f>
      </c>
      <c r="U993">
        <f>IF(ISBLANK('Data Entry'!U993), "", 'Data Entry'!U993)</f>
      </c>
      <c r="V993">
        <f>IF(ISBLANK('Data Entry'!V993), "", 'Data Entry'!V993)</f>
      </c>
      <c r="W993">
        <f>IF(ISBLANK('Data Entry'!W993), "", 'Data Entry'!W993)</f>
      </c>
      <c r="X993">
        <f>IF(ISBLANK('Data Entry'!X993), "", 'Data Entry'!X993)</f>
      </c>
      <c r="Y993">
        <f>IF(ISBLANK('Data Entry'!Y993), "", 'Data Entry'!Y993)</f>
      </c>
      <c r="Z993">
        <f>IF(ISBLANK('Data Entry'!Z993), "", 'Data Entry'!Z993)</f>
      </c>
      <c r="AA993">
        <f>IF(ISBLANK('Data Entry'![993), "", 'Data Entry'![993)</f>
      </c>
      <c r="AB993">
        <f>IF(ISBLANK('Data Entry'!\993), "", 'Data Entry'!\993)</f>
      </c>
      <c r="AC993">
        <f>IF(ISBLANK('Data Entry'!]993), "", 'Data Entry'!]993)</f>
      </c>
      <c r="AD993">
        <f>IF(ISBLANK('Data Entry'!^993), "", 'Data Entry'!^993)</f>
      </c>
      <c r="AE993">
        <f>IF(ISBLANK('Data Entry'!_993), "", 'Data Entry'!_993)</f>
      </c>
      <c r="AF993">
        <f>IF(ISBLANK('Data Entry'!`993), "", 'Data Entry'!`993)</f>
      </c>
      <c r="AG993">
        <f>IF(ISBLANK('Data Entry'!a993), "", 'Data Entry'!a993)</f>
      </c>
      <c r="AH993">
        <f>IF(ISBLANK('Data Entry'!b993), "", 'Data Entry'!b993)</f>
      </c>
      <c r="AI993">
        <f>IF(ISBLANK('Data Entry'!c993), "", 'Data Entry'!c993)</f>
      </c>
      <c r="AJ993">
        <f>IF(ISBLANK('Data Entry'!d993), "", 'Data Entry'!d993)</f>
      </c>
      <c r="AK993">
        <f>IF(ISBLANK('Data Entry'!e993), "", 'Data Entry'!e993)</f>
      </c>
      <c r="AL993">
        <f>IF(ISBLANK('Data Entry'!f993), "", 'Data Entry'!f993)</f>
      </c>
      <c r="AM993">
        <f>IF(ISBLANK('Data Entry'!g993), "", 'Data Entry'!g993)</f>
      </c>
      <c r="AN993">
        <f>IF(ISBLANK('Data Entry'!h993), "", 'Data Entry'!h993)</f>
      </c>
    </row>
    <row r="994" spans="1:40" x14ac:dyDescent="0.25">
      <c r="A994">
        <f>IF(ISBLANK('Data Entry'!A994), "", 'Data Entry'!A994)</f>
      </c>
      <c r="B994">
        <f>IF(ISBLANK('Data Entry'!B994), "", 'Data Entry'!B994)</f>
      </c>
      <c r="C994">
        <f>IF(ISBLANK('Data Entry'!C994), "", 'Data Entry'!C994)</f>
      </c>
      <c r="D994">
        <f>IF(ISBLANK('Data Entry'!D994), "", 'Data Entry'!D994)</f>
      </c>
      <c r="E994">
        <f>IF(ISBLANK('Data Entry'!E994), "", 'Data Entry'!E994)</f>
      </c>
      <c r="F994">
        <f>IF(ISBLANK('Data Entry'!F994), "", 'Data Entry'!F994)</f>
      </c>
      <c r="G994">
        <f>IF(ISBLANK('Data Entry'!G994), "", 'Data Entry'!G994)</f>
      </c>
      <c r="H994">
        <f>IF(ISBLANK('Data Entry'!H994), "", 'Data Entry'!H994)</f>
      </c>
      <c r="I994">
        <f>IF(ISBLANK('Data Entry'!I994), "", 'Data Entry'!I994)</f>
      </c>
      <c r="J994">
        <f>IF(ISBLANK('Data Entry'!J994), "", 'Data Entry'!J994)</f>
      </c>
      <c r="K994">
        <f>IF(ISBLANK('Data Entry'!K994), "", 'Data Entry'!K994)</f>
      </c>
      <c r="L994">
        <f>IF(ISBLANK('Data Entry'!L994), "", 'Data Entry'!L994)</f>
      </c>
      <c r="M994">
        <f>IF(ISBLANK('Data Entry'!M994), "", 'Data Entry'!M994)</f>
      </c>
      <c r="N994">
        <f>IF(ISBLANK('Data Entry'!N994), "", 'Data Entry'!N994)</f>
      </c>
      <c r="O994">
        <f>IF(ISBLANK('Data Entry'!O994), "", 'Data Entry'!O994)</f>
      </c>
      <c r="P994">
        <f>IF(ISBLANK('Data Entry'!P994), "", 'Data Entry'!P994)</f>
      </c>
      <c r="Q994">
        <f>IF(ISBLANK('Data Entry'!Q994), "", 'Data Entry'!Q994)</f>
      </c>
      <c r="R994">
        <f>IF(ISBLANK('Data Entry'!R994), "", 'Data Entry'!R994)</f>
      </c>
      <c r="S994">
        <f>IF(ISBLANK('Data Entry'!S994), "", 'Data Entry'!S994)</f>
      </c>
      <c r="T994">
        <f>IF(ISBLANK('Data Entry'!T994), "", 'Data Entry'!T994)</f>
      </c>
      <c r="U994">
        <f>IF(ISBLANK('Data Entry'!U994), "", 'Data Entry'!U994)</f>
      </c>
      <c r="V994">
        <f>IF(ISBLANK('Data Entry'!V994), "", 'Data Entry'!V994)</f>
      </c>
      <c r="W994">
        <f>IF(ISBLANK('Data Entry'!W994), "", 'Data Entry'!W994)</f>
      </c>
      <c r="X994">
        <f>IF(ISBLANK('Data Entry'!X994), "", 'Data Entry'!X994)</f>
      </c>
      <c r="Y994">
        <f>IF(ISBLANK('Data Entry'!Y994), "", 'Data Entry'!Y994)</f>
      </c>
      <c r="Z994">
        <f>IF(ISBLANK('Data Entry'!Z994), "", 'Data Entry'!Z994)</f>
      </c>
      <c r="AA994">
        <f>IF(ISBLANK('Data Entry'![994), "", 'Data Entry'![994)</f>
      </c>
      <c r="AB994">
        <f>IF(ISBLANK('Data Entry'!\994), "", 'Data Entry'!\994)</f>
      </c>
      <c r="AC994">
        <f>IF(ISBLANK('Data Entry'!]994), "", 'Data Entry'!]994)</f>
      </c>
      <c r="AD994">
        <f>IF(ISBLANK('Data Entry'!^994), "", 'Data Entry'!^994)</f>
      </c>
      <c r="AE994">
        <f>IF(ISBLANK('Data Entry'!_994), "", 'Data Entry'!_994)</f>
      </c>
      <c r="AF994">
        <f>IF(ISBLANK('Data Entry'!`994), "", 'Data Entry'!`994)</f>
      </c>
      <c r="AG994">
        <f>IF(ISBLANK('Data Entry'!a994), "", 'Data Entry'!a994)</f>
      </c>
      <c r="AH994">
        <f>IF(ISBLANK('Data Entry'!b994), "", 'Data Entry'!b994)</f>
      </c>
      <c r="AI994">
        <f>IF(ISBLANK('Data Entry'!c994), "", 'Data Entry'!c994)</f>
      </c>
      <c r="AJ994">
        <f>IF(ISBLANK('Data Entry'!d994), "", 'Data Entry'!d994)</f>
      </c>
      <c r="AK994">
        <f>IF(ISBLANK('Data Entry'!e994), "", 'Data Entry'!e994)</f>
      </c>
      <c r="AL994">
        <f>IF(ISBLANK('Data Entry'!f994), "", 'Data Entry'!f994)</f>
      </c>
      <c r="AM994">
        <f>IF(ISBLANK('Data Entry'!g994), "", 'Data Entry'!g994)</f>
      </c>
      <c r="AN994">
        <f>IF(ISBLANK('Data Entry'!h994), "", 'Data Entry'!h994)</f>
      </c>
    </row>
    <row r="995" spans="1:40" x14ac:dyDescent="0.25">
      <c r="A995">
        <f>IF(ISBLANK('Data Entry'!A995), "", 'Data Entry'!A995)</f>
      </c>
      <c r="B995">
        <f>IF(ISBLANK('Data Entry'!B995), "", 'Data Entry'!B995)</f>
      </c>
      <c r="C995">
        <f>IF(ISBLANK('Data Entry'!C995), "", 'Data Entry'!C995)</f>
      </c>
      <c r="D995">
        <f>IF(ISBLANK('Data Entry'!D995), "", 'Data Entry'!D995)</f>
      </c>
      <c r="E995">
        <f>IF(ISBLANK('Data Entry'!E995), "", 'Data Entry'!E995)</f>
      </c>
      <c r="F995">
        <f>IF(ISBLANK('Data Entry'!F995), "", 'Data Entry'!F995)</f>
      </c>
      <c r="G995">
        <f>IF(ISBLANK('Data Entry'!G995), "", 'Data Entry'!G995)</f>
      </c>
      <c r="H995">
        <f>IF(ISBLANK('Data Entry'!H995), "", 'Data Entry'!H995)</f>
      </c>
      <c r="I995">
        <f>IF(ISBLANK('Data Entry'!I995), "", 'Data Entry'!I995)</f>
      </c>
      <c r="J995">
        <f>IF(ISBLANK('Data Entry'!J995), "", 'Data Entry'!J995)</f>
      </c>
      <c r="K995">
        <f>IF(ISBLANK('Data Entry'!K995), "", 'Data Entry'!K995)</f>
      </c>
      <c r="L995">
        <f>IF(ISBLANK('Data Entry'!L995), "", 'Data Entry'!L995)</f>
      </c>
      <c r="M995">
        <f>IF(ISBLANK('Data Entry'!M995), "", 'Data Entry'!M995)</f>
      </c>
      <c r="N995">
        <f>IF(ISBLANK('Data Entry'!N995), "", 'Data Entry'!N995)</f>
      </c>
      <c r="O995">
        <f>IF(ISBLANK('Data Entry'!O995), "", 'Data Entry'!O995)</f>
      </c>
      <c r="P995">
        <f>IF(ISBLANK('Data Entry'!P995), "", 'Data Entry'!P995)</f>
      </c>
      <c r="Q995">
        <f>IF(ISBLANK('Data Entry'!Q995), "", 'Data Entry'!Q995)</f>
      </c>
      <c r="R995">
        <f>IF(ISBLANK('Data Entry'!R995), "", 'Data Entry'!R995)</f>
      </c>
      <c r="S995">
        <f>IF(ISBLANK('Data Entry'!S995), "", 'Data Entry'!S995)</f>
      </c>
      <c r="T995">
        <f>IF(ISBLANK('Data Entry'!T995), "", 'Data Entry'!T995)</f>
      </c>
      <c r="U995">
        <f>IF(ISBLANK('Data Entry'!U995), "", 'Data Entry'!U995)</f>
      </c>
      <c r="V995">
        <f>IF(ISBLANK('Data Entry'!V995), "", 'Data Entry'!V995)</f>
      </c>
      <c r="W995">
        <f>IF(ISBLANK('Data Entry'!W995), "", 'Data Entry'!W995)</f>
      </c>
      <c r="X995">
        <f>IF(ISBLANK('Data Entry'!X995), "", 'Data Entry'!X995)</f>
      </c>
      <c r="Y995">
        <f>IF(ISBLANK('Data Entry'!Y995), "", 'Data Entry'!Y995)</f>
      </c>
      <c r="Z995">
        <f>IF(ISBLANK('Data Entry'!Z995), "", 'Data Entry'!Z995)</f>
      </c>
      <c r="AA995">
        <f>IF(ISBLANK('Data Entry'![995), "", 'Data Entry'![995)</f>
      </c>
      <c r="AB995">
        <f>IF(ISBLANK('Data Entry'!\995), "", 'Data Entry'!\995)</f>
      </c>
      <c r="AC995">
        <f>IF(ISBLANK('Data Entry'!]995), "", 'Data Entry'!]995)</f>
      </c>
      <c r="AD995">
        <f>IF(ISBLANK('Data Entry'!^995), "", 'Data Entry'!^995)</f>
      </c>
      <c r="AE995">
        <f>IF(ISBLANK('Data Entry'!_995), "", 'Data Entry'!_995)</f>
      </c>
      <c r="AF995">
        <f>IF(ISBLANK('Data Entry'!`995), "", 'Data Entry'!`995)</f>
      </c>
      <c r="AG995">
        <f>IF(ISBLANK('Data Entry'!a995), "", 'Data Entry'!a995)</f>
      </c>
      <c r="AH995">
        <f>IF(ISBLANK('Data Entry'!b995), "", 'Data Entry'!b995)</f>
      </c>
      <c r="AI995">
        <f>IF(ISBLANK('Data Entry'!c995), "", 'Data Entry'!c995)</f>
      </c>
      <c r="AJ995">
        <f>IF(ISBLANK('Data Entry'!d995), "", 'Data Entry'!d995)</f>
      </c>
      <c r="AK995">
        <f>IF(ISBLANK('Data Entry'!e995), "", 'Data Entry'!e995)</f>
      </c>
      <c r="AL995">
        <f>IF(ISBLANK('Data Entry'!f995), "", 'Data Entry'!f995)</f>
      </c>
      <c r="AM995">
        <f>IF(ISBLANK('Data Entry'!g995), "", 'Data Entry'!g995)</f>
      </c>
      <c r="AN995">
        <f>IF(ISBLANK('Data Entry'!h995), "", 'Data Entry'!h995)</f>
      </c>
    </row>
    <row r="996" spans="1:40" x14ac:dyDescent="0.25">
      <c r="A996">
        <f>IF(ISBLANK('Data Entry'!A996), "", 'Data Entry'!A996)</f>
      </c>
      <c r="B996">
        <f>IF(ISBLANK('Data Entry'!B996), "", 'Data Entry'!B996)</f>
      </c>
      <c r="C996">
        <f>IF(ISBLANK('Data Entry'!C996), "", 'Data Entry'!C996)</f>
      </c>
      <c r="D996">
        <f>IF(ISBLANK('Data Entry'!D996), "", 'Data Entry'!D996)</f>
      </c>
      <c r="E996">
        <f>IF(ISBLANK('Data Entry'!E996), "", 'Data Entry'!E996)</f>
      </c>
      <c r="F996">
        <f>IF(ISBLANK('Data Entry'!F996), "", 'Data Entry'!F996)</f>
      </c>
      <c r="G996">
        <f>IF(ISBLANK('Data Entry'!G996), "", 'Data Entry'!G996)</f>
      </c>
      <c r="H996">
        <f>IF(ISBLANK('Data Entry'!H996), "", 'Data Entry'!H996)</f>
      </c>
      <c r="I996">
        <f>IF(ISBLANK('Data Entry'!I996), "", 'Data Entry'!I996)</f>
      </c>
      <c r="J996">
        <f>IF(ISBLANK('Data Entry'!J996), "", 'Data Entry'!J996)</f>
      </c>
      <c r="K996">
        <f>IF(ISBLANK('Data Entry'!K996), "", 'Data Entry'!K996)</f>
      </c>
      <c r="L996">
        <f>IF(ISBLANK('Data Entry'!L996), "", 'Data Entry'!L996)</f>
      </c>
      <c r="M996">
        <f>IF(ISBLANK('Data Entry'!M996), "", 'Data Entry'!M996)</f>
      </c>
      <c r="N996">
        <f>IF(ISBLANK('Data Entry'!N996), "", 'Data Entry'!N996)</f>
      </c>
      <c r="O996">
        <f>IF(ISBLANK('Data Entry'!O996), "", 'Data Entry'!O996)</f>
      </c>
      <c r="P996">
        <f>IF(ISBLANK('Data Entry'!P996), "", 'Data Entry'!P996)</f>
      </c>
      <c r="Q996">
        <f>IF(ISBLANK('Data Entry'!Q996), "", 'Data Entry'!Q996)</f>
      </c>
      <c r="R996">
        <f>IF(ISBLANK('Data Entry'!R996), "", 'Data Entry'!R996)</f>
      </c>
      <c r="S996">
        <f>IF(ISBLANK('Data Entry'!S996), "", 'Data Entry'!S996)</f>
      </c>
      <c r="T996">
        <f>IF(ISBLANK('Data Entry'!T996), "", 'Data Entry'!T996)</f>
      </c>
      <c r="U996">
        <f>IF(ISBLANK('Data Entry'!U996), "", 'Data Entry'!U996)</f>
      </c>
      <c r="V996">
        <f>IF(ISBLANK('Data Entry'!V996), "", 'Data Entry'!V996)</f>
      </c>
      <c r="W996">
        <f>IF(ISBLANK('Data Entry'!W996), "", 'Data Entry'!W996)</f>
      </c>
      <c r="X996">
        <f>IF(ISBLANK('Data Entry'!X996), "", 'Data Entry'!X996)</f>
      </c>
      <c r="Y996">
        <f>IF(ISBLANK('Data Entry'!Y996), "", 'Data Entry'!Y996)</f>
      </c>
      <c r="Z996">
        <f>IF(ISBLANK('Data Entry'!Z996), "", 'Data Entry'!Z996)</f>
      </c>
      <c r="AA996">
        <f>IF(ISBLANK('Data Entry'![996), "", 'Data Entry'![996)</f>
      </c>
      <c r="AB996">
        <f>IF(ISBLANK('Data Entry'!\996), "", 'Data Entry'!\996)</f>
      </c>
      <c r="AC996">
        <f>IF(ISBLANK('Data Entry'!]996), "", 'Data Entry'!]996)</f>
      </c>
      <c r="AD996">
        <f>IF(ISBLANK('Data Entry'!^996), "", 'Data Entry'!^996)</f>
      </c>
      <c r="AE996">
        <f>IF(ISBLANK('Data Entry'!_996), "", 'Data Entry'!_996)</f>
      </c>
      <c r="AF996">
        <f>IF(ISBLANK('Data Entry'!`996), "", 'Data Entry'!`996)</f>
      </c>
      <c r="AG996">
        <f>IF(ISBLANK('Data Entry'!a996), "", 'Data Entry'!a996)</f>
      </c>
      <c r="AH996">
        <f>IF(ISBLANK('Data Entry'!b996), "", 'Data Entry'!b996)</f>
      </c>
      <c r="AI996">
        <f>IF(ISBLANK('Data Entry'!c996), "", 'Data Entry'!c996)</f>
      </c>
      <c r="AJ996">
        <f>IF(ISBLANK('Data Entry'!d996), "", 'Data Entry'!d996)</f>
      </c>
      <c r="AK996">
        <f>IF(ISBLANK('Data Entry'!e996), "", 'Data Entry'!e996)</f>
      </c>
      <c r="AL996">
        <f>IF(ISBLANK('Data Entry'!f996), "", 'Data Entry'!f996)</f>
      </c>
      <c r="AM996">
        <f>IF(ISBLANK('Data Entry'!g996), "", 'Data Entry'!g996)</f>
      </c>
      <c r="AN996">
        <f>IF(ISBLANK('Data Entry'!h996), "", 'Data Entry'!h996)</f>
      </c>
    </row>
    <row r="997" spans="1:40" x14ac:dyDescent="0.25">
      <c r="A997">
        <f>IF(ISBLANK('Data Entry'!A997), "", 'Data Entry'!A997)</f>
      </c>
      <c r="B997">
        <f>IF(ISBLANK('Data Entry'!B997), "", 'Data Entry'!B997)</f>
      </c>
      <c r="C997">
        <f>IF(ISBLANK('Data Entry'!C997), "", 'Data Entry'!C997)</f>
      </c>
      <c r="D997">
        <f>IF(ISBLANK('Data Entry'!D997), "", 'Data Entry'!D997)</f>
      </c>
      <c r="E997">
        <f>IF(ISBLANK('Data Entry'!E997), "", 'Data Entry'!E997)</f>
      </c>
      <c r="F997">
        <f>IF(ISBLANK('Data Entry'!F997), "", 'Data Entry'!F997)</f>
      </c>
      <c r="G997">
        <f>IF(ISBLANK('Data Entry'!G997), "", 'Data Entry'!G997)</f>
      </c>
      <c r="H997">
        <f>IF(ISBLANK('Data Entry'!H997), "", 'Data Entry'!H997)</f>
      </c>
      <c r="I997">
        <f>IF(ISBLANK('Data Entry'!I997), "", 'Data Entry'!I997)</f>
      </c>
      <c r="J997">
        <f>IF(ISBLANK('Data Entry'!J997), "", 'Data Entry'!J997)</f>
      </c>
      <c r="K997">
        <f>IF(ISBLANK('Data Entry'!K997), "", 'Data Entry'!K997)</f>
      </c>
      <c r="L997">
        <f>IF(ISBLANK('Data Entry'!L997), "", 'Data Entry'!L997)</f>
      </c>
      <c r="M997">
        <f>IF(ISBLANK('Data Entry'!M997), "", 'Data Entry'!M997)</f>
      </c>
      <c r="N997">
        <f>IF(ISBLANK('Data Entry'!N997), "", 'Data Entry'!N997)</f>
      </c>
      <c r="O997">
        <f>IF(ISBLANK('Data Entry'!O997), "", 'Data Entry'!O997)</f>
      </c>
      <c r="P997">
        <f>IF(ISBLANK('Data Entry'!P997), "", 'Data Entry'!P997)</f>
      </c>
      <c r="Q997">
        <f>IF(ISBLANK('Data Entry'!Q997), "", 'Data Entry'!Q997)</f>
      </c>
      <c r="R997">
        <f>IF(ISBLANK('Data Entry'!R997), "", 'Data Entry'!R997)</f>
      </c>
      <c r="S997">
        <f>IF(ISBLANK('Data Entry'!S997), "", 'Data Entry'!S997)</f>
      </c>
      <c r="T997">
        <f>IF(ISBLANK('Data Entry'!T997), "", 'Data Entry'!T997)</f>
      </c>
      <c r="U997">
        <f>IF(ISBLANK('Data Entry'!U997), "", 'Data Entry'!U997)</f>
      </c>
      <c r="V997">
        <f>IF(ISBLANK('Data Entry'!V997), "", 'Data Entry'!V997)</f>
      </c>
      <c r="W997">
        <f>IF(ISBLANK('Data Entry'!W997), "", 'Data Entry'!W997)</f>
      </c>
      <c r="X997">
        <f>IF(ISBLANK('Data Entry'!X997), "", 'Data Entry'!X997)</f>
      </c>
      <c r="Y997">
        <f>IF(ISBLANK('Data Entry'!Y997), "", 'Data Entry'!Y997)</f>
      </c>
      <c r="Z997">
        <f>IF(ISBLANK('Data Entry'!Z997), "", 'Data Entry'!Z997)</f>
      </c>
      <c r="AA997">
        <f>IF(ISBLANK('Data Entry'![997), "", 'Data Entry'![997)</f>
      </c>
      <c r="AB997">
        <f>IF(ISBLANK('Data Entry'!\997), "", 'Data Entry'!\997)</f>
      </c>
      <c r="AC997">
        <f>IF(ISBLANK('Data Entry'!]997), "", 'Data Entry'!]997)</f>
      </c>
      <c r="AD997">
        <f>IF(ISBLANK('Data Entry'!^997), "", 'Data Entry'!^997)</f>
      </c>
      <c r="AE997">
        <f>IF(ISBLANK('Data Entry'!_997), "", 'Data Entry'!_997)</f>
      </c>
      <c r="AF997">
        <f>IF(ISBLANK('Data Entry'!`997), "", 'Data Entry'!`997)</f>
      </c>
      <c r="AG997">
        <f>IF(ISBLANK('Data Entry'!a997), "", 'Data Entry'!a997)</f>
      </c>
      <c r="AH997">
        <f>IF(ISBLANK('Data Entry'!b997), "", 'Data Entry'!b997)</f>
      </c>
      <c r="AI997">
        <f>IF(ISBLANK('Data Entry'!c997), "", 'Data Entry'!c997)</f>
      </c>
      <c r="AJ997">
        <f>IF(ISBLANK('Data Entry'!d997), "", 'Data Entry'!d997)</f>
      </c>
      <c r="AK997">
        <f>IF(ISBLANK('Data Entry'!e997), "", 'Data Entry'!e997)</f>
      </c>
      <c r="AL997">
        <f>IF(ISBLANK('Data Entry'!f997), "", 'Data Entry'!f997)</f>
      </c>
      <c r="AM997">
        <f>IF(ISBLANK('Data Entry'!g997), "", 'Data Entry'!g997)</f>
      </c>
      <c r="AN997">
        <f>IF(ISBLANK('Data Entry'!h997), "", 'Data Entry'!h997)</f>
      </c>
    </row>
    <row r="998" spans="1:40" x14ac:dyDescent="0.25">
      <c r="A998">
        <f>IF(ISBLANK('Data Entry'!A998), "", 'Data Entry'!A998)</f>
      </c>
      <c r="B998">
        <f>IF(ISBLANK('Data Entry'!B998), "", 'Data Entry'!B998)</f>
      </c>
      <c r="C998">
        <f>IF(ISBLANK('Data Entry'!C998), "", 'Data Entry'!C998)</f>
      </c>
      <c r="D998">
        <f>IF(ISBLANK('Data Entry'!D998), "", 'Data Entry'!D998)</f>
      </c>
      <c r="E998">
        <f>IF(ISBLANK('Data Entry'!E998), "", 'Data Entry'!E998)</f>
      </c>
      <c r="F998">
        <f>IF(ISBLANK('Data Entry'!F998), "", 'Data Entry'!F998)</f>
      </c>
      <c r="G998">
        <f>IF(ISBLANK('Data Entry'!G998), "", 'Data Entry'!G998)</f>
      </c>
      <c r="H998">
        <f>IF(ISBLANK('Data Entry'!H998), "", 'Data Entry'!H998)</f>
      </c>
      <c r="I998">
        <f>IF(ISBLANK('Data Entry'!I998), "", 'Data Entry'!I998)</f>
      </c>
      <c r="J998">
        <f>IF(ISBLANK('Data Entry'!J998), "", 'Data Entry'!J998)</f>
      </c>
      <c r="K998">
        <f>IF(ISBLANK('Data Entry'!K998), "", 'Data Entry'!K998)</f>
      </c>
      <c r="L998">
        <f>IF(ISBLANK('Data Entry'!L998), "", 'Data Entry'!L998)</f>
      </c>
      <c r="M998">
        <f>IF(ISBLANK('Data Entry'!M998), "", 'Data Entry'!M998)</f>
      </c>
      <c r="N998">
        <f>IF(ISBLANK('Data Entry'!N998), "", 'Data Entry'!N998)</f>
      </c>
      <c r="O998">
        <f>IF(ISBLANK('Data Entry'!O998), "", 'Data Entry'!O998)</f>
      </c>
      <c r="P998">
        <f>IF(ISBLANK('Data Entry'!P998), "", 'Data Entry'!P998)</f>
      </c>
      <c r="Q998">
        <f>IF(ISBLANK('Data Entry'!Q998), "", 'Data Entry'!Q998)</f>
      </c>
      <c r="R998">
        <f>IF(ISBLANK('Data Entry'!R998), "", 'Data Entry'!R998)</f>
      </c>
      <c r="S998">
        <f>IF(ISBLANK('Data Entry'!S998), "", 'Data Entry'!S998)</f>
      </c>
      <c r="T998">
        <f>IF(ISBLANK('Data Entry'!T998), "", 'Data Entry'!T998)</f>
      </c>
      <c r="U998">
        <f>IF(ISBLANK('Data Entry'!U998), "", 'Data Entry'!U998)</f>
      </c>
      <c r="V998">
        <f>IF(ISBLANK('Data Entry'!V998), "", 'Data Entry'!V998)</f>
      </c>
      <c r="W998">
        <f>IF(ISBLANK('Data Entry'!W998), "", 'Data Entry'!W998)</f>
      </c>
      <c r="X998">
        <f>IF(ISBLANK('Data Entry'!X998), "", 'Data Entry'!X998)</f>
      </c>
      <c r="Y998">
        <f>IF(ISBLANK('Data Entry'!Y998), "", 'Data Entry'!Y998)</f>
      </c>
      <c r="Z998">
        <f>IF(ISBLANK('Data Entry'!Z998), "", 'Data Entry'!Z998)</f>
      </c>
      <c r="AA998">
        <f>IF(ISBLANK('Data Entry'![998), "", 'Data Entry'![998)</f>
      </c>
      <c r="AB998">
        <f>IF(ISBLANK('Data Entry'!\998), "", 'Data Entry'!\998)</f>
      </c>
      <c r="AC998">
        <f>IF(ISBLANK('Data Entry'!]998), "", 'Data Entry'!]998)</f>
      </c>
      <c r="AD998">
        <f>IF(ISBLANK('Data Entry'!^998), "", 'Data Entry'!^998)</f>
      </c>
      <c r="AE998">
        <f>IF(ISBLANK('Data Entry'!_998), "", 'Data Entry'!_998)</f>
      </c>
      <c r="AF998">
        <f>IF(ISBLANK('Data Entry'!`998), "", 'Data Entry'!`998)</f>
      </c>
      <c r="AG998">
        <f>IF(ISBLANK('Data Entry'!a998), "", 'Data Entry'!a998)</f>
      </c>
      <c r="AH998">
        <f>IF(ISBLANK('Data Entry'!b998), "", 'Data Entry'!b998)</f>
      </c>
      <c r="AI998">
        <f>IF(ISBLANK('Data Entry'!c998), "", 'Data Entry'!c998)</f>
      </c>
      <c r="AJ998">
        <f>IF(ISBLANK('Data Entry'!d998), "", 'Data Entry'!d998)</f>
      </c>
      <c r="AK998">
        <f>IF(ISBLANK('Data Entry'!e998), "", 'Data Entry'!e998)</f>
      </c>
      <c r="AL998">
        <f>IF(ISBLANK('Data Entry'!f998), "", 'Data Entry'!f998)</f>
      </c>
      <c r="AM998">
        <f>IF(ISBLANK('Data Entry'!g998), "", 'Data Entry'!g998)</f>
      </c>
      <c r="AN998">
        <f>IF(ISBLANK('Data Entry'!h998), "", 'Data Entry'!h998)</f>
      </c>
    </row>
    <row r="999" spans="1:40" x14ac:dyDescent="0.25">
      <c r="A999">
        <f>IF(ISBLANK('Data Entry'!A999), "", 'Data Entry'!A999)</f>
      </c>
      <c r="B999">
        <f>IF(ISBLANK('Data Entry'!B999), "", 'Data Entry'!B999)</f>
      </c>
      <c r="C999">
        <f>IF(ISBLANK('Data Entry'!C999), "", 'Data Entry'!C999)</f>
      </c>
      <c r="D999">
        <f>IF(ISBLANK('Data Entry'!D999), "", 'Data Entry'!D999)</f>
      </c>
      <c r="E999">
        <f>IF(ISBLANK('Data Entry'!E999), "", 'Data Entry'!E999)</f>
      </c>
      <c r="F999">
        <f>IF(ISBLANK('Data Entry'!F999), "", 'Data Entry'!F999)</f>
      </c>
      <c r="G999">
        <f>IF(ISBLANK('Data Entry'!G999), "", 'Data Entry'!G999)</f>
      </c>
      <c r="H999">
        <f>IF(ISBLANK('Data Entry'!H999), "", 'Data Entry'!H999)</f>
      </c>
      <c r="I999">
        <f>IF(ISBLANK('Data Entry'!I999), "", 'Data Entry'!I999)</f>
      </c>
      <c r="J999">
        <f>IF(ISBLANK('Data Entry'!J999), "", 'Data Entry'!J999)</f>
      </c>
      <c r="K999">
        <f>IF(ISBLANK('Data Entry'!K999), "", 'Data Entry'!K999)</f>
      </c>
      <c r="L999">
        <f>IF(ISBLANK('Data Entry'!L999), "", 'Data Entry'!L999)</f>
      </c>
      <c r="M999">
        <f>IF(ISBLANK('Data Entry'!M999), "", 'Data Entry'!M999)</f>
      </c>
      <c r="N999">
        <f>IF(ISBLANK('Data Entry'!N999), "", 'Data Entry'!N999)</f>
      </c>
      <c r="O999">
        <f>IF(ISBLANK('Data Entry'!O999), "", 'Data Entry'!O999)</f>
      </c>
      <c r="P999">
        <f>IF(ISBLANK('Data Entry'!P999), "", 'Data Entry'!P999)</f>
      </c>
      <c r="Q999">
        <f>IF(ISBLANK('Data Entry'!Q999), "", 'Data Entry'!Q999)</f>
      </c>
      <c r="R999">
        <f>IF(ISBLANK('Data Entry'!R999), "", 'Data Entry'!R999)</f>
      </c>
      <c r="S999">
        <f>IF(ISBLANK('Data Entry'!S999), "", 'Data Entry'!S999)</f>
      </c>
      <c r="T999">
        <f>IF(ISBLANK('Data Entry'!T999), "", 'Data Entry'!T999)</f>
      </c>
      <c r="U999">
        <f>IF(ISBLANK('Data Entry'!U999), "", 'Data Entry'!U999)</f>
      </c>
      <c r="V999">
        <f>IF(ISBLANK('Data Entry'!V999), "", 'Data Entry'!V999)</f>
      </c>
      <c r="W999">
        <f>IF(ISBLANK('Data Entry'!W999), "", 'Data Entry'!W999)</f>
      </c>
      <c r="X999">
        <f>IF(ISBLANK('Data Entry'!X999), "", 'Data Entry'!X999)</f>
      </c>
      <c r="Y999">
        <f>IF(ISBLANK('Data Entry'!Y999), "", 'Data Entry'!Y999)</f>
      </c>
      <c r="Z999">
        <f>IF(ISBLANK('Data Entry'!Z999), "", 'Data Entry'!Z999)</f>
      </c>
      <c r="AA999">
        <f>IF(ISBLANK('Data Entry'![999), "", 'Data Entry'![999)</f>
      </c>
      <c r="AB999">
        <f>IF(ISBLANK('Data Entry'!\999), "", 'Data Entry'!\999)</f>
      </c>
      <c r="AC999">
        <f>IF(ISBLANK('Data Entry'!]999), "", 'Data Entry'!]999)</f>
      </c>
      <c r="AD999">
        <f>IF(ISBLANK('Data Entry'!^999), "", 'Data Entry'!^999)</f>
      </c>
      <c r="AE999">
        <f>IF(ISBLANK('Data Entry'!_999), "", 'Data Entry'!_999)</f>
      </c>
      <c r="AF999">
        <f>IF(ISBLANK('Data Entry'!`999), "", 'Data Entry'!`999)</f>
      </c>
      <c r="AG999">
        <f>IF(ISBLANK('Data Entry'!a999), "", 'Data Entry'!a999)</f>
      </c>
      <c r="AH999">
        <f>IF(ISBLANK('Data Entry'!b999), "", 'Data Entry'!b999)</f>
      </c>
      <c r="AI999">
        <f>IF(ISBLANK('Data Entry'!c999), "", 'Data Entry'!c999)</f>
      </c>
      <c r="AJ999">
        <f>IF(ISBLANK('Data Entry'!d999), "", 'Data Entry'!d999)</f>
      </c>
      <c r="AK999">
        <f>IF(ISBLANK('Data Entry'!e999), "", 'Data Entry'!e999)</f>
      </c>
      <c r="AL999">
        <f>IF(ISBLANK('Data Entry'!f999), "", 'Data Entry'!f999)</f>
      </c>
      <c r="AM999">
        <f>IF(ISBLANK('Data Entry'!g999), "", 'Data Entry'!g999)</f>
      </c>
      <c r="AN999">
        <f>IF(ISBLANK('Data Entry'!h999), "", 'Data Entry'!h999)</f>
      </c>
    </row>
    <row r="1000" spans="1:40" x14ac:dyDescent="0.25">
      <c r="A1000">
        <f>IF(ISBLANK('Data Entry'!A1000), "", 'Data Entry'!A1000)</f>
      </c>
      <c r="B1000">
        <f>IF(ISBLANK('Data Entry'!B1000), "", 'Data Entry'!B1000)</f>
      </c>
      <c r="C1000">
        <f>IF(ISBLANK('Data Entry'!C1000), "", 'Data Entry'!C1000)</f>
      </c>
      <c r="D1000">
        <f>IF(ISBLANK('Data Entry'!D1000), "", 'Data Entry'!D1000)</f>
      </c>
      <c r="E1000">
        <f>IF(ISBLANK('Data Entry'!E1000), "", 'Data Entry'!E1000)</f>
      </c>
      <c r="F1000">
        <f>IF(ISBLANK('Data Entry'!F1000), "", 'Data Entry'!F1000)</f>
      </c>
      <c r="G1000">
        <f>IF(ISBLANK('Data Entry'!G1000), "", 'Data Entry'!G1000)</f>
      </c>
      <c r="H1000">
        <f>IF(ISBLANK('Data Entry'!H1000), "", 'Data Entry'!H1000)</f>
      </c>
      <c r="I1000">
        <f>IF(ISBLANK('Data Entry'!I1000), "", 'Data Entry'!I1000)</f>
      </c>
      <c r="J1000">
        <f>IF(ISBLANK('Data Entry'!J1000), "", 'Data Entry'!J1000)</f>
      </c>
      <c r="K1000">
        <f>IF(ISBLANK('Data Entry'!K1000), "", 'Data Entry'!K1000)</f>
      </c>
      <c r="L1000">
        <f>IF(ISBLANK('Data Entry'!L1000), "", 'Data Entry'!L1000)</f>
      </c>
      <c r="M1000">
        <f>IF(ISBLANK('Data Entry'!M1000), "", 'Data Entry'!M1000)</f>
      </c>
      <c r="N1000">
        <f>IF(ISBLANK('Data Entry'!N1000), "", 'Data Entry'!N1000)</f>
      </c>
      <c r="O1000">
        <f>IF(ISBLANK('Data Entry'!O1000), "", 'Data Entry'!O1000)</f>
      </c>
      <c r="P1000">
        <f>IF(ISBLANK('Data Entry'!P1000), "", 'Data Entry'!P1000)</f>
      </c>
      <c r="Q1000">
        <f>IF(ISBLANK('Data Entry'!Q1000), "", 'Data Entry'!Q1000)</f>
      </c>
      <c r="R1000">
        <f>IF(ISBLANK('Data Entry'!R1000), "", 'Data Entry'!R1000)</f>
      </c>
      <c r="S1000">
        <f>IF(ISBLANK('Data Entry'!S1000), "", 'Data Entry'!S1000)</f>
      </c>
      <c r="T1000">
        <f>IF(ISBLANK('Data Entry'!T1000), "", 'Data Entry'!T1000)</f>
      </c>
      <c r="U1000">
        <f>IF(ISBLANK('Data Entry'!U1000), "", 'Data Entry'!U1000)</f>
      </c>
      <c r="V1000">
        <f>IF(ISBLANK('Data Entry'!V1000), "", 'Data Entry'!V1000)</f>
      </c>
      <c r="W1000">
        <f>IF(ISBLANK('Data Entry'!W1000), "", 'Data Entry'!W1000)</f>
      </c>
      <c r="X1000">
        <f>IF(ISBLANK('Data Entry'!X1000), "", 'Data Entry'!X1000)</f>
      </c>
      <c r="Y1000">
        <f>IF(ISBLANK('Data Entry'!Y1000), "", 'Data Entry'!Y1000)</f>
      </c>
      <c r="Z1000">
        <f>IF(ISBLANK('Data Entry'!Z1000), "", 'Data Entry'!Z1000)</f>
      </c>
      <c r="AA1000">
        <f>IF(ISBLANK('Data Entry'![1000), "", 'Data Entry'![1000)</f>
      </c>
      <c r="AB1000">
        <f>IF(ISBLANK('Data Entry'!\1000), "", 'Data Entry'!\1000)</f>
      </c>
      <c r="AC1000">
        <f>IF(ISBLANK('Data Entry'!]1000), "", 'Data Entry'!]1000)</f>
      </c>
      <c r="AD1000">
        <f>IF(ISBLANK('Data Entry'!^1000), "", 'Data Entry'!^1000)</f>
      </c>
      <c r="AE1000">
        <f>IF(ISBLANK('Data Entry'!_1000), "", 'Data Entry'!_1000)</f>
      </c>
      <c r="AF1000">
        <f>IF(ISBLANK('Data Entry'!`1000), "", 'Data Entry'!`1000)</f>
      </c>
      <c r="AG1000">
        <f>IF(ISBLANK('Data Entry'!a1000), "", 'Data Entry'!a1000)</f>
      </c>
      <c r="AH1000">
        <f>IF(ISBLANK('Data Entry'!b1000), "", 'Data Entry'!b1000)</f>
      </c>
      <c r="AI1000">
        <f>IF(ISBLANK('Data Entry'!c1000), "", 'Data Entry'!c1000)</f>
      </c>
      <c r="AJ1000">
        <f>IF(ISBLANK('Data Entry'!d1000), "", 'Data Entry'!d1000)</f>
      </c>
      <c r="AK1000">
        <f>IF(ISBLANK('Data Entry'!e1000), "", 'Data Entry'!e1000)</f>
      </c>
      <c r="AL1000">
        <f>IF(ISBLANK('Data Entry'!f1000), "", 'Data Entry'!f1000)</f>
      </c>
      <c r="AM1000">
        <f>IF(ISBLANK('Data Entry'!g1000), "", 'Data Entry'!g1000)</f>
      </c>
      <c r="AN1000">
        <f>IF(ISBLANK('Data Entry'!h1000), "", 'Data Entry'!h1000)</f>
      </c>
    </row>
    <row r="1001" spans="1:40" x14ac:dyDescent="0.25">
      <c r="A1001">
        <f>IF(ISBLANK('Data Entry'!A1001), "", 'Data Entry'!A1001)</f>
      </c>
      <c r="B1001">
        <f>IF(ISBLANK('Data Entry'!B1001), "", 'Data Entry'!B1001)</f>
      </c>
      <c r="C1001">
        <f>IF(ISBLANK('Data Entry'!C1001), "", 'Data Entry'!C1001)</f>
      </c>
      <c r="D1001">
        <f>IF(ISBLANK('Data Entry'!D1001), "", 'Data Entry'!D1001)</f>
      </c>
      <c r="E1001">
        <f>IF(ISBLANK('Data Entry'!E1001), "", 'Data Entry'!E1001)</f>
      </c>
      <c r="F1001">
        <f>IF(ISBLANK('Data Entry'!F1001), "", 'Data Entry'!F1001)</f>
      </c>
      <c r="G1001">
        <f>IF(ISBLANK('Data Entry'!G1001), "", 'Data Entry'!G1001)</f>
      </c>
      <c r="H1001">
        <f>IF(ISBLANK('Data Entry'!H1001), "", 'Data Entry'!H1001)</f>
      </c>
      <c r="I1001">
        <f>IF(ISBLANK('Data Entry'!I1001), "", 'Data Entry'!I1001)</f>
      </c>
      <c r="J1001">
        <f>IF(ISBLANK('Data Entry'!J1001), "", 'Data Entry'!J1001)</f>
      </c>
      <c r="K1001">
        <f>IF(ISBLANK('Data Entry'!K1001), "", 'Data Entry'!K1001)</f>
      </c>
      <c r="L1001">
        <f>IF(ISBLANK('Data Entry'!L1001), "", 'Data Entry'!L1001)</f>
      </c>
      <c r="M1001">
        <f>IF(ISBLANK('Data Entry'!M1001), "", 'Data Entry'!M1001)</f>
      </c>
      <c r="N1001">
        <f>IF(ISBLANK('Data Entry'!N1001), "", 'Data Entry'!N1001)</f>
      </c>
      <c r="O1001">
        <f>IF(ISBLANK('Data Entry'!O1001), "", 'Data Entry'!O1001)</f>
      </c>
      <c r="P1001">
        <f>IF(ISBLANK('Data Entry'!P1001), "", 'Data Entry'!P1001)</f>
      </c>
      <c r="Q1001">
        <f>IF(ISBLANK('Data Entry'!Q1001), "", 'Data Entry'!Q1001)</f>
      </c>
      <c r="R1001">
        <f>IF(ISBLANK('Data Entry'!R1001), "", 'Data Entry'!R1001)</f>
      </c>
      <c r="S1001">
        <f>IF(ISBLANK('Data Entry'!S1001), "", 'Data Entry'!S1001)</f>
      </c>
      <c r="T1001">
        <f>IF(ISBLANK('Data Entry'!T1001), "", 'Data Entry'!T1001)</f>
      </c>
      <c r="U1001">
        <f>IF(ISBLANK('Data Entry'!U1001), "", 'Data Entry'!U1001)</f>
      </c>
      <c r="V1001">
        <f>IF(ISBLANK('Data Entry'!V1001), "", 'Data Entry'!V1001)</f>
      </c>
      <c r="W1001">
        <f>IF(ISBLANK('Data Entry'!W1001), "", 'Data Entry'!W1001)</f>
      </c>
      <c r="X1001">
        <f>IF(ISBLANK('Data Entry'!X1001), "", 'Data Entry'!X1001)</f>
      </c>
      <c r="Y1001">
        <f>IF(ISBLANK('Data Entry'!Y1001), "", 'Data Entry'!Y1001)</f>
      </c>
      <c r="Z1001">
        <f>IF(ISBLANK('Data Entry'!Z1001), "", 'Data Entry'!Z1001)</f>
      </c>
      <c r="AA1001">
        <f>IF(ISBLANK('Data Entry'![1001), "", 'Data Entry'![1001)</f>
      </c>
      <c r="AB1001">
        <f>IF(ISBLANK('Data Entry'!\1001), "", 'Data Entry'!\1001)</f>
      </c>
      <c r="AC1001">
        <f>IF(ISBLANK('Data Entry'!]1001), "", 'Data Entry'!]1001)</f>
      </c>
      <c r="AD1001">
        <f>IF(ISBLANK('Data Entry'!^1001), "", 'Data Entry'!^1001)</f>
      </c>
      <c r="AE1001">
        <f>IF(ISBLANK('Data Entry'!_1001), "", 'Data Entry'!_1001)</f>
      </c>
      <c r="AF1001">
        <f>IF(ISBLANK('Data Entry'!`1001), "", 'Data Entry'!`1001)</f>
      </c>
      <c r="AG1001">
        <f>IF(ISBLANK('Data Entry'!a1001), "", 'Data Entry'!a1001)</f>
      </c>
      <c r="AH1001">
        <f>IF(ISBLANK('Data Entry'!b1001), "", 'Data Entry'!b1001)</f>
      </c>
      <c r="AI1001">
        <f>IF(ISBLANK('Data Entry'!c1001), "", 'Data Entry'!c1001)</f>
      </c>
      <c r="AJ1001">
        <f>IF(ISBLANK('Data Entry'!d1001), "", 'Data Entry'!d1001)</f>
      </c>
      <c r="AK1001">
        <f>IF(ISBLANK('Data Entry'!e1001), "", 'Data Entry'!e1001)</f>
      </c>
      <c r="AL1001">
        <f>IF(ISBLANK('Data Entry'!f1001), "", 'Data Entry'!f1001)</f>
      </c>
      <c r="AM1001">
        <f>IF(ISBLANK('Data Entry'!g1001), "", 'Data Entry'!g1001)</f>
      </c>
      <c r="AN1001">
        <f>IF(ISBLANK('Data Entry'!h1001), "", 'Data Entry'!h1001)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Schema Description</vt:lpstr>
      <vt:lpstr>Data Entry</vt:lpstr>
      <vt:lpstr>Schema conformant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2023-10-20T19:54:48Z</dcterms:created>
  <dcterms:modified xsi:type="dcterms:W3CDTF">2023-10-20T19:54:48Z</dcterms:modified>
</cp:coreProperties>
</file>