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OneDrive\Documents\GitHub\SEAD55\"/>
    </mc:Choice>
  </mc:AlternateContent>
  <xr:revisionPtr revIDLastSave="825" documentId="8_{C320C7DC-F235-4FD9-BB82-BC535004918B}" xr6:coauthVersionLast="47" xr6:coauthVersionMax="47" xr10:uidLastSave="{F221D55C-98E4-4666-A0A8-D9E1C864C1EC}"/>
  <bookViews>
    <workbookView xWindow="42570" yWindow="17850" windowWidth="14400" windowHeight="10845" xr2:uid="{45611C99-3462-4BDC-ADEB-89E929466DCD}"/>
  </bookViews>
  <sheets>
    <sheet name="Reference Data" sheetId="1" r:id="rId1"/>
    <sheet name="Second P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" l="1"/>
  <c r="Q51" i="1"/>
  <c r="Q41" i="1"/>
  <c r="Q39" i="1"/>
  <c r="Q47" i="1"/>
  <c r="Q32" i="1"/>
  <c r="Q45" i="1"/>
  <c r="Q27" i="1"/>
  <c r="Q61" i="1"/>
  <c r="Q33" i="1"/>
  <c r="Q35" i="1" s="1"/>
  <c r="Q31" i="1"/>
  <c r="Q28" i="1"/>
  <c r="Q58" i="1" s="1"/>
  <c r="L20" i="1"/>
  <c r="L21" i="1"/>
  <c r="L22" i="1"/>
  <c r="B35" i="2"/>
  <c r="B36" i="2" s="1"/>
  <c r="B37" i="2" s="1"/>
  <c r="B38" i="2" s="1"/>
  <c r="L17" i="1"/>
  <c r="C63" i="1"/>
  <c r="C62" i="1"/>
  <c r="C60" i="1"/>
  <c r="C61" i="1"/>
  <c r="J5" i="2"/>
  <c r="J3" i="2"/>
  <c r="B25" i="2"/>
  <c r="B24" i="2"/>
  <c r="B4" i="2"/>
  <c r="J6" i="2" s="1"/>
  <c r="K6" i="2" s="1"/>
  <c r="B21" i="2"/>
  <c r="J7" i="2" s="1"/>
  <c r="K7" i="2" s="1"/>
  <c r="B3" i="2"/>
  <c r="B7" i="2"/>
  <c r="B8" i="2" s="1"/>
  <c r="G54" i="1"/>
  <c r="L8" i="1"/>
  <c r="L11" i="1"/>
  <c r="L7" i="1"/>
  <c r="L6" i="1"/>
  <c r="L5" i="1"/>
  <c r="C30" i="1"/>
  <c r="C29" i="1"/>
  <c r="Q54" i="1" l="1"/>
  <c r="Q53" i="1"/>
  <c r="L31" i="1" s="1"/>
  <c r="Q46" i="1"/>
  <c r="L28" i="1" s="1"/>
  <c r="Q30" i="1"/>
  <c r="Q43" i="1" s="1"/>
  <c r="L29" i="1" s="1"/>
  <c r="Q36" i="1"/>
  <c r="Q63" i="1"/>
  <c r="Q57" i="1"/>
  <c r="L10" i="1"/>
  <c r="M8" i="1"/>
  <c r="L9" i="1"/>
  <c r="L18" i="1"/>
  <c r="B40" i="2"/>
  <c r="B48" i="2"/>
  <c r="B49" i="2" s="1"/>
  <c r="L19" i="1"/>
  <c r="B39" i="2"/>
  <c r="B45" i="2"/>
  <c r="B46" i="2"/>
  <c r="B42" i="2"/>
  <c r="B41" i="2"/>
  <c r="K5" i="2"/>
  <c r="J4" i="2"/>
  <c r="K4" i="2" s="1"/>
  <c r="B28" i="2"/>
  <c r="J9" i="2" s="1"/>
  <c r="K9" i="2" s="1"/>
  <c r="J8" i="2"/>
  <c r="K8" i="2" s="1"/>
  <c r="J10" i="2"/>
  <c r="K10" i="2" s="1"/>
  <c r="M9" i="1"/>
  <c r="M10" i="1"/>
  <c r="M11" i="1"/>
  <c r="M6" i="1"/>
  <c r="M7" i="1"/>
  <c r="Q65" i="1" l="1"/>
  <c r="Q62" i="1"/>
  <c r="Q64" i="1" s="1"/>
  <c r="L32" i="1" s="1"/>
  <c r="B53" i="2"/>
  <c r="B44" i="2"/>
  <c r="B51" i="2" s="1"/>
  <c r="B55" i="2" l="1"/>
  <c r="B52" i="2"/>
  <c r="B54" i="2" s="1"/>
</calcChain>
</file>

<file path=xl/sharedStrings.xml><?xml version="1.0" encoding="utf-8"?>
<sst xmlns="http://schemas.openxmlformats.org/spreadsheetml/2006/main" count="330" uniqueCount="199">
  <si>
    <t>Source:</t>
  </si>
  <si>
    <t>https://www.airlines-inform.com/commercial-aircraft/bombardier-crj-1000.html</t>
  </si>
  <si>
    <t>https://customer-janes-com.tudelft.idm.oclc.org/Janes/Display/jawaa647-jawa</t>
  </si>
  <si>
    <t>AIRPORT PLANNING MANUAL</t>
  </si>
  <si>
    <t xml:space="preserve">Reference for passenger weight: </t>
  </si>
  <si>
    <t>https://www.easa.europa.eu/sites/default/files/dfu/Weight%20Survey%20R20090095%20Final.pdf</t>
  </si>
  <si>
    <t>CRJ-1000</t>
  </si>
  <si>
    <t>Dimensions</t>
  </si>
  <si>
    <t>MTOW [kg]</t>
  </si>
  <si>
    <t>Length</t>
  </si>
  <si>
    <t>m</t>
  </si>
  <si>
    <t>OEW [kg]</t>
  </si>
  <si>
    <t>Wingspan</t>
  </si>
  <si>
    <t>MPL [kg]</t>
  </si>
  <si>
    <t>Height</t>
  </si>
  <si>
    <t>pax_cabinluggage</t>
  </si>
  <si>
    <t>Wing Area</t>
  </si>
  <si>
    <t>m2</t>
  </si>
  <si>
    <t>front_cargo</t>
  </si>
  <si>
    <t>H_stab_b</t>
  </si>
  <si>
    <t>aft_cargo</t>
  </si>
  <si>
    <t>Fus_diam</t>
  </si>
  <si>
    <t>FW @ MPL [kg]</t>
  </si>
  <si>
    <t>Fus_l</t>
  </si>
  <si>
    <t>H_stab_S</t>
  </si>
  <si>
    <t>V_stab_S</t>
  </si>
  <si>
    <t>Center of Gravity</t>
  </si>
  <si>
    <t xml:space="preserve">Reference for cog: </t>
  </si>
  <si>
    <t>https://brightspace.tudelft.nl/d2l/le/content/419892/viewContent/2368614/View</t>
  </si>
  <si>
    <t>atOEW</t>
  </si>
  <si>
    <t>(%MAC)</t>
  </si>
  <si>
    <t>from datum</t>
  </si>
  <si>
    <t>Weight</t>
  </si>
  <si>
    <t>aft_cargo_cg</t>
  </si>
  <si>
    <t>MTOW</t>
  </si>
  <si>
    <t>kg</t>
  </si>
  <si>
    <t>front_cargo_cg</t>
  </si>
  <si>
    <t>MLW</t>
  </si>
  <si>
    <t>fuel cg</t>
  </si>
  <si>
    <t>located in wings</t>
  </si>
  <si>
    <t>MZFW</t>
  </si>
  <si>
    <t>pass_part_start</t>
  </si>
  <si>
    <t xml:space="preserve">from datum </t>
  </si>
  <si>
    <t>MPL</t>
  </si>
  <si>
    <t>pass_part_end</t>
  </si>
  <si>
    <t>OEW</t>
  </si>
  <si>
    <t>MRW</t>
  </si>
  <si>
    <t>MFW</t>
  </si>
  <si>
    <t>Geometry Parameters</t>
  </si>
  <si>
    <t>(ref slides)</t>
  </si>
  <si>
    <t>Parameters to calculate Geometry parameters</t>
  </si>
  <si>
    <t>Performance</t>
  </si>
  <si>
    <t>Stick-fixed Stability</t>
  </si>
  <si>
    <t>M</t>
  </si>
  <si>
    <t>Range MPL</t>
  </si>
  <si>
    <t>km</t>
  </si>
  <si>
    <t>Vh/V</t>
  </si>
  <si>
    <t>Ah</t>
  </si>
  <si>
    <t>tail aspect ratio</t>
  </si>
  <si>
    <t>Range (100 pax, M0.78)</t>
  </si>
  <si>
    <t>CLah</t>
  </si>
  <si>
    <t>Beta</t>
  </si>
  <si>
    <t>Vcruise</t>
  </si>
  <si>
    <t>m/s</t>
  </si>
  <si>
    <t>CLa_a-h</t>
  </si>
  <si>
    <t>eta</t>
  </si>
  <si>
    <t>Vmax</t>
  </si>
  <si>
    <t>km/h</t>
  </si>
  <si>
    <t>lh</t>
  </si>
  <si>
    <t>Sweep_0.5c</t>
  </si>
  <si>
    <t>deg</t>
  </si>
  <si>
    <t>half chord sweep</t>
  </si>
  <si>
    <t>MaxAlt</t>
  </si>
  <si>
    <t>de/da</t>
  </si>
  <si>
    <t>AR</t>
  </si>
  <si>
    <t>TakeOffLength</t>
  </si>
  <si>
    <t>x_ac/MAC</t>
  </si>
  <si>
    <t>c_root</t>
  </si>
  <si>
    <t>cm on diagram</t>
  </si>
  <si>
    <t>LandLength</t>
  </si>
  <si>
    <t>MAC</t>
  </si>
  <si>
    <t>c_tip</t>
  </si>
  <si>
    <t>CruiseMach</t>
  </si>
  <si>
    <t>-</t>
  </si>
  <si>
    <t>Sweep_LE</t>
  </si>
  <si>
    <t>Engines</t>
  </si>
  <si>
    <t>taper ratio</t>
  </si>
  <si>
    <t>GE CF34-8C5A1</t>
  </si>
  <si>
    <t>lb</t>
  </si>
  <si>
    <t>Sweep_0.25c</t>
  </si>
  <si>
    <t>Cabin Data</t>
  </si>
  <si>
    <t>b_f</t>
  </si>
  <si>
    <t>Passengers 1-class</t>
  </si>
  <si>
    <t>h_f</t>
  </si>
  <si>
    <t>Passengers 2-class</t>
  </si>
  <si>
    <t>l_fn</t>
  </si>
  <si>
    <t>Economy seat pitch</t>
  </si>
  <si>
    <t>b_n</t>
  </si>
  <si>
    <t>CabinLength</t>
  </si>
  <si>
    <t>l_n</t>
  </si>
  <si>
    <t>CabinWidth</t>
  </si>
  <si>
    <t>k_n</t>
  </si>
  <si>
    <t>CabinHeight</t>
  </si>
  <si>
    <t>CLa_w</t>
  </si>
  <si>
    <t>1/rad</t>
  </si>
  <si>
    <t>AisleWidth</t>
  </si>
  <si>
    <t>Tail sweep LE</t>
  </si>
  <si>
    <t>SeathWidth</t>
  </si>
  <si>
    <t>Tail taper</t>
  </si>
  <si>
    <t>measured on diagram</t>
  </si>
  <si>
    <t>Cabin Floor Area</t>
  </si>
  <si>
    <t>Tail sweep_0.5ch</t>
  </si>
  <si>
    <t>Cabin Volume</t>
  </si>
  <si>
    <t>m3</t>
  </si>
  <si>
    <t>S_net</t>
  </si>
  <si>
    <t>Sweep_TE</t>
  </si>
  <si>
    <t>Cargo compartments</t>
  </si>
  <si>
    <t>MAC_tail</t>
  </si>
  <si>
    <t>Aft Baggage Compartment</t>
  </si>
  <si>
    <t>MAC LE_tail</t>
  </si>
  <si>
    <t>Forward Under Floor Baggage</t>
  </si>
  <si>
    <t>r</t>
  </si>
  <si>
    <t>?</t>
  </si>
  <si>
    <t>Under−seat storage</t>
  </si>
  <si>
    <t>m_tv</t>
  </si>
  <si>
    <t>Overhead bins</t>
  </si>
  <si>
    <t>K_e_lambda</t>
  </si>
  <si>
    <t>Cargo not in cabin</t>
  </si>
  <si>
    <t>K_e_lambda=0</t>
  </si>
  <si>
    <t xml:space="preserve">Positions </t>
  </si>
  <si>
    <t>https://www.easa.europa.eu/sites/default/files/dfu/TCDS_EASA%20IM%20A%20673_%28CRJ%29_Issue%201_EASA.PDF</t>
  </si>
  <si>
    <t>X_ac/MAC calculation</t>
  </si>
  <si>
    <t>Ref. datum (station 0.0)</t>
  </si>
  <si>
    <t>forward of nose</t>
  </si>
  <si>
    <t>Beta*AR</t>
  </si>
  <si>
    <t>Lambda_beta</t>
  </si>
  <si>
    <t>MAC LE (Xarm)</t>
  </si>
  <si>
    <t>(x_ac/c)w @ BA=6</t>
  </si>
  <si>
    <t>Aft cargo, front liner</t>
  </si>
  <si>
    <t>from reference datum</t>
  </si>
  <si>
    <t>idem at BA=4</t>
  </si>
  <si>
    <t>Aft cargo, back liner</t>
  </si>
  <si>
    <t>avg at BA=5</t>
  </si>
  <si>
    <t>Fwd cargo, back door</t>
  </si>
  <si>
    <t>from nose</t>
  </si>
  <si>
    <t>Fuselage contr. 1</t>
  </si>
  <si>
    <t>Fwd cargo, front door</t>
  </si>
  <si>
    <t>contribution 2</t>
  </si>
  <si>
    <t>(x_ac/c)wf</t>
  </si>
  <si>
    <t>(x_ac/c)n</t>
  </si>
  <si>
    <t>Comment</t>
  </si>
  <si>
    <t>pt refers to list of modifications in assignment</t>
  </si>
  <si>
    <t>pt VI, same as before</t>
  </si>
  <si>
    <t>5% lower, pt. I</t>
  </si>
  <si>
    <t>pt V, cargo weight is equal</t>
  </si>
  <si>
    <t>OEW + batt[kg]</t>
  </si>
  <si>
    <t>Batt [kg]</t>
  </si>
  <si>
    <t>CG</t>
  </si>
  <si>
    <t>50 cm shifted forwards, pt. I</t>
  </si>
  <si>
    <t>atOEW+batt</t>
  </si>
  <si>
    <t>pt III</t>
  </si>
  <si>
    <t>Battery</t>
  </si>
  <si>
    <t>Total weight</t>
  </si>
  <si>
    <t>pt II</t>
  </si>
  <si>
    <t>First weight</t>
  </si>
  <si>
    <t>Second weight</t>
  </si>
  <si>
    <t>First volume</t>
  </si>
  <si>
    <t>Second volume</t>
  </si>
  <si>
    <t>First cg</t>
  </si>
  <si>
    <t>Second cg</t>
  </si>
  <si>
    <t>No. of pax</t>
  </si>
  <si>
    <t>pt IV, last two rows removed</t>
  </si>
  <si>
    <t>don't know if these are the same or should have 2 rows removed as well</t>
  </si>
  <si>
    <t>Aft cargo cg</t>
  </si>
  <si>
    <t>Forward cargo cg</t>
  </si>
  <si>
    <t>New Cargo and Battery CG Calculations</t>
  </si>
  <si>
    <t>Aft floor area</t>
  </si>
  <si>
    <t>Aft cargo volume</t>
  </si>
  <si>
    <t>Aft average height</t>
  </si>
  <si>
    <t>Aft battery floor area</t>
  </si>
  <si>
    <t>Section not in appendage</t>
  </si>
  <si>
    <t>Width battery extends into aft</t>
  </si>
  <si>
    <t>New aft end of aft cargo</t>
  </si>
  <si>
    <t>Forward end of aft cargo</t>
  </si>
  <si>
    <t>Aft battery cg</t>
  </si>
  <si>
    <t>pt II, aft in aft cargo hold</t>
  </si>
  <si>
    <t>Fwd cargo height</t>
  </si>
  <si>
    <t>same as door height</t>
  </si>
  <si>
    <t>Fwd cargo length (orig.)</t>
  </si>
  <si>
    <t>approx 6 times door length</t>
  </si>
  <si>
    <t>Fwd cargo width</t>
  </si>
  <si>
    <t>fwd length between door edges</t>
  </si>
  <si>
    <t>section length</t>
  </si>
  <si>
    <t>Fwd battery length</t>
  </si>
  <si>
    <t>Fwd cargo front (new)</t>
  </si>
  <si>
    <t>Fwd cargo aft</t>
  </si>
  <si>
    <t>Fwd cargo cg</t>
  </si>
  <si>
    <t>Fwd battery cg</t>
  </si>
  <si>
    <t>pt II, forward in forward cargo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</si>
</sst>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u/>
      <sz val="14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quotePrefix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asa.europa.eu/sites/default/files/dfu/Weight%20Survey%20R20090095%20Final.pdf" TargetMode="External"/><Relationship Id="rId2" Type="http://schemas.openxmlformats.org/officeDocument/2006/relationships/hyperlink" Target="https://customer-janes-com.tudelft.idm.oclc.org/Janes/Display/jawaa647-jawa" TargetMode="External"/><Relationship Id="rId1" Type="http://schemas.openxmlformats.org/officeDocument/2006/relationships/hyperlink" Target="https://www.airlines-inform.com/commercial-aircraft/bombardier-crj-1000.html" TargetMode="External"/><Relationship Id="rId5" Type="http://schemas.openxmlformats.org/officeDocument/2006/relationships/hyperlink" Target="https://www.easa.europa.eu/sites/default/files/dfu/TCDS_EASA%20IM%20A%20673_%28CRJ%29_Issue%201_EASA.PDF" TargetMode="External"/><Relationship Id="rId4" Type="http://schemas.openxmlformats.org/officeDocument/2006/relationships/hyperlink" Target="https://brightspace.tudelft.nl/d2l/le/content/419892/viewContent/2368614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3432-9D99-4A71-8C0F-4DCF5ECB2B85}">
  <dimension ref="B2:T65"/>
  <sheetViews>
    <sheetView tabSelected="1" topLeftCell="A27" workbookViewId="0">
      <selection activeCell="K33" sqref="K33:L33"/>
    </sheetView>
  </sheetViews>
  <sheetFormatPr defaultRowHeight="15"/>
  <cols>
    <col min="2" max="2" width="27.5703125" customWidth="1"/>
    <col min="5" max="5" width="9.7109375" customWidth="1"/>
    <col min="11" max="11" width="14.7109375" bestFit="1" customWidth="1"/>
    <col min="16" max="16" width="16.5703125" customWidth="1"/>
  </cols>
  <sheetData>
    <row r="2" spans="2:18">
      <c r="B2" t="s">
        <v>0</v>
      </c>
    </row>
    <row r="3" spans="2:18">
      <c r="B3" s="4" t="s">
        <v>1</v>
      </c>
      <c r="E3" s="4" t="s">
        <v>2</v>
      </c>
      <c r="G3" t="s">
        <v>3</v>
      </c>
      <c r="O3" t="s">
        <v>4</v>
      </c>
      <c r="R3" s="4" t="s">
        <v>5</v>
      </c>
    </row>
    <row r="4" spans="2:18" ht="18.75">
      <c r="B4" s="2" t="s">
        <v>6</v>
      </c>
      <c r="C4" s="1"/>
    </row>
    <row r="5" spans="2:18">
      <c r="B5" s="3" t="s">
        <v>7</v>
      </c>
      <c r="C5" s="1"/>
      <c r="K5" t="s">
        <v>8</v>
      </c>
      <c r="L5">
        <f>E19</f>
        <v>40823</v>
      </c>
    </row>
    <row r="6" spans="2:18">
      <c r="B6" s="1" t="s">
        <v>9</v>
      </c>
      <c r="C6" s="1">
        <v>39.1</v>
      </c>
      <c r="D6" t="s">
        <v>10</v>
      </c>
      <c r="E6">
        <v>39.15</v>
      </c>
      <c r="G6">
        <v>39.130000000000003</v>
      </c>
      <c r="K6" t="s">
        <v>11</v>
      </c>
      <c r="L6">
        <f>E23</f>
        <v>23188</v>
      </c>
      <c r="M6" s="6">
        <f>L6/$L$5</f>
        <v>0.56801312985326902</v>
      </c>
    </row>
    <row r="7" spans="2:18">
      <c r="B7" s="1" t="s">
        <v>12</v>
      </c>
      <c r="C7" s="1">
        <v>26.2</v>
      </c>
      <c r="D7" t="s">
        <v>10</v>
      </c>
      <c r="E7">
        <v>26.17</v>
      </c>
      <c r="G7">
        <v>26.17</v>
      </c>
      <c r="K7" t="s">
        <v>13</v>
      </c>
      <c r="L7">
        <f>E22</f>
        <v>10605</v>
      </c>
      <c r="M7" s="6">
        <f>L7/$L$5</f>
        <v>0.25978002596575461</v>
      </c>
    </row>
    <row r="8" spans="2:18">
      <c r="B8" s="1" t="s">
        <v>14</v>
      </c>
      <c r="C8" s="1">
        <v>7.5</v>
      </c>
      <c r="D8" t="s">
        <v>10</v>
      </c>
      <c r="E8">
        <v>7.13</v>
      </c>
      <c r="G8">
        <v>7.47</v>
      </c>
      <c r="K8" t="s">
        <v>15</v>
      </c>
      <c r="L8">
        <f>100*88</f>
        <v>8800</v>
      </c>
      <c r="M8" s="6">
        <f>L8/$L$5</f>
        <v>0.21556475516253093</v>
      </c>
    </row>
    <row r="9" spans="2:18">
      <c r="B9" s="1" t="s">
        <v>16</v>
      </c>
      <c r="C9" s="1">
        <v>77.400000000000006</v>
      </c>
      <c r="D9" t="s">
        <v>17</v>
      </c>
      <c r="E9">
        <v>77.400000000000006</v>
      </c>
      <c r="G9">
        <v>77.39</v>
      </c>
      <c r="K9" t="s">
        <v>18</v>
      </c>
      <c r="L9">
        <f>G51/G54 * (E22-L8)</f>
        <v>482.67920691408233</v>
      </c>
      <c r="M9" s="6">
        <f>L9/$L$5</f>
        <v>1.1823707393236222E-2</v>
      </c>
    </row>
    <row r="10" spans="2:18">
      <c r="B10" s="1" t="s">
        <v>19</v>
      </c>
      <c r="C10" s="1"/>
      <c r="G10">
        <v>8.5399999999999991</v>
      </c>
      <c r="K10" t="s">
        <v>20</v>
      </c>
      <c r="L10">
        <f>G50/G54 * (E22-L8)</f>
        <v>1322.3207930859176</v>
      </c>
      <c r="M10" s="6">
        <f>L10/$L$5</f>
        <v>3.2391563409987445E-2</v>
      </c>
    </row>
    <row r="11" spans="2:18">
      <c r="B11" s="1" t="s">
        <v>21</v>
      </c>
      <c r="C11" s="1"/>
      <c r="G11">
        <v>2.69</v>
      </c>
      <c r="K11" t="s">
        <v>22</v>
      </c>
      <c r="L11">
        <f>G25</f>
        <v>8822</v>
      </c>
      <c r="M11" s="6">
        <f>L11/$L$5</f>
        <v>0.21610366705043726</v>
      </c>
    </row>
    <row r="12" spans="2:18">
      <c r="B12" s="1" t="s">
        <v>23</v>
      </c>
      <c r="C12" s="1"/>
      <c r="G12">
        <v>36.57</v>
      </c>
    </row>
    <row r="13" spans="2:18">
      <c r="B13" s="1" t="s">
        <v>24</v>
      </c>
      <c r="C13" s="1"/>
      <c r="G13">
        <v>15.91</v>
      </c>
    </row>
    <row r="14" spans="2:18">
      <c r="B14" s="1" t="s">
        <v>25</v>
      </c>
      <c r="C14" s="1"/>
      <c r="G14">
        <v>11.32</v>
      </c>
    </row>
    <row r="15" spans="2:18">
      <c r="B15" s="1"/>
      <c r="C15" s="1"/>
      <c r="K15" s="5" t="s">
        <v>26</v>
      </c>
      <c r="O15" t="s">
        <v>27</v>
      </c>
      <c r="Q15" s="4" t="s">
        <v>28</v>
      </c>
    </row>
    <row r="16" spans="2:18">
      <c r="B16" s="1"/>
      <c r="C16" s="1"/>
      <c r="K16" t="s">
        <v>29</v>
      </c>
      <c r="L16">
        <v>0.4</v>
      </c>
      <c r="M16" t="s">
        <v>30</v>
      </c>
    </row>
    <row r="17" spans="2:20">
      <c r="B17" s="1"/>
      <c r="C17" s="1"/>
      <c r="K17" t="s">
        <v>29</v>
      </c>
      <c r="L17">
        <f>L16*C58+C59</f>
        <v>24.257999999999999</v>
      </c>
      <c r="M17" t="s">
        <v>10</v>
      </c>
      <c r="N17" t="s">
        <v>31</v>
      </c>
    </row>
    <row r="18" spans="2:20">
      <c r="B18" s="3" t="s">
        <v>32</v>
      </c>
      <c r="C18" s="1"/>
      <c r="K18" t="s">
        <v>33</v>
      </c>
      <c r="L18">
        <f>(C60+C61)/2</f>
        <v>26.105865999999999</v>
      </c>
      <c r="M18" t="s">
        <v>10</v>
      </c>
      <c r="N18" t="s">
        <v>31</v>
      </c>
    </row>
    <row r="19" spans="2:20">
      <c r="B19" s="1" t="s">
        <v>34</v>
      </c>
      <c r="C19" s="1">
        <v>41640</v>
      </c>
      <c r="D19" t="s">
        <v>35</v>
      </c>
      <c r="E19">
        <v>40823</v>
      </c>
      <c r="G19">
        <v>41640</v>
      </c>
      <c r="K19" t="s">
        <v>36</v>
      </c>
      <c r="L19">
        <f xml:space="preserve"> (C62+C63) / 2 + C57</f>
        <v>15.502600000000001</v>
      </c>
      <c r="M19" t="s">
        <v>10</v>
      </c>
      <c r="N19" t="s">
        <v>31</v>
      </c>
    </row>
    <row r="20" spans="2:20">
      <c r="B20" s="1" t="s">
        <v>37</v>
      </c>
      <c r="C20" s="1">
        <v>36970</v>
      </c>
      <c r="D20" t="s">
        <v>35</v>
      </c>
      <c r="E20">
        <v>36968</v>
      </c>
      <c r="G20">
        <v>36968</v>
      </c>
      <c r="K20" t="s">
        <v>38</v>
      </c>
      <c r="L20">
        <f>21+C57</f>
        <v>24.657599999999999</v>
      </c>
      <c r="M20" t="s">
        <v>10</v>
      </c>
      <c r="N20" t="s">
        <v>31</v>
      </c>
      <c r="P20" t="s">
        <v>39</v>
      </c>
    </row>
    <row r="21" spans="2:20">
      <c r="B21" s="1" t="s">
        <v>40</v>
      </c>
      <c r="C21" s="1">
        <v>35150</v>
      </c>
      <c r="D21" t="s">
        <v>35</v>
      </c>
      <c r="E21">
        <v>35153</v>
      </c>
      <c r="G21">
        <v>35153</v>
      </c>
      <c r="K21" t="s">
        <v>41</v>
      </c>
      <c r="L21">
        <f>8.027+C57</f>
        <v>11.6846</v>
      </c>
      <c r="M21" t="s">
        <v>10</v>
      </c>
      <c r="N21" t="s">
        <v>42</v>
      </c>
    </row>
    <row r="22" spans="2:20">
      <c r="B22" s="1" t="s">
        <v>43</v>
      </c>
      <c r="C22" s="1">
        <v>11970</v>
      </c>
      <c r="D22" t="s">
        <v>35</v>
      </c>
      <c r="E22">
        <v>10605</v>
      </c>
      <c r="K22" t="s">
        <v>44</v>
      </c>
      <c r="L22">
        <f>31.622+C57</f>
        <v>35.279600000000002</v>
      </c>
      <c r="M22" t="s">
        <v>10</v>
      </c>
      <c r="N22" t="s">
        <v>31</v>
      </c>
    </row>
    <row r="23" spans="2:20">
      <c r="B23" t="s">
        <v>45</v>
      </c>
      <c r="D23" t="s">
        <v>35</v>
      </c>
      <c r="E23">
        <v>23188</v>
      </c>
    </row>
    <row r="24" spans="2:20">
      <c r="B24" t="s">
        <v>46</v>
      </c>
      <c r="D24" t="s">
        <v>35</v>
      </c>
      <c r="E24">
        <v>41050</v>
      </c>
      <c r="G24">
        <v>41867</v>
      </c>
    </row>
    <row r="25" spans="2:20">
      <c r="B25" t="s">
        <v>47</v>
      </c>
      <c r="D25" t="s">
        <v>35</v>
      </c>
      <c r="G25">
        <v>8822</v>
      </c>
      <c r="K25" s="5" t="s">
        <v>48</v>
      </c>
      <c r="N25" t="s">
        <v>49</v>
      </c>
      <c r="P25" s="5" t="s">
        <v>50</v>
      </c>
    </row>
    <row r="26" spans="2:20">
      <c r="B26" s="3" t="s">
        <v>51</v>
      </c>
      <c r="K26" s="7" t="s">
        <v>52</v>
      </c>
      <c r="P26" t="s">
        <v>53</v>
      </c>
      <c r="Q26">
        <v>0.82</v>
      </c>
    </row>
    <row r="27" spans="2:20">
      <c r="B27" s="1" t="s">
        <v>54</v>
      </c>
      <c r="C27" s="1">
        <v>3050</v>
      </c>
      <c r="D27" t="s">
        <v>55</v>
      </c>
      <c r="K27" t="s">
        <v>56</v>
      </c>
      <c r="L27">
        <v>1</v>
      </c>
      <c r="P27" t="s">
        <v>57</v>
      </c>
      <c r="Q27">
        <f>G10^2/G13</f>
        <v>4.5840100565681956</v>
      </c>
      <c r="S27" t="s">
        <v>58</v>
      </c>
    </row>
    <row r="28" spans="2:20">
      <c r="B28" t="s">
        <v>59</v>
      </c>
      <c r="D28" t="s">
        <v>55</v>
      </c>
      <c r="E28">
        <v>2639</v>
      </c>
      <c r="K28" t="s">
        <v>60</v>
      </c>
      <c r="L28">
        <f>(2*PI()*Q27)/(2+SQRT(4+(Q27*Q28/Q29)^2*(1+TAN(RADIANS(Q46))^2/Q28^2)))</f>
        <v>4.5599665811484327</v>
      </c>
      <c r="P28" t="s">
        <v>61</v>
      </c>
      <c r="Q28">
        <f>SQRT(1-Q26^2)</f>
        <v>0.57236352085016751</v>
      </c>
    </row>
    <row r="29" spans="2:20">
      <c r="B29" s="1" t="s">
        <v>62</v>
      </c>
      <c r="C29" s="1">
        <f>830/3.6</f>
        <v>230.55555555555554</v>
      </c>
      <c r="D29" t="s">
        <v>63</v>
      </c>
      <c r="K29" t="s">
        <v>64</v>
      </c>
      <c r="L29">
        <f>Q43*(1+2.15*Q37/G7)*Q47/G9+PI()*Q37^2/2/G9</f>
        <v>6.8466375609770536</v>
      </c>
      <c r="P29" t="s">
        <v>65</v>
      </c>
      <c r="Q29">
        <v>0.95</v>
      </c>
    </row>
    <row r="30" spans="2:20">
      <c r="B30" s="1" t="s">
        <v>66</v>
      </c>
      <c r="C30" s="1">
        <f>870/3.6</f>
        <v>241.66666666666666</v>
      </c>
      <c r="D30" t="s">
        <v>67</v>
      </c>
      <c r="K30" t="s">
        <v>68</v>
      </c>
      <c r="L30">
        <f>Q50+0.25*Q49-(L32*C58+C59)</f>
        <v>-24.411032256936323</v>
      </c>
      <c r="P30" t="s">
        <v>69</v>
      </c>
      <c r="Q30" s="9">
        <f>(TAN(RADIANS(Q34))-(4/Q31)*(50-0)/100*(1-Q35)/(1+Q35))*180/PI()</f>
        <v>25.225534403070107</v>
      </c>
      <c r="R30" t="s">
        <v>70</v>
      </c>
      <c r="S30" t="s">
        <v>71</v>
      </c>
    </row>
    <row r="31" spans="2:20">
      <c r="B31" s="1" t="s">
        <v>72</v>
      </c>
      <c r="C31" s="1">
        <v>12500</v>
      </c>
      <c r="D31" t="s">
        <v>10</v>
      </c>
      <c r="K31" t="s">
        <v>73</v>
      </c>
      <c r="L31">
        <f>(Q53/Q54)*(Q51*0.4876/((Q51^2+Q52^2)*SQRT(Q51^2+0.6319+Q52^2))+(1+(Q51^2/(Q51^2+0.7915+5.0734*Q52^2))^0.3113)*(1-SQRT(Q52^2/(1+Q52^2))))*Q43/(PI()*Q31)</f>
        <v>0.40008330636073008</v>
      </c>
      <c r="P31" t="s">
        <v>74</v>
      </c>
      <c r="Q31">
        <f>G7^2/G9</f>
        <v>8.849578756945343</v>
      </c>
    </row>
    <row r="32" spans="2:20">
      <c r="B32" s="1" t="s">
        <v>75</v>
      </c>
      <c r="C32">
        <v>2030</v>
      </c>
      <c r="D32" t="s">
        <v>10</v>
      </c>
      <c r="E32">
        <v>1979</v>
      </c>
      <c r="K32" t="s">
        <v>76</v>
      </c>
      <c r="L32">
        <f>Q64+Q65</f>
        <v>0.44397478647595501</v>
      </c>
      <c r="P32" t="s">
        <v>77</v>
      </c>
      <c r="Q32">
        <f>5.11+0.5*Q37*(TAN(RADIANS(Q34))-TAN(RADIANS(Q48)))</f>
        <v>5.8173600051491228</v>
      </c>
      <c r="R32" t="s">
        <v>10</v>
      </c>
      <c r="S32">
        <v>4.9000000000000004</v>
      </c>
      <c r="T32" s="8" t="s">
        <v>78</v>
      </c>
    </row>
    <row r="33" spans="2:20">
      <c r="B33" s="1" t="s">
        <v>79</v>
      </c>
      <c r="C33" s="1">
        <v>1750</v>
      </c>
      <c r="D33" t="s">
        <v>10</v>
      </c>
      <c r="E33">
        <v>1747</v>
      </c>
      <c r="K33" t="s">
        <v>80</v>
      </c>
      <c r="L33">
        <v>3.48</v>
      </c>
      <c r="P33" t="s">
        <v>81</v>
      </c>
      <c r="Q33">
        <f>Q32/S32*S33</f>
        <v>1.4246595930977441</v>
      </c>
      <c r="R33" t="s">
        <v>10</v>
      </c>
      <c r="S33">
        <v>1.2</v>
      </c>
      <c r="T33" t="s">
        <v>78</v>
      </c>
    </row>
    <row r="34" spans="2:20">
      <c r="B34" t="s">
        <v>82</v>
      </c>
      <c r="D34" t="s">
        <v>83</v>
      </c>
      <c r="E34">
        <v>0.82</v>
      </c>
      <c r="P34" t="s">
        <v>84</v>
      </c>
      <c r="Q34">
        <v>30</v>
      </c>
      <c r="R34" t="s">
        <v>70</v>
      </c>
    </row>
    <row r="35" spans="2:20">
      <c r="B35" s="3" t="s">
        <v>85</v>
      </c>
      <c r="C35" s="1"/>
      <c r="P35" t="s">
        <v>86</v>
      </c>
      <c r="Q35">
        <f>Q33/Q32</f>
        <v>0.24489795918367344</v>
      </c>
      <c r="R35" t="s">
        <v>83</v>
      </c>
    </row>
    <row r="36" spans="2:20">
      <c r="B36" s="1" t="s">
        <v>87</v>
      </c>
      <c r="C36" s="1">
        <v>27260</v>
      </c>
      <c r="D36" t="s">
        <v>88</v>
      </c>
      <c r="P36" t="s">
        <v>89</v>
      </c>
      <c r="Q36">
        <f>(TAN(RADIANS(Q34))-(4/Q31)*(25-0)/100*(1-Q35)/(1+Q35))*180/PI()</f>
        <v>29.152634064188813</v>
      </c>
      <c r="R36" t="s">
        <v>70</v>
      </c>
    </row>
    <row r="37" spans="2:20">
      <c r="B37" s="3" t="s">
        <v>90</v>
      </c>
      <c r="C37" s="1"/>
      <c r="P37" t="s">
        <v>91</v>
      </c>
      <c r="Q37">
        <v>2.6949999999999998</v>
      </c>
      <c r="R37" t="s">
        <v>10</v>
      </c>
    </row>
    <row r="38" spans="2:20">
      <c r="B38" t="s">
        <v>92</v>
      </c>
      <c r="C38">
        <v>104</v>
      </c>
      <c r="D38" t="s">
        <v>83</v>
      </c>
      <c r="P38" t="s">
        <v>93</v>
      </c>
      <c r="Q38">
        <v>2.6949999999999998</v>
      </c>
      <c r="R38" t="s">
        <v>10</v>
      </c>
    </row>
    <row r="39" spans="2:20">
      <c r="B39" t="s">
        <v>94</v>
      </c>
      <c r="C39">
        <v>97</v>
      </c>
      <c r="D39" t="s">
        <v>83</v>
      </c>
      <c r="E39">
        <v>100</v>
      </c>
      <c r="P39" t="s">
        <v>95</v>
      </c>
      <c r="Q39">
        <f>G6-16.97-5.11</f>
        <v>17.050000000000004</v>
      </c>
      <c r="R39" t="s">
        <v>10</v>
      </c>
    </row>
    <row r="40" spans="2:20">
      <c r="B40" t="s">
        <v>96</v>
      </c>
      <c r="C40">
        <v>0.78</v>
      </c>
      <c r="D40" t="s">
        <v>10</v>
      </c>
      <c r="P40" t="s">
        <v>97</v>
      </c>
      <c r="Q40">
        <v>1.55</v>
      </c>
      <c r="R40" t="s">
        <v>10</v>
      </c>
    </row>
    <row r="41" spans="2:20">
      <c r="B41" t="s">
        <v>98</v>
      </c>
      <c r="C41">
        <v>23.6</v>
      </c>
      <c r="D41" t="s">
        <v>10</v>
      </c>
      <c r="E41">
        <v>23.6</v>
      </c>
      <c r="P41" t="s">
        <v>99</v>
      </c>
      <c r="Q41">
        <f>(28.6+3.9-(C59+0.25*C58))*-1</f>
        <v>-8.7639999999999993</v>
      </c>
      <c r="R41" t="s">
        <v>10</v>
      </c>
    </row>
    <row r="42" spans="2:20">
      <c r="B42" t="s">
        <v>100</v>
      </c>
      <c r="C42">
        <v>2.5499999999999998</v>
      </c>
      <c r="D42" t="s">
        <v>10</v>
      </c>
      <c r="P42" t="s">
        <v>101</v>
      </c>
      <c r="Q42">
        <v>-2.5</v>
      </c>
    </row>
    <row r="43" spans="2:20">
      <c r="B43" t="s">
        <v>102</v>
      </c>
      <c r="C43">
        <v>1.89</v>
      </c>
      <c r="D43" t="s">
        <v>10</v>
      </c>
      <c r="P43" t="s">
        <v>103</v>
      </c>
      <c r="Q43">
        <f>(2*PI()*Q31)/(2+SQRT(4+(Q31*Q28/Q29)^2*(1+TAN(RADIANS(Q30))^2/Q28^2)))</f>
        <v>6.0508565638230341</v>
      </c>
      <c r="R43" t="s">
        <v>104</v>
      </c>
    </row>
    <row r="44" spans="2:20">
      <c r="B44" t="s">
        <v>105</v>
      </c>
      <c r="C44">
        <v>0.4</v>
      </c>
      <c r="D44" t="s">
        <v>10</v>
      </c>
      <c r="P44" t="s">
        <v>106</v>
      </c>
      <c r="Q44">
        <v>34</v>
      </c>
      <c r="R44" t="s">
        <v>70</v>
      </c>
    </row>
    <row r="45" spans="2:20">
      <c r="B45" t="s">
        <v>107</v>
      </c>
      <c r="C45">
        <v>0.44</v>
      </c>
      <c r="D45" t="s">
        <v>10</v>
      </c>
      <c r="P45" t="s">
        <v>108</v>
      </c>
      <c r="Q45">
        <f>1.6/3.7</f>
        <v>0.43243243243243246</v>
      </c>
      <c r="R45" t="s">
        <v>83</v>
      </c>
      <c r="S45" t="s">
        <v>109</v>
      </c>
    </row>
    <row r="46" spans="2:20">
      <c r="B46" t="s">
        <v>110</v>
      </c>
      <c r="D46" t="s">
        <v>17</v>
      </c>
      <c r="E46">
        <v>50.3</v>
      </c>
      <c r="P46" t="s">
        <v>111</v>
      </c>
      <c r="Q46">
        <f>(TAN(RADIANS(Q44))-(4/Q27)*(50-0)/100*(1-Q45)/(1+Q45))*180/PI()</f>
        <v>28.741582224134536</v>
      </c>
      <c r="R46" t="s">
        <v>70</v>
      </c>
    </row>
    <row r="47" spans="2:20">
      <c r="B47" t="s">
        <v>112</v>
      </c>
      <c r="D47" t="s">
        <v>113</v>
      </c>
      <c r="E47">
        <v>94.01</v>
      </c>
      <c r="P47" t="s">
        <v>114</v>
      </c>
      <c r="Q47">
        <f>G9-5.11*0.5*Q37-0.5*0.5*Q37*(TAN(RADIANS(Q34))-TAN(RADIANS(Q48)))</f>
        <v>70.150594997425443</v>
      </c>
      <c r="R47" t="s">
        <v>17</v>
      </c>
    </row>
    <row r="48" spans="2:20">
      <c r="P48" t="s">
        <v>115</v>
      </c>
      <c r="Q48">
        <v>3</v>
      </c>
      <c r="R48" t="s">
        <v>70</v>
      </c>
    </row>
    <row r="49" spans="2:19">
      <c r="B49" s="5" t="s">
        <v>116</v>
      </c>
      <c r="G49" t="s">
        <v>3</v>
      </c>
      <c r="P49" t="s">
        <v>117</v>
      </c>
      <c r="R49" t="s">
        <v>10</v>
      </c>
    </row>
    <row r="50" spans="2:19">
      <c r="B50" t="s">
        <v>118</v>
      </c>
      <c r="G50">
        <v>14.41</v>
      </c>
      <c r="H50" t="s">
        <v>113</v>
      </c>
      <c r="P50" t="s">
        <v>119</v>
      </c>
      <c r="R50" t="s">
        <v>10</v>
      </c>
      <c r="S50" t="s">
        <v>31</v>
      </c>
    </row>
    <row r="51" spans="2:19">
      <c r="B51" t="s">
        <v>120</v>
      </c>
      <c r="G51">
        <v>5.26</v>
      </c>
      <c r="H51" t="s">
        <v>113</v>
      </c>
      <c r="P51" t="s">
        <v>121</v>
      </c>
      <c r="Q51">
        <f>L30/(G7/2)</f>
        <v>-1.8655737299913124</v>
      </c>
      <c r="R51" t="s">
        <v>122</v>
      </c>
    </row>
    <row r="52" spans="2:19">
      <c r="B52" t="s">
        <v>123</v>
      </c>
      <c r="G52">
        <v>4.16</v>
      </c>
      <c r="H52" t="s">
        <v>113</v>
      </c>
      <c r="P52" t="s">
        <v>124</v>
      </c>
      <c r="R52" t="s">
        <v>122</v>
      </c>
    </row>
    <row r="53" spans="2:19">
      <c r="B53" t="s">
        <v>125</v>
      </c>
      <c r="G53">
        <v>5.08</v>
      </c>
      <c r="H53" t="s">
        <v>113</v>
      </c>
      <c r="P53" t="s">
        <v>126</v>
      </c>
      <c r="Q53">
        <f>(0.1124+0.1265*RADIANS(Q36)+0.1766*RADIANS(Q36)^2)/(Q51^2) +0.1024/Q51 + 2</f>
        <v>2.0090361489556861</v>
      </c>
    </row>
    <row r="54" spans="2:19">
      <c r="B54" t="s">
        <v>127</v>
      </c>
      <c r="G54">
        <f>G51+G50</f>
        <v>19.670000000000002</v>
      </c>
      <c r="H54" t="s">
        <v>113</v>
      </c>
      <c r="P54" t="s">
        <v>128</v>
      </c>
      <c r="Q54">
        <f>0.1124/(Q51^2)+0.1024/Q51 + 2</f>
        <v>1.977406179460125</v>
      </c>
    </row>
    <row r="56" spans="2:19">
      <c r="B56" s="5" t="s">
        <v>129</v>
      </c>
      <c r="C56" s="4" t="s">
        <v>130</v>
      </c>
      <c r="P56" s="5" t="s">
        <v>131</v>
      </c>
    </row>
    <row r="57" spans="2:19">
      <c r="B57" t="s">
        <v>132</v>
      </c>
      <c r="C57">
        <v>3.6576</v>
      </c>
      <c r="D57" t="s">
        <v>10</v>
      </c>
      <c r="E57" t="s">
        <v>133</v>
      </c>
      <c r="P57" t="s">
        <v>134</v>
      </c>
      <c r="Q57">
        <f>Q28*Q31</f>
        <v>5.0651760553660852</v>
      </c>
    </row>
    <row r="58" spans="2:19">
      <c r="B58" t="s">
        <v>80</v>
      </c>
      <c r="C58">
        <v>3.48</v>
      </c>
      <c r="D58" t="s">
        <v>10</v>
      </c>
      <c r="P58" t="s">
        <v>135</v>
      </c>
      <c r="Q58">
        <f>ATAN(TAN(RADIANS(Q34))/Q28)*180/PI()</f>
        <v>45.248512146330093</v>
      </c>
    </row>
    <row r="59" spans="2:19">
      <c r="B59" t="s">
        <v>136</v>
      </c>
      <c r="C59">
        <v>22.866</v>
      </c>
      <c r="D59" t="s">
        <v>10</v>
      </c>
      <c r="P59" t="s">
        <v>137</v>
      </c>
      <c r="Q59">
        <v>0.4</v>
      </c>
    </row>
    <row r="60" spans="2:19">
      <c r="B60" t="s">
        <v>138</v>
      </c>
      <c r="C60">
        <f>959.5*0.0254</f>
        <v>24.371299999999998</v>
      </c>
      <c r="D60" t="s">
        <v>10</v>
      </c>
      <c r="E60" t="s">
        <v>139</v>
      </c>
      <c r="P60" t="s">
        <v>140</v>
      </c>
      <c r="Q60">
        <v>0.36</v>
      </c>
    </row>
    <row r="61" spans="2:19">
      <c r="B61" t="s">
        <v>141</v>
      </c>
      <c r="C61">
        <f>1096.08*0.0254</f>
        <v>27.840431999999996</v>
      </c>
      <c r="D61" t="s">
        <v>10</v>
      </c>
      <c r="E61" t="s">
        <v>139</v>
      </c>
      <c r="P61" t="s">
        <v>142</v>
      </c>
      <c r="Q61">
        <f>(Q59+Q60)/2</f>
        <v>0.38</v>
      </c>
    </row>
    <row r="62" spans="2:19">
      <c r="B62" t="s">
        <v>143</v>
      </c>
      <c r="C62">
        <f>12.73+1.07</f>
        <v>13.8</v>
      </c>
      <c r="D62" t="s">
        <v>10</v>
      </c>
      <c r="E62" t="s">
        <v>144</v>
      </c>
      <c r="P62" t="s">
        <v>145</v>
      </c>
      <c r="Q62">
        <f>1.8*Q37*Q38*Q39/L29/G9/C58</f>
        <v>0.12088516247843831</v>
      </c>
    </row>
    <row r="63" spans="2:19">
      <c r="B63" t="s">
        <v>146</v>
      </c>
      <c r="C63">
        <f>9.89</f>
        <v>9.89</v>
      </c>
      <c r="D63" t="s">
        <v>10</v>
      </c>
      <c r="E63" t="s">
        <v>144</v>
      </c>
      <c r="P63" t="s">
        <v>147</v>
      </c>
      <c r="Q63">
        <f>0.273/(1+Q35)*(Q37*G9/G7*(G7-Q37))/(C58^2*(G7+2.15*Q37))*TAN(Q36)</f>
        <v>0.12776544019534353</v>
      </c>
    </row>
    <row r="64" spans="2:19">
      <c r="P64" t="s">
        <v>148</v>
      </c>
      <c r="Q64">
        <f>Q61-Q62+Q63</f>
        <v>0.38688027771690525</v>
      </c>
    </row>
    <row r="65" spans="16:17">
      <c r="P65" t="s">
        <v>149</v>
      </c>
      <c r="Q65">
        <f>2*Q42*Q40^2*Q41/G9/C58/L29</f>
        <v>5.7094508759049749E-2</v>
      </c>
    </row>
  </sheetData>
  <hyperlinks>
    <hyperlink ref="B3" r:id="rId1" xr:uid="{D3E59E77-6BE8-4E66-857A-66131F176E8F}"/>
    <hyperlink ref="E3" r:id="rId2" xr:uid="{98D3DC49-F94F-4769-9DA3-6EBDCCDD22DB}"/>
    <hyperlink ref="R3" r:id="rId3" xr:uid="{908D4332-B275-421D-A29B-7AA8DCF36AD7}"/>
    <hyperlink ref="Q15" r:id="rId4" xr:uid="{90A9F631-43D9-43F0-A4EC-70769D87048A}"/>
    <hyperlink ref="C56" r:id="rId5" xr:uid="{BB0CA69B-4893-405A-9F25-3789A2839D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F04C-07A7-4DEF-8FF6-EBE61286FABF}">
  <dimension ref="A1:L55"/>
  <sheetViews>
    <sheetView topLeftCell="A33" workbookViewId="0">
      <selection activeCell="I44" sqref="I44"/>
    </sheetView>
  </sheetViews>
  <sheetFormatPr defaultRowHeight="15"/>
  <cols>
    <col min="1" max="1" width="27.7109375" bestFit="1" customWidth="1"/>
    <col min="4" max="4" width="11.5703125" bestFit="1" customWidth="1"/>
    <col min="9" max="9" width="17.28515625" customWidth="1"/>
  </cols>
  <sheetData>
    <row r="1" spans="1:12">
      <c r="A1" s="5" t="s">
        <v>32</v>
      </c>
      <c r="E1" s="5" t="s">
        <v>150</v>
      </c>
      <c r="I1" s="7" t="s">
        <v>151</v>
      </c>
    </row>
    <row r="2" spans="1:12">
      <c r="A2" t="s">
        <v>34</v>
      </c>
      <c r="B2">
        <v>41640</v>
      </c>
      <c r="C2" t="s">
        <v>35</v>
      </c>
      <c r="E2" t="s">
        <v>152</v>
      </c>
    </row>
    <row r="3" spans="1:12">
      <c r="A3" t="s">
        <v>45</v>
      </c>
      <c r="B3">
        <f>0.95*'Reference Data'!E23</f>
        <v>22028.6</v>
      </c>
      <c r="C3" t="s">
        <v>35</v>
      </c>
      <c r="E3" t="s">
        <v>153</v>
      </c>
      <c r="I3" t="s">
        <v>8</v>
      </c>
      <c r="J3">
        <f>B2</f>
        <v>41640</v>
      </c>
    </row>
    <row r="4" spans="1:12">
      <c r="A4" t="s">
        <v>43</v>
      </c>
      <c r="B4">
        <f>'Reference Data'!E22</f>
        <v>10605</v>
      </c>
      <c r="C4" t="s">
        <v>35</v>
      </c>
      <c r="E4" t="s">
        <v>154</v>
      </c>
      <c r="I4" t="s">
        <v>155</v>
      </c>
      <c r="J4">
        <f>B3</f>
        <v>22028.6</v>
      </c>
      <c r="K4" s="6">
        <f>J4/$J$3</f>
        <v>0.52902497598463016</v>
      </c>
      <c r="L4" s="6"/>
    </row>
    <row r="5" spans="1:12">
      <c r="I5" t="s">
        <v>156</v>
      </c>
      <c r="J5">
        <f>B12</f>
        <v>3000</v>
      </c>
      <c r="K5" s="6">
        <f>J5/$J$3</f>
        <v>7.2046109510086456E-2</v>
      </c>
    </row>
    <row r="6" spans="1:12">
      <c r="A6" s="5" t="s">
        <v>157</v>
      </c>
      <c r="I6" t="s">
        <v>13</v>
      </c>
      <c r="J6">
        <f>B4</f>
        <v>10605</v>
      </c>
      <c r="K6" s="6">
        <f t="shared" ref="K6:K10" si="0">J6/$J$3</f>
        <v>0.25468299711815562</v>
      </c>
    </row>
    <row r="7" spans="1:12">
      <c r="A7" t="s">
        <v>29</v>
      </c>
      <c r="B7">
        <f>'Reference Data'!L17 - 0.5</f>
        <v>23.757999999999999</v>
      </c>
      <c r="C7" t="s">
        <v>10</v>
      </c>
      <c r="D7" t="s">
        <v>31</v>
      </c>
      <c r="E7" t="s">
        <v>158</v>
      </c>
      <c r="I7" t="s">
        <v>15</v>
      </c>
      <c r="J7">
        <f>B21*88</f>
        <v>8096</v>
      </c>
      <c r="K7" s="6">
        <f t="shared" si="0"/>
        <v>0.19442843419788663</v>
      </c>
    </row>
    <row r="8" spans="1:12">
      <c r="A8" t="s">
        <v>159</v>
      </c>
      <c r="B8">
        <f>(B7*B3+B13*B17+B14*B18)/(B3+B13+B14)</f>
        <v>20.910297771349573</v>
      </c>
      <c r="D8" t="s">
        <v>31</v>
      </c>
      <c r="E8" t="s">
        <v>160</v>
      </c>
      <c r="I8" t="s">
        <v>18</v>
      </c>
      <c r="J8">
        <f>B25/B28*(J6-J7)</f>
        <v>616.91110605888366</v>
      </c>
      <c r="K8" s="6">
        <f t="shared" si="0"/>
        <v>1.4815348368368965E-2</v>
      </c>
    </row>
    <row r="9" spans="1:12">
      <c r="I9" t="s">
        <v>20</v>
      </c>
      <c r="J9">
        <f>B24/B28*(J6-J7)</f>
        <v>1892.0888939411161</v>
      </c>
      <c r="K9" s="6">
        <f t="shared" si="0"/>
        <v>4.5439214551900003E-2</v>
      </c>
    </row>
    <row r="10" spans="1:12">
      <c r="I10" t="s">
        <v>22</v>
      </c>
      <c r="J10">
        <f>J3-J4-J6</f>
        <v>9006.4000000000015</v>
      </c>
      <c r="K10" s="6">
        <f t="shared" si="0"/>
        <v>0.21629202689721425</v>
      </c>
    </row>
    <row r="11" spans="1:12">
      <c r="A11" s="5" t="s">
        <v>161</v>
      </c>
    </row>
    <row r="12" spans="1:12">
      <c r="A12" t="s">
        <v>162</v>
      </c>
      <c r="B12">
        <v>3000</v>
      </c>
      <c r="C12" t="s">
        <v>35</v>
      </c>
      <c r="E12" t="s">
        <v>163</v>
      </c>
    </row>
    <row r="13" spans="1:12">
      <c r="A13" t="s">
        <v>164</v>
      </c>
      <c r="B13">
        <v>1350</v>
      </c>
      <c r="C13" t="s">
        <v>35</v>
      </c>
      <c r="E13" t="s">
        <v>163</v>
      </c>
    </row>
    <row r="14" spans="1:12">
      <c r="A14" t="s">
        <v>165</v>
      </c>
      <c r="B14">
        <v>1650</v>
      </c>
      <c r="C14" t="s">
        <v>35</v>
      </c>
      <c r="E14" t="s">
        <v>163</v>
      </c>
    </row>
    <row r="15" spans="1:12">
      <c r="A15" t="s">
        <v>166</v>
      </c>
      <c r="B15">
        <v>0.93400000000000005</v>
      </c>
      <c r="C15" t="s">
        <v>113</v>
      </c>
      <c r="E15" t="s">
        <v>163</v>
      </c>
    </row>
    <row r="16" spans="1:12">
      <c r="A16" t="s">
        <v>167</v>
      </c>
      <c r="B16">
        <v>1.1419999999999999</v>
      </c>
      <c r="C16" t="s">
        <v>113</v>
      </c>
      <c r="E16" t="s">
        <v>163</v>
      </c>
    </row>
    <row r="17" spans="1:5">
      <c r="A17" t="s">
        <v>168</v>
      </c>
      <c r="C17" t="s">
        <v>10</v>
      </c>
    </row>
    <row r="18" spans="1:5">
      <c r="A18" t="s">
        <v>169</v>
      </c>
      <c r="C18" t="s">
        <v>10</v>
      </c>
    </row>
    <row r="21" spans="1:5">
      <c r="A21" t="s">
        <v>170</v>
      </c>
      <c r="B21">
        <f>100-8</f>
        <v>92</v>
      </c>
      <c r="E21" t="s">
        <v>171</v>
      </c>
    </row>
    <row r="23" spans="1:5">
      <c r="A23" s="5" t="s">
        <v>116</v>
      </c>
    </row>
    <row r="24" spans="1:5">
      <c r="A24" t="s">
        <v>118</v>
      </c>
      <c r="B24">
        <f>'Reference Data'!G50-'Second Part'!B16</f>
        <v>13.268000000000001</v>
      </c>
      <c r="C24" t="s">
        <v>113</v>
      </c>
    </row>
    <row r="25" spans="1:5">
      <c r="A25" t="s">
        <v>120</v>
      </c>
      <c r="B25">
        <f>'Reference Data'!G51-'Second Part'!B15</f>
        <v>4.3259999999999996</v>
      </c>
      <c r="C25" t="s">
        <v>113</v>
      </c>
    </row>
    <row r="26" spans="1:5">
      <c r="A26" t="s">
        <v>123</v>
      </c>
      <c r="E26" t="s">
        <v>172</v>
      </c>
    </row>
    <row r="27" spans="1:5">
      <c r="A27" t="s">
        <v>125</v>
      </c>
      <c r="E27" t="s">
        <v>172</v>
      </c>
    </row>
    <row r="28" spans="1:5">
      <c r="A28" t="s">
        <v>127</v>
      </c>
      <c r="B28">
        <f>B24+B25</f>
        <v>17.594000000000001</v>
      </c>
      <c r="C28" t="s">
        <v>113</v>
      </c>
    </row>
    <row r="29" spans="1:5">
      <c r="A29" t="s">
        <v>173</v>
      </c>
      <c r="C29" t="s">
        <v>10</v>
      </c>
      <c r="D29" t="s">
        <v>31</v>
      </c>
    </row>
    <row r="30" spans="1:5">
      <c r="A30" t="s">
        <v>174</v>
      </c>
      <c r="C30" t="s">
        <v>10</v>
      </c>
      <c r="D30" t="s">
        <v>31</v>
      </c>
    </row>
    <row r="32" spans="1:5">
      <c r="A32" s="5" t="s">
        <v>175</v>
      </c>
    </row>
    <row r="33" spans="1:5">
      <c r="A33" t="s">
        <v>176</v>
      </c>
      <c r="B33">
        <v>7.5979999999999999</v>
      </c>
      <c r="C33" t="s">
        <v>17</v>
      </c>
    </row>
    <row r="34" spans="1:5">
      <c r="A34" t="s">
        <v>177</v>
      </c>
      <c r="B34">
        <v>14.41</v>
      </c>
      <c r="C34" t="s">
        <v>113</v>
      </c>
    </row>
    <row r="35" spans="1:5">
      <c r="A35" t="s">
        <v>178</v>
      </c>
      <c r="B35">
        <f>B34/B33</f>
        <v>1.896551724137931</v>
      </c>
      <c r="C35" t="s">
        <v>10</v>
      </c>
    </row>
    <row r="36" spans="1:5">
      <c r="A36" t="s">
        <v>179</v>
      </c>
      <c r="B36">
        <f>B16/B35</f>
        <v>0.60214545454545454</v>
      </c>
      <c r="C36" t="s">
        <v>17</v>
      </c>
    </row>
    <row r="37" spans="1:5">
      <c r="A37" t="s">
        <v>180</v>
      </c>
      <c r="B37">
        <f>B36-(1.41*0.2)</f>
        <v>0.32014545454545457</v>
      </c>
      <c r="C37" t="s">
        <v>17</v>
      </c>
    </row>
    <row r="38" spans="1:5">
      <c r="A38" t="s">
        <v>181</v>
      </c>
      <c r="B38">
        <f>B37/2.15</f>
        <v>0.14890486257928121</v>
      </c>
      <c r="C38" t="s">
        <v>17</v>
      </c>
    </row>
    <row r="39" spans="1:5">
      <c r="A39" t="s">
        <v>182</v>
      </c>
      <c r="B39">
        <f>'Reference Data'!C61-'Second Part'!B38-0.2</f>
        <v>27.491527137420714</v>
      </c>
      <c r="C39" t="s">
        <v>17</v>
      </c>
      <c r="D39" t="s">
        <v>31</v>
      </c>
    </row>
    <row r="40" spans="1:5">
      <c r="A40" t="s">
        <v>183</v>
      </c>
      <c r="B40">
        <f>'Reference Data'!C60</f>
        <v>24.371299999999998</v>
      </c>
      <c r="C40" t="s">
        <v>17</v>
      </c>
      <c r="D40" t="s">
        <v>31</v>
      </c>
    </row>
    <row r="41" spans="1:5">
      <c r="A41" t="s">
        <v>173</v>
      </c>
      <c r="B41">
        <f>(B39+B40)/2</f>
        <v>25.931413568710354</v>
      </c>
      <c r="C41" t="s">
        <v>17</v>
      </c>
      <c r="D41" t="s">
        <v>31</v>
      </c>
    </row>
    <row r="42" spans="1:5">
      <c r="A42" t="s">
        <v>184</v>
      </c>
      <c r="B42">
        <f>((B39+B38*0.5)*B37+(B39+B38+0.1*0.5)*(B36-B37))/B36</f>
        <v>27.624263801130862</v>
      </c>
      <c r="C42" t="s">
        <v>17</v>
      </c>
      <c r="D42" t="s">
        <v>31</v>
      </c>
      <c r="E42" t="s">
        <v>185</v>
      </c>
    </row>
    <row r="44" spans="1:5">
      <c r="A44" t="s">
        <v>186</v>
      </c>
      <c r="B44">
        <f>'Reference Data'!G51/'Second Part'!B45/'Second Part'!B46</f>
        <v>0.3223157714131647</v>
      </c>
      <c r="C44" t="s">
        <v>10</v>
      </c>
      <c r="D44" t="s">
        <v>187</v>
      </c>
    </row>
    <row r="45" spans="1:5">
      <c r="A45" t="s">
        <v>188</v>
      </c>
      <c r="B45">
        <f>2*1.07+4*B49</f>
        <v>9.2200000000000006</v>
      </c>
      <c r="C45" t="s">
        <v>10</v>
      </c>
      <c r="D45" t="s">
        <v>189</v>
      </c>
    </row>
    <row r="46" spans="1:5">
      <c r="A46" t="s">
        <v>190</v>
      </c>
      <c r="B46">
        <f>B49</f>
        <v>1.77</v>
      </c>
      <c r="C46" t="s">
        <v>10</v>
      </c>
    </row>
    <row r="48" spans="1:5">
      <c r="A48" t="s">
        <v>191</v>
      </c>
      <c r="B48">
        <f>'Reference Data'!C62-'Reference Data'!C63</f>
        <v>3.91</v>
      </c>
      <c r="C48" t="s">
        <v>10</v>
      </c>
    </row>
    <row r="49" spans="1:5">
      <c r="A49" t="s">
        <v>192</v>
      </c>
      <c r="B49">
        <f>B48-2*1.07</f>
        <v>1.77</v>
      </c>
      <c r="C49" t="s">
        <v>10</v>
      </c>
    </row>
    <row r="51" spans="1:5">
      <c r="A51" t="s">
        <v>193</v>
      </c>
      <c r="B51">
        <f>B15/B46/B44</f>
        <v>1.6371634980988594</v>
      </c>
    </row>
    <row r="52" spans="1:5">
      <c r="A52" t="s">
        <v>194</v>
      </c>
      <c r="B52">
        <f>'Reference Data'!L19-0.5*'Second Part'!B45+B51</f>
        <v>12.529763498098861</v>
      </c>
    </row>
    <row r="53" spans="1:5">
      <c r="A53" t="s">
        <v>195</v>
      </c>
      <c r="B53">
        <f>'Reference Data'!L19+0.5*'Second Part'!B45</f>
        <v>20.1126</v>
      </c>
    </row>
    <row r="54" spans="1:5">
      <c r="A54" t="s">
        <v>196</v>
      </c>
      <c r="B54">
        <f>0.5*(B52+B53)</f>
        <v>16.32118174904943</v>
      </c>
    </row>
    <row r="55" spans="1:5">
      <c r="A55" t="s">
        <v>197</v>
      </c>
      <c r="B55">
        <f>('Reference Data'!L19-0.5*'Second Part'!B45+'Reference Data'!L19-0.5*'Second Part'!B45+B51)/2</f>
        <v>11.711181749049432</v>
      </c>
      <c r="D55" t="s">
        <v>31</v>
      </c>
      <c r="E55" t="s">
        <v>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C26F1451D0A44ABB73FA2C8A0D54B" ma:contentTypeVersion="2" ma:contentTypeDescription="Een nieuw document maken." ma:contentTypeScope="" ma:versionID="7fbe3b18c20ba62ea92dd29b03028252">
  <xsd:schema xmlns:xsd="http://www.w3.org/2001/XMLSchema" xmlns:xs="http://www.w3.org/2001/XMLSchema" xmlns:p="http://schemas.microsoft.com/office/2006/metadata/properties" xmlns:ns2="4579a138-ffa5-4c01-a0fc-376e398031c3" targetNamespace="http://schemas.microsoft.com/office/2006/metadata/properties" ma:root="true" ma:fieldsID="57aedc936eb19be8576bf67b7f42a607" ns2:_="">
    <xsd:import namespace="4579a138-ffa5-4c01-a0fc-376e398031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9a138-ffa5-4c01-a0fc-376e398031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9AA419-5C65-44E8-8BA5-733F0AC56B3C}"/>
</file>

<file path=customXml/itemProps2.xml><?xml version="1.0" encoding="utf-8"?>
<ds:datastoreItem xmlns:ds="http://schemas.openxmlformats.org/officeDocument/2006/customXml" ds:itemID="{49BE89D2-2570-4215-A736-FA1548AEA643}"/>
</file>

<file path=customXml/itemProps3.xml><?xml version="1.0" encoding="utf-8"?>
<ds:datastoreItem xmlns:ds="http://schemas.openxmlformats.org/officeDocument/2006/customXml" ds:itemID="{201D9B18-7EB1-4BBD-9985-EC6A6FF4E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</dc:creator>
  <cp:keywords/>
  <dc:description/>
  <cp:lastModifiedBy>Jasper van den Bosch</cp:lastModifiedBy>
  <cp:revision/>
  <dcterms:created xsi:type="dcterms:W3CDTF">2022-03-24T10:26:19Z</dcterms:created>
  <dcterms:modified xsi:type="dcterms:W3CDTF">2022-03-28T23:43:22Z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0x0101002D4C26F1451D0A44ABB73FA2C8A0D54B</vt:lpwstr>
  </property>
</Properties>
</file>