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ente\Dropbox\Disciplinas DEQ\DEQ 1032_Eng_ReacoesQuim\Aulas\Aulas\Aula 07-  Unidade III - CSTR\"/>
    </mc:Choice>
  </mc:AlternateContent>
  <xr:revisionPtr revIDLastSave="0" documentId="13_ncr:1_{A0A31623-171F-497A-8EA3-7B1049B86C0A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ADIABATICO" sheetId="2" r:id="rId1"/>
    <sheet name="TROCADOR DE CALOR" sheetId="1" r:id="rId2"/>
    <sheet name="Adiabatico-2023" sheetId="3" r:id="rId3"/>
    <sheet name="TROCA TERMICA-2023 " sheetId="4" r:id="rId4"/>
  </sheets>
  <definedNames>
    <definedName name="solver_adj" localSheetId="2" hidden="1">'Adiabatico-2023'!$J$56,'Adiabatico-2023'!$I$17</definedName>
    <definedName name="solver_adj" localSheetId="3" hidden="1">'TROCA TERMICA-2023 '!$J$56,'TROCA TERMICA-2023 '!$I$17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'Adiabatico-2023'!$D$57</definedName>
    <definedName name="solver_lhs1" localSheetId="3" hidden="1">'TROCA TERMICA-2023 '!$D$57</definedName>
    <definedName name="solver_lhs2" localSheetId="2" hidden="1">'Adiabatico-2023'!$I$17</definedName>
    <definedName name="solver_lhs2" localSheetId="3" hidden="1">'TROCA TERMICA-2023 '!$I$17</definedName>
    <definedName name="solver_lhs3" localSheetId="2" hidden="1">'Adiabatico-2023'!$J$56</definedName>
    <definedName name="solver_lhs3" localSheetId="3" hidden="1">'TROCA TERMICA-2023 '!$J$56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2" hidden="1">'Adiabatico-2023'!$C$18</definedName>
    <definedName name="solver_opt" localSheetId="3" hidden="1">'TROCA TERMICA-2023 '!$C$18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3</definedName>
    <definedName name="solver_rel2" localSheetId="3" hidden="1">3</definedName>
    <definedName name="solver_rel3" localSheetId="2" hidden="1">3</definedName>
    <definedName name="solver_rel3" localSheetId="3" hidden="1">3</definedName>
    <definedName name="solver_rhs1" localSheetId="2" hidden="1">0</definedName>
    <definedName name="solver_rhs1" localSheetId="3" hidden="1">0</definedName>
    <definedName name="solver_rhs2" localSheetId="2" hidden="1">0</definedName>
    <definedName name="solver_rhs2" localSheetId="3" hidden="1">0</definedName>
    <definedName name="solver_rhs3" localSheetId="2" hidden="1">0</definedName>
    <definedName name="solver_rhs3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</workbook>
</file>

<file path=xl/calcChain.xml><?xml version="1.0" encoding="utf-8"?>
<calcChain xmlns="http://schemas.openxmlformats.org/spreadsheetml/2006/main">
  <c r="B39" i="3" l="1"/>
  <c r="B37" i="3" s="1"/>
  <c r="B39" i="4"/>
  <c r="B37" i="4" s="1"/>
  <c r="B74" i="4"/>
  <c r="B73" i="4"/>
  <c r="B67" i="4"/>
  <c r="B64" i="4"/>
  <c r="B61" i="4"/>
  <c r="D57" i="4" s="1"/>
  <c r="C52" i="4"/>
  <c r="C51" i="4"/>
  <c r="B30" i="4"/>
  <c r="B47" i="4" s="1"/>
  <c r="B46" i="4" s="1"/>
  <c r="B46" i="3"/>
  <c r="B47" i="3"/>
  <c r="B64" i="3"/>
  <c r="B61" i="3" s="1"/>
  <c r="B67" i="3"/>
  <c r="C52" i="3"/>
  <c r="B70" i="3" s="1"/>
  <c r="C51" i="3"/>
  <c r="B30" i="3"/>
  <c r="D15" i="2"/>
  <c r="D14" i="2"/>
  <c r="C14" i="2"/>
  <c r="A24" i="2"/>
  <c r="D24" i="2" s="1"/>
  <c r="A17" i="2"/>
  <c r="B17" i="2" s="1"/>
  <c r="C17" i="2" s="1"/>
  <c r="A18" i="2"/>
  <c r="D18" i="2" s="1"/>
  <c r="A19" i="2"/>
  <c r="B19" i="2" s="1"/>
  <c r="C19" i="2" s="1"/>
  <c r="A20" i="2"/>
  <c r="D20" i="2" s="1"/>
  <c r="A21" i="2"/>
  <c r="B21" i="2" s="1"/>
  <c r="C21" i="2" s="1"/>
  <c r="A22" i="2"/>
  <c r="D22" i="2" s="1"/>
  <c r="A23" i="2"/>
  <c r="B23" i="2" s="1"/>
  <c r="C23" i="2" s="1"/>
  <c r="A16" i="2"/>
  <c r="D16" i="2" s="1"/>
  <c r="B15" i="2"/>
  <c r="C15" i="2" s="1"/>
  <c r="B70" i="4" l="1"/>
  <c r="B33" i="4"/>
  <c r="C18" i="4" s="1"/>
  <c r="B33" i="3"/>
  <c r="C18" i="3" s="1"/>
  <c r="D57" i="3"/>
  <c r="B16" i="2"/>
  <c r="C16" i="2" s="1"/>
  <c r="B22" i="2"/>
  <c r="C22" i="2" s="1"/>
  <c r="B20" i="2"/>
  <c r="C20" i="2" s="1"/>
  <c r="B18" i="2"/>
  <c r="C18" i="2" s="1"/>
  <c r="D23" i="2"/>
  <c r="D21" i="2"/>
  <c r="D19" i="2"/>
  <c r="D17" i="2"/>
  <c r="B24" i="2"/>
  <c r="C24" i="2" s="1"/>
  <c r="C3" i="2" l="1"/>
  <c r="C4" i="2"/>
  <c r="C5" i="2"/>
  <c r="C6" i="2"/>
  <c r="C7" i="2"/>
  <c r="C8" i="2"/>
  <c r="C9" i="2"/>
  <c r="C10" i="2"/>
  <c r="C11" i="2"/>
  <c r="C2" i="2"/>
  <c r="B2" i="2"/>
  <c r="B10" i="2"/>
  <c r="B9" i="2"/>
  <c r="B8" i="2"/>
  <c r="B7" i="2"/>
  <c r="B6" i="2"/>
  <c r="B5" i="2"/>
  <c r="B4" i="2"/>
  <c r="B3" i="2"/>
  <c r="C12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<sst xmlns="http://schemas.openxmlformats.org/spreadsheetml/2006/main" count="209" uniqueCount="93">
  <si>
    <t>T</t>
  </si>
  <si>
    <t>XMB</t>
  </si>
  <si>
    <t>XEB</t>
  </si>
  <si>
    <t>T °R</t>
  </si>
  <si>
    <t>T°F</t>
  </si>
  <si>
    <t>MB (°R)</t>
  </si>
  <si>
    <t>EB (°F)</t>
  </si>
  <si>
    <t># Reator CSTR</t>
  </si>
  <si>
    <t># aA+bB-&gt;cC</t>
  </si>
  <si>
    <t># A=óxido de propileno, B=H20, C=propileno glicol , M =metanol (inerte)</t>
  </si>
  <si>
    <t># Caso adiabático</t>
  </si>
  <si>
    <t># dados</t>
  </si>
  <si>
    <t># calor específico em BTU/lbmol*ºF</t>
  </si>
  <si>
    <t>CpA</t>
  </si>
  <si>
    <t>CpB</t>
  </si>
  <si>
    <t>CpC</t>
  </si>
  <si>
    <t>CpM</t>
  </si>
  <si>
    <t># Entalpia de formaçao na TR = 68 ºF 20ºC, observe que a reação é exotérmica</t>
  </si>
  <si>
    <t>HB</t>
  </si>
  <si>
    <t>HC</t>
  </si>
  <si>
    <t>HA</t>
  </si>
  <si>
    <t># Balanço molar no CSTR (atenção estou usando um programa de sistemas não lineares)</t>
  </si>
  <si>
    <t># equação não linear que na verdade é  (V * (-rA)) - (FA0 * X) =0</t>
  </si>
  <si>
    <t>BM</t>
  </si>
  <si>
    <t>=</t>
  </si>
  <si>
    <t>X</t>
  </si>
  <si>
    <t>CHUTE</t>
  </si>
  <si>
    <t># dados do sistema reacional</t>
  </si>
  <si>
    <t>V</t>
  </si>
  <si>
    <t>FA0</t>
  </si>
  <si>
    <t>FB0</t>
  </si>
  <si>
    <t>FM0</t>
  </si>
  <si>
    <t>ft³</t>
  </si>
  <si>
    <t>gal</t>
  </si>
  <si>
    <t>lbmol/h</t>
  </si>
  <si>
    <t># Vazão volumétrica</t>
  </si>
  <si>
    <t>va0</t>
  </si>
  <si>
    <t>v0 = va0 + vb0 + vm0 # ft3/h total no reator</t>
  </si>
  <si>
    <t>vb0</t>
  </si>
  <si>
    <t>vm0</t>
  </si>
  <si>
    <t>ft³/h</t>
  </si>
  <si>
    <t># Lei de velocidade lbmol/ft³*h</t>
  </si>
  <si>
    <t>ra</t>
  </si>
  <si>
    <t>= -k*Ca</t>
  </si>
  <si>
    <t># dados cinéticos</t>
  </si>
  <si>
    <t>k = A * exp(-E / (R * T)) # h-1</t>
  </si>
  <si>
    <t xml:space="preserve">v0 </t>
  </si>
  <si>
    <t>k</t>
  </si>
  <si>
    <t>A</t>
  </si>
  <si>
    <t>E</t>
  </si>
  <si>
    <t>R</t>
  </si>
  <si>
    <t>h^-1</t>
  </si>
  <si>
    <t>BTU/lbmol</t>
  </si>
  <si>
    <t>BTU/lbmol*ºR</t>
  </si>
  <si>
    <t># estequiometria, reação em fase líquida</t>
  </si>
  <si>
    <t>Ca = Ca0 * (1 - X) # lbmol/ft³</t>
  </si>
  <si>
    <t>Ca0 = FA0 / vo # lbmol/ft³</t>
  </si>
  <si>
    <t>a</t>
  </si>
  <si>
    <t>b</t>
  </si>
  <si>
    <t>c</t>
  </si>
  <si>
    <t>theta_B</t>
  </si>
  <si>
    <t>theta_M</t>
  </si>
  <si>
    <t>=FB0/FA0</t>
  </si>
  <si>
    <t>=FM0/FA0</t>
  </si>
  <si>
    <t># Balanço de energia, sistema CSTR ADIABÁTICO</t>
  </si>
  <si>
    <t xml:space="preserve"> (-FA0 * (somathetaiCpi * (T - T0))) - (FA0 * X * (deltaHrx))=0 # mesmo esquema do balanço molar</t>
  </si>
  <si>
    <t>BE</t>
  </si>
  <si>
    <t>CHUTE INICIAL</t>
  </si>
  <si>
    <t>ºr</t>
  </si>
  <si>
    <t>ºR</t>
  </si>
  <si>
    <t>deltaHrx = deltaHRef + (deltaCp * (T - Tr)) # BTU/lbmol</t>
  </si>
  <si>
    <t>deltaHRef = (c/a) * HC - (b / a) * HB - HA # BTU/lbmol</t>
  </si>
  <si>
    <t>deltaCp = (c/a) * CpC - (b / a) * CpB - CpA # BTU/lbmol*ºF</t>
  </si>
  <si>
    <t>somathetaiCpi = CpA + theta_B * CpB + theta_M * CpM # BTU/lbmol*ºF</t>
  </si>
  <si>
    <t>Tr</t>
  </si>
  <si>
    <t>T0</t>
  </si>
  <si>
    <t>75 F</t>
  </si>
  <si>
    <t>23.89 C</t>
  </si>
  <si>
    <t>68 F</t>
  </si>
  <si>
    <t>20 C</t>
  </si>
  <si>
    <t>Ca</t>
  </si>
  <si>
    <t>Ca0</t>
  </si>
  <si>
    <t>PELO SOLVER</t>
  </si>
  <si>
    <t>F</t>
  </si>
  <si>
    <t>LIMITE 125 F</t>
  </si>
  <si>
    <t xml:space="preserve"> Q-(FA0 * (somathetaiCpi * (T - T0))) - (FA0 * X * (deltaHrx))=0 # mesmo esquema do balanço molar</t>
  </si>
  <si>
    <t xml:space="preserve">( (UA/FA0)* (Ta - T) )-  (somathetaiCpi * (T - T0))- (X * deltaHrx) </t>
  </si>
  <si>
    <t>UA/FA0</t>
  </si>
  <si>
    <t>Ta</t>
  </si>
  <si>
    <t>U</t>
  </si>
  <si>
    <t>ft²</t>
  </si>
  <si>
    <t>BTU/h*ft²*ºF</t>
  </si>
  <si>
    <t>com trocador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</si>
</sst>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55601235686247"/>
          <c:y val="7.4388741608303985E-2"/>
          <c:w val="0.62035381170574011"/>
          <c:h val="0.69745947585697521"/>
        </c:manualLayout>
      </c:layout>
      <c:scatterChart>
        <c:scatterStyle val="lineMarker"/>
        <c:varyColors val="0"/>
        <c:ser>
          <c:idx val="2"/>
          <c:order val="2"/>
          <c:tx>
            <c:v>SOL</c:v>
          </c:tx>
          <c:spPr>
            <a:ln w="28575">
              <a:noFill/>
            </a:ln>
          </c:spPr>
          <c:xVal>
            <c:numRef>
              <c:f>ADIABATICO!$A$11</c:f>
              <c:numCache>
                <c:formatCode>General</c:formatCode>
                <c:ptCount val="1"/>
                <c:pt idx="0">
                  <c:v>613</c:v>
                </c:pt>
              </c:numCache>
            </c:numRef>
          </c:xVal>
          <c:yVal>
            <c:numRef>
              <c:f>ADIABATICO!$B$11</c:f>
              <c:numCache>
                <c:formatCode>0.000</c:formatCode>
                <c:ptCount val="1"/>
                <c:pt idx="0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3-4BD2-89B7-F6D4BBAB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1344"/>
        <c:axId val="58401920"/>
      </c:scatterChart>
      <c:scatterChart>
        <c:scatterStyle val="smoothMarker"/>
        <c:varyColors val="0"/>
        <c:ser>
          <c:idx val="0"/>
          <c:order val="0"/>
          <c:tx>
            <c:v>MB</c:v>
          </c:tx>
          <c:marker>
            <c:symbol val="none"/>
          </c:marker>
          <c:xVal>
            <c:numRef>
              <c:f>ADIABATICO!$A$2:$A$10</c:f>
              <c:numCache>
                <c:formatCode>General</c:formatCode>
                <c:ptCount val="9"/>
                <c:pt idx="0">
                  <c:v>535</c:v>
                </c:pt>
                <c:pt idx="1">
                  <c:v>550</c:v>
                </c:pt>
                <c:pt idx="2">
                  <c:v>565</c:v>
                </c:pt>
                <c:pt idx="3">
                  <c:v>575</c:v>
                </c:pt>
                <c:pt idx="4">
                  <c:v>585</c:v>
                </c:pt>
                <c:pt idx="5">
                  <c:v>595</c:v>
                </c:pt>
                <c:pt idx="6">
                  <c:v>605</c:v>
                </c:pt>
                <c:pt idx="7">
                  <c:v>615</c:v>
                </c:pt>
                <c:pt idx="8">
                  <c:v>625</c:v>
                </c:pt>
              </c:numCache>
            </c:numRef>
          </c:xVal>
          <c:yVal>
            <c:numRef>
              <c:f>ADIABATICO!$B$2:$B$10</c:f>
              <c:numCache>
                <c:formatCode>0.000</c:formatCode>
                <c:ptCount val="9"/>
                <c:pt idx="0">
                  <c:v>0.10782099108444747</c:v>
                </c:pt>
                <c:pt idx="1">
                  <c:v>0.21721634996937894</c:v>
                </c:pt>
                <c:pt idx="2">
                  <c:v>0.37874775743353434</c:v>
                </c:pt>
                <c:pt idx="3">
                  <c:v>0.50176233526555047</c:v>
                </c:pt>
                <c:pt idx="4">
                  <c:v>0.62053177947848959</c:v>
                </c:pt>
                <c:pt idx="5">
                  <c:v>0.72317550462615432</c:v>
                </c:pt>
                <c:pt idx="6">
                  <c:v>0.80427712297832232</c:v>
                </c:pt>
                <c:pt idx="7">
                  <c:v>0.86430184579247593</c:v>
                </c:pt>
                <c:pt idx="8">
                  <c:v>0.90684529312132323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3-4BD2-89B7-F6D4BBAB50A0}"/>
            </c:ext>
          </c:extLst>
        </c:ser>
        <c:ser>
          <c:idx val="1"/>
          <c:order val="1"/>
          <c:tx>
            <c:v>EB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ADIABATICO!$A$2:$A$10</c:f>
              <c:numCache>
                <c:formatCode>General</c:formatCode>
                <c:ptCount val="9"/>
                <c:pt idx="0">
                  <c:v>535</c:v>
                </c:pt>
                <c:pt idx="1">
                  <c:v>550</c:v>
                </c:pt>
                <c:pt idx="2">
                  <c:v>565</c:v>
                </c:pt>
                <c:pt idx="3">
                  <c:v>575</c:v>
                </c:pt>
                <c:pt idx="4">
                  <c:v>585</c:v>
                </c:pt>
                <c:pt idx="5">
                  <c:v>595</c:v>
                </c:pt>
                <c:pt idx="6">
                  <c:v>605</c:v>
                </c:pt>
                <c:pt idx="7">
                  <c:v>615</c:v>
                </c:pt>
                <c:pt idx="8">
                  <c:v>625</c:v>
                </c:pt>
              </c:numCache>
            </c:numRef>
          </c:xVal>
          <c:yVal>
            <c:numRef>
              <c:f>ADIABATICO!$C$2:$C$10</c:f>
              <c:numCache>
                <c:formatCode>0.000</c:formatCode>
                <c:ptCount val="9"/>
                <c:pt idx="0">
                  <c:v>0</c:v>
                </c:pt>
                <c:pt idx="1">
                  <c:v>0.16549488428079007</c:v>
                </c:pt>
                <c:pt idx="2">
                  <c:v>0.33004173599934533</c:v>
                </c:pt>
                <c:pt idx="3">
                  <c:v>0.43921696751885431</c:v>
                </c:pt>
                <c:pt idx="4">
                  <c:v>0.54797684719693474</c:v>
                </c:pt>
                <c:pt idx="5">
                  <c:v>0.65632374081206435</c:v>
                </c:pt>
                <c:pt idx="6">
                  <c:v>0.76425999620996776</c:v>
                </c:pt>
                <c:pt idx="7">
                  <c:v>0.8717879434732092</c:v>
                </c:pt>
                <c:pt idx="8">
                  <c:v>0.97890989508886428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23-4BD2-89B7-F6D4BBAB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1344"/>
        <c:axId val="58401920"/>
      </c:scatterChart>
      <c:valAx>
        <c:axId val="58401344"/>
        <c:scaling>
          <c:orientation val="minMax"/>
          <c:min val="5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°R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01920"/>
        <c:crosses val="autoZero"/>
        <c:crossBetween val="midCat"/>
        <c:majorUnit val="25"/>
      </c:valAx>
      <c:valAx>
        <c:axId val="5840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0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27789004250577"/>
          <c:y val="0.50393753544626019"/>
          <c:w val="0.36724502357559285"/>
          <c:h val="0.2511518221026391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7644372467622"/>
          <c:y val="5.1400554097404488E-2"/>
          <c:w val="0.6202942362701116"/>
          <c:h val="0.79095290172061838"/>
        </c:manualLayout>
      </c:layout>
      <c:scatterChart>
        <c:scatterStyle val="smoothMarker"/>
        <c:varyColors val="0"/>
        <c:ser>
          <c:idx val="0"/>
          <c:order val="1"/>
          <c:tx>
            <c:v>MB</c:v>
          </c:tx>
          <c:marker>
            <c:symbol val="none"/>
          </c:marker>
          <c:xVal>
            <c:numRef>
              <c:f>ADIABATICO!$C$15:$C$23</c:f>
              <c:numCache>
                <c:formatCode>0.000</c:formatCode>
                <c:ptCount val="9"/>
                <c:pt idx="0">
                  <c:v>0.1061328914525</c:v>
                </c:pt>
                <c:pt idx="1">
                  <c:v>0.21721634996937894</c:v>
                </c:pt>
                <c:pt idx="2">
                  <c:v>0.37874775743353434</c:v>
                </c:pt>
                <c:pt idx="3">
                  <c:v>0.50176233526555047</c:v>
                </c:pt>
                <c:pt idx="4">
                  <c:v>0.62053177947848959</c:v>
                </c:pt>
                <c:pt idx="5">
                  <c:v>0.72317550462615432</c:v>
                </c:pt>
                <c:pt idx="6">
                  <c:v>0.80427712297832232</c:v>
                </c:pt>
                <c:pt idx="7">
                  <c:v>0.86430184579247593</c:v>
                </c:pt>
                <c:pt idx="8">
                  <c:v>0.90684529312132323</c:v>
                </c:pt>
              </c:numCache>
            </c:numRef>
          </c:xVal>
          <c:yVal>
            <c:numRef>
              <c:f>ADIABATICO!$B$15:$B$23</c:f>
              <c:numCache>
                <c:formatCode>General</c:formatCode>
                <c:ptCount val="9"/>
                <c:pt idx="0" formatCode="0">
                  <c:v>534.69000000000005</c:v>
                </c:pt>
                <c:pt idx="1">
                  <c:v>550</c:v>
                </c:pt>
                <c:pt idx="2">
                  <c:v>565</c:v>
                </c:pt>
                <c:pt idx="3">
                  <c:v>575</c:v>
                </c:pt>
                <c:pt idx="4">
                  <c:v>585</c:v>
                </c:pt>
                <c:pt idx="5">
                  <c:v>595</c:v>
                </c:pt>
                <c:pt idx="6">
                  <c:v>605</c:v>
                </c:pt>
                <c:pt idx="7">
                  <c:v>615</c:v>
                </c:pt>
                <c:pt idx="8">
                  <c:v>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A-4147-9D8E-71715AA2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288"/>
        <c:axId val="186700864"/>
      </c:scatterChart>
      <c:scatterChart>
        <c:scatterStyle val="lineMarker"/>
        <c:varyColors val="0"/>
        <c:ser>
          <c:idx val="2"/>
          <c:order val="0"/>
          <c:tx>
            <c:v>sol</c:v>
          </c:tx>
          <c:spPr>
            <a:ln w="28575">
              <a:noFill/>
            </a:ln>
          </c:spPr>
          <c:xVal>
            <c:numRef>
              <c:f>ADIABATICO!$C$24</c:f>
              <c:numCache>
                <c:formatCode>0.000</c:formatCode>
                <c:ptCount val="1"/>
                <c:pt idx="0">
                  <c:v>0.85383276972405375</c:v>
                </c:pt>
              </c:numCache>
            </c:numRef>
          </c:xVal>
          <c:yVal>
            <c:numRef>
              <c:f>ADIABATICO!$B$24</c:f>
              <c:numCache>
                <c:formatCode>General</c:formatCode>
                <c:ptCount val="1"/>
                <c:pt idx="0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A-4147-9D8E-71715AA2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288"/>
        <c:axId val="186700864"/>
      </c:scatterChart>
      <c:scatterChart>
        <c:scatterStyle val="smoothMarker"/>
        <c:varyColors val="0"/>
        <c:ser>
          <c:idx val="1"/>
          <c:order val="2"/>
          <c:tx>
            <c:v>EB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ADIABATICO!$D$15:$D$23</c:f>
              <c:numCache>
                <c:formatCode>0.000</c:formatCode>
                <c:ptCount val="9"/>
                <c:pt idx="0">
                  <c:v>0</c:v>
                </c:pt>
                <c:pt idx="1">
                  <c:v>0.16890508496924053</c:v>
                </c:pt>
                <c:pt idx="2">
                  <c:v>0.33343243000700745</c:v>
                </c:pt>
                <c:pt idx="3">
                  <c:v>0.44259474990859266</c:v>
                </c:pt>
                <c:pt idx="4">
                  <c:v>0.55134179157890906</c:v>
                </c:pt>
                <c:pt idx="5">
                  <c:v>0.65967592023795296</c:v>
                </c:pt>
                <c:pt idx="6">
                  <c:v>0.76759948317825344</c:v>
                </c:pt>
                <c:pt idx="7">
                  <c:v>0.87511480993440638</c:v>
                </c:pt>
                <c:pt idx="8">
                  <c:v>0.98222421245068592</c:v>
                </c:pt>
              </c:numCache>
            </c:numRef>
          </c:xVal>
          <c:yVal>
            <c:numRef>
              <c:f>ADIABATICO!$A$15:$A$23</c:f>
              <c:numCache>
                <c:formatCode>General</c:formatCode>
                <c:ptCount val="9"/>
                <c:pt idx="0">
                  <c:v>75</c:v>
                </c:pt>
                <c:pt idx="1">
                  <c:v>90.31</c:v>
                </c:pt>
                <c:pt idx="2">
                  <c:v>105.31</c:v>
                </c:pt>
                <c:pt idx="3">
                  <c:v>115.31</c:v>
                </c:pt>
                <c:pt idx="4">
                  <c:v>125.31</c:v>
                </c:pt>
                <c:pt idx="5">
                  <c:v>135.31</c:v>
                </c:pt>
                <c:pt idx="6">
                  <c:v>145.31</c:v>
                </c:pt>
                <c:pt idx="7">
                  <c:v>155.31</c:v>
                </c:pt>
                <c:pt idx="8">
                  <c:v>165.31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4A-4147-9D8E-71715AA2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0608"/>
        <c:axId val="196737216"/>
      </c:scatterChart>
      <c:valAx>
        <c:axId val="1867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700864"/>
        <c:crosses val="autoZero"/>
        <c:crossBetween val="midCat"/>
      </c:valAx>
      <c:valAx>
        <c:axId val="186700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°R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700288"/>
        <c:crosses val="autoZero"/>
        <c:crossBetween val="midCat"/>
      </c:valAx>
      <c:valAx>
        <c:axId val="196737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°F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60608"/>
        <c:crosses val="max"/>
        <c:crossBetween val="midCat"/>
      </c:valAx>
      <c:valAx>
        <c:axId val="19066060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9673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458666070996442"/>
          <c:y val="0.41609069699620882"/>
          <c:w val="0.2154132151920726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SOL</c:v>
          </c:tx>
          <c:spPr>
            <a:ln w="28575">
              <a:noFill/>
            </a:ln>
          </c:spPr>
          <c:xVal>
            <c:numRef>
              <c:f>'TROCADOR DE CALOR'!$A$12</c:f>
              <c:numCache>
                <c:formatCode>General</c:formatCode>
                <c:ptCount val="1"/>
                <c:pt idx="0">
                  <c:v>563.70000000000005</c:v>
                </c:pt>
              </c:numCache>
            </c:numRef>
          </c:xVal>
          <c:yVal>
            <c:numRef>
              <c:f>'TROCADOR DE CALOR'!$B$12</c:f>
              <c:numCache>
                <c:formatCode>0.000</c:formatCode>
                <c:ptCount val="1"/>
                <c:pt idx="0">
                  <c:v>0.36399999999999999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C-4244-AA1F-DBBEE6AC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4224"/>
        <c:axId val="58404800"/>
      </c:scatterChart>
      <c:scatterChart>
        <c:scatterStyle val="smoothMarker"/>
        <c:varyColors val="0"/>
        <c:ser>
          <c:idx val="0"/>
          <c:order val="0"/>
          <c:tx>
            <c:v>MB</c:v>
          </c:tx>
          <c:marker>
            <c:symbol val="none"/>
          </c:marker>
          <c:xVal>
            <c:numRef>
              <c:f>'TROCADOR DE CALOR'!$A$3:$A$11</c:f>
              <c:numCache>
                <c:formatCode>General</c:formatCode>
                <c:ptCount val="9"/>
                <c:pt idx="0">
                  <c:v>535</c:v>
                </c:pt>
                <c:pt idx="1">
                  <c:v>550</c:v>
                </c:pt>
                <c:pt idx="2">
                  <c:v>565</c:v>
                </c:pt>
                <c:pt idx="3">
                  <c:v>575</c:v>
                </c:pt>
                <c:pt idx="4">
                  <c:v>585</c:v>
                </c:pt>
                <c:pt idx="5">
                  <c:v>595</c:v>
                </c:pt>
                <c:pt idx="6">
                  <c:v>605</c:v>
                </c:pt>
                <c:pt idx="7">
                  <c:v>615</c:v>
                </c:pt>
                <c:pt idx="8">
                  <c:v>625</c:v>
                </c:pt>
              </c:numCache>
            </c:numRef>
          </c:xVal>
          <c:yVal>
            <c:numRef>
              <c:f>'TROCADOR DE CALOR'!$B$3:$B$11</c:f>
              <c:numCache>
                <c:formatCode>0.000</c:formatCode>
                <c:ptCount val="9"/>
                <c:pt idx="0">
                  <c:v>0.10782099108444747</c:v>
                </c:pt>
                <c:pt idx="1">
                  <c:v>0.21721634996937894</c:v>
                </c:pt>
                <c:pt idx="2">
                  <c:v>0.37874775743353434</c:v>
                </c:pt>
                <c:pt idx="3">
                  <c:v>0.50176233526555047</c:v>
                </c:pt>
                <c:pt idx="4">
                  <c:v>0.62053177947848959</c:v>
                </c:pt>
                <c:pt idx="5">
                  <c:v>0.72317550462615432</c:v>
                </c:pt>
                <c:pt idx="6">
                  <c:v>0.80427712297832232</c:v>
                </c:pt>
                <c:pt idx="7">
                  <c:v>0.86430184579247593</c:v>
                </c:pt>
                <c:pt idx="8">
                  <c:v>0.90684529312132323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9C-4244-AA1F-DBBEE6ACE109}"/>
            </c:ext>
          </c:extLst>
        </c:ser>
        <c:ser>
          <c:idx val="1"/>
          <c:order val="1"/>
          <c:tx>
            <c:v>EB</c:v>
          </c:tx>
          <c:marker>
            <c:symbol val="none"/>
          </c:marker>
          <c:xVal>
            <c:numRef>
              <c:f>'TROCADOR DE CALOR'!$A$3:$A$11</c:f>
              <c:numCache>
                <c:formatCode>General</c:formatCode>
                <c:ptCount val="9"/>
                <c:pt idx="0">
                  <c:v>535</c:v>
                </c:pt>
                <c:pt idx="1">
                  <c:v>550</c:v>
                </c:pt>
                <c:pt idx="2">
                  <c:v>565</c:v>
                </c:pt>
                <c:pt idx="3">
                  <c:v>575</c:v>
                </c:pt>
                <c:pt idx="4">
                  <c:v>585</c:v>
                </c:pt>
                <c:pt idx="5">
                  <c:v>595</c:v>
                </c:pt>
                <c:pt idx="6">
                  <c:v>605</c:v>
                </c:pt>
                <c:pt idx="7">
                  <c:v>615</c:v>
                </c:pt>
                <c:pt idx="8">
                  <c:v>625</c:v>
                </c:pt>
              </c:numCache>
            </c:numRef>
          </c:xVal>
          <c:yVal>
            <c:numRef>
              <c:f>'TROCADOR DE CALOR'!$C$3:$C$11</c:f>
              <c:numCache>
                <c:formatCode>0.000</c:formatCode>
                <c:ptCount val="9"/>
                <c:pt idx="0">
                  <c:v>0</c:v>
                </c:pt>
                <c:pt idx="1">
                  <c:v>0.20361656727033978</c:v>
                </c:pt>
                <c:pt idx="2">
                  <c:v>0.40606672304209063</c:v>
                </c:pt>
                <c:pt idx="3">
                  <c:v>0.54039042718288</c:v>
                </c:pt>
                <c:pt idx="4">
                  <c:v>0.67420310334519962</c:v>
                </c:pt>
                <c:pt idx="5">
                  <c:v>0.80750766226369042</c:v>
                </c:pt>
                <c:pt idx="6">
                  <c:v>0.94030699260943718</c:v>
                </c:pt>
                <c:pt idx="7">
                  <c:v>1.0726039611986273</c:v>
                </c:pt>
                <c:pt idx="8">
                  <c:v>1.2044014131988456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9C-4244-AA1F-DBBEE6AC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4224"/>
        <c:axId val="58404800"/>
      </c:scatterChart>
      <c:valAx>
        <c:axId val="584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04800"/>
        <c:crosses val="autoZero"/>
        <c:crossBetween val="midCat"/>
      </c:valAx>
      <c:valAx>
        <c:axId val="584048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840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114300</xdr:rowOff>
    </xdr:from>
    <xdr:to>
      <xdr:col>9</xdr:col>
      <xdr:colOff>409575</xdr:colOff>
      <xdr:row>11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95251</xdr:colOff>
      <xdr:row>13</xdr:row>
      <xdr:rowOff>104775</xdr:rowOff>
    </xdr:from>
    <xdr:to>
      <xdr:col>9</xdr:col>
      <xdr:colOff>409575</xdr:colOff>
      <xdr:row>23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147637</xdr:rowOff>
    </xdr:from>
    <xdr:to>
      <xdr:col>13</xdr:col>
      <xdr:colOff>333375</xdr:colOff>
      <xdr:row>21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M21" sqref="M21"/>
    </sheetView>
  </sheetViews>
  <sheetFormatPr defaultRowHeight="15" x14ac:dyDescent="0.25"/>
  <sheetData>
    <row r="1" spans="1:4" x14ac:dyDescent="0.25">
      <c r="A1" s="3" t="s">
        <v>3</v>
      </c>
      <c r="B1" s="3" t="s">
        <v>1</v>
      </c>
      <c r="C1" s="3" t="s">
        <v>2</v>
      </c>
      <c r="D1" s="2"/>
    </row>
    <row r="2" spans="1:4" x14ac:dyDescent="0.25">
      <c r="A2" s="4">
        <v>535</v>
      </c>
      <c r="B2" s="5">
        <f>((2.084*10^12)*(EXP(-16306/A2)))/(1+((2.084*10^12)*(EXP(-16306/A2))))</f>
        <v>0.10782099108444747</v>
      </c>
      <c r="C2" s="5">
        <f>(403.3*(A2-535))/(36400+(7*(A2-528)))</f>
        <v>0</v>
      </c>
      <c r="D2" s="2"/>
    </row>
    <row r="3" spans="1:4" x14ac:dyDescent="0.25">
      <c r="A3" s="2">
        <v>550</v>
      </c>
      <c r="B3" s="6">
        <f t="shared" ref="B3:B10" si="0">((2.084*10^12)*(EXP(-16306/A3)))/(1+((2.084*10^12)*(EXP(-16306/A3))))</f>
        <v>0.21721634996937894</v>
      </c>
      <c r="C3" s="6">
        <f t="shared" ref="C3:C11" si="1">(403.3*(A3-535))/(36400+(7*(A3-528)))</f>
        <v>0.16549488428079007</v>
      </c>
      <c r="D3" s="2"/>
    </row>
    <row r="4" spans="1:4" x14ac:dyDescent="0.25">
      <c r="A4" s="2">
        <v>565</v>
      </c>
      <c r="B4" s="6">
        <f t="shared" si="0"/>
        <v>0.37874775743353434</v>
      </c>
      <c r="C4" s="6">
        <f t="shared" si="1"/>
        <v>0.33004173599934533</v>
      </c>
      <c r="D4" s="2"/>
    </row>
    <row r="5" spans="1:4" x14ac:dyDescent="0.25">
      <c r="A5" s="2">
        <v>575</v>
      </c>
      <c r="B5" s="6">
        <f t="shared" si="0"/>
        <v>0.50176233526555047</v>
      </c>
      <c r="C5" s="6">
        <f t="shared" si="1"/>
        <v>0.43921696751885431</v>
      </c>
      <c r="D5" s="2"/>
    </row>
    <row r="6" spans="1:4" x14ac:dyDescent="0.25">
      <c r="A6" s="2">
        <v>585</v>
      </c>
      <c r="B6" s="6">
        <f t="shared" si="0"/>
        <v>0.62053177947848959</v>
      </c>
      <c r="C6" s="6">
        <f t="shared" si="1"/>
        <v>0.54797684719693474</v>
      </c>
      <c r="D6" s="2"/>
    </row>
    <row r="7" spans="1:4" x14ac:dyDescent="0.25">
      <c r="A7" s="2">
        <v>595</v>
      </c>
      <c r="B7" s="6">
        <f t="shared" si="0"/>
        <v>0.72317550462615432</v>
      </c>
      <c r="C7" s="6">
        <f t="shared" si="1"/>
        <v>0.65632374081206435</v>
      </c>
      <c r="D7" s="2"/>
    </row>
    <row r="8" spans="1:4" x14ac:dyDescent="0.25">
      <c r="A8" s="2">
        <v>605</v>
      </c>
      <c r="B8" s="6">
        <f t="shared" si="0"/>
        <v>0.80427712297832232</v>
      </c>
      <c r="C8" s="6">
        <f t="shared" si="1"/>
        <v>0.76425999620996776</v>
      </c>
      <c r="D8" s="2"/>
    </row>
    <row r="9" spans="1:4" x14ac:dyDescent="0.25">
      <c r="A9" s="2">
        <v>615</v>
      </c>
      <c r="B9" s="6">
        <f t="shared" si="0"/>
        <v>0.86430184579247593</v>
      </c>
      <c r="C9" s="6">
        <f t="shared" si="1"/>
        <v>0.8717879434732092</v>
      </c>
      <c r="D9" s="2"/>
    </row>
    <row r="10" spans="1:4" x14ac:dyDescent="0.25">
      <c r="A10" s="2">
        <v>625</v>
      </c>
      <c r="B10" s="6">
        <f t="shared" si="0"/>
        <v>0.90684529312132323</v>
      </c>
      <c r="C10" s="6">
        <f t="shared" si="1"/>
        <v>0.97890989508886428</v>
      </c>
      <c r="D10" s="2"/>
    </row>
    <row r="11" spans="1:4" x14ac:dyDescent="0.25">
      <c r="A11" s="7">
        <v>613</v>
      </c>
      <c r="B11" s="8">
        <v>0.85</v>
      </c>
      <c r="C11" s="8">
        <f t="shared" si="1"/>
        <v>0.85031490741992166</v>
      </c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3" t="s">
        <v>4</v>
      </c>
      <c r="B14" s="3" t="s">
        <v>3</v>
      </c>
      <c r="C14" s="9" t="str">
        <f>B1</f>
        <v>XMB</v>
      </c>
      <c r="D14" s="3" t="str">
        <f>C1</f>
        <v>XEB</v>
      </c>
    </row>
    <row r="15" spans="1:4" x14ac:dyDescent="0.25">
      <c r="A15" s="4">
        <v>75</v>
      </c>
      <c r="B15" s="10">
        <f>A15+459.69</f>
        <v>534.69000000000005</v>
      </c>
      <c r="C15" s="5">
        <f>((2.084*10^12)*(EXP(-16306/B15)))/(1+((2.084*10^12)*(EXP(-16306/B15))))</f>
        <v>0.1061328914525</v>
      </c>
      <c r="D15" s="5">
        <f>(403.3*(A15-75))/(36400+(7*(A15-68)))</f>
        <v>0</v>
      </c>
    </row>
    <row r="16" spans="1:4" x14ac:dyDescent="0.25">
      <c r="A16" s="2">
        <f t="shared" ref="A16:A24" si="2">A3-459.69</f>
        <v>90.31</v>
      </c>
      <c r="B16" s="2">
        <f>A16+459.69</f>
        <v>550</v>
      </c>
      <c r="C16" s="6">
        <f t="shared" ref="C16:C24" si="3">((2.084*10^12)*(EXP(-16306/B16)))/(1+((2.084*10^12)*(EXP(-16306/B16))))</f>
        <v>0.21721634996937894</v>
      </c>
      <c r="D16" s="6">
        <f t="shared" ref="D16:D24" si="4">(403.3*(A16-75))/(36400+(7*(A16-68)))</f>
        <v>0.16890508496924053</v>
      </c>
    </row>
    <row r="17" spans="1:4" x14ac:dyDescent="0.25">
      <c r="A17" s="2">
        <f t="shared" si="2"/>
        <v>105.31</v>
      </c>
      <c r="B17" s="2">
        <f t="shared" ref="B17:B24" si="5">A17+459.69</f>
        <v>565</v>
      </c>
      <c r="C17" s="6">
        <f t="shared" si="3"/>
        <v>0.37874775743353434</v>
      </c>
      <c r="D17" s="6">
        <f t="shared" si="4"/>
        <v>0.33343243000700745</v>
      </c>
    </row>
    <row r="18" spans="1:4" x14ac:dyDescent="0.25">
      <c r="A18" s="2">
        <f t="shared" si="2"/>
        <v>115.31</v>
      </c>
      <c r="B18" s="2">
        <f t="shared" si="5"/>
        <v>575</v>
      </c>
      <c r="C18" s="6">
        <f t="shared" si="3"/>
        <v>0.50176233526555047</v>
      </c>
      <c r="D18" s="6">
        <f t="shared" si="4"/>
        <v>0.44259474990859266</v>
      </c>
    </row>
    <row r="19" spans="1:4" x14ac:dyDescent="0.25">
      <c r="A19" s="2">
        <f t="shared" si="2"/>
        <v>125.31</v>
      </c>
      <c r="B19" s="2">
        <f t="shared" si="5"/>
        <v>585</v>
      </c>
      <c r="C19" s="6">
        <f t="shared" si="3"/>
        <v>0.62053177947848959</v>
      </c>
      <c r="D19" s="6">
        <f t="shared" si="4"/>
        <v>0.55134179157890906</v>
      </c>
    </row>
    <row r="20" spans="1:4" x14ac:dyDescent="0.25">
      <c r="A20" s="2">
        <f t="shared" si="2"/>
        <v>135.31</v>
      </c>
      <c r="B20" s="2">
        <f t="shared" si="5"/>
        <v>595</v>
      </c>
      <c r="C20" s="6">
        <f t="shared" si="3"/>
        <v>0.72317550462615432</v>
      </c>
      <c r="D20" s="6">
        <f t="shared" si="4"/>
        <v>0.65967592023795296</v>
      </c>
    </row>
    <row r="21" spans="1:4" x14ac:dyDescent="0.25">
      <c r="A21" s="2">
        <f t="shared" si="2"/>
        <v>145.31</v>
      </c>
      <c r="B21" s="2">
        <f t="shared" si="5"/>
        <v>605</v>
      </c>
      <c r="C21" s="6">
        <f t="shared" si="3"/>
        <v>0.80427712297832232</v>
      </c>
      <c r="D21" s="6">
        <f t="shared" si="4"/>
        <v>0.76759948317825344</v>
      </c>
    </row>
    <row r="22" spans="1:4" x14ac:dyDescent="0.25">
      <c r="A22" s="2">
        <f t="shared" si="2"/>
        <v>155.31</v>
      </c>
      <c r="B22" s="2">
        <f t="shared" si="5"/>
        <v>615</v>
      </c>
      <c r="C22" s="6">
        <f t="shared" si="3"/>
        <v>0.86430184579247593</v>
      </c>
      <c r="D22" s="6">
        <f t="shared" si="4"/>
        <v>0.87511480993440638</v>
      </c>
    </row>
    <row r="23" spans="1:4" x14ac:dyDescent="0.25">
      <c r="A23" s="2">
        <f t="shared" si="2"/>
        <v>165.31</v>
      </c>
      <c r="B23" s="2">
        <f t="shared" si="5"/>
        <v>625</v>
      </c>
      <c r="C23" s="6">
        <f t="shared" si="3"/>
        <v>0.90684529312132323</v>
      </c>
      <c r="D23" s="6">
        <f t="shared" si="4"/>
        <v>0.98222421245068592</v>
      </c>
    </row>
    <row r="24" spans="1:4" x14ac:dyDescent="0.25">
      <c r="A24" s="7">
        <f t="shared" si="2"/>
        <v>153.31</v>
      </c>
      <c r="B24" s="7">
        <f t="shared" si="5"/>
        <v>613</v>
      </c>
      <c r="C24" s="8">
        <f t="shared" si="3"/>
        <v>0.85383276972405375</v>
      </c>
      <c r="D24" s="8">
        <f t="shared" si="4"/>
        <v>0.85364429225262373</v>
      </c>
    </row>
    <row r="25" spans="1:4" x14ac:dyDescent="0.25">
      <c r="A25" s="2"/>
      <c r="B25" s="2"/>
      <c r="C25" s="2" t="s">
        <v>5</v>
      </c>
      <c r="D25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E12" sqref="E12"/>
    </sheetView>
  </sheetViews>
  <sheetFormatPr defaultRowHeight="15" x14ac:dyDescent="0.25"/>
  <cols>
    <col min="2" max="2" width="9.57031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535</v>
      </c>
      <c r="B3" s="1">
        <f>((2.084*10^12)*(EXP(-16306/A3)))/(1+((2.084*10^12)*(EXP(-16306/A3))))</f>
        <v>0.10782099108444747</v>
      </c>
      <c r="C3" s="1">
        <f>((403.3*(A3-535))+(92.9*(A3-535)))/(36400+(7*(A3-528)))</f>
        <v>0</v>
      </c>
    </row>
    <row r="4" spans="1:3" x14ac:dyDescent="0.25">
      <c r="A4">
        <v>550</v>
      </c>
      <c r="B4" s="1">
        <f t="shared" ref="B4:B11" si="0">((2.084*10^12)*(EXP(-16306/A4)))/(1+((2.084*10^12)*(EXP(-16306/A4))))</f>
        <v>0.21721634996937894</v>
      </c>
      <c r="C4" s="1">
        <f t="shared" ref="C4:C12" si="1">((403.3*(A4-535))+(92.9*(A4-535)))/(36400+(7*(A4-528)))</f>
        <v>0.20361656727033978</v>
      </c>
    </row>
    <row r="5" spans="1:3" x14ac:dyDescent="0.25">
      <c r="A5">
        <v>565</v>
      </c>
      <c r="B5" s="1">
        <f t="shared" si="0"/>
        <v>0.37874775743353434</v>
      </c>
      <c r="C5" s="1">
        <f t="shared" si="1"/>
        <v>0.40606672304209063</v>
      </c>
    </row>
    <row r="6" spans="1:3" x14ac:dyDescent="0.25">
      <c r="A6">
        <v>575</v>
      </c>
      <c r="B6" s="1">
        <f t="shared" si="0"/>
        <v>0.50176233526555047</v>
      </c>
      <c r="C6" s="1">
        <f t="shared" si="1"/>
        <v>0.54039042718288</v>
      </c>
    </row>
    <row r="7" spans="1:3" x14ac:dyDescent="0.25">
      <c r="A7">
        <v>585</v>
      </c>
      <c r="B7" s="1">
        <f t="shared" si="0"/>
        <v>0.62053177947848959</v>
      </c>
      <c r="C7" s="1">
        <f t="shared" si="1"/>
        <v>0.67420310334519962</v>
      </c>
    </row>
    <row r="8" spans="1:3" x14ac:dyDescent="0.25">
      <c r="A8">
        <v>595</v>
      </c>
      <c r="B8" s="1">
        <f t="shared" si="0"/>
        <v>0.72317550462615432</v>
      </c>
      <c r="C8" s="1">
        <f t="shared" si="1"/>
        <v>0.80750766226369042</v>
      </c>
    </row>
    <row r="9" spans="1:3" x14ac:dyDescent="0.25">
      <c r="A9">
        <v>605</v>
      </c>
      <c r="B9" s="1">
        <f t="shared" si="0"/>
        <v>0.80427712297832232</v>
      </c>
      <c r="C9" s="1">
        <f t="shared" si="1"/>
        <v>0.94030699260943718</v>
      </c>
    </row>
    <row r="10" spans="1:3" x14ac:dyDescent="0.25">
      <c r="A10">
        <v>615</v>
      </c>
      <c r="B10" s="1">
        <f t="shared" si="0"/>
        <v>0.86430184579247593</v>
      </c>
      <c r="C10" s="1">
        <f t="shared" si="1"/>
        <v>1.0726039611986273</v>
      </c>
    </row>
    <row r="11" spans="1:3" x14ac:dyDescent="0.25">
      <c r="A11">
        <v>625</v>
      </c>
      <c r="B11" s="1">
        <f t="shared" si="0"/>
        <v>0.90684529312132323</v>
      </c>
      <c r="C11" s="1">
        <f t="shared" si="1"/>
        <v>1.2044014131988456</v>
      </c>
    </row>
    <row r="12" spans="1:3" x14ac:dyDescent="0.25">
      <c r="A12">
        <v>563.70000000000005</v>
      </c>
      <c r="B12" s="1">
        <v>0.36399999999999999</v>
      </c>
      <c r="C12" s="1">
        <f t="shared" si="1"/>
        <v>0.38856695379796463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8"/>
  <sheetViews>
    <sheetView topLeftCell="A58" workbookViewId="0">
      <selection activeCell="B76" sqref="B76:H78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  <row r="7" spans="1:2" x14ac:dyDescent="0.25">
      <c r="A7" t="s">
        <v>13</v>
      </c>
      <c r="B7">
        <v>35</v>
      </c>
    </row>
    <row r="8" spans="1:2" x14ac:dyDescent="0.25">
      <c r="A8" t="s">
        <v>14</v>
      </c>
      <c r="B8">
        <v>18</v>
      </c>
    </row>
    <row r="9" spans="1:2" x14ac:dyDescent="0.25">
      <c r="A9" t="s">
        <v>15</v>
      </c>
      <c r="B9">
        <v>46</v>
      </c>
    </row>
    <row r="10" spans="1:2" x14ac:dyDescent="0.25">
      <c r="A10" t="s">
        <v>16</v>
      </c>
      <c r="B10">
        <v>19.5</v>
      </c>
    </row>
    <row r="11" spans="1:2" x14ac:dyDescent="0.25">
      <c r="A11" t="s">
        <v>17</v>
      </c>
    </row>
    <row r="12" spans="1:2" x14ac:dyDescent="0.25">
      <c r="A12" t="s">
        <v>20</v>
      </c>
      <c r="B12">
        <v>-66600</v>
      </c>
    </row>
    <row r="13" spans="1:2" x14ac:dyDescent="0.25">
      <c r="A13" t="s">
        <v>18</v>
      </c>
      <c r="B13">
        <v>-123000</v>
      </c>
    </row>
    <row r="14" spans="1:2" x14ac:dyDescent="0.25">
      <c r="A14" t="s">
        <v>19</v>
      </c>
      <c r="B14">
        <v>-226000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0" x14ac:dyDescent="0.25">
      <c r="C17" t="s">
        <v>23</v>
      </c>
      <c r="D17" s="11" t="s">
        <v>24</v>
      </c>
      <c r="E17">
        <v>0</v>
      </c>
      <c r="H17" t="s">
        <v>25</v>
      </c>
      <c r="I17">
        <v>0.85732699495443132</v>
      </c>
      <c r="J17" t="s">
        <v>26</v>
      </c>
    </row>
    <row r="18" spans="1:10" x14ac:dyDescent="0.25">
      <c r="C18" s="12">
        <f>(B21*(-B33))-(B22*I17)</f>
        <v>-3.0333433187479386E-6</v>
      </c>
      <c r="D18" s="11" t="s">
        <v>24</v>
      </c>
      <c r="E18">
        <v>0</v>
      </c>
    </row>
    <row r="20" spans="1:10" x14ac:dyDescent="0.25">
      <c r="A20" t="s">
        <v>27</v>
      </c>
    </row>
    <row r="21" spans="1:10" x14ac:dyDescent="0.25">
      <c r="A21" t="s">
        <v>28</v>
      </c>
      <c r="B21">
        <v>40.1</v>
      </c>
      <c r="C21" t="s">
        <v>32</v>
      </c>
      <c r="D21" s="11" t="s">
        <v>24</v>
      </c>
      <c r="E21">
        <v>300</v>
      </c>
      <c r="F21" t="s">
        <v>33</v>
      </c>
    </row>
    <row r="22" spans="1:10" x14ac:dyDescent="0.25">
      <c r="A22" t="s">
        <v>29</v>
      </c>
      <c r="B22">
        <v>43.04</v>
      </c>
      <c r="C22" t="s">
        <v>34</v>
      </c>
    </row>
    <row r="23" spans="1:10" x14ac:dyDescent="0.25">
      <c r="A23" t="s">
        <v>30</v>
      </c>
      <c r="B23">
        <v>802.8</v>
      </c>
      <c r="C23" t="s">
        <v>34</v>
      </c>
    </row>
    <row r="24" spans="1:10" x14ac:dyDescent="0.25">
      <c r="A24" t="s">
        <v>31</v>
      </c>
      <c r="B24">
        <v>71.87</v>
      </c>
      <c r="C24" t="s">
        <v>34</v>
      </c>
    </row>
    <row r="25" spans="1:10" x14ac:dyDescent="0.25">
      <c r="A25" t="s">
        <v>35</v>
      </c>
    </row>
    <row r="26" spans="1:10" x14ac:dyDescent="0.25">
      <c r="A26" t="s">
        <v>37</v>
      </c>
    </row>
    <row r="27" spans="1:10" x14ac:dyDescent="0.25">
      <c r="A27" t="s">
        <v>36</v>
      </c>
      <c r="B27">
        <v>46.62</v>
      </c>
      <c r="C27" t="s">
        <v>40</v>
      </c>
    </row>
    <row r="28" spans="1:10" x14ac:dyDescent="0.25">
      <c r="A28" t="s">
        <v>38</v>
      </c>
      <c r="B28">
        <v>233.1</v>
      </c>
      <c r="C28" t="s">
        <v>40</v>
      </c>
    </row>
    <row r="29" spans="1:10" x14ac:dyDescent="0.25">
      <c r="A29" t="s">
        <v>39</v>
      </c>
      <c r="B29">
        <v>46.62</v>
      </c>
      <c r="C29" t="s">
        <v>40</v>
      </c>
    </row>
    <row r="30" spans="1:10" x14ac:dyDescent="0.25">
      <c r="A30" s="12" t="s">
        <v>46</v>
      </c>
      <c r="B30" s="12">
        <f>B27+B28+B29</f>
        <v>326.33999999999997</v>
      </c>
    </row>
    <row r="31" spans="1:10" x14ac:dyDescent="0.25">
      <c r="A31" t="s">
        <v>41</v>
      </c>
    </row>
    <row r="32" spans="1:10" x14ac:dyDescent="0.25">
      <c r="A32" t="s">
        <v>42</v>
      </c>
      <c r="B32" s="11" t="s">
        <v>43</v>
      </c>
    </row>
    <row r="33" spans="1:3" x14ac:dyDescent="0.25">
      <c r="A33" s="12" t="s">
        <v>42</v>
      </c>
      <c r="B33" s="13">
        <f>-B37*B46</f>
        <v>-0.92018331245624441</v>
      </c>
    </row>
    <row r="34" spans="1:3" x14ac:dyDescent="0.25">
      <c r="A34" t="s">
        <v>44</v>
      </c>
    </row>
    <row r="35" spans="1:3" x14ac:dyDescent="0.25">
      <c r="A35" t="s">
        <v>45</v>
      </c>
    </row>
    <row r="37" spans="1:3" x14ac:dyDescent="0.25">
      <c r="A37" s="12" t="s">
        <v>47</v>
      </c>
      <c r="B37" s="12">
        <f>B39*EXP(-B40/(B41*J56))</f>
        <v>48.902446986758193</v>
      </c>
    </row>
    <row r="39" spans="1:3" x14ac:dyDescent="0.25">
      <c r="A39" t="s">
        <v>48</v>
      </c>
      <c r="B39">
        <f>16.96*10^12</f>
        <v>16960000000000</v>
      </c>
      <c r="C39" t="s">
        <v>51</v>
      </c>
    </row>
    <row r="40" spans="1:3" x14ac:dyDescent="0.25">
      <c r="A40" t="s">
        <v>49</v>
      </c>
      <c r="B40">
        <v>32400</v>
      </c>
      <c r="C40" t="s">
        <v>52</v>
      </c>
    </row>
    <row r="41" spans="1:3" x14ac:dyDescent="0.25">
      <c r="A41" t="s">
        <v>50</v>
      </c>
      <c r="B41">
        <v>1.9870000000000001</v>
      </c>
      <c r="C41" t="s">
        <v>53</v>
      </c>
    </row>
    <row r="43" spans="1:3" x14ac:dyDescent="0.25">
      <c r="A43" t="s">
        <v>54</v>
      </c>
    </row>
    <row r="44" spans="1:3" x14ac:dyDescent="0.25">
      <c r="A44" t="s">
        <v>55</v>
      </c>
    </row>
    <row r="45" spans="1:3" x14ac:dyDescent="0.25">
      <c r="A45" t="s">
        <v>56</v>
      </c>
    </row>
    <row r="46" spans="1:3" x14ac:dyDescent="0.25">
      <c r="A46" t="s">
        <v>80</v>
      </c>
      <c r="B46" s="12">
        <f>B47*(1-I17)</f>
        <v>1.8816713051300105E-2</v>
      </c>
    </row>
    <row r="47" spans="1:3" x14ac:dyDescent="0.25">
      <c r="A47" t="s">
        <v>81</v>
      </c>
      <c r="B47" s="12">
        <f>B22/B30</f>
        <v>0.13188698902984619</v>
      </c>
    </row>
    <row r="48" spans="1:3" x14ac:dyDescent="0.25">
      <c r="A48" t="s">
        <v>57</v>
      </c>
      <c r="B48">
        <v>1</v>
      </c>
    </row>
    <row r="49" spans="1:12" x14ac:dyDescent="0.25">
      <c r="A49" t="s">
        <v>58</v>
      </c>
      <c r="B49">
        <v>1</v>
      </c>
    </row>
    <row r="50" spans="1:12" x14ac:dyDescent="0.25">
      <c r="A50" t="s">
        <v>59</v>
      </c>
      <c r="B50">
        <v>1</v>
      </c>
    </row>
    <row r="51" spans="1:12" x14ac:dyDescent="0.25">
      <c r="A51" t="s">
        <v>60</v>
      </c>
      <c r="B51" s="11" t="s">
        <v>62</v>
      </c>
      <c r="C51">
        <f>B23/B22</f>
        <v>18.652416356877321</v>
      </c>
    </row>
    <row r="52" spans="1:12" x14ac:dyDescent="0.25">
      <c r="A52" t="s">
        <v>61</v>
      </c>
      <c r="B52" s="11" t="s">
        <v>63</v>
      </c>
      <c r="C52">
        <f>B24/B22</f>
        <v>1.6698420074349445</v>
      </c>
    </row>
    <row r="53" spans="1:12" x14ac:dyDescent="0.25">
      <c r="A53" t="s">
        <v>64</v>
      </c>
    </row>
    <row r="54" spans="1:12" x14ac:dyDescent="0.25">
      <c r="A54" s="11" t="s">
        <v>65</v>
      </c>
    </row>
    <row r="56" spans="1:12" x14ac:dyDescent="0.25">
      <c r="D56" t="s">
        <v>66</v>
      </c>
      <c r="E56" s="11" t="s">
        <v>24</v>
      </c>
      <c r="F56">
        <v>0</v>
      </c>
      <c r="I56" t="s">
        <v>0</v>
      </c>
      <c r="J56">
        <v>613.6518681803492</v>
      </c>
      <c r="K56" t="s">
        <v>69</v>
      </c>
      <c r="L56" t="s">
        <v>67</v>
      </c>
    </row>
    <row r="57" spans="1:12" x14ac:dyDescent="0.25">
      <c r="D57">
        <f>(-B22*(B70*(J56-B73)))-(B22*I17*B61)</f>
        <v>1.3876007869839668E-4</v>
      </c>
      <c r="E57" s="11" t="s">
        <v>24</v>
      </c>
      <c r="F57">
        <v>0</v>
      </c>
    </row>
    <row r="60" spans="1:12" x14ac:dyDescent="0.25">
      <c r="A60" t="s">
        <v>70</v>
      </c>
    </row>
    <row r="61" spans="1:12" x14ac:dyDescent="0.25">
      <c r="B61" s="12">
        <f>B64+(B67*(J56-B72))</f>
        <v>-36999.563077262443</v>
      </c>
    </row>
    <row r="63" spans="1:12" x14ac:dyDescent="0.25">
      <c r="A63" t="s">
        <v>71</v>
      </c>
    </row>
    <row r="64" spans="1:12" x14ac:dyDescent="0.25">
      <c r="B64" s="12">
        <f>((B50/B48)*B14)-((B49/B48)*B13)-B12</f>
        <v>-36400</v>
      </c>
    </row>
    <row r="66" spans="1:8" x14ac:dyDescent="0.25">
      <c r="A66" t="s">
        <v>72</v>
      </c>
    </row>
    <row r="67" spans="1:8" x14ac:dyDescent="0.25">
      <c r="B67" s="12">
        <f>((B50/B48)*B9)-((B49/B48)*B8)-B7</f>
        <v>-7</v>
      </c>
    </row>
    <row r="69" spans="1:8" x14ac:dyDescent="0.25">
      <c r="A69" t="s">
        <v>73</v>
      </c>
    </row>
    <row r="70" spans="1:8" x14ac:dyDescent="0.25">
      <c r="B70" s="12">
        <f>B7+(C51*B8)+(C52*B10)</f>
        <v>403.30541356877319</v>
      </c>
    </row>
    <row r="72" spans="1:8" x14ac:dyDescent="0.25">
      <c r="A72" t="s">
        <v>74</v>
      </c>
      <c r="B72">
        <v>528</v>
      </c>
      <c r="C72" t="s">
        <v>69</v>
      </c>
      <c r="D72" t="s">
        <v>78</v>
      </c>
      <c r="E72" t="s">
        <v>79</v>
      </c>
    </row>
    <row r="73" spans="1:8" x14ac:dyDescent="0.25">
      <c r="A73" t="s">
        <v>75</v>
      </c>
      <c r="B73">
        <v>535</v>
      </c>
      <c r="C73" t="s">
        <v>69</v>
      </c>
      <c r="D73" t="s">
        <v>76</v>
      </c>
      <c r="E73" t="s">
        <v>77</v>
      </c>
    </row>
    <row r="76" spans="1:8" x14ac:dyDescent="0.25">
      <c r="B76" s="15" t="s">
        <v>82</v>
      </c>
      <c r="C76" s="15"/>
      <c r="D76" s="15"/>
      <c r="E76" s="15"/>
      <c r="F76" s="15"/>
    </row>
    <row r="77" spans="1:8" x14ac:dyDescent="0.25">
      <c r="B77" s="15" t="s">
        <v>25</v>
      </c>
      <c r="C77" s="15">
        <v>0.85</v>
      </c>
      <c r="D77" s="15"/>
      <c r="E77" s="15"/>
      <c r="F77" s="15"/>
    </row>
    <row r="78" spans="1:8" x14ac:dyDescent="0.25">
      <c r="B78" s="15" t="s">
        <v>0</v>
      </c>
      <c r="C78" s="15">
        <v>613.65</v>
      </c>
      <c r="D78" s="15" t="s">
        <v>69</v>
      </c>
      <c r="E78" s="15">
        <v>153.97999999999999</v>
      </c>
      <c r="F78" s="15" t="s">
        <v>83</v>
      </c>
      <c r="G78" s="14" t="s">
        <v>84</v>
      </c>
      <c r="H7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8D8B-397C-467E-BD09-6EFB56A95201}">
  <dimension ref="A1:L88"/>
  <sheetViews>
    <sheetView tabSelected="1" topLeftCell="A68" workbookViewId="0">
      <selection activeCell="K85" sqref="K85"/>
    </sheetView>
  </sheetViews>
  <sheetFormatPr defaultRowHeight="15" x14ac:dyDescent="0.25"/>
  <cols>
    <col min="2" max="2" width="10" bestFit="1" customWidth="1"/>
    <col min="4" max="4" width="12.7109375" bestFit="1" customWidth="1"/>
  </cols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  <row r="7" spans="1:2" x14ac:dyDescent="0.25">
      <c r="A7" t="s">
        <v>13</v>
      </c>
      <c r="B7">
        <v>35</v>
      </c>
    </row>
    <row r="8" spans="1:2" x14ac:dyDescent="0.25">
      <c r="A8" t="s">
        <v>14</v>
      </c>
      <c r="B8">
        <v>18</v>
      </c>
    </row>
    <row r="9" spans="1:2" x14ac:dyDescent="0.25">
      <c r="A9" t="s">
        <v>15</v>
      </c>
      <c r="B9">
        <v>46</v>
      </c>
    </row>
    <row r="10" spans="1:2" x14ac:dyDescent="0.25">
      <c r="A10" t="s">
        <v>16</v>
      </c>
      <c r="B10">
        <v>19.5</v>
      </c>
    </row>
    <row r="11" spans="1:2" x14ac:dyDescent="0.25">
      <c r="A11" t="s">
        <v>17</v>
      </c>
    </row>
    <row r="12" spans="1:2" x14ac:dyDescent="0.25">
      <c r="A12" t="s">
        <v>20</v>
      </c>
      <c r="B12">
        <v>-66600</v>
      </c>
    </row>
    <row r="13" spans="1:2" x14ac:dyDescent="0.25">
      <c r="A13" t="s">
        <v>18</v>
      </c>
      <c r="B13">
        <v>-123000</v>
      </c>
    </row>
    <row r="14" spans="1:2" x14ac:dyDescent="0.25">
      <c r="A14" t="s">
        <v>19</v>
      </c>
      <c r="B14">
        <v>-226000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0" x14ac:dyDescent="0.25">
      <c r="C17" t="s">
        <v>23</v>
      </c>
      <c r="D17" s="11" t="s">
        <v>24</v>
      </c>
      <c r="E17">
        <v>0</v>
      </c>
      <c r="H17" t="s">
        <v>25</v>
      </c>
      <c r="I17">
        <v>0.36308903084168109</v>
      </c>
      <c r="J17" t="s">
        <v>26</v>
      </c>
    </row>
    <row r="18" spans="1:10" x14ac:dyDescent="0.25">
      <c r="C18" s="12">
        <f>(B21*(-B33))-(B22*I17)</f>
        <v>-1.5240645208081105E-6</v>
      </c>
      <c r="D18" s="11" t="s">
        <v>24</v>
      </c>
      <c r="E18">
        <v>0</v>
      </c>
    </row>
    <row r="20" spans="1:10" x14ac:dyDescent="0.25">
      <c r="A20" t="s">
        <v>27</v>
      </c>
    </row>
    <row r="21" spans="1:10" x14ac:dyDescent="0.25">
      <c r="A21" t="s">
        <v>28</v>
      </c>
      <c r="B21">
        <v>40.1</v>
      </c>
      <c r="C21" t="s">
        <v>32</v>
      </c>
      <c r="D21" s="11" t="s">
        <v>24</v>
      </c>
      <c r="E21">
        <v>300</v>
      </c>
      <c r="F21" t="s">
        <v>33</v>
      </c>
    </row>
    <row r="22" spans="1:10" x14ac:dyDescent="0.25">
      <c r="A22" t="s">
        <v>29</v>
      </c>
      <c r="B22">
        <v>43.04</v>
      </c>
      <c r="C22" t="s">
        <v>34</v>
      </c>
    </row>
    <row r="23" spans="1:10" x14ac:dyDescent="0.25">
      <c r="A23" t="s">
        <v>30</v>
      </c>
      <c r="B23">
        <v>802.8</v>
      </c>
      <c r="C23" t="s">
        <v>34</v>
      </c>
    </row>
    <row r="24" spans="1:10" x14ac:dyDescent="0.25">
      <c r="A24" t="s">
        <v>31</v>
      </c>
      <c r="B24">
        <v>71.87</v>
      </c>
      <c r="C24" t="s">
        <v>34</v>
      </c>
    </row>
    <row r="25" spans="1:10" x14ac:dyDescent="0.25">
      <c r="A25" t="s">
        <v>35</v>
      </c>
    </row>
    <row r="26" spans="1:10" x14ac:dyDescent="0.25">
      <c r="A26" t="s">
        <v>37</v>
      </c>
    </row>
    <row r="27" spans="1:10" x14ac:dyDescent="0.25">
      <c r="A27" t="s">
        <v>36</v>
      </c>
      <c r="B27">
        <v>46.62</v>
      </c>
      <c r="C27" t="s">
        <v>40</v>
      </c>
    </row>
    <row r="28" spans="1:10" x14ac:dyDescent="0.25">
      <c r="A28" t="s">
        <v>38</v>
      </c>
      <c r="B28">
        <v>233.1</v>
      </c>
      <c r="C28" t="s">
        <v>40</v>
      </c>
    </row>
    <row r="29" spans="1:10" x14ac:dyDescent="0.25">
      <c r="A29" t="s">
        <v>39</v>
      </c>
      <c r="B29">
        <v>46.62</v>
      </c>
      <c r="C29" t="s">
        <v>40</v>
      </c>
    </row>
    <row r="30" spans="1:10" x14ac:dyDescent="0.25">
      <c r="A30" s="12" t="s">
        <v>46</v>
      </c>
      <c r="B30" s="12">
        <f>B27+B28+B29</f>
        <v>326.33999999999997</v>
      </c>
    </row>
    <row r="31" spans="1:10" x14ac:dyDescent="0.25">
      <c r="A31" t="s">
        <v>41</v>
      </c>
    </row>
    <row r="32" spans="1:10" x14ac:dyDescent="0.25">
      <c r="A32" t="s">
        <v>42</v>
      </c>
      <c r="B32" s="11" t="s">
        <v>43</v>
      </c>
    </row>
    <row r="33" spans="1:3" x14ac:dyDescent="0.25">
      <c r="A33" s="12" t="s">
        <v>42</v>
      </c>
      <c r="B33" s="13">
        <f>-B37*B46</f>
        <v>-0.38970948537060929</v>
      </c>
    </row>
    <row r="34" spans="1:3" x14ac:dyDescent="0.25">
      <c r="A34" t="s">
        <v>44</v>
      </c>
    </row>
    <row r="35" spans="1:3" x14ac:dyDescent="0.25">
      <c r="A35" t="s">
        <v>45</v>
      </c>
    </row>
    <row r="37" spans="1:3" x14ac:dyDescent="0.25">
      <c r="A37" s="12" t="s">
        <v>47</v>
      </c>
      <c r="B37" s="12">
        <f>B39*EXP(-B40/(B41*J56))</f>
        <v>4.6393837229285699</v>
      </c>
    </row>
    <row r="39" spans="1:3" x14ac:dyDescent="0.25">
      <c r="A39" t="s">
        <v>48</v>
      </c>
      <c r="B39">
        <f>16.96*10^12</f>
        <v>16960000000000</v>
      </c>
      <c r="C39" t="s">
        <v>51</v>
      </c>
    </row>
    <row r="40" spans="1:3" x14ac:dyDescent="0.25">
      <c r="A40" t="s">
        <v>49</v>
      </c>
      <c r="B40">
        <v>32400</v>
      </c>
      <c r="C40" t="s">
        <v>52</v>
      </c>
    </row>
    <row r="41" spans="1:3" x14ac:dyDescent="0.25">
      <c r="A41" t="s">
        <v>50</v>
      </c>
      <c r="B41">
        <v>1.9870000000000001</v>
      </c>
      <c r="C41" t="s">
        <v>53</v>
      </c>
    </row>
    <row r="43" spans="1:3" x14ac:dyDescent="0.25">
      <c r="A43" t="s">
        <v>54</v>
      </c>
    </row>
    <row r="44" spans="1:3" x14ac:dyDescent="0.25">
      <c r="A44" t="s">
        <v>55</v>
      </c>
    </row>
    <row r="45" spans="1:3" x14ac:dyDescent="0.25">
      <c r="A45" t="s">
        <v>56</v>
      </c>
    </row>
    <row r="46" spans="1:3" x14ac:dyDescent="0.25">
      <c r="A46" t="s">
        <v>80</v>
      </c>
      <c r="B46" s="12">
        <f>B47*(1-I17)</f>
        <v>8.400027000237191E-2</v>
      </c>
    </row>
    <row r="47" spans="1:3" x14ac:dyDescent="0.25">
      <c r="A47" t="s">
        <v>81</v>
      </c>
      <c r="B47" s="12">
        <f>B22/B30</f>
        <v>0.13188698902984619</v>
      </c>
    </row>
    <row r="48" spans="1:3" x14ac:dyDescent="0.25">
      <c r="A48" t="s">
        <v>57</v>
      </c>
      <c r="B48">
        <v>1</v>
      </c>
    </row>
    <row r="49" spans="1:12" x14ac:dyDescent="0.25">
      <c r="A49" t="s">
        <v>58</v>
      </c>
      <c r="B49">
        <v>1</v>
      </c>
    </row>
    <row r="50" spans="1:12" x14ac:dyDescent="0.25">
      <c r="A50" t="s">
        <v>59</v>
      </c>
      <c r="B50">
        <v>1</v>
      </c>
    </row>
    <row r="51" spans="1:12" x14ac:dyDescent="0.25">
      <c r="A51" t="s">
        <v>60</v>
      </c>
      <c r="B51" s="11" t="s">
        <v>62</v>
      </c>
      <c r="C51">
        <f>B23/B22</f>
        <v>18.652416356877321</v>
      </c>
    </row>
    <row r="52" spans="1:12" x14ac:dyDescent="0.25">
      <c r="A52" t="s">
        <v>61</v>
      </c>
      <c r="B52" s="11" t="s">
        <v>63</v>
      </c>
      <c r="C52">
        <f>B24/B22</f>
        <v>1.6698420074349445</v>
      </c>
    </row>
    <row r="53" spans="1:12" x14ac:dyDescent="0.25">
      <c r="A53" t="s">
        <v>64</v>
      </c>
    </row>
    <row r="54" spans="1:12" x14ac:dyDescent="0.25">
      <c r="A54" s="11" t="s">
        <v>85</v>
      </c>
    </row>
    <row r="55" spans="1:12" x14ac:dyDescent="0.25">
      <c r="A55" t="s">
        <v>86</v>
      </c>
    </row>
    <row r="56" spans="1:12" x14ac:dyDescent="0.25">
      <c r="D56" t="s">
        <v>66</v>
      </c>
      <c r="E56" s="11" t="s">
        <v>24</v>
      </c>
      <c r="F56">
        <v>0</v>
      </c>
      <c r="I56" t="s">
        <v>0</v>
      </c>
      <c r="J56">
        <v>563.68864367903052</v>
      </c>
      <c r="K56" t="s">
        <v>69</v>
      </c>
      <c r="L56" t="s">
        <v>67</v>
      </c>
    </row>
    <row r="57" spans="1:12" x14ac:dyDescent="0.25">
      <c r="D57">
        <f>(B73*(B74-J56))-(B70*(J56-B77))-(I17*B61)</f>
        <v>-2.9119200371496845E-4</v>
      </c>
      <c r="E57" s="11" t="s">
        <v>24</v>
      </c>
      <c r="F57">
        <v>0</v>
      </c>
    </row>
    <row r="60" spans="1:12" x14ac:dyDescent="0.25">
      <c r="A60" t="s">
        <v>70</v>
      </c>
    </row>
    <row r="61" spans="1:12" x14ac:dyDescent="0.25">
      <c r="B61" s="12">
        <f>B64+(B67*(J56-B76))</f>
        <v>-36649.82050575321</v>
      </c>
    </row>
    <row r="63" spans="1:12" x14ac:dyDescent="0.25">
      <c r="A63" t="s">
        <v>71</v>
      </c>
    </row>
    <row r="64" spans="1:12" x14ac:dyDescent="0.25">
      <c r="B64" s="12">
        <f>((B50/B48)*B14)-((B49/B48)*B13)-B12</f>
        <v>-36400</v>
      </c>
    </row>
    <row r="66" spans="1:6" x14ac:dyDescent="0.25">
      <c r="A66" t="s">
        <v>72</v>
      </c>
    </row>
    <row r="67" spans="1:6" x14ac:dyDescent="0.25">
      <c r="B67" s="12">
        <f>((B50/B48)*B9)-((B49/B48)*B8)-B7</f>
        <v>-7</v>
      </c>
    </row>
    <row r="69" spans="1:6" x14ac:dyDescent="0.25">
      <c r="A69" t="s">
        <v>73</v>
      </c>
    </row>
    <row r="70" spans="1:6" x14ac:dyDescent="0.25">
      <c r="B70" s="12">
        <f>B7+(C51*B8)+(C52*B10)</f>
        <v>403.30541356877319</v>
      </c>
    </row>
    <row r="71" spans="1:6" x14ac:dyDescent="0.25">
      <c r="A71" t="s">
        <v>89</v>
      </c>
      <c r="B71" s="16">
        <v>100</v>
      </c>
      <c r="C71" t="s">
        <v>91</v>
      </c>
    </row>
    <row r="72" spans="1:6" x14ac:dyDescent="0.25">
      <c r="A72" t="s">
        <v>48</v>
      </c>
      <c r="B72" s="16">
        <v>40</v>
      </c>
      <c r="C72" t="s">
        <v>90</v>
      </c>
    </row>
    <row r="73" spans="1:6" x14ac:dyDescent="0.25">
      <c r="A73" s="11" t="s">
        <v>87</v>
      </c>
      <c r="B73" s="12">
        <f>(B71*B72)/B22</f>
        <v>92.936802973977692</v>
      </c>
    </row>
    <row r="74" spans="1:6" x14ac:dyDescent="0.25">
      <c r="A74" t="s">
        <v>88</v>
      </c>
      <c r="B74" s="16">
        <f>545</f>
        <v>545</v>
      </c>
      <c r="C74" t="s">
        <v>68</v>
      </c>
    </row>
    <row r="75" spans="1:6" x14ac:dyDescent="0.25">
      <c r="B75" s="16"/>
    </row>
    <row r="76" spans="1:6" x14ac:dyDescent="0.25">
      <c r="A76" t="s">
        <v>74</v>
      </c>
      <c r="B76">
        <v>528</v>
      </c>
      <c r="C76" t="s">
        <v>69</v>
      </c>
      <c r="D76" t="s">
        <v>78</v>
      </c>
      <c r="E76" t="s">
        <v>79</v>
      </c>
    </row>
    <row r="77" spans="1:6" x14ac:dyDescent="0.25">
      <c r="A77" t="s">
        <v>75</v>
      </c>
      <c r="B77">
        <v>535</v>
      </c>
      <c r="C77" t="s">
        <v>69</v>
      </c>
      <c r="D77" t="s">
        <v>76</v>
      </c>
      <c r="E77" t="s">
        <v>77</v>
      </c>
    </row>
    <row r="80" spans="1:6" x14ac:dyDescent="0.25">
      <c r="B80" s="15" t="s">
        <v>82</v>
      </c>
      <c r="C80" s="15"/>
      <c r="D80" s="15"/>
      <c r="E80" s="15"/>
      <c r="F80" s="15"/>
    </row>
    <row r="81" spans="2:8" x14ac:dyDescent="0.25">
      <c r="B81" s="15" t="s">
        <v>25</v>
      </c>
      <c r="C81" s="15">
        <v>0.85</v>
      </c>
      <c r="D81" s="15"/>
      <c r="E81" s="15"/>
      <c r="F81" s="15"/>
    </row>
    <row r="82" spans="2:8" x14ac:dyDescent="0.25">
      <c r="B82" s="15" t="s">
        <v>0</v>
      </c>
      <c r="C82" s="15">
        <v>613.65</v>
      </c>
      <c r="D82" s="15" t="s">
        <v>69</v>
      </c>
      <c r="E82" s="15">
        <v>153.97999999999999</v>
      </c>
      <c r="F82" s="15" t="s">
        <v>83</v>
      </c>
      <c r="G82" s="14" t="s">
        <v>84</v>
      </c>
      <c r="H82" s="14"/>
    </row>
    <row r="86" spans="2:8" x14ac:dyDescent="0.25">
      <c r="B86" s="15" t="s">
        <v>82</v>
      </c>
      <c r="C86" s="15"/>
      <c r="D86" s="15" t="s">
        <v>92</v>
      </c>
      <c r="E86" s="15"/>
      <c r="F86" s="15"/>
    </row>
    <row r="87" spans="2:8" x14ac:dyDescent="0.25">
      <c r="B87" s="15" t="s">
        <v>25</v>
      </c>
      <c r="C87" s="15">
        <v>0.36</v>
      </c>
      <c r="D87" s="15"/>
      <c r="E87" s="15"/>
      <c r="F87" s="15"/>
    </row>
    <row r="88" spans="2:8" x14ac:dyDescent="0.25">
      <c r="B88" s="15" t="s">
        <v>0</v>
      </c>
      <c r="C88" s="15">
        <v>563</v>
      </c>
      <c r="D88" s="15" t="s">
        <v>69</v>
      </c>
      <c r="E88" s="15">
        <v>103.33</v>
      </c>
      <c r="F88" s="15" t="s">
        <v>83</v>
      </c>
      <c r="G88" s="14" t="s">
        <v>84</v>
      </c>
      <c r="H8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ADIABATICO</vt:lpstr>
      <vt:lpstr>TROCADOR DE CALOR</vt:lpstr>
      <vt:lpstr>Adiabatico-2023</vt:lpstr>
      <vt:lpstr>TROCA TERMICA-2023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Cliente</cp:lastModifiedBy>
  <cp:lastPrinted>2023-05-10T17:49:53Z</cp:lastPrinted>
  <dcterms:created xsi:type="dcterms:W3CDTF">2015-08-23T21:23:38Z</dcterms:created>
  <dcterms:modified xsi:type="dcterms:W3CDTF">2023-05-10T18:26:20Z</dcterms:modified>
</cp:coreProperties>
</file>