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REEN INFRASTRUCTURE\50 - GI I,O&amp;M\00_Annual Maintenance Activities\_2024 O&amp;M\Vegetated Assets\"/>
    </mc:Choice>
  </mc:AlternateContent>
  <xr:revisionPtr revIDLastSave="0" documentId="13_ncr:1_{0BD67F21-D44C-4EDC-812D-412A8D04857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Zone A" sheetId="14" r:id="rId1"/>
    <sheet name="Zone B" sheetId="15" r:id="rId2"/>
    <sheet name="Inlet Maintenance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2" i="14" l="1"/>
  <c r="Q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62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Q39" i="15"/>
  <c r="Q40" i="15"/>
  <c r="Q41" i="15"/>
  <c r="Q42" i="15"/>
  <c r="Q43" i="15"/>
  <c r="Q44" i="15"/>
  <c r="Q45" i="15"/>
  <c r="Q46" i="15"/>
  <c r="Q47" i="15"/>
  <c r="Q48" i="15"/>
  <c r="Q49" i="15"/>
  <c r="Q50" i="15"/>
  <c r="Q51" i="15"/>
  <c r="Q52" i="15"/>
  <c r="Q53" i="15"/>
  <c r="Q54" i="15"/>
  <c r="Q55" i="15"/>
  <c r="Q56" i="15"/>
  <c r="Q57" i="15"/>
  <c r="Q58" i="15"/>
  <c r="Q59" i="15"/>
  <c r="Q60" i="15"/>
  <c r="Q61" i="15"/>
  <c r="L82" i="15"/>
  <c r="K82" i="15"/>
  <c r="J82" i="15"/>
  <c r="I82" i="15"/>
  <c r="H82" i="15"/>
  <c r="L81" i="15"/>
  <c r="K81" i="15"/>
  <c r="J81" i="15"/>
  <c r="I81" i="15"/>
  <c r="H81" i="15"/>
  <c r="L80" i="15"/>
  <c r="L79" i="15"/>
  <c r="K80" i="15"/>
  <c r="K79" i="15"/>
  <c r="J80" i="15"/>
  <c r="J79" i="15"/>
  <c r="I80" i="15"/>
  <c r="I79" i="15"/>
  <c r="H80" i="15"/>
  <c r="H79" i="15"/>
  <c r="F25" i="14"/>
  <c r="H25" i="14"/>
  <c r="J25" i="14"/>
  <c r="L25" i="14"/>
  <c r="N25" i="14"/>
  <c r="P25" i="14"/>
  <c r="N24" i="14"/>
  <c r="L24" i="14"/>
  <c r="J24" i="14"/>
  <c r="H24" i="14"/>
  <c r="F24" i="14"/>
  <c r="P24" i="14"/>
  <c r="O25" i="14" l="1"/>
  <c r="O24" i="14"/>
  <c r="R63" i="14"/>
  <c r="R64" i="14" l="1"/>
  <c r="Q64" i="14"/>
  <c r="P64" i="14"/>
  <c r="O64" i="14"/>
  <c r="Q63" i="14"/>
  <c r="P63" i="14"/>
  <c r="O63" i="14"/>
  <c r="N63" i="14"/>
  <c r="M56" i="14" l="1"/>
  <c r="N6" i="15"/>
  <c r="N5" i="15"/>
  <c r="N4" i="15"/>
  <c r="N3" i="15"/>
  <c r="J6" i="15"/>
  <c r="J5" i="15"/>
  <c r="J4" i="15"/>
  <c r="J3" i="15"/>
  <c r="N10" i="15"/>
  <c r="N9" i="15"/>
  <c r="N8" i="15"/>
  <c r="N7" i="15"/>
  <c r="L10" i="15"/>
  <c r="L9" i="15"/>
  <c r="L8" i="15"/>
  <c r="L7" i="15"/>
  <c r="J10" i="15"/>
  <c r="J9" i="15"/>
  <c r="J8" i="15"/>
  <c r="J7" i="15"/>
  <c r="H10" i="15"/>
  <c r="H9" i="15"/>
  <c r="H8" i="15"/>
  <c r="H7" i="15"/>
  <c r="F10" i="15"/>
  <c r="F9" i="15"/>
  <c r="F8" i="15"/>
  <c r="F7" i="15"/>
  <c r="F6" i="15"/>
  <c r="F5" i="15"/>
  <c r="F4" i="15"/>
  <c r="F3" i="15"/>
  <c r="O3" i="15" l="1"/>
  <c r="O4" i="15"/>
  <c r="O5" i="15"/>
  <c r="O6" i="15"/>
  <c r="O7" i="15"/>
  <c r="O8" i="15"/>
  <c r="O9" i="15"/>
  <c r="O10" i="15"/>
  <c r="N61" i="15"/>
  <c r="N60" i="15"/>
  <c r="N58" i="15"/>
  <c r="N59" i="15"/>
  <c r="N57" i="15"/>
  <c r="N51" i="15"/>
  <c r="N52" i="15"/>
  <c r="N53" i="15"/>
  <c r="N54" i="15"/>
  <c r="N55" i="15"/>
  <c r="N56" i="15"/>
  <c r="N50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37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11" i="15"/>
  <c r="N62" i="15" s="1"/>
  <c r="L61" i="15"/>
  <c r="L60" i="15"/>
  <c r="L58" i="15"/>
  <c r="L59" i="15"/>
  <c r="L57" i="15"/>
  <c r="L51" i="15"/>
  <c r="L52" i="15"/>
  <c r="L53" i="15"/>
  <c r="L54" i="15"/>
  <c r="L55" i="15"/>
  <c r="L56" i="15"/>
  <c r="L50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37" i="15"/>
  <c r="L12" i="15"/>
  <c r="L62" i="15" s="1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11" i="15"/>
  <c r="J62" i="15"/>
  <c r="J61" i="15"/>
  <c r="J60" i="15"/>
  <c r="J58" i="15"/>
  <c r="J59" i="15"/>
  <c r="J57" i="15"/>
  <c r="J51" i="15"/>
  <c r="J52" i="15"/>
  <c r="J53" i="15"/>
  <c r="J54" i="15"/>
  <c r="J55" i="15"/>
  <c r="J56" i="15"/>
  <c r="J50" i="15"/>
  <c r="J49" i="15"/>
  <c r="J38" i="15"/>
  <c r="J39" i="15"/>
  <c r="J40" i="15"/>
  <c r="J41" i="15"/>
  <c r="J42" i="15"/>
  <c r="J43" i="15"/>
  <c r="J44" i="15"/>
  <c r="J45" i="15"/>
  <c r="J46" i="15"/>
  <c r="J47" i="15"/>
  <c r="J48" i="15"/>
  <c r="J37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11" i="15"/>
  <c r="H61" i="15" l="1"/>
  <c r="H60" i="15"/>
  <c r="H58" i="15"/>
  <c r="H59" i="15"/>
  <c r="H57" i="15"/>
  <c r="H51" i="15"/>
  <c r="H52" i="15"/>
  <c r="H53" i="15"/>
  <c r="H54" i="15"/>
  <c r="H55" i="15"/>
  <c r="H56" i="15"/>
  <c r="H50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37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11" i="15"/>
  <c r="F61" i="15"/>
  <c r="O61" i="15" s="1"/>
  <c r="F60" i="15"/>
  <c r="O60" i="15" s="1"/>
  <c r="F58" i="15"/>
  <c r="O58" i="15" s="1"/>
  <c r="F59" i="15"/>
  <c r="F57" i="15"/>
  <c r="O57" i="15" s="1"/>
  <c r="F51" i="15"/>
  <c r="F52" i="15"/>
  <c r="O52" i="15" s="1"/>
  <c r="F53" i="15"/>
  <c r="O53" i="15" s="1"/>
  <c r="F54" i="15"/>
  <c r="O54" i="15" s="1"/>
  <c r="F55" i="15"/>
  <c r="O55" i="15" s="1"/>
  <c r="F56" i="15"/>
  <c r="O56" i="15" s="1"/>
  <c r="F50" i="15"/>
  <c r="F38" i="15"/>
  <c r="O38" i="15" s="1"/>
  <c r="F39" i="15"/>
  <c r="F40" i="15"/>
  <c r="O40" i="15" s="1"/>
  <c r="F41" i="15"/>
  <c r="O41" i="15" s="1"/>
  <c r="F42" i="15"/>
  <c r="O42" i="15" s="1"/>
  <c r="F43" i="15"/>
  <c r="O43" i="15" s="1"/>
  <c r="F44" i="15"/>
  <c r="O44" i="15" s="1"/>
  <c r="F45" i="15"/>
  <c r="F46" i="15"/>
  <c r="O46" i="15" s="1"/>
  <c r="F47" i="15"/>
  <c r="F48" i="15"/>
  <c r="O48" i="15" s="1"/>
  <c r="F49" i="15"/>
  <c r="O49" i="15" s="1"/>
  <c r="F37" i="15"/>
  <c r="O37" i="15" s="1"/>
  <c r="F12" i="15"/>
  <c r="O12" i="15" s="1"/>
  <c r="F13" i="15"/>
  <c r="O13" i="15" s="1"/>
  <c r="F14" i="15"/>
  <c r="F15" i="15"/>
  <c r="O15" i="15" s="1"/>
  <c r="F16" i="15"/>
  <c r="F17" i="15"/>
  <c r="O17" i="15" s="1"/>
  <c r="F18" i="15"/>
  <c r="O18" i="15" s="1"/>
  <c r="F19" i="15"/>
  <c r="O19" i="15" s="1"/>
  <c r="F20" i="15"/>
  <c r="O20" i="15" s="1"/>
  <c r="F21" i="15"/>
  <c r="O21" i="15" s="1"/>
  <c r="F22" i="15"/>
  <c r="F23" i="15"/>
  <c r="O23" i="15" s="1"/>
  <c r="F24" i="15"/>
  <c r="F25" i="15"/>
  <c r="O25" i="15" s="1"/>
  <c r="F26" i="15"/>
  <c r="O26" i="15" s="1"/>
  <c r="F27" i="15"/>
  <c r="O27" i="15" s="1"/>
  <c r="F28" i="15"/>
  <c r="O28" i="15" s="1"/>
  <c r="F29" i="15"/>
  <c r="O29" i="15" s="1"/>
  <c r="F30" i="15"/>
  <c r="F31" i="15"/>
  <c r="O31" i="15" s="1"/>
  <c r="F32" i="15"/>
  <c r="F33" i="15"/>
  <c r="O33" i="15" s="1"/>
  <c r="F34" i="15"/>
  <c r="O34" i="15" s="1"/>
  <c r="F35" i="15"/>
  <c r="O35" i="15" s="1"/>
  <c r="F36" i="15"/>
  <c r="O36" i="15" s="1"/>
  <c r="F11" i="15"/>
  <c r="P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M62" i="15"/>
  <c r="K62" i="15"/>
  <c r="I62" i="15"/>
  <c r="G62" i="15"/>
  <c r="E62" i="15"/>
  <c r="N50" i="14"/>
  <c r="N51" i="14"/>
  <c r="L50" i="14"/>
  <c r="L51" i="14"/>
  <c r="J50" i="14"/>
  <c r="J51" i="14"/>
  <c r="H50" i="14"/>
  <c r="H51" i="14"/>
  <c r="F51" i="14"/>
  <c r="F50" i="14"/>
  <c r="N49" i="14"/>
  <c r="N48" i="14"/>
  <c r="L49" i="14"/>
  <c r="L48" i="14"/>
  <c r="J49" i="14"/>
  <c r="J48" i="14"/>
  <c r="H49" i="14"/>
  <c r="H48" i="14"/>
  <c r="F49" i="14"/>
  <c r="F48" i="14"/>
  <c r="O11" i="15" l="1"/>
  <c r="F62" i="15"/>
  <c r="H62" i="15"/>
  <c r="O32" i="15"/>
  <c r="O24" i="15"/>
  <c r="O16" i="15"/>
  <c r="O47" i="15"/>
  <c r="O39" i="15"/>
  <c r="O51" i="15"/>
  <c r="O30" i="15"/>
  <c r="O22" i="15"/>
  <c r="O14" i="15"/>
  <c r="O45" i="15"/>
  <c r="O50" i="15"/>
  <c r="O59" i="15"/>
  <c r="G63" i="14"/>
  <c r="I64" i="14"/>
  <c r="J64" i="14"/>
  <c r="K64" i="14"/>
  <c r="H64" i="14"/>
  <c r="I63" i="14"/>
  <c r="J63" i="14"/>
  <c r="K63" i="14"/>
  <c r="H63" i="14"/>
  <c r="P69" i="14"/>
  <c r="P68" i="14"/>
  <c r="O69" i="14"/>
  <c r="K74" i="14" s="1"/>
  <c r="O68" i="14"/>
  <c r="N69" i="14"/>
  <c r="N68" i="14"/>
  <c r="M69" i="14"/>
  <c r="M68" i="14"/>
  <c r="L69" i="14"/>
  <c r="L68" i="14"/>
  <c r="K69" i="14"/>
  <c r="K68" i="14"/>
  <c r="I73" i="14" s="1"/>
  <c r="J69" i="14"/>
  <c r="J68" i="14"/>
  <c r="I69" i="14"/>
  <c r="I68" i="14"/>
  <c r="H69" i="14"/>
  <c r="H68" i="14"/>
  <c r="G69" i="14"/>
  <c r="G74" i="14" s="1"/>
  <c r="G68" i="14"/>
  <c r="N45" i="14"/>
  <c r="N46" i="14"/>
  <c r="N47" i="14"/>
  <c r="N44" i="14"/>
  <c r="N20" i="14"/>
  <c r="N21" i="14"/>
  <c r="N22" i="14"/>
  <c r="N23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19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3" i="14"/>
  <c r="L45" i="14"/>
  <c r="L46" i="14"/>
  <c r="L47" i="14"/>
  <c r="L44" i="14"/>
  <c r="L20" i="14"/>
  <c r="L21" i="14"/>
  <c r="L22" i="14"/>
  <c r="L23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19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3" i="14"/>
  <c r="J45" i="14"/>
  <c r="J46" i="14"/>
  <c r="J47" i="14"/>
  <c r="J44" i="14"/>
  <c r="J20" i="14"/>
  <c r="J21" i="14"/>
  <c r="J22" i="14"/>
  <c r="J23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19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3" i="14"/>
  <c r="H45" i="14"/>
  <c r="H46" i="14"/>
  <c r="H47" i="14"/>
  <c r="H44" i="14"/>
  <c r="H20" i="14"/>
  <c r="H21" i="14"/>
  <c r="H22" i="14"/>
  <c r="H23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19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3" i="14"/>
  <c r="F45" i="14"/>
  <c r="F46" i="14"/>
  <c r="F47" i="14"/>
  <c r="F44" i="14"/>
  <c r="F20" i="14"/>
  <c r="F21" i="14"/>
  <c r="F22" i="14"/>
  <c r="F23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19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3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H70" i="15" l="1"/>
  <c r="K72" i="15"/>
  <c r="L72" i="15" s="1"/>
  <c r="O62" i="15"/>
  <c r="J74" i="14"/>
  <c r="H73" i="14"/>
  <c r="H74" i="14"/>
  <c r="G73" i="14"/>
  <c r="K73" i="14"/>
  <c r="I74" i="14"/>
  <c r="J73" i="14"/>
  <c r="H52" i="14"/>
  <c r="N52" i="14"/>
  <c r="J52" i="14"/>
  <c r="L52" i="14"/>
  <c r="F52" i="14"/>
  <c r="O69" i="15" l="1"/>
  <c r="O65" i="15"/>
  <c r="F55" i="14"/>
  <c r="M52" i="14"/>
  <c r="K52" i="14"/>
  <c r="I52" i="14"/>
  <c r="G52" i="14"/>
  <c r="E52" i="14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D62" i="15"/>
  <c r="A62" i="15"/>
  <c r="D52" i="14"/>
  <c r="A52" i="14"/>
  <c r="P62" i="15" l="1"/>
  <c r="O52" i="14"/>
  <c r="P56" i="14" s="1"/>
  <c r="P52" i="14"/>
  <c r="K52" i="13" l="1"/>
  <c r="K88" i="13"/>
  <c r="K27" i="13"/>
  <c r="K55" i="13"/>
  <c r="K56" i="13"/>
  <c r="K57" i="13"/>
  <c r="K58" i="13"/>
  <c r="K59" i="13"/>
  <c r="K54" i="13"/>
  <c r="K12" i="13"/>
  <c r="K13" i="13"/>
  <c r="K2" i="13"/>
  <c r="K3" i="13"/>
  <c r="K4" i="13"/>
  <c r="K5" i="13"/>
  <c r="K6" i="13"/>
  <c r="K7" i="13"/>
  <c r="K8" i="13"/>
  <c r="K9" i="13"/>
  <c r="K10" i="13"/>
  <c r="K11" i="13"/>
  <c r="K19" i="13"/>
  <c r="K20" i="13"/>
  <c r="K21" i="13"/>
  <c r="K22" i="13"/>
  <c r="K23" i="13"/>
  <c r="K35" i="13"/>
  <c r="K36" i="13"/>
  <c r="K37" i="13"/>
  <c r="K34" i="13"/>
  <c r="K24" i="13"/>
  <c r="K32" i="13"/>
  <c r="K39" i="13"/>
  <c r="K41" i="13"/>
  <c r="K83" i="13"/>
  <c r="K84" i="13"/>
  <c r="K42" i="13"/>
  <c r="K60" i="13"/>
  <c r="K78" i="13"/>
  <c r="K61" i="13"/>
  <c r="K79" i="13"/>
  <c r="K85" i="13"/>
  <c r="K80" i="13"/>
  <c r="K81" i="13"/>
  <c r="K91" i="13"/>
  <c r="K70" i="13"/>
  <c r="K71" i="13"/>
  <c r="K72" i="13"/>
  <c r="K73" i="13"/>
  <c r="K74" i="13"/>
  <c r="K75" i="13"/>
  <c r="K62" i="13"/>
  <c r="K63" i="13"/>
  <c r="K64" i="13"/>
  <c r="K65" i="13"/>
  <c r="K66" i="13"/>
  <c r="K67" i="13"/>
  <c r="K68" i="13"/>
  <c r="K69" i="13"/>
  <c r="K33" i="13"/>
  <c r="K46" i="13"/>
  <c r="K47" i="13"/>
  <c r="K48" i="13"/>
  <c r="K49" i="13"/>
  <c r="K76" i="13"/>
  <c r="K77" i="13"/>
  <c r="K86" i="13"/>
  <c r="K92" i="13"/>
  <c r="K93" i="13"/>
  <c r="K82" i="13"/>
  <c r="K14" i="13"/>
  <c r="K30" i="13"/>
  <c r="K31" i="13"/>
  <c r="K38" i="13"/>
  <c r="K90" i="13"/>
  <c r="K53" i="13"/>
  <c r="K89" i="13"/>
  <c r="K15" i="13"/>
  <c r="K16" i="13"/>
  <c r="K17" i="13"/>
  <c r="K18" i="13"/>
  <c r="K28" i="13"/>
  <c r="K29" i="13"/>
  <c r="K87" i="13"/>
  <c r="K94" i="13"/>
  <c r="K50" i="13"/>
  <c r="K25" i="13"/>
  <c r="K95" i="13"/>
  <c r="K96" i="13"/>
  <c r="K97" i="13"/>
  <c r="K98" i="13"/>
  <c r="K26" i="13"/>
  <c r="K40" i="13"/>
  <c r="K43" i="13"/>
  <c r="K44" i="13"/>
  <c r="K45" i="13"/>
  <c r="K51" i="13"/>
  <c r="J99" i="13" l="1"/>
  <c r="I99" i="13"/>
  <c r="H99" i="13"/>
  <c r="G99" i="13"/>
  <c r="F99" i="13"/>
  <c r="E99" i="13"/>
  <c r="E106" i="13" l="1"/>
  <c r="K99" i="13"/>
  <c r="K106" i="13" s="1"/>
</calcChain>
</file>

<file path=xl/sharedStrings.xml><?xml version="1.0" encoding="utf-8"?>
<sst xmlns="http://schemas.openxmlformats.org/spreadsheetml/2006/main" count="603" uniqueCount="236">
  <si>
    <t>Street Name</t>
  </si>
  <si>
    <t>Address Description</t>
  </si>
  <si>
    <t>Ontario St</t>
  </si>
  <si>
    <t>Pierview Crescent</t>
  </si>
  <si>
    <t>W 64th Ave</t>
  </si>
  <si>
    <t>E 1st Ave</t>
  </si>
  <si>
    <t>Quebec St</t>
  </si>
  <si>
    <t>Prince Edward St</t>
  </si>
  <si>
    <t>Cambie St</t>
  </si>
  <si>
    <t>Brigadoon Ave</t>
  </si>
  <si>
    <t>Haro Street</t>
  </si>
  <si>
    <t>Ontario Street</t>
  </si>
  <si>
    <t>Arbutus St</t>
  </si>
  <si>
    <t>Balsam St</t>
  </si>
  <si>
    <t>Blenheim St</t>
  </si>
  <si>
    <t>Charles St</t>
  </si>
  <si>
    <t>Comox St</t>
  </si>
  <si>
    <t>E 15th</t>
  </si>
  <si>
    <t>E 45th Ave</t>
  </si>
  <si>
    <t>E 50th Ave</t>
  </si>
  <si>
    <t>Kerr St</t>
  </si>
  <si>
    <t>Kinross St</t>
  </si>
  <si>
    <t>Larch St</t>
  </si>
  <si>
    <t>W 19th Ave</t>
  </si>
  <si>
    <t>North Arm Ave</t>
  </si>
  <si>
    <t>W 49th Ave</t>
  </si>
  <si>
    <t>Nanaimo St</t>
  </si>
  <si>
    <t>Vernon Dr</t>
  </si>
  <si>
    <t>Nicola St</t>
  </si>
  <si>
    <t>Rhodes St</t>
  </si>
  <si>
    <t>Trafalgar St</t>
  </si>
  <si>
    <t>W 42nd Ave</t>
  </si>
  <si>
    <t>Sophia St</t>
  </si>
  <si>
    <t>W 12th Ave</t>
  </si>
  <si>
    <t>W 16th Ave</t>
  </si>
  <si>
    <t>Willow St</t>
  </si>
  <si>
    <t>W 59th Ave</t>
  </si>
  <si>
    <t>Sawmill Crescent E</t>
  </si>
  <si>
    <t>Riverwalk Ave</t>
  </si>
  <si>
    <t>E 57th Ave</t>
  </si>
  <si>
    <t>E 14th Ave</t>
  </si>
  <si>
    <t>Tisdall St</t>
  </si>
  <si>
    <t>Windsor St</t>
  </si>
  <si>
    <t>Woodland Dr</t>
  </si>
  <si>
    <t>Campbell Ave</t>
  </si>
  <si>
    <t>Inverness</t>
  </si>
  <si>
    <t>W 8th Ave</t>
  </si>
  <si>
    <t>Pine St</t>
  </si>
  <si>
    <t>W 7th Ave</t>
  </si>
  <si>
    <t>Cook St.</t>
  </si>
  <si>
    <t>E Kent Ave North</t>
  </si>
  <si>
    <t>Carrall St</t>
  </si>
  <si>
    <t>E 8th Ave</t>
  </si>
  <si>
    <t>Killarney St</t>
  </si>
  <si>
    <t>E 23rd Ave</t>
  </si>
  <si>
    <t>W 63rd Ave</t>
  </si>
  <si>
    <t>Richards St</t>
  </si>
  <si>
    <t>Gilford Street</t>
  </si>
  <si>
    <t>At East Kent Ave North, NW Corner</t>
  </si>
  <si>
    <t>At East Kent Ave North, Northerly Bioswale closer to turning circle</t>
  </si>
  <si>
    <t>At West 63rd Avenue</t>
  </si>
  <si>
    <t xml:space="preserve">At Quebec Street, Northwest Corner </t>
  </si>
  <si>
    <t>At Central St, Southeast Corner</t>
  </si>
  <si>
    <t xml:space="preserve">At Switchmen Street, Southwest Corner </t>
  </si>
  <si>
    <t>At E 1st Avenue, Northeast Corner</t>
  </si>
  <si>
    <t>At E 1st Avenue, Southeast Corner</t>
  </si>
  <si>
    <t xml:space="preserve">At Switchmen Street, Northeast Corner </t>
  </si>
  <si>
    <t>Between E 51st Ave and E 53rd Ave @ Sunset Park</t>
  </si>
  <si>
    <t>Between McGuigan and W 35th Ave</t>
  </si>
  <si>
    <t>Near Humm Street</t>
  </si>
  <si>
    <t>Near Duff Street</t>
  </si>
  <si>
    <t>Haro Street at Bute Street</t>
  </si>
  <si>
    <t>At W 8th, NW Corner</t>
  </si>
  <si>
    <t>At W 8th, NE Corner</t>
  </si>
  <si>
    <t>At E Broadway, NW Corner</t>
  </si>
  <si>
    <t>At W 6th Ave</t>
  </si>
  <si>
    <t>At West 20th Ave, SE Corner</t>
  </si>
  <si>
    <t>At West 22nd Ave, SE Corner</t>
  </si>
  <si>
    <t>At West 23rd Ave, SE Corner</t>
  </si>
  <si>
    <t>At West 24th Ave, SE Corner</t>
  </si>
  <si>
    <t>At West 26th Ave, SE Corner</t>
  </si>
  <si>
    <t>At West 27th Ave, SE Corner</t>
  </si>
  <si>
    <t>At Penticton St, NE Corner</t>
  </si>
  <si>
    <t>At Bidwell St, NE Corner</t>
  </si>
  <si>
    <t>At Bute St, NW Corner</t>
  </si>
  <si>
    <t>At Gilford St, SW Corner</t>
  </si>
  <si>
    <t>At Nicola St, NE Corner</t>
  </si>
  <si>
    <t>at Dumfries St, NE Corner</t>
  </si>
  <si>
    <t>At Ontario St, SE Corner</t>
  </si>
  <si>
    <t>Between East Kent Ave South and Riverwalk Ave</t>
  </si>
  <si>
    <t>At Broadway</t>
  </si>
  <si>
    <t>At Laurel St, NW Corner</t>
  </si>
  <si>
    <t>At Laurel St, SW Corner</t>
  </si>
  <si>
    <t>At Maple St, NE Corner</t>
  </si>
  <si>
    <t>At East Pender St, at North junction, West side of street</t>
  </si>
  <si>
    <t>At E 40th Ave, SW Corner</t>
  </si>
  <si>
    <t>At E 39th Ave, SW corner</t>
  </si>
  <si>
    <t>At Comox St, SW Corner</t>
  </si>
  <si>
    <t>At E 41st Ave, SW corner</t>
  </si>
  <si>
    <t>At Broadway, SW Corner</t>
  </si>
  <si>
    <t>At E 41st Ave, SE corner</t>
  </si>
  <si>
    <t>At Broadway, SE Corner</t>
  </si>
  <si>
    <t>At E 13th Ave, NE Corner</t>
  </si>
  <si>
    <t xml:space="preserve">At Trafalgar St, SE Corner </t>
  </si>
  <si>
    <t>At Willow St (NE corner)</t>
  </si>
  <si>
    <t>At W 16th Ave, NW corner</t>
  </si>
  <si>
    <t>Between River District Crossing and Marine Way</t>
  </si>
  <si>
    <t>Between Kinross St and Kerr St, North side at Kerr St</t>
  </si>
  <si>
    <t>Between Kinross St and Kerr St, South side at Kerr St</t>
  </si>
  <si>
    <t>Between Kinross St and Kerr St, North side, 2nd BB from Kerr St</t>
  </si>
  <si>
    <t>Between Kinross St and Kerr St, South side, 2nd BB from Kerr St</t>
  </si>
  <si>
    <t>Between Kinross St and Kerr St, South side, 3rd BB from Kerr St</t>
  </si>
  <si>
    <t>Between Kinross St and Kerr St, North side, 3rd BB from Kerr St</t>
  </si>
  <si>
    <t>Between Kinross St and Kerr St, South side, 4th BB from Kerr St</t>
  </si>
  <si>
    <t>Between Kinross St and Kerr St, North side, 4th BB from Kerr St</t>
  </si>
  <si>
    <t>At Ross St, Southwest Corner</t>
  </si>
  <si>
    <t>At Woodland Dr, NE Corner</t>
  </si>
  <si>
    <t>At Woodland Dr, SE Corner</t>
  </si>
  <si>
    <t>At E 42nd Ave, NE Corner</t>
  </si>
  <si>
    <t>At E 42nd Ave, NW Corner</t>
  </si>
  <si>
    <t>At E 42nd Ave, SW Corner</t>
  </si>
  <si>
    <t>At E 43rd Ave, NE Corner</t>
  </si>
  <si>
    <t>At W 48 Ave, Northeast Corner</t>
  </si>
  <si>
    <t>At W 48 Ave, Northwest Corner</t>
  </si>
  <si>
    <t>At Ross St</t>
  </si>
  <si>
    <t xml:space="preserve">Between E 24th and E 23rd Ave </t>
  </si>
  <si>
    <t>At E 22nd Ave, SE Corner</t>
  </si>
  <si>
    <t>At E 14th Ave, NW Corner</t>
  </si>
  <si>
    <t>At E 14th Ave, NE Corner</t>
  </si>
  <si>
    <t>At E 14th Ave, SW Corner</t>
  </si>
  <si>
    <t>At E 14th Ave, SE Corner</t>
  </si>
  <si>
    <t>At Manitoba St (NE Corner)</t>
  </si>
  <si>
    <t>At Union St, Northwest Corner</t>
  </si>
  <si>
    <t>At Inverness St, NE Corner</t>
  </si>
  <si>
    <t>At Inverness St, SE Corner</t>
  </si>
  <si>
    <t xml:space="preserve">At E 45th Ave, Southwest Corner </t>
  </si>
  <si>
    <t>At Pine St, NE Corner</t>
  </si>
  <si>
    <t>At W 7th Ave, SE Corner</t>
  </si>
  <si>
    <t>Haro Street at Broughton Street</t>
  </si>
  <si>
    <t>Haro Street at Jervis Street</t>
  </si>
  <si>
    <t>1715 Cook St.</t>
  </si>
  <si>
    <t>Between Expo Boulevard and Keefer St - West (4 Planter Boxes) - Close to Keefer St.</t>
  </si>
  <si>
    <t>Between Expo Boulevard and Keefer St - East (3 Planter Boxes) - Close to Expo Boulevard</t>
  </si>
  <si>
    <t>Between Expo Boulevard and Pacific Boulevard, East Side</t>
  </si>
  <si>
    <t>Between Expo Boulevard and Pacific Boulevard, West Side</t>
  </si>
  <si>
    <t>At Grandview Hwy (turning circle)</t>
  </si>
  <si>
    <t>Between Prince Edward St and Carolina St (Tupper School)</t>
  </si>
  <si>
    <t>At Yukon Street</t>
  </si>
  <si>
    <t>Gilford Street between Haro Street and Rosemary Brown Lane</t>
  </si>
  <si>
    <t>Winter</t>
  </si>
  <si>
    <t>Spring</t>
  </si>
  <si>
    <t>Summer</t>
  </si>
  <si>
    <t>Fall</t>
  </si>
  <si>
    <t>Totals</t>
  </si>
  <si>
    <t>GRI ID</t>
  </si>
  <si>
    <t>St Name</t>
  </si>
  <si>
    <t>Size</t>
  </si>
  <si>
    <t>Jun 15-Jul 30</t>
  </si>
  <si>
    <t>Aug 15-Sep 30</t>
  </si>
  <si>
    <t>Oct 15-Nov 30</t>
  </si>
  <si>
    <t>Total Cost</t>
  </si>
  <si>
    <t>Total Visits</t>
  </si>
  <si>
    <t>Between Pacific St. and Drake St. - Block H Bioswale</t>
  </si>
  <si>
    <t>Feb 1-Mar 15</t>
  </si>
  <si>
    <t>Apr 1-May 15</t>
  </si>
  <si>
    <t>South side, between Kinross St and Pierview</t>
  </si>
  <si>
    <t>South side, across from 3187</t>
  </si>
  <si>
    <t>South side, across from 3131</t>
  </si>
  <si>
    <t>South side, across from stairs</t>
  </si>
  <si>
    <t>North side of Kent, closer to Boundary</t>
  </si>
  <si>
    <t>North side of Kent, closer to Rivergrass Dr</t>
  </si>
  <si>
    <t>At Rivergrass Dr, SW corner</t>
  </si>
  <si>
    <t>At Rivergrass Dr, NW corner</t>
  </si>
  <si>
    <t>In front of Public Eatery</t>
  </si>
  <si>
    <t>In front of 3538</t>
  </si>
  <si>
    <t>In front of 3557</t>
  </si>
  <si>
    <t>At Kerr St, NE corner</t>
  </si>
  <si>
    <t>At Kerr St, SE corner</t>
  </si>
  <si>
    <t>North side, in front of unit 109</t>
  </si>
  <si>
    <t>South side, in front of 3138</t>
  </si>
  <si>
    <t>North side, in front of unit 113</t>
  </si>
  <si>
    <t>South side, west of 3162</t>
  </si>
  <si>
    <t>North side, in front of unit 107</t>
  </si>
  <si>
    <t>South side, across from unit 107</t>
  </si>
  <si>
    <t>At E Kent Ave South, SW corner</t>
  </si>
  <si>
    <t>Between Prince Edward St and Carolina St (Tupper School, west side)</t>
  </si>
  <si>
    <t>Between Prince Edward St and Carolina St (Tupper School, east side)</t>
  </si>
  <si>
    <t>At East 45th Ave, SE corner</t>
  </si>
  <si>
    <t>Green Streets sponsor</t>
  </si>
  <si>
    <t>At W 6th Ave, NW corner</t>
  </si>
  <si>
    <t>At Willow St, NE corner</t>
  </si>
  <si>
    <t>At 16th Ave, SW side</t>
  </si>
  <si>
    <t>At Union St, NW Corner</t>
  </si>
  <si>
    <t>At W 1st Ave, SW corner</t>
  </si>
  <si>
    <t>Pre-treatment Type</t>
  </si>
  <si>
    <t>sediment pad</t>
  </si>
  <si>
    <t>River rock</t>
  </si>
  <si>
    <t xml:space="preserve">Woodland </t>
  </si>
  <si>
    <t>2nd Ave</t>
  </si>
  <si>
    <t>at 16th Ave</t>
  </si>
  <si>
    <t>At Quesnel Drive, SE Corner</t>
  </si>
  <si>
    <t>Jun 15-Jul 31</t>
  </si>
  <si>
    <t>Aug 15-Sep 31</t>
  </si>
  <si>
    <t>Oct 15-Nov 31</t>
  </si>
  <si>
    <t>Feb 1-Mar 16</t>
  </si>
  <si>
    <t>Apr 1-May 16</t>
  </si>
  <si>
    <t>Season</t>
  </si>
  <si>
    <t>&lt;25 m²</t>
  </si>
  <si>
    <t>25-50 m²</t>
  </si>
  <si>
    <t>50-100 m²</t>
  </si>
  <si>
    <t>100-150 m²</t>
  </si>
  <si>
    <t>&gt;150 m²</t>
  </si>
  <si>
    <t>Other</t>
  </si>
  <si>
    <t>Low End</t>
  </si>
  <si>
    <t>High End</t>
  </si>
  <si>
    <t>2023 vs 2024</t>
  </si>
  <si>
    <t>May 2023-2024 vs May 2024-2025</t>
  </si>
  <si>
    <t>Between Dunsmuir St and W Georgia St - Block A RTT (13xStandard)</t>
  </si>
  <si>
    <t>Between W Georgia St and Robson St - Block B RTT (11xStandard)</t>
  </si>
  <si>
    <t>Between Robson St and Smithe St - Block C RTT (11xStandard)</t>
  </si>
  <si>
    <t>Between Smithe St and Nelson St - Block D RTT (14xStandard)</t>
  </si>
  <si>
    <t>Between Helmcken St. and Nelson St. - Block E RTT (13xComplex)</t>
  </si>
  <si>
    <t>Between Davie St. and Helmcken St. - Block F RTT (10xComplex)</t>
  </si>
  <si>
    <t>Between Drake St. and Davie St. - Block G RTT (13xComplex)</t>
  </si>
  <si>
    <t>Between Pacific St. and Drake St. - Block H RTT (12xComplex)</t>
  </si>
  <si>
    <t>Oct-24</t>
  </si>
  <si>
    <t>Nov-24</t>
  </si>
  <si>
    <t>Dec-24</t>
  </si>
  <si>
    <t>Jan-25</t>
  </si>
  <si>
    <t>Feb-25</t>
  </si>
  <si>
    <t>Mar-25</t>
  </si>
  <si>
    <t>At North Arm Ave, NE Corner (on Kinross)</t>
  </si>
  <si>
    <t>At Kinross St, NE Corner (on N Arm Ave)</t>
  </si>
  <si>
    <t>Between Kinross and Jack Uppal, south side mid-block</t>
  </si>
  <si>
    <t>Between Kinross and Jack Uppal, north side mid-block</t>
  </si>
  <si>
    <t>Total Cost/m2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</si>
</sst>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7" formatCode="&quot;$&quot;#,##0.00"/>
    <numFmt numFmtId="168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0.5"/>
      <color theme="1"/>
      <name val="Arial"/>
      <family val="2"/>
    </font>
    <font>
      <sz val="10.5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theme="4"/>
      </patternFill>
    </fill>
  </fills>
  <borders count="24">
    <border>
      <left/>
      <right/>
      <top/>
      <bottom/>
      <diagonal/>
    </border>
    <border>
      <left style="thin">
        <color theme="4" tint="0.3999755851924192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0" fontId="4" fillId="0" borderId="0"/>
    <xf numFmtId="0" fontId="4" fillId="0" borderId="0"/>
    <xf numFmtId="168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80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0" fillId="0" borderId="0" xfId="0" applyBorder="1"/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167" fontId="0" fillId="0" borderId="0" xfId="0" applyNumberFormat="1"/>
    <xf numFmtId="167" fontId="0" fillId="0" borderId="6" xfId="0" applyNumberFormat="1" applyBorder="1"/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0" fillId="7" borderId="0" xfId="0" applyFill="1"/>
    <xf numFmtId="0" fontId="3" fillId="4" borderId="2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0" xfId="0" applyBorder="1"/>
    <xf numFmtId="0" fontId="2" fillId="0" borderId="10" xfId="0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67" fontId="8" fillId="0" borderId="6" xfId="0" applyNumberFormat="1" applyFont="1" applyBorder="1"/>
    <xf numFmtId="0" fontId="8" fillId="0" borderId="0" xfId="0" applyFont="1"/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9" fontId="0" fillId="0" borderId="0" xfId="5" applyFont="1"/>
    <xf numFmtId="0" fontId="3" fillId="4" borderId="4" xfId="0" applyFont="1" applyFill="1" applyBorder="1" applyAlignment="1">
      <alignment horizontal="center" vertical="center" wrapText="1"/>
    </xf>
    <xf numFmtId="2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7" fontId="0" fillId="3" borderId="9" xfId="0" applyNumberFormat="1" applyFill="1" applyBorder="1"/>
    <xf numFmtId="0" fontId="1" fillId="2" borderId="3" xfId="0" applyFont="1" applyFill="1" applyBorder="1" applyAlignment="1">
      <alignment horizontal="center" vertical="center" wrapText="1"/>
    </xf>
    <xf numFmtId="17" fontId="1" fillId="2" borderId="3" xfId="0" applyNumberFormat="1" applyFont="1" applyFill="1" applyBorder="1" applyAlignment="1">
      <alignment horizontal="center" vertical="center" wrapText="1"/>
    </xf>
    <xf numFmtId="167" fontId="7" fillId="8" borderId="22" xfId="0" applyNumberFormat="1" applyFont="1" applyFill="1" applyBorder="1" applyAlignment="1">
      <alignment vertical="center" wrapText="1"/>
    </xf>
    <xf numFmtId="0" fontId="0" fillId="3" borderId="8" xfId="0" applyFill="1" applyBorder="1"/>
    <xf numFmtId="167" fontId="8" fillId="3" borderId="8" xfId="0" applyNumberFormat="1" applyFont="1" applyFill="1" applyBorder="1"/>
    <xf numFmtId="167" fontId="0" fillId="3" borderId="8" xfId="0" applyNumberFormat="1" applyFill="1" applyBorder="1"/>
    <xf numFmtId="167" fontId="0" fillId="3" borderId="23" xfId="0" applyNumberFormat="1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7" xfId="0" applyFill="1" applyBorder="1"/>
    <xf numFmtId="0" fontId="0" fillId="3" borderId="18" xfId="0" applyFill="1" applyBorder="1"/>
    <xf numFmtId="0" fontId="3" fillId="0" borderId="6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0" borderId="6" xfId="0" applyFont="1" applyFill="1" applyBorder="1"/>
    <xf numFmtId="0" fontId="0" fillId="0" borderId="0" xfId="0" applyAlignment="1">
      <alignment wrapText="1"/>
    </xf>
    <xf numFmtId="0" fontId="0" fillId="0" borderId="0" xfId="0" applyFill="1"/>
    <xf numFmtId="0" fontId="2" fillId="0" borderId="6" xfId="0" applyFont="1" applyFill="1" applyBorder="1" applyAlignment="1">
      <alignment horizontal="left" vertical="center"/>
    </xf>
    <xf numFmtId="167" fontId="8" fillId="7" borderId="6" xfId="0" applyNumberFormat="1" applyFont="1" applyFill="1" applyBorder="1"/>
    <xf numFmtId="167" fontId="0" fillId="7" borderId="6" xfId="0" applyNumberFormat="1" applyFill="1" applyBorder="1"/>
    <xf numFmtId="14" fontId="0" fillId="0" borderId="0" xfId="0" applyNumberFormat="1"/>
    <xf numFmtId="0" fontId="0" fillId="0" borderId="0" xfId="0" applyAlignment="1">
      <alignment horizontal="center"/>
    </xf>
    <xf numFmtId="0" fontId="9" fillId="5" borderId="19" xfId="0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</cellXfs>
  <cellStyles count="6">
    <cellStyle name="Comma 5" xfId="4" xr:uid="{00000000-0005-0000-0000-000000000000}"/>
    <cellStyle name="Currency 9" xfId="3" xr:uid="{00000000-0005-0000-0000-000001000000}"/>
    <cellStyle name="Normal" xfId="0" builtinId="0"/>
    <cellStyle name="Normal 10" xfId="1" xr:uid="{00000000-0005-0000-0000-000003000000}"/>
    <cellStyle name="Normal 11" xfId="2" xr:uid="{00000000-0005-0000-0000-000004000000}"/>
    <cellStyle name="Percent" xfId="5" builtinId="5"/>
  </cellStyles>
  <dxfs count="1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7" formatCode="&quot;$&quot;#,##0.00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7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numFmt numFmtId="22" formatCode="mmm\-yy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border diagonalUp="0" diagonalDown="0">
        <left/>
        <right style="medium">
          <color indexed="64"/>
        </right>
        <vertical/>
      </border>
    </dxf>
    <dxf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ill>
        <patternFill patternType="none">
          <bgColor auto="1"/>
        </patternFill>
      </fill>
      <border diagonalUp="0" diagonalDown="0">
        <left style="medium">
          <color indexed="64"/>
        </left>
        <right/>
        <vertical/>
      </border>
    </dxf>
    <dxf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border diagonalUp="0" diagonalDown="0">
        <left/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ill>
        <patternFill patternType="none">
          <bgColor auto="1"/>
        </patternFill>
      </fill>
      <border diagonalUp="0" diagonalDown="0">
        <left style="medium">
          <color indexed="64"/>
        </left>
        <right/>
        <vertical/>
      </border>
    </dxf>
    <dxf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border diagonalUp="0" diagonalDown="0">
        <left/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ill>
        <patternFill patternType="none">
          <bgColor auto="1"/>
        </patternFill>
      </fill>
      <border diagonalUp="0" diagonalDown="0">
        <left style="medium">
          <color indexed="64"/>
        </left>
        <right/>
        <vertical/>
      </border>
    </dxf>
    <dxf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border diagonalUp="0" diagonalDown="0">
        <left/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ill>
        <patternFill patternType="none">
          <bgColor auto="1"/>
        </patternFill>
      </fill>
      <border diagonalUp="0" diagonalDown="0">
        <left style="medium">
          <color indexed="64"/>
        </left>
        <right/>
        <vertical/>
      </border>
    </dxf>
    <dxf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border diagonalUp="0" diagonalDown="0">
        <left/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ill>
        <patternFill patternType="none">
          <bgColor auto="1"/>
        </patternFill>
      </fill>
      <border diagonalUp="0" diagonalDown="0">
        <left style="medium">
          <color indexed="64"/>
        </left>
        <right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482730-5637-446C-A1CB-F2E11447B671}" name="Table25" displayName="Table25" ref="A2:Q52" totalsRowCount="1">
  <autoFilter ref="A2:Q51" xr:uid="{5EEB2329-E051-480F-AFAA-AC4CEE86AD1D}"/>
  <sortState xmlns:xlrd2="http://schemas.microsoft.com/office/spreadsheetml/2017/richdata2" ref="A3:P51">
    <sortCondition ref="D2:D51"/>
  </sortState>
  <tableColumns count="17">
    <tableColumn id="1" xr3:uid="{EDF76192-8C8D-42B5-A52D-B44FC9C2BCE8}" name="GRI ID" totalsRowFunction="count" dataDxfId="140" totalsRowDxfId="139"/>
    <tableColumn id="2" xr3:uid="{9CF1A01E-070B-4AF6-B5EB-E665BDBFA3CF}" name="St Name" dataDxfId="138" totalsRowDxfId="137"/>
    <tableColumn id="3" xr3:uid="{F72CBAFE-7259-4226-83CE-356D7B6AEBFB}" name="Address Description" dataDxfId="136" totalsRowDxfId="135"/>
    <tableColumn id="4" xr3:uid="{212596A5-027E-45BE-81DE-C604B83B7574}" name="Size" totalsRowFunction="sum" dataDxfId="134" totalsRowDxfId="133"/>
    <tableColumn id="5" xr3:uid="{5DAC6621-1098-46E4-8795-3FCA460FB245}" name="Jun 15-Jul 30" totalsRowFunction="sum" dataDxfId="132" totalsRowDxfId="131"/>
    <tableColumn id="12" xr3:uid="{8C41047B-5582-4038-BE02-B3449067DE22}" name="Jun 15-Jul 31" totalsRowFunction="sum" dataDxfId="130" totalsRowDxfId="129"/>
    <tableColumn id="6" xr3:uid="{3A74C3AA-8BEB-4559-BDC9-F0D0555B80BE}" name="Aug 15-Sep 30" totalsRowFunction="sum" dataDxfId="128" totalsRowDxfId="127"/>
    <tableColumn id="13" xr3:uid="{1B4CC267-E810-4592-9BC5-10A6A0E0C58C}" name="Aug 15-Sep 31" totalsRowFunction="sum" dataDxfId="126" totalsRowDxfId="125"/>
    <tableColumn id="7" xr3:uid="{972E7505-F060-4F60-B038-5612F23AE277}" name="Oct 15-Nov 30" totalsRowFunction="sum" dataDxfId="124" totalsRowDxfId="123"/>
    <tableColumn id="14" xr3:uid="{D7DD0935-7B5B-4A4D-8806-86D6C0BA350B}" name="Oct 15-Nov 31" totalsRowFunction="sum" dataDxfId="122" totalsRowDxfId="121"/>
    <tableColumn id="11" xr3:uid="{BDD4C91D-E2FB-4A28-9868-6F455A533ABD}" name="Feb 1-Mar 15" totalsRowFunction="sum" dataDxfId="120" totalsRowDxfId="119"/>
    <tableColumn id="15" xr3:uid="{2DD270C2-4A50-40BA-A804-C8F26F0A2409}" name="Feb 1-Mar 16" totalsRowFunction="sum" dataDxfId="118" totalsRowDxfId="117"/>
    <tableColumn id="10" xr3:uid="{66A88F23-7EE5-429E-883D-CE0736550146}" name="Apr 1-May 15" totalsRowFunction="sum" dataDxfId="116" totalsRowDxfId="115"/>
    <tableColumn id="16" xr3:uid="{584E638D-78F6-47FD-8498-1C808E50316A}" name="Apr 1-May 16" totalsRowFunction="sum" dataDxfId="114" totalsRowDxfId="113"/>
    <tableColumn id="8" xr3:uid="{C8DCBA2D-BACC-482A-B84B-4B46EC58EC91}" name="Total Cost" totalsRowFunction="sum" dataDxfId="112">
      <calculatedColumnFormula>(Table25[[#This Row],[Jun 15-Jul 30]]*Table25[[#This Row],[Jun 15-Jul 31]])+(Table25[[#This Row],[Aug 15-Sep 30]]*Table25[[#This Row],[Aug 15-Sep 31]])+(Table25[[#This Row],[Oct 15-Nov 30]]*Table25[[#This Row],[Oct 15-Nov 31]])+(Table25[[#This Row],[Feb 1-Mar 15]]*Table25[[#This Row],[Feb 1-Mar 16]])+(Table25[[#This Row],[Apr 1-May 15]]*Table25[[#This Row],[Apr 1-May 16]])</calculatedColumnFormula>
    </tableColumn>
    <tableColumn id="9" xr3:uid="{B975F263-476D-4016-9C01-331FB28D5382}" name="Total Visits" totalsRowFunction="sum" dataDxfId="111">
      <calculatedColumnFormula>SUM(Table25[[#This Row],[Jun 15-Jul 30]]+Table25[[#This Row],[Aug 15-Sep 30]]+Table25[[#This Row],[Oct 15-Nov 30]]+Table25[[#This Row],[Feb 1-Mar 15]]+Table25[[#This Row],[Apr 1-May 15]])</calculatedColumnFormula>
    </tableColumn>
    <tableColumn id="17" xr3:uid="{7E5180B2-8076-4C00-80A4-763590B202B5}" name="Total Cost/m2" totalsRowFunction="average" dataDxfId="110">
      <calculatedColumnFormula>Table25[[#This Row],[Total Cost]]/Table25[[#This Row],[Size]]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8B20A6-ECC3-4596-ACF7-61AD62AC9095}" name="Table36" displayName="Table36" ref="A2:Q62" totalsRowCount="1">
  <autoFilter ref="A2:Q61" xr:uid="{F118CC3D-C689-4522-8267-1844C1F85DD7}"/>
  <sortState xmlns:xlrd2="http://schemas.microsoft.com/office/spreadsheetml/2017/richdata2" ref="A3:P61">
    <sortCondition ref="D2:D61"/>
  </sortState>
  <tableColumns count="17">
    <tableColumn id="1" xr3:uid="{EE59BE37-9B85-4056-BDBC-C7A76DECAE67}" name="GRI ID" totalsRowFunction="count" dataDxfId="109" totalsRowDxfId="108"/>
    <tableColumn id="2" xr3:uid="{778F0DEE-12BA-426B-9FED-E1FDB02D2A23}" name="St Name" dataDxfId="107" totalsRowDxfId="106"/>
    <tableColumn id="3" xr3:uid="{A3F52C98-507A-4B13-B7BE-26CFFB43C6D0}" name="Address Description" dataDxfId="105" totalsRowDxfId="104"/>
    <tableColumn id="4" xr3:uid="{29229D32-16FF-4F85-A17A-CC4ED9A0D635}" name="Size" totalsRowFunction="sum" dataDxfId="103" totalsRowDxfId="102"/>
    <tableColumn id="5" xr3:uid="{A961E94C-E321-4853-9CB8-D23D4EAD2B21}" name="Jun 15-Jul 30" totalsRowFunction="sum" dataDxfId="101" totalsRowDxfId="100"/>
    <tableColumn id="12" xr3:uid="{768491D1-63E6-4860-B869-BD89BB9A067A}" name="Jun 15-Jul 31" totalsRowFunction="sum" dataDxfId="99" totalsRowDxfId="98"/>
    <tableColumn id="6" xr3:uid="{D05493BE-190B-4415-9E91-2B4570B64587}" name="Aug 15-Sep 30" totalsRowFunction="sum" dataDxfId="97" totalsRowDxfId="96"/>
    <tableColumn id="13" xr3:uid="{450AE337-A55F-433F-B93E-318145FEFAF0}" name="Aug 15-Sep 31" totalsRowFunction="sum" dataDxfId="95" totalsRowDxfId="94"/>
    <tableColumn id="7" xr3:uid="{5488232B-050D-4442-A631-6D4D51CBCC53}" name="Oct 15-Nov 30" totalsRowFunction="sum" dataDxfId="93" totalsRowDxfId="92"/>
    <tableColumn id="14" xr3:uid="{CB5ECAAF-D378-41C1-9516-4CC5FEC68BC8}" name="Oct 15-Nov 31" totalsRowFunction="sum" dataDxfId="91" totalsRowDxfId="90"/>
    <tableColumn id="11" xr3:uid="{FFD2AA72-AB4D-4449-A6F4-9E863CCEA707}" name="Feb 1-Mar 15" totalsRowFunction="sum" dataDxfId="89" totalsRowDxfId="88"/>
    <tableColumn id="15" xr3:uid="{6BAAAC7C-6A32-4B03-B26D-31AA7841C20A}" name="Feb 1-Mar 16" totalsRowFunction="sum" dataDxfId="87" totalsRowDxfId="86"/>
    <tableColumn id="10" xr3:uid="{97F32C5C-DDD6-4C2D-9684-30A835A2065A}" name="Apr 1-May 15" totalsRowFunction="sum" dataDxfId="85" totalsRowDxfId="84"/>
    <tableColumn id="16" xr3:uid="{822C8FA1-36FD-4906-BE35-DCFDB1202963}" name="Apr 1-May 16" totalsRowFunction="sum" dataDxfId="83" totalsRowDxfId="82"/>
    <tableColumn id="8" xr3:uid="{0875446D-3A49-4A9F-BD28-E05B1A173A23}" name="Total Cost" totalsRowFunction="sum" dataDxfId="81">
      <calculatedColumnFormula>Table36[[#This Row],[Jun 15-Jul 31]]+Table36[[#This Row],[Aug 15-Sep 31]]+Table36[[#This Row],[Oct 15-Nov 31]]+Table36[[#This Row],[Feb 1-Mar 16]]+Table36[[#This Row],[Apr 1-May 16]]</calculatedColumnFormula>
    </tableColumn>
    <tableColumn id="9" xr3:uid="{2085BB5E-583E-4008-9161-4008010DFB96}" name="Total Visits" totalsRowFunction="sum" dataDxfId="80">
      <calculatedColumnFormula>SUM(Table36[[#This Row],[Jun 15-Jul 30]]+Table36[[#This Row],[Aug 15-Sep 30]]+Table36[[#This Row],[Oct 15-Nov 30]]+Table36[[#This Row],[Feb 1-Mar 15]]+Table36[[#This Row],[Apr 1-May 15]])</calculatedColumnFormula>
    </tableColumn>
    <tableColumn id="17" xr3:uid="{2D80ADD8-4F3F-49BC-BFC9-B13BCBF04B24}" name="Total Cost/m2" totalsRowFunction="average" dataDxfId="79">
      <calculatedColumnFormula>Table36[[#This Row],[Total Cost]]/Table36[[#This Row],[Size]]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8D146E-81CB-4F56-AFCA-6E1A20B8F2C6}" name="Table4" displayName="Table4" ref="A1:K99" totalsRowShown="0" headerRowDxfId="78" headerRowBorderDxfId="77" tableBorderDxfId="76">
  <autoFilter ref="A1:K99" xr:uid="{D98D146E-81CB-4F56-AFCA-6E1A20B8F2C6}"/>
  <sortState xmlns:xlrd2="http://schemas.microsoft.com/office/spreadsheetml/2017/richdata2" ref="A2:K99">
    <sortCondition ref="C1:C99"/>
  </sortState>
  <tableColumns count="11">
    <tableColumn id="1" xr3:uid="{BC6A6C74-7695-4211-AAEF-05BFAE1E9453}" name="GRI ID" dataDxfId="75"/>
    <tableColumn id="2" xr3:uid="{1C06CA02-0A72-44DC-A497-E69748ABBD71}" name="Pre-treatment Type" dataDxfId="74"/>
    <tableColumn id="3" xr3:uid="{A351C793-37ED-47A6-9B58-763E7B2136E7}" name="Street Name" dataDxfId="73"/>
    <tableColumn id="4" xr3:uid="{008B61B1-32CE-4E70-A8F2-CEF7605634F5}" name="Address Description" dataDxfId="72"/>
    <tableColumn id="5" xr3:uid="{C8C5AC0F-D693-43D8-9CCE-E7D83CC7AC2C}" name="Oct-24" dataDxfId="71"/>
    <tableColumn id="6" xr3:uid="{49F19D73-29D9-4F68-BAE4-CBAE88106DFC}" name="Nov-24" dataDxfId="70"/>
    <tableColumn id="7" xr3:uid="{2684BA6C-0697-4E65-9121-4C77F4430D3E}" name="Dec-24" dataDxfId="69"/>
    <tableColumn id="8" xr3:uid="{F14866BF-6863-4D89-B8D2-3589DCA1B4F1}" name="Jan-25" dataDxfId="68"/>
    <tableColumn id="9" xr3:uid="{E9844A69-B37D-4101-BBE3-600FC36FD9A0}" name="Feb-25" dataDxfId="67"/>
    <tableColumn id="10" xr3:uid="{31B275BD-BB6F-4F02-BE60-CEF051AEE3D0}" name="Mar-25" dataDxfId="66"/>
    <tableColumn id="11" xr3:uid="{F22A311F-2496-4F7D-919F-3BAF70DA157C}" name="Totals" dataDxfId="65">
      <calculatedColumnFormula>SUM(E2:J2)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64B20-453A-4C77-AC8F-9F9D98423E00}">
  <dimension ref="A1:R74"/>
  <sheetViews>
    <sheetView workbookViewId="0">
      <selection activeCell="S25" sqref="S25"/>
    </sheetView>
  </sheetViews>
  <sheetFormatPr defaultRowHeight="14.4" x14ac:dyDescent="0.3"/>
  <cols>
    <col min="2" max="2" width="18.44140625" bestFit="1" customWidth="1"/>
    <col min="3" max="3" width="78.6640625" bestFit="1" customWidth="1"/>
    <col min="17" max="17" width="10.109375" customWidth="1"/>
    <col min="19" max="19" width="9" customWidth="1"/>
  </cols>
  <sheetData>
    <row r="1" spans="1:17" ht="15" thickBot="1" x14ac:dyDescent="0.35">
      <c r="A1" s="25" t="s">
        <v>188</v>
      </c>
      <c r="E1" s="77">
        <v>2024</v>
      </c>
      <c r="F1" s="78"/>
      <c r="G1" s="78"/>
      <c r="H1" s="78"/>
      <c r="I1" s="78"/>
      <c r="J1" s="79"/>
      <c r="K1" s="77">
        <v>2025</v>
      </c>
      <c r="L1" s="78"/>
      <c r="M1" s="78"/>
      <c r="N1" s="79"/>
    </row>
    <row r="2" spans="1:17" x14ac:dyDescent="0.3">
      <c r="A2" t="s">
        <v>154</v>
      </c>
      <c r="B2" t="s">
        <v>155</v>
      </c>
      <c r="C2" t="s">
        <v>1</v>
      </c>
      <c r="D2" t="s">
        <v>156</v>
      </c>
      <c r="E2" s="47" t="s">
        <v>157</v>
      </c>
      <c r="F2" s="48" t="s">
        <v>201</v>
      </c>
      <c r="G2" s="47" t="s">
        <v>158</v>
      </c>
      <c r="H2" s="48" t="s">
        <v>202</v>
      </c>
      <c r="I2" s="47" t="s">
        <v>159</v>
      </c>
      <c r="J2" s="48" t="s">
        <v>203</v>
      </c>
      <c r="K2" s="47" t="s">
        <v>163</v>
      </c>
      <c r="L2" s="48" t="s">
        <v>204</v>
      </c>
      <c r="M2" s="47" t="s">
        <v>164</v>
      </c>
      <c r="N2" s="48" t="s">
        <v>205</v>
      </c>
      <c r="O2" t="s">
        <v>160</v>
      </c>
      <c r="P2" t="s">
        <v>161</v>
      </c>
      <c r="Q2" t="s">
        <v>235</v>
      </c>
    </row>
    <row r="3" spans="1:17" x14ac:dyDescent="0.3">
      <c r="A3" s="32">
        <v>130013</v>
      </c>
      <c r="B3" s="31" t="s">
        <v>53</v>
      </c>
      <c r="C3" s="30" t="s">
        <v>187</v>
      </c>
      <c r="D3" s="29">
        <v>10.4</v>
      </c>
      <c r="E3" s="63">
        <v>1</v>
      </c>
      <c r="F3" s="64">
        <f>122.53*Table25[[#This Row],[Jun 15-Jul 30]]</f>
        <v>122.53</v>
      </c>
      <c r="G3" s="63">
        <v>1</v>
      </c>
      <c r="H3" s="64">
        <f>122.53*Table25[[#This Row],[Aug 15-Sep 30]]</f>
        <v>122.53</v>
      </c>
      <c r="I3" s="63">
        <v>1</v>
      </c>
      <c r="J3" s="64">
        <f>178.23*Table25[[#This Row],[Oct 15-Nov 30]]</f>
        <v>178.23</v>
      </c>
      <c r="K3" s="49">
        <v>1</v>
      </c>
      <c r="L3" s="50">
        <f>122.53*Table25[[#This Row],[Feb 1-Mar 15]]</f>
        <v>122.53</v>
      </c>
      <c r="M3" s="49">
        <v>1</v>
      </c>
      <c r="N3" s="50">
        <f>122.53*Table25[[#This Row],[Apr 1-May 15]]</f>
        <v>122.53</v>
      </c>
      <c r="O3">
        <f>(Table25[[#This Row],[Jun 15-Jul 30]]*Table25[[#This Row],[Jun 15-Jul 31]])+(Table25[[#This Row],[Aug 15-Sep 30]]*Table25[[#This Row],[Aug 15-Sep 31]])+(Table25[[#This Row],[Oct 15-Nov 30]]*Table25[[#This Row],[Oct 15-Nov 31]])+(Table25[[#This Row],[Feb 1-Mar 15]]*Table25[[#This Row],[Feb 1-Mar 16]])+(Table25[[#This Row],[Apr 1-May 15]]*Table25[[#This Row],[Apr 1-May 16]])</f>
        <v>668.34999999999991</v>
      </c>
      <c r="P3">
        <f>SUM(Table25[[#This Row],[Jun 15-Jul 30]]+Table25[[#This Row],[Aug 15-Sep 30]]+Table25[[#This Row],[Oct 15-Nov 30]]+Table25[[#This Row],[Feb 1-Mar 15]]+Table25[[#This Row],[Apr 1-May 15]])</f>
        <v>5</v>
      </c>
      <c r="Q3">
        <f>Table25[[#This Row],[Total Cost]]/Table25[[#This Row],[Size]]</f>
        <v>64.264423076923066</v>
      </c>
    </row>
    <row r="4" spans="1:17" x14ac:dyDescent="0.3">
      <c r="A4" s="24">
        <v>120203</v>
      </c>
      <c r="B4" s="31" t="s">
        <v>18</v>
      </c>
      <c r="C4" s="30" t="s">
        <v>133</v>
      </c>
      <c r="D4" s="29">
        <v>12.6</v>
      </c>
      <c r="E4" s="49">
        <v>0</v>
      </c>
      <c r="F4" s="50">
        <f>122.53*Table25[[#This Row],[Jun 15-Jul 30]]</f>
        <v>0</v>
      </c>
      <c r="G4" s="63">
        <v>1</v>
      </c>
      <c r="H4" s="64">
        <f>122.53*Table25[[#This Row],[Aug 15-Sep 30]]</f>
        <v>122.53</v>
      </c>
      <c r="I4" s="63">
        <v>1</v>
      </c>
      <c r="J4" s="64">
        <f>178.23*Table25[[#This Row],[Oct 15-Nov 30]]</f>
        <v>178.23</v>
      </c>
      <c r="K4" s="49">
        <v>1</v>
      </c>
      <c r="L4" s="50">
        <f>122.53*Table25[[#This Row],[Feb 1-Mar 15]]</f>
        <v>122.53</v>
      </c>
      <c r="M4" s="49">
        <v>1</v>
      </c>
      <c r="N4" s="50">
        <f>122.53*Table25[[#This Row],[Apr 1-May 15]]</f>
        <v>122.53</v>
      </c>
      <c r="O4">
        <f>(Table25[[#This Row],[Jun 15-Jul 30]]*Table25[[#This Row],[Jun 15-Jul 31]])+(Table25[[#This Row],[Aug 15-Sep 30]]*Table25[[#This Row],[Aug 15-Sep 31]])+(Table25[[#This Row],[Oct 15-Nov 30]]*Table25[[#This Row],[Oct 15-Nov 31]])+(Table25[[#This Row],[Feb 1-Mar 15]]*Table25[[#This Row],[Feb 1-Mar 16]])+(Table25[[#This Row],[Apr 1-May 15]]*Table25[[#This Row],[Apr 1-May 16]])</f>
        <v>545.81999999999994</v>
      </c>
      <c r="P4">
        <f>SUM(Table25[[#This Row],[Jun 15-Jul 30]]+Table25[[#This Row],[Aug 15-Sep 30]]+Table25[[#This Row],[Oct 15-Nov 30]]+Table25[[#This Row],[Feb 1-Mar 15]]+Table25[[#This Row],[Apr 1-May 15]])</f>
        <v>4</v>
      </c>
      <c r="Q4">
        <f>Table25[[#This Row],[Total Cost]]/Table25[[#This Row],[Size]]</f>
        <v>43.319047619047616</v>
      </c>
    </row>
    <row r="5" spans="1:17" x14ac:dyDescent="0.3">
      <c r="A5" s="24">
        <v>120205</v>
      </c>
      <c r="B5" s="31" t="s">
        <v>45</v>
      </c>
      <c r="C5" s="30" t="s">
        <v>135</v>
      </c>
      <c r="D5" s="29">
        <v>12.7</v>
      </c>
      <c r="E5" s="49">
        <v>0</v>
      </c>
      <c r="F5" s="50">
        <f>122.53*Table25[[#This Row],[Jun 15-Jul 30]]</f>
        <v>0</v>
      </c>
      <c r="G5" s="63">
        <v>1</v>
      </c>
      <c r="H5" s="64">
        <f>122.53*Table25[[#This Row],[Aug 15-Sep 30]]</f>
        <v>122.53</v>
      </c>
      <c r="I5" s="63">
        <v>1</v>
      </c>
      <c r="J5" s="64">
        <f>178.23*Table25[[#This Row],[Oct 15-Nov 30]]</f>
        <v>178.23</v>
      </c>
      <c r="K5" s="49">
        <v>1</v>
      </c>
      <c r="L5" s="50">
        <f>122.53*Table25[[#This Row],[Feb 1-Mar 15]]</f>
        <v>122.53</v>
      </c>
      <c r="M5" s="49">
        <v>1</v>
      </c>
      <c r="N5" s="50">
        <f>122.53*Table25[[#This Row],[Apr 1-May 15]]</f>
        <v>122.53</v>
      </c>
      <c r="O5">
        <f>(Table25[[#This Row],[Jun 15-Jul 30]]*Table25[[#This Row],[Jun 15-Jul 31]])+(Table25[[#This Row],[Aug 15-Sep 30]]*Table25[[#This Row],[Aug 15-Sep 31]])+(Table25[[#This Row],[Oct 15-Nov 30]]*Table25[[#This Row],[Oct 15-Nov 31]])+(Table25[[#This Row],[Feb 1-Mar 15]]*Table25[[#This Row],[Feb 1-Mar 16]])+(Table25[[#This Row],[Apr 1-May 15]]*Table25[[#This Row],[Apr 1-May 16]])</f>
        <v>545.81999999999994</v>
      </c>
      <c r="P5">
        <f>SUM(Table25[[#This Row],[Jun 15-Jul 30]]+Table25[[#This Row],[Aug 15-Sep 30]]+Table25[[#This Row],[Oct 15-Nov 30]]+Table25[[#This Row],[Feb 1-Mar 15]]+Table25[[#This Row],[Apr 1-May 15]])</f>
        <v>4</v>
      </c>
      <c r="Q5">
        <f>Table25[[#This Row],[Total Cost]]/Table25[[#This Row],[Size]]</f>
        <v>42.977952755905513</v>
      </c>
    </row>
    <row r="6" spans="1:17" x14ac:dyDescent="0.3">
      <c r="A6" s="24">
        <v>120204</v>
      </c>
      <c r="B6" s="31" t="s">
        <v>18</v>
      </c>
      <c r="C6" s="30" t="s">
        <v>134</v>
      </c>
      <c r="D6" s="29">
        <v>15.1</v>
      </c>
      <c r="E6" s="49">
        <v>0</v>
      </c>
      <c r="F6" s="50">
        <f>122.53*Table25[[#This Row],[Jun 15-Jul 30]]</f>
        <v>0</v>
      </c>
      <c r="G6" s="63">
        <v>1</v>
      </c>
      <c r="H6" s="64">
        <f>122.53*Table25[[#This Row],[Aug 15-Sep 30]]</f>
        <v>122.53</v>
      </c>
      <c r="I6" s="63">
        <v>1</v>
      </c>
      <c r="J6" s="64">
        <f>178.23*Table25[[#This Row],[Oct 15-Nov 30]]</f>
        <v>178.23</v>
      </c>
      <c r="K6" s="49">
        <v>1</v>
      </c>
      <c r="L6" s="50">
        <f>122.53*Table25[[#This Row],[Feb 1-Mar 15]]</f>
        <v>122.53</v>
      </c>
      <c r="M6" s="49">
        <v>1</v>
      </c>
      <c r="N6" s="50">
        <f>122.53*Table25[[#This Row],[Apr 1-May 15]]</f>
        <v>122.53</v>
      </c>
      <c r="O6">
        <f>(Table25[[#This Row],[Jun 15-Jul 30]]*Table25[[#This Row],[Jun 15-Jul 31]])+(Table25[[#This Row],[Aug 15-Sep 30]]*Table25[[#This Row],[Aug 15-Sep 31]])+(Table25[[#This Row],[Oct 15-Nov 30]]*Table25[[#This Row],[Oct 15-Nov 31]])+(Table25[[#This Row],[Feb 1-Mar 15]]*Table25[[#This Row],[Feb 1-Mar 16]])+(Table25[[#This Row],[Apr 1-May 15]]*Table25[[#This Row],[Apr 1-May 16]])</f>
        <v>545.81999999999994</v>
      </c>
      <c r="P6">
        <f>SUM(Table25[[#This Row],[Jun 15-Jul 30]]+Table25[[#This Row],[Aug 15-Sep 30]]+Table25[[#This Row],[Oct 15-Nov 30]]+Table25[[#This Row],[Feb 1-Mar 15]]+Table25[[#This Row],[Apr 1-May 15]])</f>
        <v>4</v>
      </c>
      <c r="Q6">
        <f>Table25[[#This Row],[Total Cost]]/Table25[[#This Row],[Size]]</f>
        <v>36.147019867549666</v>
      </c>
    </row>
    <row r="7" spans="1:17" x14ac:dyDescent="0.3">
      <c r="A7" s="24">
        <v>120042</v>
      </c>
      <c r="B7" s="31" t="s">
        <v>23</v>
      </c>
      <c r="C7" s="30" t="s">
        <v>92</v>
      </c>
      <c r="D7" s="29">
        <v>17.8</v>
      </c>
      <c r="E7" s="49">
        <v>0</v>
      </c>
      <c r="F7" s="50">
        <f>122.53*Table25[[#This Row],[Jun 15-Jul 30]]</f>
        <v>0</v>
      </c>
      <c r="G7" s="63">
        <v>1</v>
      </c>
      <c r="H7" s="64">
        <f>122.53*Table25[[#This Row],[Aug 15-Sep 30]]</f>
        <v>122.53</v>
      </c>
      <c r="I7" s="63">
        <v>1</v>
      </c>
      <c r="J7" s="64">
        <f>178.23*Table25[[#This Row],[Oct 15-Nov 30]]</f>
        <v>178.23</v>
      </c>
      <c r="K7" s="49">
        <v>1</v>
      </c>
      <c r="L7" s="50">
        <f>122.53*Table25[[#This Row],[Feb 1-Mar 15]]</f>
        <v>122.53</v>
      </c>
      <c r="M7" s="49">
        <v>1</v>
      </c>
      <c r="N7" s="50">
        <f>122.53*Table25[[#This Row],[Apr 1-May 15]]</f>
        <v>122.53</v>
      </c>
      <c r="O7">
        <f>(Table25[[#This Row],[Jun 15-Jul 30]]*Table25[[#This Row],[Jun 15-Jul 31]])+(Table25[[#This Row],[Aug 15-Sep 30]]*Table25[[#This Row],[Aug 15-Sep 31]])+(Table25[[#This Row],[Oct 15-Nov 30]]*Table25[[#This Row],[Oct 15-Nov 31]])+(Table25[[#This Row],[Feb 1-Mar 15]]*Table25[[#This Row],[Feb 1-Mar 16]])+(Table25[[#This Row],[Apr 1-May 15]]*Table25[[#This Row],[Apr 1-May 16]])</f>
        <v>545.81999999999994</v>
      </c>
      <c r="P7">
        <f>SUM(Table25[[#This Row],[Jun 15-Jul 30]]+Table25[[#This Row],[Aug 15-Sep 30]]+Table25[[#This Row],[Oct 15-Nov 30]]+Table25[[#This Row],[Feb 1-Mar 15]]+Table25[[#This Row],[Apr 1-May 15]])</f>
        <v>4</v>
      </c>
      <c r="Q7">
        <f>Table25[[#This Row],[Total Cost]]/Table25[[#This Row],[Size]]</f>
        <v>30.664044943820219</v>
      </c>
    </row>
    <row r="8" spans="1:17" x14ac:dyDescent="0.3">
      <c r="A8" s="32">
        <v>120108</v>
      </c>
      <c r="B8" s="31" t="s">
        <v>34</v>
      </c>
      <c r="C8" s="30" t="s">
        <v>131</v>
      </c>
      <c r="D8" s="29">
        <v>18.399999999999999</v>
      </c>
      <c r="E8" s="63">
        <v>1</v>
      </c>
      <c r="F8" s="64">
        <f>122.53*Table25[[#This Row],[Jun 15-Jul 30]]</f>
        <v>122.53</v>
      </c>
      <c r="G8" s="63">
        <v>1</v>
      </c>
      <c r="H8" s="64">
        <f>122.53*Table25[[#This Row],[Aug 15-Sep 30]]</f>
        <v>122.53</v>
      </c>
      <c r="I8" s="63">
        <v>1</v>
      </c>
      <c r="J8" s="64">
        <f>178.23*Table25[[#This Row],[Oct 15-Nov 30]]</f>
        <v>178.23</v>
      </c>
      <c r="K8" s="49">
        <v>1</v>
      </c>
      <c r="L8" s="50">
        <f>122.53*Table25[[#This Row],[Feb 1-Mar 15]]</f>
        <v>122.53</v>
      </c>
      <c r="M8" s="49">
        <v>1</v>
      </c>
      <c r="N8" s="50">
        <f>122.53*Table25[[#This Row],[Apr 1-May 15]]</f>
        <v>122.53</v>
      </c>
      <c r="O8">
        <f>(Table25[[#This Row],[Jun 15-Jul 30]]*Table25[[#This Row],[Jun 15-Jul 31]])+(Table25[[#This Row],[Aug 15-Sep 30]]*Table25[[#This Row],[Aug 15-Sep 31]])+(Table25[[#This Row],[Oct 15-Nov 30]]*Table25[[#This Row],[Oct 15-Nov 31]])+(Table25[[#This Row],[Feb 1-Mar 15]]*Table25[[#This Row],[Feb 1-Mar 16]])+(Table25[[#This Row],[Apr 1-May 15]]*Table25[[#This Row],[Apr 1-May 16]])</f>
        <v>668.34999999999991</v>
      </c>
      <c r="P8">
        <f>SUM(Table25[[#This Row],[Jun 15-Jul 30]]+Table25[[#This Row],[Aug 15-Sep 30]]+Table25[[#This Row],[Oct 15-Nov 30]]+Table25[[#This Row],[Feb 1-Mar 15]]+Table25[[#This Row],[Apr 1-May 15]])</f>
        <v>5</v>
      </c>
      <c r="Q8">
        <f>Table25[[#This Row],[Total Cost]]/Table25[[#This Row],[Size]]</f>
        <v>36.323369565217391</v>
      </c>
    </row>
    <row r="9" spans="1:17" x14ac:dyDescent="0.3">
      <c r="A9" s="32">
        <v>110121</v>
      </c>
      <c r="B9" s="31" t="s">
        <v>11</v>
      </c>
      <c r="C9" s="30" t="s">
        <v>191</v>
      </c>
      <c r="D9" s="36">
        <v>19</v>
      </c>
      <c r="E9" s="63">
        <v>1</v>
      </c>
      <c r="F9" s="64">
        <f>122.53*Table25[[#This Row],[Jun 15-Jul 30]]</f>
        <v>122.53</v>
      </c>
      <c r="G9" s="63">
        <v>1</v>
      </c>
      <c r="H9" s="64">
        <f>122.53*Table25[[#This Row],[Aug 15-Sep 30]]</f>
        <v>122.53</v>
      </c>
      <c r="I9" s="63">
        <v>1</v>
      </c>
      <c r="J9" s="64">
        <f>178.23*Table25[[#This Row],[Oct 15-Nov 30]]</f>
        <v>178.23</v>
      </c>
      <c r="K9" s="49">
        <v>1</v>
      </c>
      <c r="L9" s="50">
        <f>122.53*Table25[[#This Row],[Feb 1-Mar 15]]</f>
        <v>122.53</v>
      </c>
      <c r="M9" s="49">
        <v>1</v>
      </c>
      <c r="N9" s="50">
        <f>122.53*Table25[[#This Row],[Apr 1-May 15]]</f>
        <v>122.53</v>
      </c>
      <c r="O9">
        <f>(Table25[[#This Row],[Jun 15-Jul 30]]*Table25[[#This Row],[Jun 15-Jul 31]])+(Table25[[#This Row],[Aug 15-Sep 30]]*Table25[[#This Row],[Aug 15-Sep 31]])+(Table25[[#This Row],[Oct 15-Nov 30]]*Table25[[#This Row],[Oct 15-Nov 31]])+(Table25[[#This Row],[Feb 1-Mar 15]]*Table25[[#This Row],[Feb 1-Mar 16]])+(Table25[[#This Row],[Apr 1-May 15]]*Table25[[#This Row],[Apr 1-May 16]])</f>
        <v>668.34999999999991</v>
      </c>
      <c r="P9">
        <f>SUM(Table25[[#This Row],[Jun 15-Jul 30]]+Table25[[#This Row],[Aug 15-Sep 30]]+Table25[[#This Row],[Oct 15-Nov 30]]+Table25[[#This Row],[Feb 1-Mar 15]]+Table25[[#This Row],[Apr 1-May 15]])</f>
        <v>5</v>
      </c>
      <c r="Q9">
        <f>Table25[[#This Row],[Total Cost]]/Table25[[#This Row],[Size]]</f>
        <v>35.176315789473676</v>
      </c>
    </row>
    <row r="10" spans="1:17" x14ac:dyDescent="0.3">
      <c r="A10" s="32">
        <v>120037</v>
      </c>
      <c r="B10" s="31" t="s">
        <v>20</v>
      </c>
      <c r="C10" s="30" t="s">
        <v>184</v>
      </c>
      <c r="D10" s="29">
        <v>20.7</v>
      </c>
      <c r="E10" s="63">
        <v>1</v>
      </c>
      <c r="F10" s="64">
        <f>122.53*Table25[[#This Row],[Jun 15-Jul 30]]</f>
        <v>122.53</v>
      </c>
      <c r="G10" s="63">
        <v>1</v>
      </c>
      <c r="H10" s="64">
        <f>122.53*Table25[[#This Row],[Aug 15-Sep 30]]</f>
        <v>122.53</v>
      </c>
      <c r="I10" s="63">
        <v>1</v>
      </c>
      <c r="J10" s="64">
        <f>178.23*Table25[[#This Row],[Oct 15-Nov 30]]</f>
        <v>178.23</v>
      </c>
      <c r="K10" s="49">
        <v>1</v>
      </c>
      <c r="L10" s="50">
        <f>122.53*Table25[[#This Row],[Feb 1-Mar 15]]</f>
        <v>122.53</v>
      </c>
      <c r="M10" s="49">
        <v>1</v>
      </c>
      <c r="N10" s="50">
        <f>122.53*Table25[[#This Row],[Apr 1-May 15]]</f>
        <v>122.53</v>
      </c>
      <c r="O10">
        <f>(Table25[[#This Row],[Jun 15-Jul 30]]*Table25[[#This Row],[Jun 15-Jul 31]])+(Table25[[#This Row],[Aug 15-Sep 30]]*Table25[[#This Row],[Aug 15-Sep 31]])+(Table25[[#This Row],[Oct 15-Nov 30]]*Table25[[#This Row],[Oct 15-Nov 31]])+(Table25[[#This Row],[Feb 1-Mar 15]]*Table25[[#This Row],[Feb 1-Mar 16]])+(Table25[[#This Row],[Apr 1-May 15]]*Table25[[#This Row],[Apr 1-May 16]])</f>
        <v>668.34999999999991</v>
      </c>
      <c r="P10">
        <f>SUM(Table25[[#This Row],[Jun 15-Jul 30]]+Table25[[#This Row],[Aug 15-Sep 30]]+Table25[[#This Row],[Oct 15-Nov 30]]+Table25[[#This Row],[Feb 1-Mar 15]]+Table25[[#This Row],[Apr 1-May 15]])</f>
        <v>5</v>
      </c>
      <c r="Q10">
        <f>Table25[[#This Row],[Total Cost]]/Table25[[#This Row],[Size]]</f>
        <v>32.287439613526566</v>
      </c>
    </row>
    <row r="11" spans="1:17" x14ac:dyDescent="0.3">
      <c r="A11" s="32">
        <v>120091</v>
      </c>
      <c r="B11" s="31" t="s">
        <v>2</v>
      </c>
      <c r="C11" s="30" t="s">
        <v>118</v>
      </c>
      <c r="D11" s="29">
        <v>21.2</v>
      </c>
      <c r="E11" s="63">
        <v>1</v>
      </c>
      <c r="F11" s="64">
        <f>122.53*Table25[[#This Row],[Jun 15-Jul 30]]</f>
        <v>122.53</v>
      </c>
      <c r="G11" s="63">
        <v>1</v>
      </c>
      <c r="H11" s="64">
        <f>122.53*Table25[[#This Row],[Aug 15-Sep 30]]</f>
        <v>122.53</v>
      </c>
      <c r="I11" s="63">
        <v>1</v>
      </c>
      <c r="J11" s="64">
        <f>178.23*Table25[[#This Row],[Oct 15-Nov 30]]</f>
        <v>178.23</v>
      </c>
      <c r="K11" s="49">
        <v>1</v>
      </c>
      <c r="L11" s="50">
        <f>122.53*Table25[[#This Row],[Feb 1-Mar 15]]</f>
        <v>122.53</v>
      </c>
      <c r="M11" s="49">
        <v>1</v>
      </c>
      <c r="N11" s="50">
        <f>122.53*Table25[[#This Row],[Apr 1-May 15]]</f>
        <v>122.53</v>
      </c>
      <c r="O11">
        <f>(Table25[[#This Row],[Jun 15-Jul 30]]*Table25[[#This Row],[Jun 15-Jul 31]])+(Table25[[#This Row],[Aug 15-Sep 30]]*Table25[[#This Row],[Aug 15-Sep 31]])+(Table25[[#This Row],[Oct 15-Nov 30]]*Table25[[#This Row],[Oct 15-Nov 31]])+(Table25[[#This Row],[Feb 1-Mar 15]]*Table25[[#This Row],[Feb 1-Mar 16]])+(Table25[[#This Row],[Apr 1-May 15]]*Table25[[#This Row],[Apr 1-May 16]])</f>
        <v>668.34999999999991</v>
      </c>
      <c r="P11">
        <f>SUM(Table25[[#This Row],[Jun 15-Jul 30]]+Table25[[#This Row],[Aug 15-Sep 30]]+Table25[[#This Row],[Oct 15-Nov 30]]+Table25[[#This Row],[Feb 1-Mar 15]]+Table25[[#This Row],[Apr 1-May 15]])</f>
        <v>5</v>
      </c>
      <c r="Q11">
        <f>Table25[[#This Row],[Total Cost]]/Table25[[#This Row],[Size]]</f>
        <v>31.525943396226413</v>
      </c>
    </row>
    <row r="12" spans="1:17" x14ac:dyDescent="0.3">
      <c r="A12" s="24">
        <v>120041</v>
      </c>
      <c r="B12" s="31" t="s">
        <v>23</v>
      </c>
      <c r="C12" s="30" t="s">
        <v>91</v>
      </c>
      <c r="D12" s="29">
        <v>21.3</v>
      </c>
      <c r="E12" s="49">
        <v>0</v>
      </c>
      <c r="F12" s="50">
        <f>122.53*Table25[[#This Row],[Jun 15-Jul 30]]</f>
        <v>0</v>
      </c>
      <c r="G12" s="63">
        <v>1</v>
      </c>
      <c r="H12" s="64">
        <f>122.53*Table25[[#This Row],[Aug 15-Sep 30]]</f>
        <v>122.53</v>
      </c>
      <c r="I12" s="63">
        <v>1</v>
      </c>
      <c r="J12" s="64">
        <f>178.23*Table25[[#This Row],[Oct 15-Nov 30]]</f>
        <v>178.23</v>
      </c>
      <c r="K12" s="49">
        <v>1</v>
      </c>
      <c r="L12" s="50">
        <f>122.53*Table25[[#This Row],[Feb 1-Mar 15]]</f>
        <v>122.53</v>
      </c>
      <c r="M12" s="49">
        <v>1</v>
      </c>
      <c r="N12" s="50">
        <f>122.53*Table25[[#This Row],[Apr 1-May 15]]</f>
        <v>122.53</v>
      </c>
      <c r="O12">
        <f>(Table25[[#This Row],[Jun 15-Jul 30]]*Table25[[#This Row],[Jun 15-Jul 31]])+(Table25[[#This Row],[Aug 15-Sep 30]]*Table25[[#This Row],[Aug 15-Sep 31]])+(Table25[[#This Row],[Oct 15-Nov 30]]*Table25[[#This Row],[Oct 15-Nov 31]])+(Table25[[#This Row],[Feb 1-Mar 15]]*Table25[[#This Row],[Feb 1-Mar 16]])+(Table25[[#This Row],[Apr 1-May 15]]*Table25[[#This Row],[Apr 1-May 16]])</f>
        <v>545.81999999999994</v>
      </c>
      <c r="P12">
        <f>SUM(Table25[[#This Row],[Jun 15-Jul 30]]+Table25[[#This Row],[Aug 15-Sep 30]]+Table25[[#This Row],[Oct 15-Nov 30]]+Table25[[#This Row],[Feb 1-Mar 15]]+Table25[[#This Row],[Apr 1-May 15]])</f>
        <v>4</v>
      </c>
      <c r="Q12">
        <f>Table25[[#This Row],[Total Cost]]/Table25[[#This Row],[Size]]</f>
        <v>25.625352112676051</v>
      </c>
    </row>
    <row r="13" spans="1:17" x14ac:dyDescent="0.3">
      <c r="A13" s="23">
        <v>120061</v>
      </c>
      <c r="B13" s="18" t="s">
        <v>32</v>
      </c>
      <c r="C13" s="26" t="s">
        <v>102</v>
      </c>
      <c r="D13" s="29">
        <v>21.3</v>
      </c>
      <c r="E13" s="49">
        <v>0</v>
      </c>
      <c r="F13" s="50">
        <f>122.53*Table25[[#This Row],[Jun 15-Jul 30]]</f>
        <v>0</v>
      </c>
      <c r="G13" s="49">
        <v>0</v>
      </c>
      <c r="H13" s="50">
        <f>122.53*Table25[[#This Row],[Aug 15-Sep 30]]</f>
        <v>0</v>
      </c>
      <c r="I13" s="49">
        <v>0</v>
      </c>
      <c r="J13" s="50">
        <f>178.23*Table25[[#This Row],[Oct 15-Nov 30]]</f>
        <v>0</v>
      </c>
      <c r="K13" s="49">
        <v>0</v>
      </c>
      <c r="L13" s="50">
        <f>122.53*Table25[[#This Row],[Feb 1-Mar 15]]</f>
        <v>0</v>
      </c>
      <c r="M13" s="49">
        <v>1</v>
      </c>
      <c r="N13" s="50">
        <f>122.53*Table25[[#This Row],[Apr 1-May 15]]</f>
        <v>122.53</v>
      </c>
      <c r="O13">
        <f>(Table25[[#This Row],[Jun 15-Jul 30]]*Table25[[#This Row],[Jun 15-Jul 31]])+(Table25[[#This Row],[Aug 15-Sep 30]]*Table25[[#This Row],[Aug 15-Sep 31]])+(Table25[[#This Row],[Oct 15-Nov 30]]*Table25[[#This Row],[Oct 15-Nov 31]])+(Table25[[#This Row],[Feb 1-Mar 15]]*Table25[[#This Row],[Feb 1-Mar 16]])+(Table25[[#This Row],[Apr 1-May 15]]*Table25[[#This Row],[Apr 1-May 16]])</f>
        <v>122.53</v>
      </c>
      <c r="P13">
        <f>SUM(Table25[[#This Row],[Jun 15-Jul 30]]+Table25[[#This Row],[Aug 15-Sep 30]]+Table25[[#This Row],[Oct 15-Nov 30]]+Table25[[#This Row],[Feb 1-Mar 15]]+Table25[[#This Row],[Apr 1-May 15]])</f>
        <v>1</v>
      </c>
      <c r="Q13">
        <f>Table25[[#This Row],[Total Cost]]/Table25[[#This Row],[Size]]</f>
        <v>5.7525821596244127</v>
      </c>
    </row>
    <row r="14" spans="1:17" x14ac:dyDescent="0.3">
      <c r="A14" s="32">
        <v>120064</v>
      </c>
      <c r="B14" s="31" t="s">
        <v>35</v>
      </c>
      <c r="C14" s="30" t="s">
        <v>105</v>
      </c>
      <c r="D14" s="29">
        <v>22.7</v>
      </c>
      <c r="E14" s="63">
        <v>1</v>
      </c>
      <c r="F14" s="64">
        <f>122.53*Table25[[#This Row],[Jun 15-Jul 30]]</f>
        <v>122.53</v>
      </c>
      <c r="G14" s="63">
        <v>1</v>
      </c>
      <c r="H14" s="64">
        <f>122.53*Table25[[#This Row],[Aug 15-Sep 30]]</f>
        <v>122.53</v>
      </c>
      <c r="I14" s="63">
        <v>1</v>
      </c>
      <c r="J14" s="64">
        <f>178.23*Table25[[#This Row],[Oct 15-Nov 30]]</f>
        <v>178.23</v>
      </c>
      <c r="K14" s="49">
        <v>1</v>
      </c>
      <c r="L14" s="50">
        <f>122.53*Table25[[#This Row],[Feb 1-Mar 15]]</f>
        <v>122.53</v>
      </c>
      <c r="M14" s="49">
        <v>1</v>
      </c>
      <c r="N14" s="50">
        <f>122.53*Table25[[#This Row],[Apr 1-May 15]]</f>
        <v>122.53</v>
      </c>
      <c r="O14">
        <f>(Table25[[#This Row],[Jun 15-Jul 30]]*Table25[[#This Row],[Jun 15-Jul 31]])+(Table25[[#This Row],[Aug 15-Sep 30]]*Table25[[#This Row],[Aug 15-Sep 31]])+(Table25[[#This Row],[Oct 15-Nov 30]]*Table25[[#This Row],[Oct 15-Nov 31]])+(Table25[[#This Row],[Feb 1-Mar 15]]*Table25[[#This Row],[Feb 1-Mar 16]])+(Table25[[#This Row],[Apr 1-May 15]]*Table25[[#This Row],[Apr 1-May 16]])</f>
        <v>668.34999999999991</v>
      </c>
      <c r="P14">
        <f>SUM(Table25[[#This Row],[Jun 15-Jul 30]]+Table25[[#This Row],[Aug 15-Sep 30]]+Table25[[#This Row],[Oct 15-Nov 30]]+Table25[[#This Row],[Feb 1-Mar 15]]+Table25[[#This Row],[Apr 1-May 15]])</f>
        <v>5</v>
      </c>
      <c r="Q14">
        <f>Table25[[#This Row],[Total Cost]]/Table25[[#This Row],[Size]]</f>
        <v>29.442731277533035</v>
      </c>
    </row>
    <row r="15" spans="1:17" x14ac:dyDescent="0.3">
      <c r="A15" s="32">
        <v>120056</v>
      </c>
      <c r="B15" s="31" t="s">
        <v>29</v>
      </c>
      <c r="C15" s="30" t="s">
        <v>98</v>
      </c>
      <c r="D15" s="29">
        <v>23.4</v>
      </c>
      <c r="E15" s="63">
        <v>1</v>
      </c>
      <c r="F15" s="64">
        <f>122.53*Table25[[#This Row],[Jun 15-Jul 30]]</f>
        <v>122.53</v>
      </c>
      <c r="G15" s="63">
        <v>1</v>
      </c>
      <c r="H15" s="64">
        <f>122.53*Table25[[#This Row],[Aug 15-Sep 30]]</f>
        <v>122.53</v>
      </c>
      <c r="I15" s="63">
        <v>1</v>
      </c>
      <c r="J15" s="64">
        <f>178.23*Table25[[#This Row],[Oct 15-Nov 30]]</f>
        <v>178.23</v>
      </c>
      <c r="K15" s="49">
        <v>1</v>
      </c>
      <c r="L15" s="50">
        <f>122.53*Table25[[#This Row],[Feb 1-Mar 15]]</f>
        <v>122.53</v>
      </c>
      <c r="M15" s="49">
        <v>1</v>
      </c>
      <c r="N15" s="50">
        <f>122.53*Table25[[#This Row],[Apr 1-May 15]]</f>
        <v>122.53</v>
      </c>
      <c r="O15">
        <f>(Table25[[#This Row],[Jun 15-Jul 30]]*Table25[[#This Row],[Jun 15-Jul 31]])+(Table25[[#This Row],[Aug 15-Sep 30]]*Table25[[#This Row],[Aug 15-Sep 31]])+(Table25[[#This Row],[Oct 15-Nov 30]]*Table25[[#This Row],[Oct 15-Nov 31]])+(Table25[[#This Row],[Feb 1-Mar 15]]*Table25[[#This Row],[Feb 1-Mar 16]])+(Table25[[#This Row],[Apr 1-May 15]]*Table25[[#This Row],[Apr 1-May 16]])</f>
        <v>668.34999999999991</v>
      </c>
      <c r="P15">
        <f>SUM(Table25[[#This Row],[Jun 15-Jul 30]]+Table25[[#This Row],[Aug 15-Sep 30]]+Table25[[#This Row],[Oct 15-Nov 30]]+Table25[[#This Row],[Feb 1-Mar 15]]+Table25[[#This Row],[Apr 1-May 15]])</f>
        <v>5</v>
      </c>
      <c r="Q15">
        <f>Table25[[#This Row],[Total Cost]]/Table25[[#This Row],[Size]]</f>
        <v>28.561965811965809</v>
      </c>
    </row>
    <row r="16" spans="1:17" x14ac:dyDescent="0.3">
      <c r="A16" s="24">
        <v>120034</v>
      </c>
      <c r="B16" s="31" t="s">
        <v>19</v>
      </c>
      <c r="C16" s="30" t="s">
        <v>88</v>
      </c>
      <c r="D16" s="29">
        <v>23.6</v>
      </c>
      <c r="E16" s="63">
        <v>1</v>
      </c>
      <c r="F16" s="64">
        <f>122.53*Table25[[#This Row],[Jun 15-Jul 30]]</f>
        <v>122.53</v>
      </c>
      <c r="G16" s="63">
        <v>1</v>
      </c>
      <c r="H16" s="64">
        <f>122.53*Table25[[#This Row],[Aug 15-Sep 30]]</f>
        <v>122.53</v>
      </c>
      <c r="I16" s="63">
        <v>1</v>
      </c>
      <c r="J16" s="64">
        <f>178.23*Table25[[#This Row],[Oct 15-Nov 30]]</f>
        <v>178.23</v>
      </c>
      <c r="K16" s="49">
        <v>1</v>
      </c>
      <c r="L16" s="50">
        <f>122.53*Table25[[#This Row],[Feb 1-Mar 15]]</f>
        <v>122.53</v>
      </c>
      <c r="M16" s="49">
        <v>1</v>
      </c>
      <c r="N16" s="50">
        <f>122.53*Table25[[#This Row],[Apr 1-May 15]]</f>
        <v>122.53</v>
      </c>
      <c r="O16">
        <f>(Table25[[#This Row],[Jun 15-Jul 30]]*Table25[[#This Row],[Jun 15-Jul 31]])+(Table25[[#This Row],[Aug 15-Sep 30]]*Table25[[#This Row],[Aug 15-Sep 31]])+(Table25[[#This Row],[Oct 15-Nov 30]]*Table25[[#This Row],[Oct 15-Nov 31]])+(Table25[[#This Row],[Feb 1-Mar 15]]*Table25[[#This Row],[Feb 1-Mar 16]])+(Table25[[#This Row],[Apr 1-May 15]]*Table25[[#This Row],[Apr 1-May 16]])</f>
        <v>668.34999999999991</v>
      </c>
      <c r="P16">
        <f>SUM(Table25[[#This Row],[Jun 15-Jul 30]]+Table25[[#This Row],[Aug 15-Sep 30]]+Table25[[#This Row],[Oct 15-Nov 30]]+Table25[[#This Row],[Feb 1-Mar 15]]+Table25[[#This Row],[Apr 1-May 15]])</f>
        <v>5</v>
      </c>
      <c r="Q16">
        <f>Table25[[#This Row],[Total Cost]]/Table25[[#This Row],[Size]]</f>
        <v>28.319915254237284</v>
      </c>
    </row>
    <row r="17" spans="1:17" x14ac:dyDescent="0.3">
      <c r="A17" s="19">
        <v>120047</v>
      </c>
      <c r="B17" s="18" t="s">
        <v>25</v>
      </c>
      <c r="C17" s="26" t="s">
        <v>93</v>
      </c>
      <c r="D17" s="29">
        <v>23.7</v>
      </c>
      <c r="E17" s="49">
        <v>0</v>
      </c>
      <c r="F17" s="50">
        <f>122.53*Table25[[#This Row],[Jun 15-Jul 30]]</f>
        <v>0</v>
      </c>
      <c r="G17" s="49">
        <v>0</v>
      </c>
      <c r="H17" s="50">
        <f>122.53*Table25[[#This Row],[Aug 15-Sep 30]]</f>
        <v>0</v>
      </c>
      <c r="I17" s="49">
        <v>0</v>
      </c>
      <c r="J17" s="50">
        <f>178.23*Table25[[#This Row],[Oct 15-Nov 30]]</f>
        <v>0</v>
      </c>
      <c r="K17" s="49">
        <v>0</v>
      </c>
      <c r="L17" s="50">
        <f>122.53*Table25[[#This Row],[Feb 1-Mar 15]]</f>
        <v>0</v>
      </c>
      <c r="M17" s="49">
        <v>1</v>
      </c>
      <c r="N17" s="50">
        <f>122.53*Table25[[#This Row],[Apr 1-May 15]]</f>
        <v>122.53</v>
      </c>
      <c r="O17">
        <f>(Table25[[#This Row],[Jun 15-Jul 30]]*Table25[[#This Row],[Jun 15-Jul 31]])+(Table25[[#This Row],[Aug 15-Sep 30]]*Table25[[#This Row],[Aug 15-Sep 31]])+(Table25[[#This Row],[Oct 15-Nov 30]]*Table25[[#This Row],[Oct 15-Nov 31]])+(Table25[[#This Row],[Feb 1-Mar 15]]*Table25[[#This Row],[Feb 1-Mar 16]])+(Table25[[#This Row],[Apr 1-May 15]]*Table25[[#This Row],[Apr 1-May 16]])</f>
        <v>122.53</v>
      </c>
      <c r="P17">
        <f>SUM(Table25[[#This Row],[Jun 15-Jul 30]]+Table25[[#This Row],[Aug 15-Sep 30]]+Table25[[#This Row],[Oct 15-Nov 30]]+Table25[[#This Row],[Feb 1-Mar 15]]+Table25[[#This Row],[Apr 1-May 15]])</f>
        <v>1</v>
      </c>
      <c r="Q17">
        <f>Table25[[#This Row],[Total Cost]]/Table25[[#This Row],[Size]]</f>
        <v>5.1700421940928276</v>
      </c>
    </row>
    <row r="18" spans="1:17" x14ac:dyDescent="0.3">
      <c r="A18" s="32">
        <v>120063</v>
      </c>
      <c r="B18" s="31" t="s">
        <v>34</v>
      </c>
      <c r="C18" s="30" t="s">
        <v>190</v>
      </c>
      <c r="D18" s="29">
        <v>24.4</v>
      </c>
      <c r="E18" s="63">
        <v>1</v>
      </c>
      <c r="F18" s="64">
        <f>122.53*Table25[[#This Row],[Jun 15-Jul 30]]</f>
        <v>122.53</v>
      </c>
      <c r="G18" s="63">
        <v>1</v>
      </c>
      <c r="H18" s="64">
        <f>122.53*Table25[[#This Row],[Aug 15-Sep 30]]</f>
        <v>122.53</v>
      </c>
      <c r="I18" s="63">
        <v>1</v>
      </c>
      <c r="J18" s="64">
        <f>178.23*Table25[[#This Row],[Oct 15-Nov 30]]</f>
        <v>178.23</v>
      </c>
      <c r="K18" s="49">
        <v>1</v>
      </c>
      <c r="L18" s="50">
        <f>122.53*Table25[[#This Row],[Feb 1-Mar 15]]</f>
        <v>122.53</v>
      </c>
      <c r="M18" s="49">
        <v>1</v>
      </c>
      <c r="N18" s="50">
        <f>122.53*Table25[[#This Row],[Apr 1-May 15]]</f>
        <v>122.53</v>
      </c>
      <c r="O18">
        <f>(Table25[[#This Row],[Jun 15-Jul 30]]*Table25[[#This Row],[Jun 15-Jul 31]])+(Table25[[#This Row],[Aug 15-Sep 30]]*Table25[[#This Row],[Aug 15-Sep 31]])+(Table25[[#This Row],[Oct 15-Nov 30]]*Table25[[#This Row],[Oct 15-Nov 31]])+(Table25[[#This Row],[Feb 1-Mar 15]]*Table25[[#This Row],[Feb 1-Mar 16]])+(Table25[[#This Row],[Apr 1-May 15]]*Table25[[#This Row],[Apr 1-May 16]])</f>
        <v>668.34999999999991</v>
      </c>
      <c r="P18">
        <f>SUM(Table25[[#This Row],[Jun 15-Jul 30]]+Table25[[#This Row],[Aug 15-Sep 30]]+Table25[[#This Row],[Oct 15-Nov 30]]+Table25[[#This Row],[Feb 1-Mar 15]]+Table25[[#This Row],[Apr 1-May 15]])</f>
        <v>5</v>
      </c>
      <c r="Q18">
        <f>Table25[[#This Row],[Total Cost]]/Table25[[#This Row],[Size]]</f>
        <v>27.391393442622949</v>
      </c>
    </row>
    <row r="19" spans="1:17" x14ac:dyDescent="0.3">
      <c r="A19" s="32">
        <v>130014</v>
      </c>
      <c r="B19" s="31" t="s">
        <v>50</v>
      </c>
      <c r="C19" s="30" t="s">
        <v>165</v>
      </c>
      <c r="D19" s="29">
        <v>25.6</v>
      </c>
      <c r="E19" s="49">
        <v>0</v>
      </c>
      <c r="F19" s="50">
        <f>150.38*Table25[[#This Row],[Jun 15-Jul 30]]</f>
        <v>0</v>
      </c>
      <c r="G19" s="63">
        <v>1</v>
      </c>
      <c r="H19" s="64">
        <f>150.38*Table25[[#This Row],[Aug 15-Sep 30]]</f>
        <v>150.38</v>
      </c>
      <c r="I19" s="63">
        <v>1</v>
      </c>
      <c r="J19" s="64">
        <f>206.08*Table25[[#This Row],[Oct 15-Nov 30]]</f>
        <v>206.08</v>
      </c>
      <c r="K19" s="49">
        <v>1</v>
      </c>
      <c r="L19" s="50">
        <f>150.38*Table25[[#This Row],[Feb 1-Mar 15]]</f>
        <v>150.38</v>
      </c>
      <c r="M19" s="49">
        <v>1</v>
      </c>
      <c r="N19" s="50">
        <f>150.38*Table25[[#This Row],[Apr 1-May 15]]</f>
        <v>150.38</v>
      </c>
      <c r="O19">
        <f>(Table25[[#This Row],[Jun 15-Jul 30]]*Table25[[#This Row],[Jun 15-Jul 31]])+(Table25[[#This Row],[Aug 15-Sep 30]]*Table25[[#This Row],[Aug 15-Sep 31]])+(Table25[[#This Row],[Oct 15-Nov 30]]*Table25[[#This Row],[Oct 15-Nov 31]])+(Table25[[#This Row],[Feb 1-Mar 15]]*Table25[[#This Row],[Feb 1-Mar 16]])+(Table25[[#This Row],[Apr 1-May 15]]*Table25[[#This Row],[Apr 1-May 16]])</f>
        <v>657.22</v>
      </c>
      <c r="P19">
        <f>SUM(Table25[[#This Row],[Jun 15-Jul 30]]+Table25[[#This Row],[Aug 15-Sep 30]]+Table25[[#This Row],[Oct 15-Nov 30]]+Table25[[#This Row],[Feb 1-Mar 15]]+Table25[[#This Row],[Apr 1-May 15]])</f>
        <v>4</v>
      </c>
      <c r="Q19">
        <f>Table25[[#This Row],[Total Cost]]/Table25[[#This Row],[Size]]</f>
        <v>25.672656249999999</v>
      </c>
    </row>
    <row r="20" spans="1:17" x14ac:dyDescent="0.3">
      <c r="A20" s="32">
        <v>130016</v>
      </c>
      <c r="B20" s="31" t="s">
        <v>50</v>
      </c>
      <c r="C20" s="30" t="s">
        <v>168</v>
      </c>
      <c r="D20" s="29">
        <v>25.7</v>
      </c>
      <c r="E20" s="49">
        <v>0</v>
      </c>
      <c r="F20" s="50">
        <f>150.38*Table25[[#This Row],[Jun 15-Jul 30]]</f>
        <v>0</v>
      </c>
      <c r="G20" s="63">
        <v>1</v>
      </c>
      <c r="H20" s="64">
        <f>150.38*Table25[[#This Row],[Aug 15-Sep 30]]</f>
        <v>150.38</v>
      </c>
      <c r="I20" s="63">
        <v>1</v>
      </c>
      <c r="J20" s="64">
        <f>206.08*Table25[[#This Row],[Oct 15-Nov 30]]</f>
        <v>206.08</v>
      </c>
      <c r="K20" s="49">
        <v>1</v>
      </c>
      <c r="L20" s="50">
        <f>150.38*Table25[[#This Row],[Feb 1-Mar 15]]</f>
        <v>150.38</v>
      </c>
      <c r="M20" s="49">
        <v>1</v>
      </c>
      <c r="N20" s="50">
        <f>150.38*Table25[[#This Row],[Apr 1-May 15]]</f>
        <v>150.38</v>
      </c>
      <c r="O20">
        <f>(Table25[[#This Row],[Jun 15-Jul 30]]*Table25[[#This Row],[Jun 15-Jul 31]])+(Table25[[#This Row],[Aug 15-Sep 30]]*Table25[[#This Row],[Aug 15-Sep 31]])+(Table25[[#This Row],[Oct 15-Nov 30]]*Table25[[#This Row],[Oct 15-Nov 31]])+(Table25[[#This Row],[Feb 1-Mar 15]]*Table25[[#This Row],[Feb 1-Mar 16]])+(Table25[[#This Row],[Apr 1-May 15]]*Table25[[#This Row],[Apr 1-May 16]])</f>
        <v>657.22</v>
      </c>
      <c r="P20">
        <f>SUM(Table25[[#This Row],[Jun 15-Jul 30]]+Table25[[#This Row],[Aug 15-Sep 30]]+Table25[[#This Row],[Oct 15-Nov 30]]+Table25[[#This Row],[Feb 1-Mar 15]]+Table25[[#This Row],[Apr 1-May 15]])</f>
        <v>4</v>
      </c>
      <c r="Q20">
        <f>Table25[[#This Row],[Total Cost]]/Table25[[#This Row],[Size]]</f>
        <v>25.572762645914398</v>
      </c>
    </row>
    <row r="21" spans="1:17" x14ac:dyDescent="0.3">
      <c r="A21" s="32">
        <v>120103</v>
      </c>
      <c r="B21" s="31" t="s">
        <v>42</v>
      </c>
      <c r="C21" s="30" t="s">
        <v>126</v>
      </c>
      <c r="D21" s="29">
        <v>26.3</v>
      </c>
      <c r="E21" s="63">
        <v>1</v>
      </c>
      <c r="F21" s="64">
        <f>150.38*Table25[[#This Row],[Jun 15-Jul 30]]</f>
        <v>150.38</v>
      </c>
      <c r="G21" s="63">
        <v>1</v>
      </c>
      <c r="H21" s="64">
        <f>150.38*Table25[[#This Row],[Aug 15-Sep 30]]</f>
        <v>150.38</v>
      </c>
      <c r="I21" s="63">
        <v>1</v>
      </c>
      <c r="J21" s="64">
        <f>206.08*Table25[[#This Row],[Oct 15-Nov 30]]</f>
        <v>206.08</v>
      </c>
      <c r="K21" s="49">
        <v>1</v>
      </c>
      <c r="L21" s="50">
        <f>150.38*Table25[[#This Row],[Feb 1-Mar 15]]</f>
        <v>150.38</v>
      </c>
      <c r="M21" s="49">
        <v>1</v>
      </c>
      <c r="N21" s="50">
        <f>150.38*Table25[[#This Row],[Apr 1-May 15]]</f>
        <v>150.38</v>
      </c>
      <c r="O21">
        <f>(Table25[[#This Row],[Jun 15-Jul 30]]*Table25[[#This Row],[Jun 15-Jul 31]])+(Table25[[#This Row],[Aug 15-Sep 30]]*Table25[[#This Row],[Aug 15-Sep 31]])+(Table25[[#This Row],[Oct 15-Nov 30]]*Table25[[#This Row],[Oct 15-Nov 31]])+(Table25[[#This Row],[Feb 1-Mar 15]]*Table25[[#This Row],[Feb 1-Mar 16]])+(Table25[[#This Row],[Apr 1-May 15]]*Table25[[#This Row],[Apr 1-May 16]])</f>
        <v>807.6</v>
      </c>
      <c r="P21">
        <f>SUM(Table25[[#This Row],[Jun 15-Jul 30]]+Table25[[#This Row],[Aug 15-Sep 30]]+Table25[[#This Row],[Oct 15-Nov 30]]+Table25[[#This Row],[Feb 1-Mar 15]]+Table25[[#This Row],[Apr 1-May 15]])</f>
        <v>5</v>
      </c>
      <c r="Q21">
        <f>Table25[[#This Row],[Total Cost]]/Table25[[#This Row],[Size]]</f>
        <v>30.70722433460076</v>
      </c>
    </row>
    <row r="22" spans="1:17" x14ac:dyDescent="0.3">
      <c r="A22" s="32">
        <v>120058</v>
      </c>
      <c r="B22" s="31" t="s">
        <v>29</v>
      </c>
      <c r="C22" s="30" t="s">
        <v>100</v>
      </c>
      <c r="D22" s="29">
        <v>27</v>
      </c>
      <c r="E22" s="63">
        <v>1</v>
      </c>
      <c r="F22" s="64">
        <f>150.38*Table25[[#This Row],[Jun 15-Jul 30]]</f>
        <v>150.38</v>
      </c>
      <c r="G22" s="63">
        <v>1</v>
      </c>
      <c r="H22" s="64">
        <f>150.38*Table25[[#This Row],[Aug 15-Sep 30]]</f>
        <v>150.38</v>
      </c>
      <c r="I22" s="63">
        <v>1</v>
      </c>
      <c r="J22" s="64">
        <f>206.08*Table25[[#This Row],[Oct 15-Nov 30]]</f>
        <v>206.08</v>
      </c>
      <c r="K22" s="49">
        <v>1</v>
      </c>
      <c r="L22" s="50">
        <f>150.38*Table25[[#This Row],[Feb 1-Mar 15]]</f>
        <v>150.38</v>
      </c>
      <c r="M22" s="49">
        <v>1</v>
      </c>
      <c r="N22" s="50">
        <f>150.38*Table25[[#This Row],[Apr 1-May 15]]</f>
        <v>150.38</v>
      </c>
      <c r="O22">
        <f>(Table25[[#This Row],[Jun 15-Jul 30]]*Table25[[#This Row],[Jun 15-Jul 31]])+(Table25[[#This Row],[Aug 15-Sep 30]]*Table25[[#This Row],[Aug 15-Sep 31]])+(Table25[[#This Row],[Oct 15-Nov 30]]*Table25[[#This Row],[Oct 15-Nov 31]])+(Table25[[#This Row],[Feb 1-Mar 15]]*Table25[[#This Row],[Feb 1-Mar 16]])+(Table25[[#This Row],[Apr 1-May 15]]*Table25[[#This Row],[Apr 1-May 16]])</f>
        <v>807.6</v>
      </c>
      <c r="P22">
        <f>SUM(Table25[[#This Row],[Jun 15-Jul 30]]+Table25[[#This Row],[Aug 15-Sep 30]]+Table25[[#This Row],[Oct 15-Nov 30]]+Table25[[#This Row],[Feb 1-Mar 15]]+Table25[[#This Row],[Apr 1-May 15]])</f>
        <v>5</v>
      </c>
      <c r="Q22">
        <f>Table25[[#This Row],[Total Cost]]/Table25[[#This Row],[Size]]</f>
        <v>29.911111111111111</v>
      </c>
    </row>
    <row r="23" spans="1:17" x14ac:dyDescent="0.3">
      <c r="A23" s="32">
        <v>120102</v>
      </c>
      <c r="B23" s="31" t="s">
        <v>42</v>
      </c>
      <c r="C23" s="30" t="s">
        <v>125</v>
      </c>
      <c r="D23" s="29">
        <v>28.5</v>
      </c>
      <c r="E23" s="63">
        <v>1</v>
      </c>
      <c r="F23" s="64">
        <f>150.38*Table25[[#This Row],[Jun 15-Jul 30]]</f>
        <v>150.38</v>
      </c>
      <c r="G23" s="63">
        <v>1</v>
      </c>
      <c r="H23" s="64">
        <f>150.38*Table25[[#This Row],[Aug 15-Sep 30]]</f>
        <v>150.38</v>
      </c>
      <c r="I23" s="63">
        <v>1</v>
      </c>
      <c r="J23" s="64">
        <f>206.08*Table25[[#This Row],[Oct 15-Nov 30]]</f>
        <v>206.08</v>
      </c>
      <c r="K23" s="49">
        <v>1</v>
      </c>
      <c r="L23" s="50">
        <f>150.38*Table25[[#This Row],[Feb 1-Mar 15]]</f>
        <v>150.38</v>
      </c>
      <c r="M23" s="49">
        <v>1</v>
      </c>
      <c r="N23" s="50">
        <f>150.38*Table25[[#This Row],[Apr 1-May 15]]</f>
        <v>150.38</v>
      </c>
      <c r="O23">
        <f>(Table25[[#This Row],[Jun 15-Jul 30]]*Table25[[#This Row],[Jun 15-Jul 31]])+(Table25[[#This Row],[Aug 15-Sep 30]]*Table25[[#This Row],[Aug 15-Sep 31]])+(Table25[[#This Row],[Oct 15-Nov 30]]*Table25[[#This Row],[Oct 15-Nov 31]])+(Table25[[#This Row],[Feb 1-Mar 15]]*Table25[[#This Row],[Feb 1-Mar 16]])+(Table25[[#This Row],[Apr 1-May 15]]*Table25[[#This Row],[Apr 1-May 16]])</f>
        <v>807.6</v>
      </c>
      <c r="P23">
        <f>SUM(Table25[[#This Row],[Jun 15-Jul 30]]+Table25[[#This Row],[Aug 15-Sep 30]]+Table25[[#This Row],[Oct 15-Nov 30]]+Table25[[#This Row],[Feb 1-Mar 15]]+Table25[[#This Row],[Apr 1-May 15]])</f>
        <v>5</v>
      </c>
      <c r="Q23">
        <f>Table25[[#This Row],[Total Cost]]/Table25[[#This Row],[Size]]</f>
        <v>28.336842105263159</v>
      </c>
    </row>
    <row r="24" spans="1:17" x14ac:dyDescent="0.3">
      <c r="A24" s="3">
        <v>120052</v>
      </c>
      <c r="B24" s="5" t="s">
        <v>26</v>
      </c>
      <c r="C24" s="6" t="s">
        <v>95</v>
      </c>
      <c r="D24" s="4">
        <v>28.8</v>
      </c>
      <c r="E24" s="63">
        <v>1</v>
      </c>
      <c r="F24" s="64">
        <f>150.38*Table25[[#This Row],[Jun 15-Jul 30]]</f>
        <v>150.38</v>
      </c>
      <c r="G24" s="63">
        <v>1</v>
      </c>
      <c r="H24" s="64">
        <f>150.38*Table25[[#This Row],[Aug 15-Sep 30]]</f>
        <v>150.38</v>
      </c>
      <c r="I24" s="63">
        <v>1</v>
      </c>
      <c r="J24" s="64">
        <f>206.08*Table25[[#This Row],[Oct 15-Nov 30]]</f>
        <v>206.08</v>
      </c>
      <c r="K24" s="49">
        <v>1</v>
      </c>
      <c r="L24" s="50">
        <f>150.38*Table25[[#This Row],[Feb 1-Mar 15]]</f>
        <v>150.38</v>
      </c>
      <c r="M24" s="49">
        <v>1</v>
      </c>
      <c r="N24" s="50">
        <f>150.38*Table25[[#This Row],[Apr 1-May 15]]</f>
        <v>150.38</v>
      </c>
      <c r="O24">
        <f>(Table25[[#This Row],[Jun 15-Jul 30]]*Table25[[#This Row],[Jun 15-Jul 31]])+(Table25[[#This Row],[Aug 15-Sep 30]]*Table25[[#This Row],[Aug 15-Sep 31]])+(Table25[[#This Row],[Oct 15-Nov 30]]*Table25[[#This Row],[Oct 15-Nov 31]])+(Table25[[#This Row],[Feb 1-Mar 15]]*Table25[[#This Row],[Feb 1-Mar 16]])+(Table25[[#This Row],[Apr 1-May 15]]*Table25[[#This Row],[Apr 1-May 16]])</f>
        <v>807.6</v>
      </c>
      <c r="P24">
        <f>SUM(Table25[[#This Row],[Jun 15-Jul 30]]+Table25[[#This Row],[Aug 15-Sep 30]]+Table25[[#This Row],[Oct 15-Nov 30]]+Table25[[#This Row],[Feb 1-Mar 15]]+Table25[[#This Row],[Apr 1-May 15]])</f>
        <v>5</v>
      </c>
      <c r="Q24">
        <f>Table25[[#This Row],[Total Cost]]/Table25[[#This Row],[Size]]</f>
        <v>28.041666666666668</v>
      </c>
    </row>
    <row r="25" spans="1:17" x14ac:dyDescent="0.3">
      <c r="A25" s="3">
        <v>120053</v>
      </c>
      <c r="B25" s="5" t="s">
        <v>26</v>
      </c>
      <c r="C25" s="6" t="s">
        <v>96</v>
      </c>
      <c r="D25" s="4"/>
      <c r="E25" s="63">
        <v>1</v>
      </c>
      <c r="F25" s="64">
        <f>150.38*Table25[[#This Row],[Jun 15-Jul 30]]</f>
        <v>150.38</v>
      </c>
      <c r="G25" s="63">
        <v>1</v>
      </c>
      <c r="H25" s="64">
        <f>150.38*Table25[[#This Row],[Aug 15-Sep 30]]</f>
        <v>150.38</v>
      </c>
      <c r="I25" s="63">
        <v>1</v>
      </c>
      <c r="J25" s="64">
        <f>206.08*Table25[[#This Row],[Oct 15-Nov 30]]</f>
        <v>206.08</v>
      </c>
      <c r="K25" s="49">
        <v>1</v>
      </c>
      <c r="L25" s="50">
        <f>150.38*Table25[[#This Row],[Feb 1-Mar 15]]</f>
        <v>150.38</v>
      </c>
      <c r="M25" s="49">
        <v>1</v>
      </c>
      <c r="N25" s="50">
        <f>150.38*Table25[[#This Row],[Apr 1-May 15]]</f>
        <v>150.38</v>
      </c>
      <c r="O25">
        <f>(Table25[[#This Row],[Jun 15-Jul 30]]*Table25[[#This Row],[Jun 15-Jul 31]])+(Table25[[#This Row],[Aug 15-Sep 30]]*Table25[[#This Row],[Aug 15-Sep 31]])+(Table25[[#This Row],[Oct 15-Nov 30]]*Table25[[#This Row],[Oct 15-Nov 31]])+(Table25[[#This Row],[Feb 1-Mar 15]]*Table25[[#This Row],[Feb 1-Mar 16]])+(Table25[[#This Row],[Apr 1-May 15]]*Table25[[#This Row],[Apr 1-May 16]])</f>
        <v>807.6</v>
      </c>
      <c r="P25">
        <f>SUM(Table25[[#This Row],[Jun 15-Jul 30]]+Table25[[#This Row],[Aug 15-Sep 30]]+Table25[[#This Row],[Oct 15-Nov 30]]+Table25[[#This Row],[Feb 1-Mar 15]]+Table25[[#This Row],[Apr 1-May 15]])</f>
        <v>5</v>
      </c>
    </row>
    <row r="26" spans="1:17" x14ac:dyDescent="0.3">
      <c r="A26" s="32">
        <v>120087</v>
      </c>
      <c r="B26" s="31" t="s">
        <v>38</v>
      </c>
      <c r="C26" s="30" t="s">
        <v>182</v>
      </c>
      <c r="D26" s="29">
        <v>29.6</v>
      </c>
      <c r="E26" s="63">
        <v>1</v>
      </c>
      <c r="F26" s="64">
        <f>150.38*Table25[[#This Row],[Jun 15-Jul 30]]</f>
        <v>150.38</v>
      </c>
      <c r="G26" s="63">
        <v>1</v>
      </c>
      <c r="H26" s="64">
        <f>150.38*Table25[[#This Row],[Aug 15-Sep 30]]</f>
        <v>150.38</v>
      </c>
      <c r="I26" s="63">
        <v>1</v>
      </c>
      <c r="J26" s="64">
        <f>206.08*Table25[[#This Row],[Oct 15-Nov 30]]</f>
        <v>206.08</v>
      </c>
      <c r="K26" s="49">
        <v>1</v>
      </c>
      <c r="L26" s="50">
        <f>150.38*Table25[[#This Row],[Feb 1-Mar 15]]</f>
        <v>150.38</v>
      </c>
      <c r="M26" s="49">
        <v>1</v>
      </c>
      <c r="N26" s="50">
        <f>150.38*Table25[[#This Row],[Apr 1-May 15]]</f>
        <v>150.38</v>
      </c>
      <c r="O26">
        <f>(Table25[[#This Row],[Jun 15-Jul 30]]*Table25[[#This Row],[Jun 15-Jul 31]])+(Table25[[#This Row],[Aug 15-Sep 30]]*Table25[[#This Row],[Aug 15-Sep 31]])+(Table25[[#This Row],[Oct 15-Nov 30]]*Table25[[#This Row],[Oct 15-Nov 31]])+(Table25[[#This Row],[Feb 1-Mar 15]]*Table25[[#This Row],[Feb 1-Mar 16]])+(Table25[[#This Row],[Apr 1-May 15]]*Table25[[#This Row],[Apr 1-May 16]])</f>
        <v>807.6</v>
      </c>
      <c r="P26">
        <f>SUM(Table25[[#This Row],[Jun 15-Jul 30]]+Table25[[#This Row],[Aug 15-Sep 30]]+Table25[[#This Row],[Oct 15-Nov 30]]+Table25[[#This Row],[Feb 1-Mar 15]]+Table25[[#This Row],[Apr 1-May 15]])</f>
        <v>5</v>
      </c>
      <c r="Q26">
        <f>Table25[[#This Row],[Total Cost]]/Table25[[#This Row],[Size]]</f>
        <v>27.283783783783782</v>
      </c>
    </row>
    <row r="27" spans="1:17" x14ac:dyDescent="0.3">
      <c r="A27" s="32">
        <v>120086</v>
      </c>
      <c r="B27" s="31" t="s">
        <v>38</v>
      </c>
      <c r="C27" s="30" t="s">
        <v>183</v>
      </c>
      <c r="D27" s="29">
        <v>30.1</v>
      </c>
      <c r="E27" s="63">
        <v>1</v>
      </c>
      <c r="F27" s="64">
        <f>150.38*Table25[[#This Row],[Jun 15-Jul 30]]</f>
        <v>150.38</v>
      </c>
      <c r="G27" s="63">
        <v>1</v>
      </c>
      <c r="H27" s="64">
        <f>150.38*Table25[[#This Row],[Aug 15-Sep 30]]</f>
        <v>150.38</v>
      </c>
      <c r="I27" s="63">
        <v>1</v>
      </c>
      <c r="J27" s="64">
        <f>206.08*Table25[[#This Row],[Oct 15-Nov 30]]</f>
        <v>206.08</v>
      </c>
      <c r="K27" s="49">
        <v>1</v>
      </c>
      <c r="L27" s="50">
        <f>150.38*Table25[[#This Row],[Feb 1-Mar 15]]</f>
        <v>150.38</v>
      </c>
      <c r="M27" s="49">
        <v>1</v>
      </c>
      <c r="N27" s="50">
        <f>150.38*Table25[[#This Row],[Apr 1-May 15]]</f>
        <v>150.38</v>
      </c>
      <c r="O27">
        <f>(Table25[[#This Row],[Jun 15-Jul 30]]*Table25[[#This Row],[Jun 15-Jul 31]])+(Table25[[#This Row],[Aug 15-Sep 30]]*Table25[[#This Row],[Aug 15-Sep 31]])+(Table25[[#This Row],[Oct 15-Nov 30]]*Table25[[#This Row],[Oct 15-Nov 31]])+(Table25[[#This Row],[Feb 1-Mar 15]]*Table25[[#This Row],[Feb 1-Mar 16]])+(Table25[[#This Row],[Apr 1-May 15]]*Table25[[#This Row],[Apr 1-May 16]])</f>
        <v>807.6</v>
      </c>
      <c r="P27">
        <f>SUM(Table25[[#This Row],[Jun 15-Jul 30]]+Table25[[#This Row],[Aug 15-Sep 30]]+Table25[[#This Row],[Oct 15-Nov 30]]+Table25[[#This Row],[Feb 1-Mar 15]]+Table25[[#This Row],[Apr 1-May 15]])</f>
        <v>5</v>
      </c>
      <c r="Q27">
        <f>Table25[[#This Row],[Total Cost]]/Table25[[#This Row],[Size]]</f>
        <v>26.830564784053156</v>
      </c>
    </row>
    <row r="28" spans="1:17" x14ac:dyDescent="0.3">
      <c r="A28" s="32">
        <v>130015</v>
      </c>
      <c r="B28" s="31" t="s">
        <v>50</v>
      </c>
      <c r="C28" s="30" t="s">
        <v>166</v>
      </c>
      <c r="D28" s="29">
        <v>30.3</v>
      </c>
      <c r="E28" s="49">
        <v>0</v>
      </c>
      <c r="F28" s="50">
        <f>150.38*Table25[[#This Row],[Jun 15-Jul 30]]</f>
        <v>0</v>
      </c>
      <c r="G28" s="63">
        <v>1</v>
      </c>
      <c r="H28" s="64">
        <f>150.38*Table25[[#This Row],[Aug 15-Sep 30]]</f>
        <v>150.38</v>
      </c>
      <c r="I28" s="63">
        <v>1</v>
      </c>
      <c r="J28" s="64">
        <f>206.08*Table25[[#This Row],[Oct 15-Nov 30]]</f>
        <v>206.08</v>
      </c>
      <c r="K28" s="49">
        <v>1</v>
      </c>
      <c r="L28" s="50">
        <f>150.38*Table25[[#This Row],[Feb 1-Mar 15]]</f>
        <v>150.38</v>
      </c>
      <c r="M28" s="49">
        <v>1</v>
      </c>
      <c r="N28" s="50">
        <f>150.38*Table25[[#This Row],[Apr 1-May 15]]</f>
        <v>150.38</v>
      </c>
      <c r="O28">
        <f>(Table25[[#This Row],[Jun 15-Jul 30]]*Table25[[#This Row],[Jun 15-Jul 31]])+(Table25[[#This Row],[Aug 15-Sep 30]]*Table25[[#This Row],[Aug 15-Sep 31]])+(Table25[[#This Row],[Oct 15-Nov 30]]*Table25[[#This Row],[Oct 15-Nov 31]])+(Table25[[#This Row],[Feb 1-Mar 15]]*Table25[[#This Row],[Feb 1-Mar 16]])+(Table25[[#This Row],[Apr 1-May 15]]*Table25[[#This Row],[Apr 1-May 16]])</f>
        <v>657.22</v>
      </c>
      <c r="P28">
        <f>SUM(Table25[[#This Row],[Jun 15-Jul 30]]+Table25[[#This Row],[Aug 15-Sep 30]]+Table25[[#This Row],[Oct 15-Nov 30]]+Table25[[#This Row],[Feb 1-Mar 15]]+Table25[[#This Row],[Apr 1-May 15]])</f>
        <v>4</v>
      </c>
      <c r="Q28">
        <f>Table25[[#This Row],[Total Cost]]/Table25[[#This Row],[Size]]</f>
        <v>21.690429042904292</v>
      </c>
    </row>
    <row r="29" spans="1:17" x14ac:dyDescent="0.3">
      <c r="A29" s="32">
        <v>120072</v>
      </c>
      <c r="B29" s="31" t="s">
        <v>37</v>
      </c>
      <c r="C29" s="30" t="s">
        <v>173</v>
      </c>
      <c r="D29" s="29">
        <v>30.6</v>
      </c>
      <c r="E29" s="63">
        <v>1</v>
      </c>
      <c r="F29" s="64">
        <f>150.38*Table25[[#This Row],[Jun 15-Jul 30]]</f>
        <v>150.38</v>
      </c>
      <c r="G29" s="63">
        <v>1</v>
      </c>
      <c r="H29" s="64">
        <f>150.38*Table25[[#This Row],[Aug 15-Sep 30]]</f>
        <v>150.38</v>
      </c>
      <c r="I29" s="63">
        <v>1</v>
      </c>
      <c r="J29" s="64">
        <f>206.08*Table25[[#This Row],[Oct 15-Nov 30]]</f>
        <v>206.08</v>
      </c>
      <c r="K29" s="49">
        <v>1</v>
      </c>
      <c r="L29" s="50">
        <f>150.38*Table25[[#This Row],[Feb 1-Mar 15]]</f>
        <v>150.38</v>
      </c>
      <c r="M29" s="49">
        <v>1</v>
      </c>
      <c r="N29" s="50">
        <f>150.38*Table25[[#This Row],[Apr 1-May 15]]</f>
        <v>150.38</v>
      </c>
      <c r="O29">
        <f>(Table25[[#This Row],[Jun 15-Jul 30]]*Table25[[#This Row],[Jun 15-Jul 31]])+(Table25[[#This Row],[Aug 15-Sep 30]]*Table25[[#This Row],[Aug 15-Sep 31]])+(Table25[[#This Row],[Oct 15-Nov 30]]*Table25[[#This Row],[Oct 15-Nov 31]])+(Table25[[#This Row],[Feb 1-Mar 15]]*Table25[[#This Row],[Feb 1-Mar 16]])+(Table25[[#This Row],[Apr 1-May 15]]*Table25[[#This Row],[Apr 1-May 16]])</f>
        <v>807.6</v>
      </c>
      <c r="P29">
        <f>SUM(Table25[[#This Row],[Jun 15-Jul 30]]+Table25[[#This Row],[Aug 15-Sep 30]]+Table25[[#This Row],[Oct 15-Nov 30]]+Table25[[#This Row],[Feb 1-Mar 15]]+Table25[[#This Row],[Apr 1-May 15]])</f>
        <v>5</v>
      </c>
      <c r="Q29">
        <f>Table25[[#This Row],[Total Cost]]/Table25[[#This Row],[Size]]</f>
        <v>26.392156862745097</v>
      </c>
    </row>
    <row r="30" spans="1:17" x14ac:dyDescent="0.3">
      <c r="A30" s="32">
        <v>120099</v>
      </c>
      <c r="B30" s="31" t="s">
        <v>36</v>
      </c>
      <c r="C30" s="30" t="s">
        <v>124</v>
      </c>
      <c r="D30" s="29">
        <v>30.6</v>
      </c>
      <c r="E30" s="63">
        <v>1</v>
      </c>
      <c r="F30" s="64">
        <f>150.38*Table25[[#This Row],[Jun 15-Jul 30]]</f>
        <v>150.38</v>
      </c>
      <c r="G30" s="63">
        <v>1</v>
      </c>
      <c r="H30" s="64">
        <f>150.38*Table25[[#This Row],[Aug 15-Sep 30]]</f>
        <v>150.38</v>
      </c>
      <c r="I30" s="63">
        <v>1</v>
      </c>
      <c r="J30" s="64">
        <f>206.08*Table25[[#This Row],[Oct 15-Nov 30]]</f>
        <v>206.08</v>
      </c>
      <c r="K30" s="49">
        <v>1</v>
      </c>
      <c r="L30" s="50">
        <f>150.38*Table25[[#This Row],[Feb 1-Mar 15]]</f>
        <v>150.38</v>
      </c>
      <c r="M30" s="49">
        <v>1</v>
      </c>
      <c r="N30" s="50">
        <f>150.38*Table25[[#This Row],[Apr 1-May 15]]</f>
        <v>150.38</v>
      </c>
      <c r="O30">
        <f>(Table25[[#This Row],[Jun 15-Jul 30]]*Table25[[#This Row],[Jun 15-Jul 31]])+(Table25[[#This Row],[Aug 15-Sep 30]]*Table25[[#This Row],[Aug 15-Sep 31]])+(Table25[[#This Row],[Oct 15-Nov 30]]*Table25[[#This Row],[Oct 15-Nov 31]])+(Table25[[#This Row],[Feb 1-Mar 15]]*Table25[[#This Row],[Feb 1-Mar 16]])+(Table25[[#This Row],[Apr 1-May 15]]*Table25[[#This Row],[Apr 1-May 16]])</f>
        <v>807.6</v>
      </c>
      <c r="P30">
        <f>SUM(Table25[[#This Row],[Jun 15-Jul 30]]+Table25[[#This Row],[Aug 15-Sep 30]]+Table25[[#This Row],[Oct 15-Nov 30]]+Table25[[#This Row],[Feb 1-Mar 15]]+Table25[[#This Row],[Apr 1-May 15]])</f>
        <v>5</v>
      </c>
      <c r="Q30">
        <f>Table25[[#This Row],[Total Cost]]/Table25[[#This Row],[Size]]</f>
        <v>26.392156862745097</v>
      </c>
    </row>
    <row r="31" spans="1:17" x14ac:dyDescent="0.3">
      <c r="A31" s="32">
        <v>120085</v>
      </c>
      <c r="B31" s="31" t="s">
        <v>38</v>
      </c>
      <c r="C31" s="30" t="s">
        <v>180</v>
      </c>
      <c r="D31" s="29">
        <v>31.1</v>
      </c>
      <c r="E31" s="63">
        <v>1</v>
      </c>
      <c r="F31" s="64">
        <f>150.38*Table25[[#This Row],[Jun 15-Jul 30]]</f>
        <v>150.38</v>
      </c>
      <c r="G31" s="63">
        <v>1</v>
      </c>
      <c r="H31" s="64">
        <f>150.38*Table25[[#This Row],[Aug 15-Sep 30]]</f>
        <v>150.38</v>
      </c>
      <c r="I31" s="63">
        <v>1</v>
      </c>
      <c r="J31" s="64">
        <f>206.08*Table25[[#This Row],[Oct 15-Nov 30]]</f>
        <v>206.08</v>
      </c>
      <c r="K31" s="49">
        <v>1</v>
      </c>
      <c r="L31" s="50">
        <f>150.38*Table25[[#This Row],[Feb 1-Mar 15]]</f>
        <v>150.38</v>
      </c>
      <c r="M31" s="49">
        <v>1</v>
      </c>
      <c r="N31" s="50">
        <f>150.38*Table25[[#This Row],[Apr 1-May 15]]</f>
        <v>150.38</v>
      </c>
      <c r="O31">
        <f>(Table25[[#This Row],[Jun 15-Jul 30]]*Table25[[#This Row],[Jun 15-Jul 31]])+(Table25[[#This Row],[Aug 15-Sep 30]]*Table25[[#This Row],[Aug 15-Sep 31]])+(Table25[[#This Row],[Oct 15-Nov 30]]*Table25[[#This Row],[Oct 15-Nov 31]])+(Table25[[#This Row],[Feb 1-Mar 15]]*Table25[[#This Row],[Feb 1-Mar 16]])+(Table25[[#This Row],[Apr 1-May 15]]*Table25[[#This Row],[Apr 1-May 16]])</f>
        <v>807.6</v>
      </c>
      <c r="P31">
        <f>SUM(Table25[[#This Row],[Jun 15-Jul 30]]+Table25[[#This Row],[Aug 15-Sep 30]]+Table25[[#This Row],[Oct 15-Nov 30]]+Table25[[#This Row],[Feb 1-Mar 15]]+Table25[[#This Row],[Apr 1-May 15]])</f>
        <v>5</v>
      </c>
      <c r="Q31">
        <f>Table25[[#This Row],[Total Cost]]/Table25[[#This Row],[Size]]</f>
        <v>25.967845659163988</v>
      </c>
    </row>
    <row r="32" spans="1:17" x14ac:dyDescent="0.3">
      <c r="A32" s="32">
        <v>130017</v>
      </c>
      <c r="B32" s="31" t="s">
        <v>50</v>
      </c>
      <c r="C32" s="30" t="s">
        <v>167</v>
      </c>
      <c r="D32" s="29">
        <v>33.200000000000003</v>
      </c>
      <c r="E32" s="49">
        <v>0</v>
      </c>
      <c r="F32" s="50">
        <f>150.38*Table25[[#This Row],[Jun 15-Jul 30]]</f>
        <v>0</v>
      </c>
      <c r="G32" s="63">
        <v>1</v>
      </c>
      <c r="H32" s="64">
        <f>150.38*Table25[[#This Row],[Aug 15-Sep 30]]</f>
        <v>150.38</v>
      </c>
      <c r="I32" s="63">
        <v>1</v>
      </c>
      <c r="J32" s="64">
        <f>206.08*Table25[[#This Row],[Oct 15-Nov 30]]</f>
        <v>206.08</v>
      </c>
      <c r="K32" s="49">
        <v>1</v>
      </c>
      <c r="L32" s="50">
        <f>150.38*Table25[[#This Row],[Feb 1-Mar 15]]</f>
        <v>150.38</v>
      </c>
      <c r="M32" s="49">
        <v>1</v>
      </c>
      <c r="N32" s="50">
        <f>150.38*Table25[[#This Row],[Apr 1-May 15]]</f>
        <v>150.38</v>
      </c>
      <c r="O32">
        <f>(Table25[[#This Row],[Jun 15-Jul 30]]*Table25[[#This Row],[Jun 15-Jul 31]])+(Table25[[#This Row],[Aug 15-Sep 30]]*Table25[[#This Row],[Aug 15-Sep 31]])+(Table25[[#This Row],[Oct 15-Nov 30]]*Table25[[#This Row],[Oct 15-Nov 31]])+(Table25[[#This Row],[Feb 1-Mar 15]]*Table25[[#This Row],[Feb 1-Mar 16]])+(Table25[[#This Row],[Apr 1-May 15]]*Table25[[#This Row],[Apr 1-May 16]])</f>
        <v>657.22</v>
      </c>
      <c r="P32">
        <f>SUM(Table25[[#This Row],[Jun 15-Jul 30]]+Table25[[#This Row],[Aug 15-Sep 30]]+Table25[[#This Row],[Oct 15-Nov 30]]+Table25[[#This Row],[Feb 1-Mar 15]]+Table25[[#This Row],[Apr 1-May 15]])</f>
        <v>4</v>
      </c>
      <c r="Q32">
        <f>Table25[[#This Row],[Total Cost]]/Table25[[#This Row],[Size]]</f>
        <v>19.795783132530119</v>
      </c>
    </row>
    <row r="33" spans="1:17" x14ac:dyDescent="0.3">
      <c r="A33" s="32">
        <v>120084</v>
      </c>
      <c r="B33" s="31" t="s">
        <v>38</v>
      </c>
      <c r="C33" s="30" t="s">
        <v>181</v>
      </c>
      <c r="D33" s="29">
        <v>33.6</v>
      </c>
      <c r="E33" s="63">
        <v>1</v>
      </c>
      <c r="F33" s="64">
        <f>150.38*Table25[[#This Row],[Jun 15-Jul 30]]</f>
        <v>150.38</v>
      </c>
      <c r="G33" s="63">
        <v>1</v>
      </c>
      <c r="H33" s="64">
        <f>150.38*Table25[[#This Row],[Aug 15-Sep 30]]</f>
        <v>150.38</v>
      </c>
      <c r="I33" s="63">
        <v>1</v>
      </c>
      <c r="J33" s="64">
        <f>206.08*Table25[[#This Row],[Oct 15-Nov 30]]</f>
        <v>206.08</v>
      </c>
      <c r="K33" s="49">
        <v>1</v>
      </c>
      <c r="L33" s="50">
        <f>150.38*Table25[[#This Row],[Feb 1-Mar 15]]</f>
        <v>150.38</v>
      </c>
      <c r="M33" s="49">
        <v>1</v>
      </c>
      <c r="N33" s="50">
        <f>150.38*Table25[[#This Row],[Apr 1-May 15]]</f>
        <v>150.38</v>
      </c>
      <c r="O33">
        <f>(Table25[[#This Row],[Jun 15-Jul 30]]*Table25[[#This Row],[Jun 15-Jul 31]])+(Table25[[#This Row],[Aug 15-Sep 30]]*Table25[[#This Row],[Aug 15-Sep 31]])+(Table25[[#This Row],[Oct 15-Nov 30]]*Table25[[#This Row],[Oct 15-Nov 31]])+(Table25[[#This Row],[Feb 1-Mar 15]]*Table25[[#This Row],[Feb 1-Mar 16]])+(Table25[[#This Row],[Apr 1-May 15]]*Table25[[#This Row],[Apr 1-May 16]])</f>
        <v>807.6</v>
      </c>
      <c r="P33">
        <f>SUM(Table25[[#This Row],[Jun 15-Jul 30]]+Table25[[#This Row],[Aug 15-Sep 30]]+Table25[[#This Row],[Oct 15-Nov 30]]+Table25[[#This Row],[Feb 1-Mar 15]]+Table25[[#This Row],[Apr 1-May 15]])</f>
        <v>5</v>
      </c>
      <c r="Q33">
        <f>Table25[[#This Row],[Total Cost]]/Table25[[#This Row],[Size]]</f>
        <v>24.035714285714285</v>
      </c>
    </row>
    <row r="34" spans="1:17" x14ac:dyDescent="0.3">
      <c r="A34" s="32">
        <v>120082</v>
      </c>
      <c r="B34" s="31" t="s">
        <v>38</v>
      </c>
      <c r="C34" s="30" t="s">
        <v>178</v>
      </c>
      <c r="D34" s="29">
        <v>35.299999999999997</v>
      </c>
      <c r="E34" s="63">
        <v>1</v>
      </c>
      <c r="F34" s="64">
        <f>150.38*Table25[[#This Row],[Jun 15-Jul 30]]</f>
        <v>150.38</v>
      </c>
      <c r="G34" s="63">
        <v>1</v>
      </c>
      <c r="H34" s="64">
        <f>150.38*Table25[[#This Row],[Aug 15-Sep 30]]</f>
        <v>150.38</v>
      </c>
      <c r="I34" s="63">
        <v>1</v>
      </c>
      <c r="J34" s="64">
        <f>206.08*Table25[[#This Row],[Oct 15-Nov 30]]</f>
        <v>206.08</v>
      </c>
      <c r="K34" s="49">
        <v>1</v>
      </c>
      <c r="L34" s="50">
        <f>150.38*Table25[[#This Row],[Feb 1-Mar 15]]</f>
        <v>150.38</v>
      </c>
      <c r="M34" s="49">
        <v>1</v>
      </c>
      <c r="N34" s="50">
        <f>150.38*Table25[[#This Row],[Apr 1-May 15]]</f>
        <v>150.38</v>
      </c>
      <c r="O34">
        <f>(Table25[[#This Row],[Jun 15-Jul 30]]*Table25[[#This Row],[Jun 15-Jul 31]])+(Table25[[#This Row],[Aug 15-Sep 30]]*Table25[[#This Row],[Aug 15-Sep 31]])+(Table25[[#This Row],[Oct 15-Nov 30]]*Table25[[#This Row],[Oct 15-Nov 31]])+(Table25[[#This Row],[Feb 1-Mar 15]]*Table25[[#This Row],[Feb 1-Mar 16]])+(Table25[[#This Row],[Apr 1-May 15]]*Table25[[#This Row],[Apr 1-May 16]])</f>
        <v>807.6</v>
      </c>
      <c r="P34">
        <f>SUM(Table25[[#This Row],[Jun 15-Jul 30]]+Table25[[#This Row],[Aug 15-Sep 30]]+Table25[[#This Row],[Oct 15-Nov 30]]+Table25[[#This Row],[Feb 1-Mar 15]]+Table25[[#This Row],[Apr 1-May 15]])</f>
        <v>5</v>
      </c>
      <c r="Q34">
        <f>Table25[[#This Row],[Total Cost]]/Table25[[#This Row],[Size]]</f>
        <v>22.878186968838531</v>
      </c>
    </row>
    <row r="35" spans="1:17" x14ac:dyDescent="0.3">
      <c r="A35" s="32">
        <v>120076</v>
      </c>
      <c r="B35" s="31" t="s">
        <v>37</v>
      </c>
      <c r="C35" s="30" t="s">
        <v>171</v>
      </c>
      <c r="D35" s="29">
        <v>35.700000000000003</v>
      </c>
      <c r="E35" s="63">
        <v>1</v>
      </c>
      <c r="F35" s="64">
        <f>150.38*Table25[[#This Row],[Jun 15-Jul 30]]</f>
        <v>150.38</v>
      </c>
      <c r="G35" s="63">
        <v>1</v>
      </c>
      <c r="H35" s="64">
        <f>150.38*Table25[[#This Row],[Aug 15-Sep 30]]</f>
        <v>150.38</v>
      </c>
      <c r="I35" s="63">
        <v>1</v>
      </c>
      <c r="J35" s="64">
        <f>206.08*Table25[[#This Row],[Oct 15-Nov 30]]</f>
        <v>206.08</v>
      </c>
      <c r="K35" s="49">
        <v>1</v>
      </c>
      <c r="L35" s="50">
        <f>150.38*Table25[[#This Row],[Feb 1-Mar 15]]</f>
        <v>150.38</v>
      </c>
      <c r="M35" s="49">
        <v>1</v>
      </c>
      <c r="N35" s="50">
        <f>150.38*Table25[[#This Row],[Apr 1-May 15]]</f>
        <v>150.38</v>
      </c>
      <c r="O35">
        <f>(Table25[[#This Row],[Jun 15-Jul 30]]*Table25[[#This Row],[Jun 15-Jul 31]])+(Table25[[#This Row],[Aug 15-Sep 30]]*Table25[[#This Row],[Aug 15-Sep 31]])+(Table25[[#This Row],[Oct 15-Nov 30]]*Table25[[#This Row],[Oct 15-Nov 31]])+(Table25[[#This Row],[Feb 1-Mar 15]]*Table25[[#This Row],[Feb 1-Mar 16]])+(Table25[[#This Row],[Apr 1-May 15]]*Table25[[#This Row],[Apr 1-May 16]])</f>
        <v>807.6</v>
      </c>
      <c r="P35">
        <f>SUM(Table25[[#This Row],[Jun 15-Jul 30]]+Table25[[#This Row],[Aug 15-Sep 30]]+Table25[[#This Row],[Oct 15-Nov 30]]+Table25[[#This Row],[Feb 1-Mar 15]]+Table25[[#This Row],[Apr 1-May 15]])</f>
        <v>5</v>
      </c>
      <c r="Q35">
        <f>Table25[[#This Row],[Total Cost]]/Table25[[#This Row],[Size]]</f>
        <v>22.621848739495796</v>
      </c>
    </row>
    <row r="36" spans="1:17" x14ac:dyDescent="0.3">
      <c r="A36" s="32">
        <v>120088</v>
      </c>
      <c r="B36" s="31" t="s">
        <v>39</v>
      </c>
      <c r="C36" s="30" t="s">
        <v>115</v>
      </c>
      <c r="D36" s="29">
        <v>36.1</v>
      </c>
      <c r="E36" s="63">
        <v>1</v>
      </c>
      <c r="F36" s="64">
        <f>150.38*Table25[[#This Row],[Jun 15-Jul 30]]</f>
        <v>150.38</v>
      </c>
      <c r="G36" s="63">
        <v>1</v>
      </c>
      <c r="H36" s="64">
        <f>150.38*Table25[[#This Row],[Aug 15-Sep 30]]</f>
        <v>150.38</v>
      </c>
      <c r="I36" s="63">
        <v>1</v>
      </c>
      <c r="J36" s="64">
        <f>206.08*Table25[[#This Row],[Oct 15-Nov 30]]</f>
        <v>206.08</v>
      </c>
      <c r="K36" s="49">
        <v>1</v>
      </c>
      <c r="L36" s="50">
        <f>150.38*Table25[[#This Row],[Feb 1-Mar 15]]</f>
        <v>150.38</v>
      </c>
      <c r="M36" s="49">
        <v>1</v>
      </c>
      <c r="N36" s="50">
        <f>150.38*Table25[[#This Row],[Apr 1-May 15]]</f>
        <v>150.38</v>
      </c>
      <c r="O36">
        <f>(Table25[[#This Row],[Jun 15-Jul 30]]*Table25[[#This Row],[Jun 15-Jul 31]])+(Table25[[#This Row],[Aug 15-Sep 30]]*Table25[[#This Row],[Aug 15-Sep 31]])+(Table25[[#This Row],[Oct 15-Nov 30]]*Table25[[#This Row],[Oct 15-Nov 31]])+(Table25[[#This Row],[Feb 1-Mar 15]]*Table25[[#This Row],[Feb 1-Mar 16]])+(Table25[[#This Row],[Apr 1-May 15]]*Table25[[#This Row],[Apr 1-May 16]])</f>
        <v>807.6</v>
      </c>
      <c r="P36">
        <f>SUM(Table25[[#This Row],[Jun 15-Jul 30]]+Table25[[#This Row],[Aug 15-Sep 30]]+Table25[[#This Row],[Oct 15-Nov 30]]+Table25[[#This Row],[Feb 1-Mar 15]]+Table25[[#This Row],[Apr 1-May 15]])</f>
        <v>5</v>
      </c>
      <c r="Q36">
        <f>Table25[[#This Row],[Total Cost]]/Table25[[#This Row],[Size]]</f>
        <v>22.371191135734072</v>
      </c>
    </row>
    <row r="37" spans="1:17" x14ac:dyDescent="0.3">
      <c r="A37" s="32">
        <v>120060</v>
      </c>
      <c r="B37" s="31" t="s">
        <v>31</v>
      </c>
      <c r="C37" s="30" t="s">
        <v>88</v>
      </c>
      <c r="D37" s="29">
        <v>36.9</v>
      </c>
      <c r="E37" s="63">
        <v>1</v>
      </c>
      <c r="F37" s="64">
        <f>150.38*Table25[[#This Row],[Jun 15-Jul 30]]</f>
        <v>150.38</v>
      </c>
      <c r="G37" s="63">
        <v>1</v>
      </c>
      <c r="H37" s="64">
        <f>150.38*Table25[[#This Row],[Aug 15-Sep 30]]</f>
        <v>150.38</v>
      </c>
      <c r="I37" s="63">
        <v>1</v>
      </c>
      <c r="J37" s="64">
        <f>206.08*Table25[[#This Row],[Oct 15-Nov 30]]</f>
        <v>206.08</v>
      </c>
      <c r="K37" s="49">
        <v>1</v>
      </c>
      <c r="L37" s="50">
        <f>150.38*Table25[[#This Row],[Feb 1-Mar 15]]</f>
        <v>150.38</v>
      </c>
      <c r="M37" s="49">
        <v>1</v>
      </c>
      <c r="N37" s="50">
        <f>150.38*Table25[[#This Row],[Apr 1-May 15]]</f>
        <v>150.38</v>
      </c>
      <c r="O37">
        <f>(Table25[[#This Row],[Jun 15-Jul 30]]*Table25[[#This Row],[Jun 15-Jul 31]])+(Table25[[#This Row],[Aug 15-Sep 30]]*Table25[[#This Row],[Aug 15-Sep 31]])+(Table25[[#This Row],[Oct 15-Nov 30]]*Table25[[#This Row],[Oct 15-Nov 31]])+(Table25[[#This Row],[Feb 1-Mar 15]]*Table25[[#This Row],[Feb 1-Mar 16]])+(Table25[[#This Row],[Apr 1-May 15]]*Table25[[#This Row],[Apr 1-May 16]])</f>
        <v>807.6</v>
      </c>
      <c r="P37">
        <f>SUM(Table25[[#This Row],[Jun 15-Jul 30]]+Table25[[#This Row],[Aug 15-Sep 30]]+Table25[[#This Row],[Oct 15-Nov 30]]+Table25[[#This Row],[Feb 1-Mar 15]]+Table25[[#This Row],[Apr 1-May 15]])</f>
        <v>5</v>
      </c>
      <c r="Q37">
        <f>Table25[[#This Row],[Total Cost]]/Table25[[#This Row],[Size]]</f>
        <v>21.886178861788618</v>
      </c>
    </row>
    <row r="38" spans="1:17" x14ac:dyDescent="0.3">
      <c r="A38" s="32">
        <v>120081</v>
      </c>
      <c r="B38" s="31" t="s">
        <v>38</v>
      </c>
      <c r="C38" s="30" t="s">
        <v>177</v>
      </c>
      <c r="D38" s="29">
        <v>37.4</v>
      </c>
      <c r="E38" s="63">
        <v>1</v>
      </c>
      <c r="F38" s="64">
        <f>150.38*Table25[[#This Row],[Jun 15-Jul 30]]</f>
        <v>150.38</v>
      </c>
      <c r="G38" s="63">
        <v>1</v>
      </c>
      <c r="H38" s="64">
        <f>150.38*Table25[[#This Row],[Aug 15-Sep 30]]</f>
        <v>150.38</v>
      </c>
      <c r="I38" s="63">
        <v>1</v>
      </c>
      <c r="J38" s="64">
        <f>206.08*Table25[[#This Row],[Oct 15-Nov 30]]</f>
        <v>206.08</v>
      </c>
      <c r="K38" s="49">
        <v>1</v>
      </c>
      <c r="L38" s="50">
        <f>150.38*Table25[[#This Row],[Feb 1-Mar 15]]</f>
        <v>150.38</v>
      </c>
      <c r="M38" s="49">
        <v>1</v>
      </c>
      <c r="N38" s="50">
        <f>150.38*Table25[[#This Row],[Apr 1-May 15]]</f>
        <v>150.38</v>
      </c>
      <c r="O38">
        <f>(Table25[[#This Row],[Jun 15-Jul 30]]*Table25[[#This Row],[Jun 15-Jul 31]])+(Table25[[#This Row],[Aug 15-Sep 30]]*Table25[[#This Row],[Aug 15-Sep 31]])+(Table25[[#This Row],[Oct 15-Nov 30]]*Table25[[#This Row],[Oct 15-Nov 31]])+(Table25[[#This Row],[Feb 1-Mar 15]]*Table25[[#This Row],[Feb 1-Mar 16]])+(Table25[[#This Row],[Apr 1-May 15]]*Table25[[#This Row],[Apr 1-May 16]])</f>
        <v>807.6</v>
      </c>
      <c r="P38">
        <f>SUM(Table25[[#This Row],[Jun 15-Jul 30]]+Table25[[#This Row],[Aug 15-Sep 30]]+Table25[[#This Row],[Oct 15-Nov 30]]+Table25[[#This Row],[Feb 1-Mar 15]]+Table25[[#This Row],[Apr 1-May 15]])</f>
        <v>5</v>
      </c>
      <c r="Q38">
        <f>Table25[[#This Row],[Total Cost]]/Table25[[#This Row],[Size]]</f>
        <v>21.593582887700535</v>
      </c>
    </row>
    <row r="39" spans="1:17" x14ac:dyDescent="0.3">
      <c r="A39" s="32">
        <v>120075</v>
      </c>
      <c r="B39" s="31" t="s">
        <v>37</v>
      </c>
      <c r="C39" s="30" t="s">
        <v>172</v>
      </c>
      <c r="D39" s="29">
        <v>37.6</v>
      </c>
      <c r="E39" s="63">
        <v>1</v>
      </c>
      <c r="F39" s="64">
        <f>150.38*Table25[[#This Row],[Jun 15-Jul 30]]</f>
        <v>150.38</v>
      </c>
      <c r="G39" s="63">
        <v>1</v>
      </c>
      <c r="H39" s="64">
        <f>150.38*Table25[[#This Row],[Aug 15-Sep 30]]</f>
        <v>150.38</v>
      </c>
      <c r="I39" s="63">
        <v>1</v>
      </c>
      <c r="J39" s="64">
        <f>206.08*Table25[[#This Row],[Oct 15-Nov 30]]</f>
        <v>206.08</v>
      </c>
      <c r="K39" s="49">
        <v>1</v>
      </c>
      <c r="L39" s="50">
        <f>150.38*Table25[[#This Row],[Feb 1-Mar 15]]</f>
        <v>150.38</v>
      </c>
      <c r="M39" s="49">
        <v>1</v>
      </c>
      <c r="N39" s="50">
        <f>150.38*Table25[[#This Row],[Apr 1-May 15]]</f>
        <v>150.38</v>
      </c>
      <c r="O39">
        <f>(Table25[[#This Row],[Jun 15-Jul 30]]*Table25[[#This Row],[Jun 15-Jul 31]])+(Table25[[#This Row],[Aug 15-Sep 30]]*Table25[[#This Row],[Aug 15-Sep 31]])+(Table25[[#This Row],[Oct 15-Nov 30]]*Table25[[#This Row],[Oct 15-Nov 31]])+(Table25[[#This Row],[Feb 1-Mar 15]]*Table25[[#This Row],[Feb 1-Mar 16]])+(Table25[[#This Row],[Apr 1-May 15]]*Table25[[#This Row],[Apr 1-May 16]])</f>
        <v>807.6</v>
      </c>
      <c r="P39">
        <f>SUM(Table25[[#This Row],[Jun 15-Jul 30]]+Table25[[#This Row],[Aug 15-Sep 30]]+Table25[[#This Row],[Oct 15-Nov 30]]+Table25[[#This Row],[Feb 1-Mar 15]]+Table25[[#This Row],[Apr 1-May 15]])</f>
        <v>5</v>
      </c>
      <c r="Q39">
        <f>Table25[[#This Row],[Total Cost]]/Table25[[#This Row],[Size]]</f>
        <v>21.478723404255319</v>
      </c>
    </row>
    <row r="40" spans="1:17" x14ac:dyDescent="0.3">
      <c r="A40" s="19">
        <v>120214</v>
      </c>
      <c r="B40" s="18" t="s">
        <v>50</v>
      </c>
      <c r="C40" s="26" t="s">
        <v>170</v>
      </c>
      <c r="D40" s="29">
        <v>38</v>
      </c>
      <c r="E40" s="49">
        <v>0</v>
      </c>
      <c r="F40" s="50">
        <f>150.38*Table25[[#This Row],[Jun 15-Jul 30]]</f>
        <v>0</v>
      </c>
      <c r="G40" s="49">
        <v>0</v>
      </c>
      <c r="H40" s="50">
        <f>150.38*Table25[[#This Row],[Aug 15-Sep 30]]</f>
        <v>0</v>
      </c>
      <c r="I40" s="49">
        <v>0</v>
      </c>
      <c r="J40" s="50">
        <f>206.08*Table25[[#This Row],[Oct 15-Nov 30]]</f>
        <v>0</v>
      </c>
      <c r="K40" s="49">
        <v>0</v>
      </c>
      <c r="L40" s="50">
        <f>150.38*Table25[[#This Row],[Feb 1-Mar 15]]</f>
        <v>0</v>
      </c>
      <c r="M40" s="49">
        <v>1</v>
      </c>
      <c r="N40" s="50">
        <f>150.38*Table25[[#This Row],[Apr 1-May 15]]</f>
        <v>150.38</v>
      </c>
      <c r="O40">
        <f>(Table25[[#This Row],[Jun 15-Jul 30]]*Table25[[#This Row],[Jun 15-Jul 31]])+(Table25[[#This Row],[Aug 15-Sep 30]]*Table25[[#This Row],[Aug 15-Sep 31]])+(Table25[[#This Row],[Oct 15-Nov 30]]*Table25[[#This Row],[Oct 15-Nov 31]])+(Table25[[#This Row],[Feb 1-Mar 15]]*Table25[[#This Row],[Feb 1-Mar 16]])+(Table25[[#This Row],[Apr 1-May 15]]*Table25[[#This Row],[Apr 1-May 16]])</f>
        <v>150.38</v>
      </c>
      <c r="P40">
        <f>SUM(Table25[[#This Row],[Jun 15-Jul 30]]+Table25[[#This Row],[Aug 15-Sep 30]]+Table25[[#This Row],[Oct 15-Nov 30]]+Table25[[#This Row],[Feb 1-Mar 15]]+Table25[[#This Row],[Apr 1-May 15]])</f>
        <v>1</v>
      </c>
      <c r="Q40">
        <f>Table25[[#This Row],[Total Cost]]/Table25[[#This Row],[Size]]</f>
        <v>3.9573684210526316</v>
      </c>
    </row>
    <row r="41" spans="1:17" x14ac:dyDescent="0.3">
      <c r="A41" s="32">
        <v>120083</v>
      </c>
      <c r="B41" s="31" t="s">
        <v>38</v>
      </c>
      <c r="C41" s="30" t="s">
        <v>179</v>
      </c>
      <c r="D41" s="29">
        <v>38.299999999999997</v>
      </c>
      <c r="E41" s="63">
        <v>1</v>
      </c>
      <c r="F41" s="64">
        <f>150.38*Table25[[#This Row],[Jun 15-Jul 30]]</f>
        <v>150.38</v>
      </c>
      <c r="G41" s="63">
        <v>1</v>
      </c>
      <c r="H41" s="64">
        <f>150.38*Table25[[#This Row],[Aug 15-Sep 30]]</f>
        <v>150.38</v>
      </c>
      <c r="I41" s="63">
        <v>1</v>
      </c>
      <c r="J41" s="64">
        <f>206.08*Table25[[#This Row],[Oct 15-Nov 30]]</f>
        <v>206.08</v>
      </c>
      <c r="K41" s="49">
        <v>1</v>
      </c>
      <c r="L41" s="50">
        <f>150.38*Table25[[#This Row],[Feb 1-Mar 15]]</f>
        <v>150.38</v>
      </c>
      <c r="M41" s="49">
        <v>1</v>
      </c>
      <c r="N41" s="50">
        <f>150.38*Table25[[#This Row],[Apr 1-May 15]]</f>
        <v>150.38</v>
      </c>
      <c r="O41">
        <f>(Table25[[#This Row],[Jun 15-Jul 30]]*Table25[[#This Row],[Jun 15-Jul 31]])+(Table25[[#This Row],[Aug 15-Sep 30]]*Table25[[#This Row],[Aug 15-Sep 31]])+(Table25[[#This Row],[Oct 15-Nov 30]]*Table25[[#This Row],[Oct 15-Nov 31]])+(Table25[[#This Row],[Feb 1-Mar 15]]*Table25[[#This Row],[Feb 1-Mar 16]])+(Table25[[#This Row],[Apr 1-May 15]]*Table25[[#This Row],[Apr 1-May 16]])</f>
        <v>807.6</v>
      </c>
      <c r="P41">
        <f>SUM(Table25[[#This Row],[Jun 15-Jul 30]]+Table25[[#This Row],[Aug 15-Sep 30]]+Table25[[#This Row],[Oct 15-Nov 30]]+Table25[[#This Row],[Feb 1-Mar 15]]+Table25[[#This Row],[Apr 1-May 15]])</f>
        <v>5</v>
      </c>
      <c r="Q41">
        <f>Table25[[#This Row],[Total Cost]]/Table25[[#This Row],[Size]]</f>
        <v>21.086161879895563</v>
      </c>
    </row>
    <row r="42" spans="1:17" x14ac:dyDescent="0.3">
      <c r="A42" s="32">
        <v>120080</v>
      </c>
      <c r="B42" s="31" t="s">
        <v>38</v>
      </c>
      <c r="C42" s="30" t="s">
        <v>176</v>
      </c>
      <c r="D42" s="29">
        <v>42.1</v>
      </c>
      <c r="E42" s="63">
        <v>1</v>
      </c>
      <c r="F42" s="64">
        <f>150.38*Table25[[#This Row],[Jun 15-Jul 30]]</f>
        <v>150.38</v>
      </c>
      <c r="G42" s="63">
        <v>1</v>
      </c>
      <c r="H42" s="64">
        <f>150.38*Table25[[#This Row],[Aug 15-Sep 30]]</f>
        <v>150.38</v>
      </c>
      <c r="I42" s="63">
        <v>1</v>
      </c>
      <c r="J42" s="64">
        <f>206.08*Table25[[#This Row],[Oct 15-Nov 30]]</f>
        <v>206.08</v>
      </c>
      <c r="K42" s="49">
        <v>1</v>
      </c>
      <c r="L42" s="50">
        <f>150.38*Table25[[#This Row],[Feb 1-Mar 15]]</f>
        <v>150.38</v>
      </c>
      <c r="M42" s="49">
        <v>1</v>
      </c>
      <c r="N42" s="50">
        <f>150.38*Table25[[#This Row],[Apr 1-May 15]]</f>
        <v>150.38</v>
      </c>
      <c r="O42">
        <f>(Table25[[#This Row],[Jun 15-Jul 30]]*Table25[[#This Row],[Jun 15-Jul 31]])+(Table25[[#This Row],[Aug 15-Sep 30]]*Table25[[#This Row],[Aug 15-Sep 31]])+(Table25[[#This Row],[Oct 15-Nov 30]]*Table25[[#This Row],[Oct 15-Nov 31]])+(Table25[[#This Row],[Feb 1-Mar 15]]*Table25[[#This Row],[Feb 1-Mar 16]])+(Table25[[#This Row],[Apr 1-May 15]]*Table25[[#This Row],[Apr 1-May 16]])</f>
        <v>807.6</v>
      </c>
      <c r="P42">
        <f>SUM(Table25[[#This Row],[Jun 15-Jul 30]]+Table25[[#This Row],[Aug 15-Sep 30]]+Table25[[#This Row],[Oct 15-Nov 30]]+Table25[[#This Row],[Feb 1-Mar 15]]+Table25[[#This Row],[Apr 1-May 15]])</f>
        <v>5</v>
      </c>
      <c r="Q42">
        <f>Table25[[#This Row],[Total Cost]]/Table25[[#This Row],[Size]]</f>
        <v>19.182897862232778</v>
      </c>
    </row>
    <row r="43" spans="1:17" x14ac:dyDescent="0.3">
      <c r="A43" s="32">
        <v>120074</v>
      </c>
      <c r="B43" s="31" t="s">
        <v>37</v>
      </c>
      <c r="C43" s="30" t="s">
        <v>174</v>
      </c>
      <c r="D43" s="29">
        <v>48.4</v>
      </c>
      <c r="E43" s="63">
        <v>1</v>
      </c>
      <c r="F43" s="64">
        <f>150.38*Table25[[#This Row],[Jun 15-Jul 30]]</f>
        <v>150.38</v>
      </c>
      <c r="G43" s="63">
        <v>1</v>
      </c>
      <c r="H43" s="64">
        <f>150.38*Table25[[#This Row],[Aug 15-Sep 30]]</f>
        <v>150.38</v>
      </c>
      <c r="I43" s="63">
        <v>1</v>
      </c>
      <c r="J43" s="64">
        <f>206.08*Table25[[#This Row],[Oct 15-Nov 30]]</f>
        <v>206.08</v>
      </c>
      <c r="K43" s="49">
        <v>1</v>
      </c>
      <c r="L43" s="50">
        <f>150.38*Table25[[#This Row],[Feb 1-Mar 15]]</f>
        <v>150.38</v>
      </c>
      <c r="M43" s="49">
        <v>1</v>
      </c>
      <c r="N43" s="50">
        <f>150.38*Table25[[#This Row],[Apr 1-May 15]]</f>
        <v>150.38</v>
      </c>
      <c r="O43">
        <f>(Table25[[#This Row],[Jun 15-Jul 30]]*Table25[[#This Row],[Jun 15-Jul 31]])+(Table25[[#This Row],[Aug 15-Sep 30]]*Table25[[#This Row],[Aug 15-Sep 31]])+(Table25[[#This Row],[Oct 15-Nov 30]]*Table25[[#This Row],[Oct 15-Nov 31]])+(Table25[[#This Row],[Feb 1-Mar 15]]*Table25[[#This Row],[Feb 1-Mar 16]])+(Table25[[#This Row],[Apr 1-May 15]]*Table25[[#This Row],[Apr 1-May 16]])</f>
        <v>807.6</v>
      </c>
      <c r="P43">
        <f>SUM(Table25[[#This Row],[Jun 15-Jul 30]]+Table25[[#This Row],[Aug 15-Sep 30]]+Table25[[#This Row],[Oct 15-Nov 30]]+Table25[[#This Row],[Feb 1-Mar 15]]+Table25[[#This Row],[Apr 1-May 15]])</f>
        <v>5</v>
      </c>
      <c r="Q43">
        <f>Table25[[#This Row],[Total Cost]]/Table25[[#This Row],[Size]]</f>
        <v>16.685950413223143</v>
      </c>
    </row>
    <row r="44" spans="1:17" x14ac:dyDescent="0.3">
      <c r="A44" s="32">
        <v>120073</v>
      </c>
      <c r="B44" s="31" t="s">
        <v>37</v>
      </c>
      <c r="C44" s="30" t="s">
        <v>175</v>
      </c>
      <c r="D44" s="29">
        <v>53.2</v>
      </c>
      <c r="E44" s="63">
        <v>1</v>
      </c>
      <c r="F44" s="64">
        <f>334.18*Table25[[#This Row],[Jun 15-Jul 30]]</f>
        <v>334.18</v>
      </c>
      <c r="G44" s="63">
        <v>1</v>
      </c>
      <c r="H44" s="64">
        <f>334.18*Table25[[#This Row],[Aug 15-Sep 30]]</f>
        <v>334.18</v>
      </c>
      <c r="I44" s="63">
        <v>1</v>
      </c>
      <c r="J44" s="64">
        <f>573.67*Table25[[#This Row],[Oct 15-Nov 30]]</f>
        <v>573.66999999999996</v>
      </c>
      <c r="K44" s="49">
        <v>1</v>
      </c>
      <c r="L44" s="50">
        <f>334.18*Table25[[#This Row],[Feb 1-Mar 15]]</f>
        <v>334.18</v>
      </c>
      <c r="M44" s="49">
        <v>1</v>
      </c>
      <c r="N44" s="50">
        <f>334.18*Table25[[#This Row],[Apr 1-May 15]]</f>
        <v>334.18</v>
      </c>
      <c r="O44">
        <f>(Table25[[#This Row],[Jun 15-Jul 30]]*Table25[[#This Row],[Jun 15-Jul 31]])+(Table25[[#This Row],[Aug 15-Sep 30]]*Table25[[#This Row],[Aug 15-Sep 31]])+(Table25[[#This Row],[Oct 15-Nov 30]]*Table25[[#This Row],[Oct 15-Nov 31]])+(Table25[[#This Row],[Feb 1-Mar 15]]*Table25[[#This Row],[Feb 1-Mar 16]])+(Table25[[#This Row],[Apr 1-May 15]]*Table25[[#This Row],[Apr 1-May 16]])</f>
        <v>1910.39</v>
      </c>
      <c r="P44">
        <f>SUM(Table25[[#This Row],[Jun 15-Jul 30]]+Table25[[#This Row],[Aug 15-Sep 30]]+Table25[[#This Row],[Oct 15-Nov 30]]+Table25[[#This Row],[Feb 1-Mar 15]]+Table25[[#This Row],[Apr 1-May 15]])</f>
        <v>5</v>
      </c>
      <c r="Q44">
        <f>Table25[[#This Row],[Total Cost]]/Table25[[#This Row],[Size]]</f>
        <v>35.909586466165415</v>
      </c>
    </row>
    <row r="45" spans="1:17" x14ac:dyDescent="0.3">
      <c r="A45" s="32">
        <v>120094</v>
      </c>
      <c r="B45" s="31" t="s">
        <v>2</v>
      </c>
      <c r="C45" s="30" t="s">
        <v>121</v>
      </c>
      <c r="D45" s="29">
        <v>72.2</v>
      </c>
      <c r="E45" s="63">
        <v>1</v>
      </c>
      <c r="F45" s="64">
        <f>334.18*Table25[[#This Row],[Jun 15-Jul 30]]</f>
        <v>334.18</v>
      </c>
      <c r="G45" s="63">
        <v>1</v>
      </c>
      <c r="H45" s="64">
        <f>334.18*Table25[[#This Row],[Aug 15-Sep 30]]</f>
        <v>334.18</v>
      </c>
      <c r="I45" s="63">
        <v>1</v>
      </c>
      <c r="J45" s="64">
        <f>573.67*Table25[[#This Row],[Oct 15-Nov 30]]</f>
        <v>573.66999999999996</v>
      </c>
      <c r="K45" s="49">
        <v>1</v>
      </c>
      <c r="L45" s="50">
        <f>334.18*Table25[[#This Row],[Feb 1-Mar 15]]</f>
        <v>334.18</v>
      </c>
      <c r="M45" s="49">
        <v>1</v>
      </c>
      <c r="N45" s="50">
        <f>334.18*Table25[[#This Row],[Apr 1-May 15]]</f>
        <v>334.18</v>
      </c>
      <c r="O45">
        <f>(Table25[[#This Row],[Jun 15-Jul 30]]*Table25[[#This Row],[Jun 15-Jul 31]])+(Table25[[#This Row],[Aug 15-Sep 30]]*Table25[[#This Row],[Aug 15-Sep 31]])+(Table25[[#This Row],[Oct 15-Nov 30]]*Table25[[#This Row],[Oct 15-Nov 31]])+(Table25[[#This Row],[Feb 1-Mar 15]]*Table25[[#This Row],[Feb 1-Mar 16]])+(Table25[[#This Row],[Apr 1-May 15]]*Table25[[#This Row],[Apr 1-May 16]])</f>
        <v>1910.39</v>
      </c>
      <c r="P45">
        <f>SUM(Table25[[#This Row],[Jun 15-Jul 30]]+Table25[[#This Row],[Aug 15-Sep 30]]+Table25[[#This Row],[Oct 15-Nov 30]]+Table25[[#This Row],[Feb 1-Mar 15]]+Table25[[#This Row],[Apr 1-May 15]])</f>
        <v>5</v>
      </c>
      <c r="Q45">
        <f>Table25[[#This Row],[Total Cost]]/Table25[[#This Row],[Size]]</f>
        <v>26.459695290858726</v>
      </c>
    </row>
    <row r="46" spans="1:17" x14ac:dyDescent="0.3">
      <c r="A46" s="19">
        <v>120215</v>
      </c>
      <c r="B46" s="18" t="s">
        <v>50</v>
      </c>
      <c r="C46" s="26" t="s">
        <v>169</v>
      </c>
      <c r="D46" s="29">
        <v>73</v>
      </c>
      <c r="E46" s="49">
        <v>0</v>
      </c>
      <c r="F46" s="50">
        <f>334.18*Table25[[#This Row],[Jun 15-Jul 30]]</f>
        <v>0</v>
      </c>
      <c r="G46" s="49">
        <v>0</v>
      </c>
      <c r="H46" s="50">
        <f>334.18*Table25[[#This Row],[Aug 15-Sep 30]]</f>
        <v>0</v>
      </c>
      <c r="I46" s="49">
        <v>0</v>
      </c>
      <c r="J46" s="50">
        <f>573.67*Table25[[#This Row],[Oct 15-Nov 30]]</f>
        <v>0</v>
      </c>
      <c r="K46" s="49">
        <v>0</v>
      </c>
      <c r="L46" s="50">
        <f>334.18*Table25[[#This Row],[Feb 1-Mar 15]]</f>
        <v>0</v>
      </c>
      <c r="M46" s="49">
        <v>1</v>
      </c>
      <c r="N46" s="50">
        <f>334.18*Table25[[#This Row],[Apr 1-May 15]]</f>
        <v>334.18</v>
      </c>
      <c r="O46">
        <f>(Table25[[#This Row],[Jun 15-Jul 30]]*Table25[[#This Row],[Jun 15-Jul 31]])+(Table25[[#This Row],[Aug 15-Sep 30]]*Table25[[#This Row],[Aug 15-Sep 31]])+(Table25[[#This Row],[Oct 15-Nov 30]]*Table25[[#This Row],[Oct 15-Nov 31]])+(Table25[[#This Row],[Feb 1-Mar 15]]*Table25[[#This Row],[Feb 1-Mar 16]])+(Table25[[#This Row],[Apr 1-May 15]]*Table25[[#This Row],[Apr 1-May 16]])</f>
        <v>334.18</v>
      </c>
      <c r="P46">
        <f>SUM(Table25[[#This Row],[Jun 15-Jul 30]]+Table25[[#This Row],[Aug 15-Sep 30]]+Table25[[#This Row],[Oct 15-Nov 30]]+Table25[[#This Row],[Feb 1-Mar 15]]+Table25[[#This Row],[Apr 1-May 15]])</f>
        <v>1</v>
      </c>
      <c r="Q46">
        <f>Table25[[#This Row],[Total Cost]]/Table25[[#This Row],[Size]]</f>
        <v>4.577808219178082</v>
      </c>
    </row>
    <row r="47" spans="1:17" x14ac:dyDescent="0.3">
      <c r="A47" s="32">
        <v>110007</v>
      </c>
      <c r="B47" s="31" t="s">
        <v>3</v>
      </c>
      <c r="C47" s="30" t="s">
        <v>59</v>
      </c>
      <c r="D47" s="29">
        <v>74.7</v>
      </c>
      <c r="E47" s="63">
        <v>1</v>
      </c>
      <c r="F47" s="64">
        <f>334.18*Table25[[#This Row],[Jun 15-Jul 30]]</f>
        <v>334.18</v>
      </c>
      <c r="G47" s="63">
        <v>1</v>
      </c>
      <c r="H47" s="64">
        <f>334.18*Table25[[#This Row],[Aug 15-Sep 30]]</f>
        <v>334.18</v>
      </c>
      <c r="I47" s="63">
        <v>1</v>
      </c>
      <c r="J47" s="64">
        <f>573.67*Table25[[#This Row],[Oct 15-Nov 30]]</f>
        <v>573.66999999999996</v>
      </c>
      <c r="K47" s="49">
        <v>1</v>
      </c>
      <c r="L47" s="50">
        <f>334.18*Table25[[#This Row],[Feb 1-Mar 15]]</f>
        <v>334.18</v>
      </c>
      <c r="M47" s="49">
        <v>1</v>
      </c>
      <c r="N47" s="50">
        <f>334.18*Table25[[#This Row],[Apr 1-May 15]]</f>
        <v>334.18</v>
      </c>
      <c r="O47">
        <f>(Table25[[#This Row],[Jun 15-Jul 30]]*Table25[[#This Row],[Jun 15-Jul 31]])+(Table25[[#This Row],[Aug 15-Sep 30]]*Table25[[#This Row],[Aug 15-Sep 31]])+(Table25[[#This Row],[Oct 15-Nov 30]]*Table25[[#This Row],[Oct 15-Nov 31]])+(Table25[[#This Row],[Feb 1-Mar 15]]*Table25[[#This Row],[Feb 1-Mar 16]])+(Table25[[#This Row],[Apr 1-May 15]]*Table25[[#This Row],[Apr 1-May 16]])</f>
        <v>1910.39</v>
      </c>
      <c r="P47">
        <f>SUM(Table25[[#This Row],[Jun 15-Jul 30]]+Table25[[#This Row],[Aug 15-Sep 30]]+Table25[[#This Row],[Oct 15-Nov 30]]+Table25[[#This Row],[Feb 1-Mar 15]]+Table25[[#This Row],[Apr 1-May 15]])</f>
        <v>5</v>
      </c>
      <c r="Q47">
        <f>Table25[[#This Row],[Total Cost]]/Table25[[#This Row],[Size]]</f>
        <v>25.574163319946454</v>
      </c>
    </row>
    <row r="48" spans="1:17" x14ac:dyDescent="0.3">
      <c r="A48" s="32">
        <v>120092.93</v>
      </c>
      <c r="B48" s="31" t="s">
        <v>2</v>
      </c>
      <c r="C48" s="30" t="s">
        <v>119</v>
      </c>
      <c r="D48" s="13">
        <v>110.9</v>
      </c>
      <c r="E48" s="63">
        <v>1</v>
      </c>
      <c r="F48" s="64">
        <f>470*Table25[[#This Row],[Jun 15-Jul 30]]</f>
        <v>470</v>
      </c>
      <c r="G48" s="63">
        <v>1</v>
      </c>
      <c r="H48" s="64">
        <f>470*Table25[[#This Row],[Aug 15-Sep 30]]</f>
        <v>470</v>
      </c>
      <c r="I48" s="63">
        <v>1</v>
      </c>
      <c r="J48" s="64">
        <f>650*Table25[[#This Row],[Oct 15-Nov 30]]</f>
        <v>650</v>
      </c>
      <c r="K48" s="49">
        <v>1</v>
      </c>
      <c r="L48" s="50">
        <f>470*Table25[[#This Row],[Feb 1-Mar 15]]</f>
        <v>470</v>
      </c>
      <c r="M48" s="49">
        <v>1</v>
      </c>
      <c r="N48" s="50">
        <f>470*Table25[[#This Row],[Apr 1-May 15]]</f>
        <v>470</v>
      </c>
      <c r="O48">
        <f>(Table25[[#This Row],[Jun 15-Jul 30]]*Table25[[#This Row],[Jun 15-Jul 31]])+(Table25[[#This Row],[Aug 15-Sep 30]]*Table25[[#This Row],[Aug 15-Sep 31]])+(Table25[[#This Row],[Oct 15-Nov 30]]*Table25[[#This Row],[Oct 15-Nov 31]])+(Table25[[#This Row],[Feb 1-Mar 15]]*Table25[[#This Row],[Feb 1-Mar 16]])+(Table25[[#This Row],[Apr 1-May 15]]*Table25[[#This Row],[Apr 1-May 16]])</f>
        <v>2530</v>
      </c>
      <c r="P48">
        <f>SUM(Table25[[#This Row],[Jun 15-Jul 30]]+Table25[[#This Row],[Aug 15-Sep 30]]+Table25[[#This Row],[Oct 15-Nov 30]]+Table25[[#This Row],[Feb 1-Mar 15]]+Table25[[#This Row],[Apr 1-May 15]])</f>
        <v>5</v>
      </c>
      <c r="Q48">
        <f>Table25[[#This Row],[Total Cost]]/Table25[[#This Row],[Size]]</f>
        <v>22.813345356176736</v>
      </c>
    </row>
    <row r="49" spans="1:18" x14ac:dyDescent="0.3">
      <c r="A49" s="32">
        <v>110006</v>
      </c>
      <c r="B49" s="31" t="s">
        <v>3</v>
      </c>
      <c r="C49" s="30" t="s">
        <v>58</v>
      </c>
      <c r="D49" s="13">
        <v>111.3</v>
      </c>
      <c r="E49" s="63">
        <v>1</v>
      </c>
      <c r="F49" s="64">
        <f>470*Table25[[#This Row],[Jun 15-Jul 30]]</f>
        <v>470</v>
      </c>
      <c r="G49" s="63">
        <v>1</v>
      </c>
      <c r="H49" s="64">
        <f>470*Table25[[#This Row],[Aug 15-Sep 30]]</f>
        <v>470</v>
      </c>
      <c r="I49" s="63">
        <v>1</v>
      </c>
      <c r="J49" s="64">
        <f>650*Table25[[#This Row],[Oct 15-Nov 30]]</f>
        <v>650</v>
      </c>
      <c r="K49" s="49">
        <v>1</v>
      </c>
      <c r="L49" s="50">
        <f>470*Table25[[#This Row],[Feb 1-Mar 15]]</f>
        <v>470</v>
      </c>
      <c r="M49" s="49">
        <v>1</v>
      </c>
      <c r="N49" s="50">
        <f>470*Table25[[#This Row],[Apr 1-May 15]]</f>
        <v>470</v>
      </c>
      <c r="O49">
        <f>(Table25[[#This Row],[Jun 15-Jul 30]]*Table25[[#This Row],[Jun 15-Jul 31]])+(Table25[[#This Row],[Aug 15-Sep 30]]*Table25[[#This Row],[Aug 15-Sep 31]])+(Table25[[#This Row],[Oct 15-Nov 30]]*Table25[[#This Row],[Oct 15-Nov 31]])+(Table25[[#This Row],[Feb 1-Mar 15]]*Table25[[#This Row],[Feb 1-Mar 16]])+(Table25[[#This Row],[Apr 1-May 15]]*Table25[[#This Row],[Apr 1-May 16]])</f>
        <v>2530</v>
      </c>
      <c r="P49">
        <f>SUM(Table25[[#This Row],[Jun 15-Jul 30]]+Table25[[#This Row],[Aug 15-Sep 30]]+Table25[[#This Row],[Oct 15-Nov 30]]+Table25[[#This Row],[Feb 1-Mar 15]]+Table25[[#This Row],[Apr 1-May 15]])</f>
        <v>5</v>
      </c>
      <c r="Q49">
        <f>Table25[[#This Row],[Total Cost]]/Table25[[#This Row],[Size]]</f>
        <v>22.731356693620846</v>
      </c>
    </row>
    <row r="50" spans="1:18" x14ac:dyDescent="0.3">
      <c r="A50" s="19">
        <v>110109</v>
      </c>
      <c r="B50" s="18" t="s">
        <v>8</v>
      </c>
      <c r="C50" s="26" t="s">
        <v>68</v>
      </c>
      <c r="D50" s="29">
        <v>232.7</v>
      </c>
      <c r="E50" s="63">
        <v>1</v>
      </c>
      <c r="F50" s="64">
        <f>990*Table25[[#This Row],[Jun 15-Jul 30]]</f>
        <v>990</v>
      </c>
      <c r="G50" s="63">
        <v>1</v>
      </c>
      <c r="H50" s="64">
        <f>990*Table25[[#This Row],[Aug 15-Sep 30]]</f>
        <v>990</v>
      </c>
      <c r="I50" s="63">
        <v>1</v>
      </c>
      <c r="J50" s="64">
        <f>1390*Table25[[#This Row],[Oct 15-Nov 30]]</f>
        <v>1390</v>
      </c>
      <c r="K50" s="49">
        <v>1</v>
      </c>
      <c r="L50" s="50">
        <f>990*Table25[[#This Row],[Feb 1-Mar 15]]</f>
        <v>990</v>
      </c>
      <c r="M50" s="49">
        <v>1</v>
      </c>
      <c r="N50" s="50">
        <f>990*Table25[[#This Row],[Apr 1-May 15]]</f>
        <v>990</v>
      </c>
      <c r="O50">
        <f>(Table25[[#This Row],[Jun 15-Jul 30]]*Table25[[#This Row],[Jun 15-Jul 31]])+(Table25[[#This Row],[Aug 15-Sep 30]]*Table25[[#This Row],[Aug 15-Sep 31]])+(Table25[[#This Row],[Oct 15-Nov 30]]*Table25[[#This Row],[Oct 15-Nov 31]])+(Table25[[#This Row],[Feb 1-Mar 15]]*Table25[[#This Row],[Feb 1-Mar 16]])+(Table25[[#This Row],[Apr 1-May 15]]*Table25[[#This Row],[Apr 1-May 16]])</f>
        <v>5350</v>
      </c>
      <c r="P50">
        <f>SUM(Table25[[#This Row],[Jun 15-Jul 30]]+Table25[[#This Row],[Aug 15-Sep 30]]+Table25[[#This Row],[Oct 15-Nov 30]]+Table25[[#This Row],[Feb 1-Mar 15]]+Table25[[#This Row],[Apr 1-May 15]])</f>
        <v>5</v>
      </c>
      <c r="Q50" s="70">
        <f>Table25[[#This Row],[Total Cost]]/Table25[[#This Row],[Size]]</f>
        <v>22.990975504941986</v>
      </c>
    </row>
    <row r="51" spans="1:18" x14ac:dyDescent="0.3">
      <c r="A51" s="33">
        <v>110108.11599999999</v>
      </c>
      <c r="B51" s="18" t="s">
        <v>7</v>
      </c>
      <c r="C51" s="26" t="s">
        <v>67</v>
      </c>
      <c r="D51" s="29">
        <v>377.2</v>
      </c>
      <c r="E51" s="63">
        <v>1</v>
      </c>
      <c r="F51" s="64">
        <f>990*Table25[[#This Row],[Jun 15-Jul 30]]</f>
        <v>990</v>
      </c>
      <c r="G51" s="63">
        <v>1</v>
      </c>
      <c r="H51" s="64">
        <f>990*Table25[[#This Row],[Aug 15-Sep 30]]</f>
        <v>990</v>
      </c>
      <c r="I51" s="63">
        <v>1</v>
      </c>
      <c r="J51" s="64">
        <f>1390*Table25[[#This Row],[Oct 15-Nov 30]]</f>
        <v>1390</v>
      </c>
      <c r="K51" s="49">
        <v>1</v>
      </c>
      <c r="L51" s="50">
        <f>990*Table25[[#This Row],[Feb 1-Mar 15]]</f>
        <v>990</v>
      </c>
      <c r="M51" s="49">
        <v>1</v>
      </c>
      <c r="N51" s="50">
        <f>990*Table25[[#This Row],[Apr 1-May 15]]</f>
        <v>990</v>
      </c>
      <c r="O51">
        <f>(Table25[[#This Row],[Jun 15-Jul 30]]*Table25[[#This Row],[Jun 15-Jul 31]])+(Table25[[#This Row],[Aug 15-Sep 30]]*Table25[[#This Row],[Aug 15-Sep 31]])+(Table25[[#This Row],[Oct 15-Nov 30]]*Table25[[#This Row],[Oct 15-Nov 31]])+(Table25[[#This Row],[Feb 1-Mar 15]]*Table25[[#This Row],[Feb 1-Mar 16]])+(Table25[[#This Row],[Apr 1-May 15]]*Table25[[#This Row],[Apr 1-May 16]])</f>
        <v>5350</v>
      </c>
      <c r="P51">
        <f>SUM(Table25[[#This Row],[Jun 15-Jul 30]]+Table25[[#This Row],[Aug 15-Sep 30]]+Table25[[#This Row],[Oct 15-Nov 30]]+Table25[[#This Row],[Feb 1-Mar 15]]+Table25[[#This Row],[Apr 1-May 15]])</f>
        <v>5</v>
      </c>
      <c r="Q51" s="70">
        <f>Table25[[#This Row],[Total Cost]]/Table25[[#This Row],[Size]]</f>
        <v>14.183457051961824</v>
      </c>
    </row>
    <row r="52" spans="1:18" ht="15" thickBot="1" x14ac:dyDescent="0.35">
      <c r="A52" s="1">
        <f>SUBTOTAL(103,Table25[GRI ID])</f>
        <v>49</v>
      </c>
      <c r="B52" s="28"/>
      <c r="C52" s="27"/>
      <c r="D52" s="2">
        <f>SUBTOTAL(109,Table25[Size])</f>
        <v>2210.3000000000002</v>
      </c>
      <c r="E52" s="51">
        <f>SUBTOTAL(109,Table25[Jun 15-Jul 30])</f>
        <v>36</v>
      </c>
      <c r="F52" s="52">
        <f>SUBTOTAL(109,Table25[Jun 15-Jul 31])</f>
        <v>8032.9100000000026</v>
      </c>
      <c r="G52" s="51">
        <f>SUBTOTAL(109,Table25[Aug 15-Sep 30])</f>
        <v>45</v>
      </c>
      <c r="H52" s="52">
        <f>SUBTOTAL(109,Table25[Aug 15-Sep 31])</f>
        <v>9247.0800000000017</v>
      </c>
      <c r="I52" s="51">
        <f>SUBTOTAL(109,Table25[Oct 15-Nov 30])</f>
        <v>45</v>
      </c>
      <c r="J52" s="52">
        <f>SUBTOTAL(109,Table25[Oct 15-Nov 31])</f>
        <v>13242.149999999998</v>
      </c>
      <c r="K52" s="51">
        <f>SUBTOTAL(109,Table25[Feb 1-Mar 15])</f>
        <v>45</v>
      </c>
      <c r="L52" s="52">
        <f>SUBTOTAL(109,Table25[Feb 1-Mar 16])</f>
        <v>9247.0800000000017</v>
      </c>
      <c r="M52" s="51">
        <f>SUBTOTAL(109,Table25[Apr 1-May 15])</f>
        <v>49</v>
      </c>
      <c r="N52" s="52">
        <f>SUBTOTAL(109,Table25[Apr 1-May 16])</f>
        <v>9976.7000000000044</v>
      </c>
      <c r="O52">
        <f>SUBTOTAL(109,Table25[Total Cost])</f>
        <v>49745.919999999984</v>
      </c>
      <c r="P52">
        <f>SUBTOTAL(109,Table25[Total Visits])</f>
        <v>220</v>
      </c>
      <c r="Q52">
        <f>SUBTOTAL(101,Table25[Total Cost/m2])</f>
        <v>25.803389893431358</v>
      </c>
    </row>
    <row r="53" spans="1:18" x14ac:dyDescent="0.3">
      <c r="A53" s="71"/>
    </row>
    <row r="55" spans="1:18" x14ac:dyDescent="0.3">
      <c r="F55">
        <f>SUM(F52,H52,J52)</f>
        <v>30522.140000000003</v>
      </c>
      <c r="I55">
        <v>46832.4</v>
      </c>
      <c r="M55" t="s">
        <v>215</v>
      </c>
      <c r="P55" t="s">
        <v>216</v>
      </c>
    </row>
    <row r="56" spans="1:18" x14ac:dyDescent="0.3">
      <c r="M56">
        <f>(46832.4-43236.04)/43236.04</f>
        <v>8.3179680655305163E-2</v>
      </c>
      <c r="P56">
        <f>(Table25[[#Totals],[Total Cost]]-43236.04)/43236.04</f>
        <v>0.15056605554070129</v>
      </c>
    </row>
    <row r="58" spans="1:18" x14ac:dyDescent="0.3">
      <c r="F58" t="s">
        <v>206</v>
      </c>
      <c r="G58" t="s">
        <v>207</v>
      </c>
      <c r="H58" t="s">
        <v>208</v>
      </c>
      <c r="I58" t="s">
        <v>209</v>
      </c>
      <c r="J58" t="s">
        <v>210</v>
      </c>
      <c r="K58" t="s">
        <v>211</v>
      </c>
      <c r="M58" t="s">
        <v>206</v>
      </c>
      <c r="N58" t="s">
        <v>207</v>
      </c>
      <c r="O58" t="s">
        <v>208</v>
      </c>
      <c r="P58" t="s">
        <v>209</v>
      </c>
      <c r="Q58" t="s">
        <v>210</v>
      </c>
      <c r="R58" t="s">
        <v>211</v>
      </c>
    </row>
    <row r="59" spans="1:18" x14ac:dyDescent="0.3">
      <c r="F59" t="s">
        <v>150</v>
      </c>
      <c r="G59">
        <v>122.53</v>
      </c>
      <c r="H59">
        <v>150.38</v>
      </c>
      <c r="I59">
        <v>334.18</v>
      </c>
      <c r="J59">
        <v>587</v>
      </c>
      <c r="K59">
        <v>1198</v>
      </c>
      <c r="M59" t="s">
        <v>150</v>
      </c>
      <c r="N59">
        <v>122.53</v>
      </c>
      <c r="O59">
        <v>150.38</v>
      </c>
      <c r="P59">
        <v>334.18</v>
      </c>
      <c r="Q59">
        <v>470</v>
      </c>
      <c r="R59">
        <v>990</v>
      </c>
    </row>
    <row r="60" spans="1:18" x14ac:dyDescent="0.3">
      <c r="F60" t="s">
        <v>151</v>
      </c>
      <c r="G60">
        <v>122.53</v>
      </c>
      <c r="H60">
        <v>150.38</v>
      </c>
      <c r="I60">
        <v>334.18</v>
      </c>
      <c r="J60">
        <v>587</v>
      </c>
      <c r="K60">
        <v>1198</v>
      </c>
      <c r="M60" t="s">
        <v>151</v>
      </c>
      <c r="N60">
        <v>122.53</v>
      </c>
      <c r="O60">
        <v>150.38</v>
      </c>
      <c r="P60">
        <v>334.18</v>
      </c>
      <c r="Q60">
        <v>470</v>
      </c>
      <c r="R60">
        <v>990</v>
      </c>
    </row>
    <row r="61" spans="1:18" x14ac:dyDescent="0.3">
      <c r="F61" t="s">
        <v>152</v>
      </c>
      <c r="G61">
        <v>178.23</v>
      </c>
      <c r="H61">
        <v>206.08</v>
      </c>
      <c r="I61">
        <v>573.66999999999996</v>
      </c>
      <c r="J61">
        <v>892</v>
      </c>
      <c r="K61">
        <v>1821</v>
      </c>
      <c r="M61" t="s">
        <v>152</v>
      </c>
      <c r="N61">
        <v>178.23</v>
      </c>
      <c r="O61">
        <v>206.08</v>
      </c>
      <c r="P61">
        <v>573.66999999999996</v>
      </c>
      <c r="Q61">
        <v>650</v>
      </c>
      <c r="R61">
        <v>1390</v>
      </c>
    </row>
    <row r="62" spans="1:18" x14ac:dyDescent="0.3">
      <c r="F62" t="s">
        <v>149</v>
      </c>
      <c r="G62">
        <v>122.53</v>
      </c>
      <c r="H62">
        <v>150.38</v>
      </c>
      <c r="I62">
        <v>334.18</v>
      </c>
      <c r="J62">
        <v>587</v>
      </c>
      <c r="K62">
        <v>1198</v>
      </c>
      <c r="M62" t="s">
        <v>149</v>
      </c>
      <c r="N62">
        <v>122.53</v>
      </c>
      <c r="O62">
        <v>150.38</v>
      </c>
      <c r="P62">
        <v>334.18</v>
      </c>
      <c r="Q62">
        <v>470</v>
      </c>
      <c r="R62">
        <v>990</v>
      </c>
    </row>
    <row r="63" spans="1:18" x14ac:dyDescent="0.3">
      <c r="G63" s="44">
        <f>(G61-G60)/G60</f>
        <v>0.45458255121194802</v>
      </c>
      <c r="H63" s="44">
        <f>(H59-G59)/G59</f>
        <v>0.22729127560597401</v>
      </c>
      <c r="I63" s="44">
        <f t="shared" ref="I63:K63" si="0">(I59-H59)/H59</f>
        <v>1.222236999601011</v>
      </c>
      <c r="J63" s="44">
        <f t="shared" si="0"/>
        <v>0.75653839248309296</v>
      </c>
      <c r="K63" s="44">
        <f t="shared" si="0"/>
        <v>1.040885860306644</v>
      </c>
      <c r="N63" s="44">
        <f>(N61-N60)/N60</f>
        <v>0.45458255121194802</v>
      </c>
      <c r="O63" s="44">
        <f>(O59-N59)/N59</f>
        <v>0.22729127560597401</v>
      </c>
      <c r="P63" s="44">
        <f t="shared" ref="P63" si="1">(P59-O59)/O59</f>
        <v>1.222236999601011</v>
      </c>
      <c r="Q63" s="44">
        <f t="shared" ref="Q63" si="2">(Q59-P59)/P59</f>
        <v>0.40642767370877969</v>
      </c>
      <c r="R63" s="44">
        <f>(R59-Q59)/Q59</f>
        <v>1.1063829787234043</v>
      </c>
    </row>
    <row r="64" spans="1:18" x14ac:dyDescent="0.3">
      <c r="H64" s="44">
        <f>(H61-G61)/G61</f>
        <v>0.15625876676204917</v>
      </c>
      <c r="I64" s="44">
        <f t="shared" ref="I64:K64" si="3">(I61-H61)/H61</f>
        <v>1.7837247670807448</v>
      </c>
      <c r="J64" s="44">
        <f t="shared" si="3"/>
        <v>0.55490090121498437</v>
      </c>
      <c r="K64" s="44">
        <f t="shared" si="3"/>
        <v>1.0414798206278026</v>
      </c>
      <c r="O64" s="44">
        <f>(O61-N61)/N61</f>
        <v>0.15625876676204917</v>
      </c>
      <c r="P64" s="44">
        <f t="shared" ref="P64" si="4">(P61-O61)/O61</f>
        <v>1.7837247670807448</v>
      </c>
      <c r="Q64" s="44">
        <f t="shared" ref="Q64" si="5">(Q61-P61)/P61</f>
        <v>0.13305558945038096</v>
      </c>
      <c r="R64" s="44">
        <f t="shared" ref="R64" si="6">(R61-Q61)/Q61</f>
        <v>1.1384615384615384</v>
      </c>
    </row>
    <row r="66" spans="6:16" x14ac:dyDescent="0.3">
      <c r="F66" t="s">
        <v>206</v>
      </c>
      <c r="G66" s="76" t="s">
        <v>207</v>
      </c>
      <c r="H66" s="76"/>
      <c r="I66" s="76" t="s">
        <v>208</v>
      </c>
      <c r="J66" s="76"/>
      <c r="K66" s="76" t="s">
        <v>209</v>
      </c>
      <c r="L66" s="76"/>
      <c r="M66" s="76" t="s">
        <v>210</v>
      </c>
      <c r="N66" s="76"/>
      <c r="O66" s="76" t="s">
        <v>211</v>
      </c>
      <c r="P66" s="76"/>
    </row>
    <row r="67" spans="6:16" x14ac:dyDescent="0.3">
      <c r="G67" t="s">
        <v>213</v>
      </c>
      <c r="H67" t="s">
        <v>214</v>
      </c>
      <c r="I67" t="s">
        <v>213</v>
      </c>
      <c r="J67" t="s">
        <v>214</v>
      </c>
      <c r="K67" t="s">
        <v>213</v>
      </c>
      <c r="L67" t="s">
        <v>214</v>
      </c>
      <c r="M67" t="s">
        <v>213</v>
      </c>
      <c r="N67" t="s">
        <v>214</v>
      </c>
      <c r="O67" t="s">
        <v>213</v>
      </c>
      <c r="P67" t="s">
        <v>214</v>
      </c>
    </row>
    <row r="68" spans="6:16" x14ac:dyDescent="0.3">
      <c r="F68" t="s">
        <v>152</v>
      </c>
      <c r="G68">
        <f>G61/10.4</f>
        <v>17.137499999999999</v>
      </c>
      <c r="H68">
        <f>G61/24.4</f>
        <v>7.3045081967213115</v>
      </c>
      <c r="I68">
        <f>H61/25.6</f>
        <v>8.0500000000000007</v>
      </c>
      <c r="J68">
        <f>H61/49.2</f>
        <v>4.1886178861788617</v>
      </c>
      <c r="K68">
        <f>I61/53.2</f>
        <v>10.783270676691728</v>
      </c>
      <c r="L68">
        <f>I61/74.7</f>
        <v>7.6796519410977231</v>
      </c>
      <c r="M68">
        <f>J61/110.9</f>
        <v>8.0432822362488725</v>
      </c>
      <c r="N68">
        <f>J61/137.6</f>
        <v>6.4825581395348841</v>
      </c>
      <c r="O68">
        <f>K61/154.1</f>
        <v>11.817001946787801</v>
      </c>
      <c r="P68">
        <f>K61/377.2</f>
        <v>4.827677624602333</v>
      </c>
    </row>
    <row r="69" spans="6:16" x14ac:dyDescent="0.3">
      <c r="F69" t="s">
        <v>212</v>
      </c>
      <c r="G69">
        <f>G59/10.4</f>
        <v>11.781730769230769</v>
      </c>
      <c r="H69">
        <f>G59/24.4</f>
        <v>5.0217213114754102</v>
      </c>
      <c r="I69">
        <f>H59/25.6</f>
        <v>5.8742187499999998</v>
      </c>
      <c r="J69">
        <f>H59/49.2</f>
        <v>3.0565040650406501</v>
      </c>
      <c r="K69">
        <f>I59/53.2</f>
        <v>6.2815789473684207</v>
      </c>
      <c r="L69">
        <f>I59/74.7</f>
        <v>4.4736278447121816</v>
      </c>
      <c r="M69">
        <f>J59/110.9</f>
        <v>5.2930568079350762</v>
      </c>
      <c r="N69">
        <f>J59/137.6</f>
        <v>4.2659883720930232</v>
      </c>
      <c r="O69">
        <f>K59/154.1</f>
        <v>7.7741726151849448</v>
      </c>
      <c r="P69">
        <f>K59/377.2</f>
        <v>3.176033934252386</v>
      </c>
    </row>
    <row r="72" spans="6:16" x14ac:dyDescent="0.3">
      <c r="F72" t="s">
        <v>206</v>
      </c>
      <c r="G72" t="s">
        <v>207</v>
      </c>
      <c r="H72" t="s">
        <v>208</v>
      </c>
      <c r="I72" t="s">
        <v>209</v>
      </c>
      <c r="J72" t="s">
        <v>210</v>
      </c>
      <c r="K72" t="s">
        <v>211</v>
      </c>
    </row>
    <row r="73" spans="6:16" x14ac:dyDescent="0.3">
      <c r="F73" t="s">
        <v>152</v>
      </c>
      <c r="G73">
        <f>AVERAGE(G68:H68)</f>
        <v>12.221004098360655</v>
      </c>
      <c r="H73">
        <f>AVERAGE(I68:J68)</f>
        <v>6.1193089430894307</v>
      </c>
      <c r="I73">
        <f>AVERAGE(K68:L68)</f>
        <v>9.2314613088947262</v>
      </c>
      <c r="J73">
        <f>AVERAGE(M68:N68)</f>
        <v>7.2629201878918783</v>
      </c>
      <c r="K73">
        <f>AVERAGE(O68:P68)</f>
        <v>8.3223397856950676</v>
      </c>
    </row>
    <row r="74" spans="6:16" x14ac:dyDescent="0.3">
      <c r="F74" t="s">
        <v>212</v>
      </c>
      <c r="G74">
        <f>AVERAGE(G69:H69)</f>
        <v>8.4017260403530898</v>
      </c>
      <c r="H74">
        <f>AVERAGE(I69:J69)</f>
        <v>4.4653614075203247</v>
      </c>
      <c r="I74">
        <f>AVERAGE(K69:L69)</f>
        <v>5.3776033960403016</v>
      </c>
      <c r="J74">
        <f>AVERAGE(M69:N69)</f>
        <v>4.7795225900140501</v>
      </c>
      <c r="K74">
        <f>AVERAGE(O69:P69)</f>
        <v>5.4751032747186654</v>
      </c>
    </row>
  </sheetData>
  <mergeCells count="7">
    <mergeCell ref="G66:H66"/>
    <mergeCell ref="E1:J1"/>
    <mergeCell ref="K1:N1"/>
    <mergeCell ref="O66:P66"/>
    <mergeCell ref="M66:N66"/>
    <mergeCell ref="K66:L66"/>
    <mergeCell ref="I66:J66"/>
  </mergeCells>
  <phoneticPr fontId="6" type="noConversion"/>
  <conditionalFormatting sqref="A3:A8 A15:A17 A13 A22:A23 A20">
    <cfRule type="duplicateValues" dxfId="64" priority="40"/>
  </conditionalFormatting>
  <conditionalFormatting sqref="A9:A10">
    <cfRule type="duplicateValues" dxfId="63" priority="25"/>
  </conditionalFormatting>
  <conditionalFormatting sqref="A11">
    <cfRule type="duplicateValues" dxfId="62" priority="24"/>
  </conditionalFormatting>
  <conditionalFormatting sqref="A12">
    <cfRule type="duplicateValues" dxfId="61" priority="21"/>
  </conditionalFormatting>
  <conditionalFormatting sqref="A18:A19">
    <cfRule type="duplicateValues" dxfId="60" priority="22"/>
  </conditionalFormatting>
  <conditionalFormatting sqref="A21 A14 A9:A10">
    <cfRule type="duplicateValues" dxfId="59" priority="26"/>
  </conditionalFormatting>
  <conditionalFormatting sqref="A21 A14">
    <cfRule type="duplicateValues" dxfId="58" priority="28"/>
  </conditionalFormatting>
  <conditionalFormatting sqref="A26:A27 A24">
    <cfRule type="duplicateValues" dxfId="57" priority="39"/>
  </conditionalFormatting>
  <conditionalFormatting sqref="A28:A29">
    <cfRule type="duplicateValues" dxfId="56" priority="38"/>
  </conditionalFormatting>
  <conditionalFormatting sqref="A30:A31">
    <cfRule type="duplicateValues" dxfId="55" priority="37"/>
  </conditionalFormatting>
  <conditionalFormatting sqref="A32:A38">
    <cfRule type="duplicateValues" dxfId="54" priority="36"/>
  </conditionalFormatting>
  <conditionalFormatting sqref="A39">
    <cfRule type="duplicateValues" dxfId="53" priority="35"/>
  </conditionalFormatting>
  <conditionalFormatting sqref="A40">
    <cfRule type="duplicateValues" dxfId="52" priority="34"/>
  </conditionalFormatting>
  <conditionalFormatting sqref="A41">
    <cfRule type="duplicateValues" dxfId="51" priority="33"/>
  </conditionalFormatting>
  <conditionalFormatting sqref="A42:A43">
    <cfRule type="duplicateValues" dxfId="50" priority="32"/>
  </conditionalFormatting>
  <conditionalFormatting sqref="A44">
    <cfRule type="duplicateValues" dxfId="49" priority="155"/>
  </conditionalFormatting>
  <conditionalFormatting sqref="A45">
    <cfRule type="duplicateValues" dxfId="48" priority="31"/>
  </conditionalFormatting>
  <conditionalFormatting sqref="A45:A49 A3:A8 A15:A17 A13 A20 A22:A43">
    <cfRule type="duplicateValues" dxfId="47" priority="44"/>
  </conditionalFormatting>
  <conditionalFormatting sqref="A46 A25">
    <cfRule type="duplicateValues" dxfId="46" priority="30"/>
  </conditionalFormatting>
  <conditionalFormatting sqref="A47:A49 A3:A8 A15:A17 A13 A22:A24 A26:A29 A20">
    <cfRule type="duplicateValues" dxfId="45" priority="42"/>
  </conditionalFormatting>
  <conditionalFormatting sqref="A47:A49 A3:A8 A15:A17 A13 A22:A24 A26:A38 A20">
    <cfRule type="duplicateValues" dxfId="44" priority="43"/>
  </conditionalFormatting>
  <conditionalFormatting sqref="A47:A49">
    <cfRule type="duplicateValues" dxfId="43" priority="41"/>
  </conditionalFormatting>
  <conditionalFormatting sqref="A50">
    <cfRule type="duplicateValues" dxfId="42" priority="20"/>
  </conditionalFormatting>
  <conditionalFormatting sqref="A51 A21 A14 A18:A19 A9:A11">
    <cfRule type="duplicateValues" dxfId="41" priority="27"/>
  </conditionalFormatting>
  <conditionalFormatting sqref="A51 A21 A14 A18:A19 A9:A12">
    <cfRule type="duplicateValues" dxfId="40" priority="29"/>
  </conditionalFormatting>
  <conditionalFormatting sqref="A51">
    <cfRule type="duplicateValues" dxfId="39" priority="23"/>
  </conditionalFormatting>
  <conditionalFormatting sqref="E3:N51">
    <cfRule type="cellIs" dxfId="38" priority="18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798BF-2231-49ED-9A6E-7E07562C158C}">
  <dimension ref="A1:Q106"/>
  <sheetViews>
    <sheetView tabSelected="1" topLeftCell="C1" workbookViewId="0">
      <selection activeCell="S62" sqref="S62"/>
    </sheetView>
  </sheetViews>
  <sheetFormatPr defaultRowHeight="14.4" x14ac:dyDescent="0.3"/>
  <cols>
    <col min="2" max="2" width="14.109375" bestFit="1" customWidth="1"/>
    <col min="3" max="3" width="80.33203125" customWidth="1"/>
    <col min="11" max="11" width="9" customWidth="1"/>
  </cols>
  <sheetData>
    <row r="1" spans="1:17" ht="15" thickBot="1" x14ac:dyDescent="0.35">
      <c r="A1" s="25" t="s">
        <v>188</v>
      </c>
      <c r="E1" s="77">
        <v>2024</v>
      </c>
      <c r="F1" s="78"/>
      <c r="G1" s="78"/>
      <c r="H1" s="78"/>
      <c r="I1" s="78"/>
      <c r="J1" s="79"/>
      <c r="K1" s="77">
        <v>2025</v>
      </c>
      <c r="L1" s="78"/>
      <c r="M1" s="78"/>
      <c r="N1" s="79"/>
    </row>
    <row r="2" spans="1:17" x14ac:dyDescent="0.3">
      <c r="A2" t="s">
        <v>154</v>
      </c>
      <c r="B2" t="s">
        <v>155</v>
      </c>
      <c r="C2" t="s">
        <v>1</v>
      </c>
      <c r="D2" t="s">
        <v>156</v>
      </c>
      <c r="E2" s="47" t="s">
        <v>157</v>
      </c>
      <c r="F2" s="48" t="s">
        <v>201</v>
      </c>
      <c r="G2" s="47" t="s">
        <v>158</v>
      </c>
      <c r="H2" s="48" t="s">
        <v>202</v>
      </c>
      <c r="I2" s="47" t="s">
        <v>159</v>
      </c>
      <c r="J2" s="48" t="s">
        <v>203</v>
      </c>
      <c r="K2" s="47" t="s">
        <v>163</v>
      </c>
      <c r="L2" s="48" t="s">
        <v>204</v>
      </c>
      <c r="M2" s="47" t="s">
        <v>164</v>
      </c>
      <c r="N2" s="48" t="s">
        <v>205</v>
      </c>
      <c r="O2" t="s">
        <v>160</v>
      </c>
      <c r="P2" t="s">
        <v>161</v>
      </c>
      <c r="Q2" t="s">
        <v>235</v>
      </c>
    </row>
    <row r="3" spans="1:17" x14ac:dyDescent="0.3">
      <c r="A3" s="20">
        <v>310103</v>
      </c>
      <c r="B3" s="21" t="s">
        <v>56</v>
      </c>
      <c r="C3" s="22" t="s">
        <v>217</v>
      </c>
      <c r="D3" s="29">
        <v>2.16</v>
      </c>
      <c r="E3" s="63">
        <v>1</v>
      </c>
      <c r="F3" s="64">
        <f>13*20</f>
        <v>260</v>
      </c>
      <c r="G3" s="49">
        <v>0</v>
      </c>
      <c r="H3" s="50">
        <v>0</v>
      </c>
      <c r="I3" s="63">
        <v>1</v>
      </c>
      <c r="J3" s="64">
        <f>13*20</f>
        <v>260</v>
      </c>
      <c r="K3" s="49">
        <v>0</v>
      </c>
      <c r="L3" s="50">
        <v>0</v>
      </c>
      <c r="M3" s="49">
        <v>1</v>
      </c>
      <c r="N3" s="50">
        <f>13*20</f>
        <v>260</v>
      </c>
      <c r="O3">
        <f>Table36[[#This Row],[Jun 15-Jul 31]]+Table36[[#This Row],[Aug 15-Sep 31]]+Table36[[#This Row],[Oct 15-Nov 31]]+Table36[[#This Row],[Feb 1-Mar 16]]+Table36[[#This Row],[Apr 1-May 16]]</f>
        <v>780</v>
      </c>
      <c r="P3">
        <f>SUM(Table36[[#This Row],[Jun 15-Jul 30]]+Table36[[#This Row],[Aug 15-Sep 30]]+Table36[[#This Row],[Oct 15-Nov 30]]+Table36[[#This Row],[Feb 1-Mar 15]]+Table36[[#This Row],[Apr 1-May 15]])</f>
        <v>3</v>
      </c>
    </row>
    <row r="4" spans="1:17" x14ac:dyDescent="0.3">
      <c r="A4" s="20">
        <v>310105</v>
      </c>
      <c r="B4" s="21" t="s">
        <v>56</v>
      </c>
      <c r="C4" s="22" t="s">
        <v>219</v>
      </c>
      <c r="D4" s="29">
        <v>2.16</v>
      </c>
      <c r="E4" s="63">
        <v>1</v>
      </c>
      <c r="F4" s="64">
        <f>11*20</f>
        <v>220</v>
      </c>
      <c r="G4" s="49">
        <v>0</v>
      </c>
      <c r="H4" s="50">
        <v>0</v>
      </c>
      <c r="I4" s="63">
        <v>1</v>
      </c>
      <c r="J4" s="64">
        <f>11*20</f>
        <v>220</v>
      </c>
      <c r="K4" s="49">
        <v>0</v>
      </c>
      <c r="L4" s="50">
        <v>0</v>
      </c>
      <c r="M4" s="49">
        <v>1</v>
      </c>
      <c r="N4" s="50">
        <f>11*20</f>
        <v>220</v>
      </c>
      <c r="O4">
        <f>Table36[[#This Row],[Jun 15-Jul 31]]+Table36[[#This Row],[Aug 15-Sep 31]]+Table36[[#This Row],[Oct 15-Nov 31]]+Table36[[#This Row],[Feb 1-Mar 16]]+Table36[[#This Row],[Apr 1-May 16]]</f>
        <v>660</v>
      </c>
      <c r="P4">
        <f>SUM(Table36[[#This Row],[Jun 15-Jul 30]]+Table36[[#This Row],[Aug 15-Sep 30]]+Table36[[#This Row],[Oct 15-Nov 30]]+Table36[[#This Row],[Feb 1-Mar 15]]+Table36[[#This Row],[Apr 1-May 15]])</f>
        <v>3</v>
      </c>
    </row>
    <row r="5" spans="1:17" x14ac:dyDescent="0.3">
      <c r="A5" s="20">
        <v>310107</v>
      </c>
      <c r="B5" s="21" t="s">
        <v>56</v>
      </c>
      <c r="C5" s="22" t="s">
        <v>220</v>
      </c>
      <c r="D5" s="29">
        <v>2.16</v>
      </c>
      <c r="E5" s="63">
        <v>1</v>
      </c>
      <c r="F5" s="64">
        <f>14*20</f>
        <v>280</v>
      </c>
      <c r="G5" s="49">
        <v>0</v>
      </c>
      <c r="H5" s="50">
        <v>0</v>
      </c>
      <c r="I5" s="63">
        <v>1</v>
      </c>
      <c r="J5" s="64">
        <f>14*20</f>
        <v>280</v>
      </c>
      <c r="K5" s="49">
        <v>0</v>
      </c>
      <c r="L5" s="50">
        <v>0</v>
      </c>
      <c r="M5" s="49">
        <v>1</v>
      </c>
      <c r="N5" s="50">
        <f>14*20</f>
        <v>280</v>
      </c>
      <c r="O5">
        <f>Table36[[#This Row],[Jun 15-Jul 31]]+Table36[[#This Row],[Aug 15-Sep 31]]+Table36[[#This Row],[Oct 15-Nov 31]]+Table36[[#This Row],[Feb 1-Mar 16]]+Table36[[#This Row],[Apr 1-May 16]]</f>
        <v>840</v>
      </c>
      <c r="P5">
        <f>SUM(Table36[[#This Row],[Jun 15-Jul 30]]+Table36[[#This Row],[Aug 15-Sep 30]]+Table36[[#This Row],[Oct 15-Nov 30]]+Table36[[#This Row],[Feb 1-Mar 15]]+Table36[[#This Row],[Apr 1-May 15]])</f>
        <v>3</v>
      </c>
    </row>
    <row r="6" spans="1:17" x14ac:dyDescent="0.3">
      <c r="A6" s="20">
        <v>320105</v>
      </c>
      <c r="B6" s="21" t="s">
        <v>56</v>
      </c>
      <c r="C6" s="22" t="s">
        <v>218</v>
      </c>
      <c r="D6" s="29">
        <v>2.16</v>
      </c>
      <c r="E6" s="63">
        <v>1</v>
      </c>
      <c r="F6" s="64">
        <f>11*20</f>
        <v>220</v>
      </c>
      <c r="G6" s="49">
        <v>0</v>
      </c>
      <c r="H6" s="50">
        <v>0</v>
      </c>
      <c r="I6" s="63">
        <v>1</v>
      </c>
      <c r="J6" s="64">
        <f>11*20</f>
        <v>220</v>
      </c>
      <c r="K6" s="49">
        <v>0</v>
      </c>
      <c r="L6" s="50">
        <v>0</v>
      </c>
      <c r="M6" s="49">
        <v>1</v>
      </c>
      <c r="N6" s="50">
        <f>11*20</f>
        <v>220</v>
      </c>
      <c r="O6">
        <f>Table36[[#This Row],[Jun 15-Jul 31]]+Table36[[#This Row],[Aug 15-Sep 31]]+Table36[[#This Row],[Oct 15-Nov 31]]+Table36[[#This Row],[Feb 1-Mar 16]]+Table36[[#This Row],[Apr 1-May 16]]</f>
        <v>660</v>
      </c>
      <c r="P6">
        <f>SUM(Table36[[#This Row],[Jun 15-Jul 30]]+Table36[[#This Row],[Aug 15-Sep 30]]+Table36[[#This Row],[Oct 15-Nov 30]]+Table36[[#This Row],[Feb 1-Mar 15]]+Table36[[#This Row],[Apr 1-May 15]])</f>
        <v>3</v>
      </c>
    </row>
    <row r="7" spans="1:17" x14ac:dyDescent="0.3">
      <c r="A7" s="20">
        <v>320107</v>
      </c>
      <c r="B7" s="21" t="s">
        <v>56</v>
      </c>
      <c r="C7" s="22" t="s">
        <v>221</v>
      </c>
      <c r="D7" s="29">
        <v>2.16</v>
      </c>
      <c r="E7" s="63">
        <v>1</v>
      </c>
      <c r="F7" s="64">
        <f>13*30</f>
        <v>390</v>
      </c>
      <c r="G7" s="63">
        <v>1</v>
      </c>
      <c r="H7" s="64">
        <f>13*30</f>
        <v>390</v>
      </c>
      <c r="I7" s="63">
        <v>1</v>
      </c>
      <c r="J7" s="64">
        <f>13*30</f>
        <v>390</v>
      </c>
      <c r="K7" s="49">
        <v>1</v>
      </c>
      <c r="L7" s="50">
        <f>13*30</f>
        <v>390</v>
      </c>
      <c r="M7" s="49">
        <v>1</v>
      </c>
      <c r="N7" s="50">
        <f>13*30</f>
        <v>390</v>
      </c>
      <c r="O7">
        <f>Table36[[#This Row],[Jun 15-Jul 31]]+Table36[[#This Row],[Aug 15-Sep 31]]+Table36[[#This Row],[Oct 15-Nov 31]]+Table36[[#This Row],[Feb 1-Mar 16]]+Table36[[#This Row],[Apr 1-May 16]]</f>
        <v>1950</v>
      </c>
      <c r="P7">
        <f>SUM(Table36[[#This Row],[Jun 15-Jul 30]]+Table36[[#This Row],[Aug 15-Sep 30]]+Table36[[#This Row],[Oct 15-Nov 30]]+Table36[[#This Row],[Feb 1-Mar 15]]+Table36[[#This Row],[Apr 1-May 15]])</f>
        <v>5</v>
      </c>
    </row>
    <row r="8" spans="1:17" x14ac:dyDescent="0.3">
      <c r="A8" s="20">
        <v>320108</v>
      </c>
      <c r="B8" s="21" t="s">
        <v>56</v>
      </c>
      <c r="C8" s="22" t="s">
        <v>222</v>
      </c>
      <c r="D8" s="29">
        <v>2.16</v>
      </c>
      <c r="E8" s="63">
        <v>1</v>
      </c>
      <c r="F8" s="64">
        <f>10*30</f>
        <v>300</v>
      </c>
      <c r="G8" s="63">
        <v>1</v>
      </c>
      <c r="H8" s="64">
        <f>10*30</f>
        <v>300</v>
      </c>
      <c r="I8" s="63">
        <v>1</v>
      </c>
      <c r="J8" s="64">
        <f>10*30</f>
        <v>300</v>
      </c>
      <c r="K8" s="49">
        <v>1</v>
      </c>
      <c r="L8" s="50">
        <f>10*30</f>
        <v>300</v>
      </c>
      <c r="M8" s="49">
        <v>1</v>
      </c>
      <c r="N8" s="50">
        <f>10*30</f>
        <v>300</v>
      </c>
      <c r="O8">
        <f>Table36[[#This Row],[Jun 15-Jul 31]]+Table36[[#This Row],[Aug 15-Sep 31]]+Table36[[#This Row],[Oct 15-Nov 31]]+Table36[[#This Row],[Feb 1-Mar 16]]+Table36[[#This Row],[Apr 1-May 16]]</f>
        <v>1500</v>
      </c>
      <c r="P8">
        <f>SUM(Table36[[#This Row],[Jun 15-Jul 30]]+Table36[[#This Row],[Aug 15-Sep 30]]+Table36[[#This Row],[Oct 15-Nov 30]]+Table36[[#This Row],[Feb 1-Mar 15]]+Table36[[#This Row],[Apr 1-May 15]])</f>
        <v>5</v>
      </c>
    </row>
    <row r="9" spans="1:17" x14ac:dyDescent="0.3">
      <c r="A9" s="20">
        <v>320109</v>
      </c>
      <c r="B9" s="21" t="s">
        <v>56</v>
      </c>
      <c r="C9" s="22" t="s">
        <v>223</v>
      </c>
      <c r="D9" s="29">
        <v>2.16</v>
      </c>
      <c r="E9" s="63">
        <v>1</v>
      </c>
      <c r="F9" s="64">
        <f>13*30</f>
        <v>390</v>
      </c>
      <c r="G9" s="63">
        <v>1</v>
      </c>
      <c r="H9" s="64">
        <f>13*30</f>
        <v>390</v>
      </c>
      <c r="I9" s="63">
        <v>1</v>
      </c>
      <c r="J9" s="64">
        <f>13*30</f>
        <v>390</v>
      </c>
      <c r="K9" s="49">
        <v>1</v>
      </c>
      <c r="L9" s="50">
        <f>13*30</f>
        <v>390</v>
      </c>
      <c r="M9" s="49">
        <v>1</v>
      </c>
      <c r="N9" s="50">
        <f>13*30</f>
        <v>390</v>
      </c>
      <c r="O9">
        <f>Table36[[#This Row],[Jun 15-Jul 31]]+Table36[[#This Row],[Aug 15-Sep 31]]+Table36[[#This Row],[Oct 15-Nov 31]]+Table36[[#This Row],[Feb 1-Mar 16]]+Table36[[#This Row],[Apr 1-May 16]]</f>
        <v>1950</v>
      </c>
      <c r="P9">
        <f>SUM(Table36[[#This Row],[Jun 15-Jul 30]]+Table36[[#This Row],[Aug 15-Sep 30]]+Table36[[#This Row],[Oct 15-Nov 30]]+Table36[[#This Row],[Feb 1-Mar 15]]+Table36[[#This Row],[Apr 1-May 15]])</f>
        <v>5</v>
      </c>
    </row>
    <row r="10" spans="1:17" x14ac:dyDescent="0.3">
      <c r="A10" s="20">
        <v>320110</v>
      </c>
      <c r="B10" s="21" t="s">
        <v>56</v>
      </c>
      <c r="C10" s="22" t="s">
        <v>224</v>
      </c>
      <c r="D10" s="29">
        <v>2.16</v>
      </c>
      <c r="E10" s="63">
        <v>1</v>
      </c>
      <c r="F10" s="64">
        <f>12*30</f>
        <v>360</v>
      </c>
      <c r="G10" s="63">
        <v>1</v>
      </c>
      <c r="H10" s="64">
        <f>12*30</f>
        <v>360</v>
      </c>
      <c r="I10" s="63">
        <v>1</v>
      </c>
      <c r="J10" s="64">
        <f>12*30</f>
        <v>360</v>
      </c>
      <c r="K10" s="49">
        <v>1</v>
      </c>
      <c r="L10" s="50">
        <f>12*30</f>
        <v>360</v>
      </c>
      <c r="M10" s="49">
        <v>1</v>
      </c>
      <c r="N10" s="50">
        <f>12*30</f>
        <v>360</v>
      </c>
      <c r="O10">
        <f>Table36[[#This Row],[Jun 15-Jul 31]]+Table36[[#This Row],[Aug 15-Sep 31]]+Table36[[#This Row],[Oct 15-Nov 31]]+Table36[[#This Row],[Feb 1-Mar 16]]+Table36[[#This Row],[Apr 1-May 16]]</f>
        <v>1800</v>
      </c>
      <c r="P10">
        <f>SUM(Table36[[#This Row],[Jun 15-Jul 30]]+Table36[[#This Row],[Aug 15-Sep 30]]+Table36[[#This Row],[Oct 15-Nov 30]]+Table36[[#This Row],[Feb 1-Mar 15]]+Table36[[#This Row],[Apr 1-May 15]])</f>
        <v>5</v>
      </c>
    </row>
    <row r="11" spans="1:17" x14ac:dyDescent="0.3">
      <c r="A11" s="45">
        <v>120024</v>
      </c>
      <c r="B11" s="42" t="s">
        <v>17</v>
      </c>
      <c r="C11" s="43" t="s">
        <v>87</v>
      </c>
      <c r="D11" s="2">
        <v>8.4</v>
      </c>
      <c r="E11" s="49">
        <v>0</v>
      </c>
      <c r="F11" s="50">
        <f>230.99*Table36[[#This Row],[Jun 15-Jul 30]]</f>
        <v>0</v>
      </c>
      <c r="G11" s="49">
        <v>0</v>
      </c>
      <c r="H11" s="50">
        <f>230.99*Table36[[#This Row],[Aug 15-Sep 30]]</f>
        <v>0</v>
      </c>
      <c r="I11" s="49">
        <v>0</v>
      </c>
      <c r="J11" s="50">
        <f>346.49*Table36[[#This Row],[Oct 15-Nov 30]]</f>
        <v>0</v>
      </c>
      <c r="K11" s="49">
        <v>0</v>
      </c>
      <c r="L11" s="50">
        <f>230.99*Table36[[#This Row],[Feb 1-Mar 15]]</f>
        <v>0</v>
      </c>
      <c r="M11" s="49">
        <v>1</v>
      </c>
      <c r="N11" s="50">
        <f>346.49*Table36[[#This Row],[Apr 1-May 15]]</f>
        <v>346.49</v>
      </c>
      <c r="O11">
        <f>Table36[[#This Row],[Jun 15-Jul 31]]+Table36[[#This Row],[Aug 15-Sep 31]]+Table36[[#This Row],[Oct 15-Nov 31]]+Table36[[#This Row],[Feb 1-Mar 16]]+Table36[[#This Row],[Apr 1-May 16]]</f>
        <v>346.49</v>
      </c>
      <c r="P11">
        <f>SUM(Table36[[#This Row],[Jun 15-Jul 30]]+Table36[[#This Row],[Aug 15-Sep 30]]+Table36[[#This Row],[Oct 15-Nov 30]]+Table36[[#This Row],[Feb 1-Mar 15]]+Table36[[#This Row],[Apr 1-May 15]])</f>
        <v>1</v>
      </c>
      <c r="Q11">
        <f>Table36[[#This Row],[Total Cost]]/Table36[[#This Row],[Size]]</f>
        <v>41.24880952380952</v>
      </c>
    </row>
    <row r="12" spans="1:17" x14ac:dyDescent="0.3">
      <c r="A12" s="3">
        <v>120057</v>
      </c>
      <c r="B12" s="5" t="s">
        <v>30</v>
      </c>
      <c r="C12" s="6" t="s">
        <v>99</v>
      </c>
      <c r="D12" s="29">
        <v>11.6</v>
      </c>
      <c r="E12" s="63">
        <v>1</v>
      </c>
      <c r="F12" s="64">
        <f>230.99*Table36[[#This Row],[Jun 15-Jul 30]]</f>
        <v>230.99</v>
      </c>
      <c r="G12" s="63">
        <v>1</v>
      </c>
      <c r="H12" s="64">
        <f>230.99*Table36[[#This Row],[Aug 15-Sep 30]]</f>
        <v>230.99</v>
      </c>
      <c r="I12" s="63">
        <v>1</v>
      </c>
      <c r="J12" s="64">
        <f>346.49*Table36[[#This Row],[Oct 15-Nov 30]]</f>
        <v>346.49</v>
      </c>
      <c r="K12" s="49">
        <v>1</v>
      </c>
      <c r="L12" s="50">
        <f>230.99*Table36[[#This Row],[Feb 1-Mar 15]]</f>
        <v>230.99</v>
      </c>
      <c r="M12" s="49">
        <v>1</v>
      </c>
      <c r="N12" s="50">
        <f>346.49*Table36[[#This Row],[Apr 1-May 15]]</f>
        <v>346.49</v>
      </c>
      <c r="O12" s="7">
        <f>Table36[[#This Row],[Jun 15-Jul 31]]+Table36[[#This Row],[Aug 15-Sep 31]]+Table36[[#This Row],[Oct 15-Nov 31]]+Table36[[#This Row],[Feb 1-Mar 16]]+Table36[[#This Row],[Apr 1-May 16]]</f>
        <v>1385.95</v>
      </c>
      <c r="P12">
        <f>SUM(Table36[[#This Row],[Jun 15-Jul 30]]+Table36[[#This Row],[Aug 15-Sep 30]]+Table36[[#This Row],[Oct 15-Nov 30]]+Table36[[#This Row],[Feb 1-Mar 15]]+Table36[[#This Row],[Apr 1-May 15]])</f>
        <v>5</v>
      </c>
      <c r="Q12">
        <f>Table36[[#This Row],[Total Cost]]/Table36[[#This Row],[Size]]</f>
        <v>119.47844827586208</v>
      </c>
    </row>
    <row r="13" spans="1:17" x14ac:dyDescent="0.3">
      <c r="A13" s="24">
        <v>120021</v>
      </c>
      <c r="B13" s="5" t="s">
        <v>16</v>
      </c>
      <c r="C13" s="6" t="s">
        <v>85</v>
      </c>
      <c r="D13" s="29">
        <v>12.6</v>
      </c>
      <c r="E13" s="49">
        <v>0</v>
      </c>
      <c r="F13" s="50">
        <f>230.99*Table36[[#This Row],[Jun 15-Jul 30]]</f>
        <v>0</v>
      </c>
      <c r="G13" s="63">
        <v>1</v>
      </c>
      <c r="H13" s="64">
        <f>230.99*Table36[[#This Row],[Aug 15-Sep 30]]</f>
        <v>230.99</v>
      </c>
      <c r="I13" s="63">
        <v>1</v>
      </c>
      <c r="J13" s="64">
        <f>346.49*Table36[[#This Row],[Oct 15-Nov 30]]</f>
        <v>346.49</v>
      </c>
      <c r="K13" s="49">
        <v>1</v>
      </c>
      <c r="L13" s="50">
        <f>230.99*Table36[[#This Row],[Feb 1-Mar 15]]</f>
        <v>230.99</v>
      </c>
      <c r="M13" s="49">
        <v>1</v>
      </c>
      <c r="N13" s="50">
        <f>346.49*Table36[[#This Row],[Apr 1-May 15]]</f>
        <v>346.49</v>
      </c>
      <c r="O13">
        <f>Table36[[#This Row],[Jun 15-Jul 31]]+Table36[[#This Row],[Aug 15-Sep 31]]+Table36[[#This Row],[Oct 15-Nov 31]]+Table36[[#This Row],[Feb 1-Mar 16]]+Table36[[#This Row],[Apr 1-May 16]]</f>
        <v>1154.96</v>
      </c>
      <c r="P13">
        <f>SUM(Table36[[#This Row],[Jun 15-Jul 30]]+Table36[[#This Row],[Aug 15-Sep 30]]+Table36[[#This Row],[Oct 15-Nov 30]]+Table36[[#This Row],[Feb 1-Mar 15]]+Table36[[#This Row],[Apr 1-May 15]])</f>
        <v>4</v>
      </c>
      <c r="Q13">
        <f>Table36[[#This Row],[Total Cost]]/Table36[[#This Row],[Size]]</f>
        <v>91.663492063492072</v>
      </c>
    </row>
    <row r="14" spans="1:17" x14ac:dyDescent="0.3">
      <c r="A14" s="3">
        <v>120201</v>
      </c>
      <c r="B14" s="5" t="s">
        <v>44</v>
      </c>
      <c r="C14" s="6" t="s">
        <v>192</v>
      </c>
      <c r="D14" s="29">
        <v>13.3</v>
      </c>
      <c r="E14" s="63">
        <v>1</v>
      </c>
      <c r="F14" s="64">
        <f>230.99*Table36[[#This Row],[Jun 15-Jul 30]]</f>
        <v>230.99</v>
      </c>
      <c r="G14" s="63">
        <v>1</v>
      </c>
      <c r="H14" s="64">
        <f>230.99*Table36[[#This Row],[Aug 15-Sep 30]]</f>
        <v>230.99</v>
      </c>
      <c r="I14" s="63">
        <v>1</v>
      </c>
      <c r="J14" s="64">
        <f>346.49*Table36[[#This Row],[Oct 15-Nov 30]]</f>
        <v>346.49</v>
      </c>
      <c r="K14" s="49">
        <v>1</v>
      </c>
      <c r="L14" s="50">
        <f>230.99*Table36[[#This Row],[Feb 1-Mar 15]]</f>
        <v>230.99</v>
      </c>
      <c r="M14" s="49">
        <v>1</v>
      </c>
      <c r="N14" s="50">
        <f>346.49*Table36[[#This Row],[Apr 1-May 15]]</f>
        <v>346.49</v>
      </c>
      <c r="O14">
        <f>Table36[[#This Row],[Jun 15-Jul 31]]+Table36[[#This Row],[Aug 15-Sep 31]]+Table36[[#This Row],[Oct 15-Nov 31]]+Table36[[#This Row],[Feb 1-Mar 16]]+Table36[[#This Row],[Apr 1-May 16]]</f>
        <v>1385.95</v>
      </c>
      <c r="P14">
        <f>SUM(Table36[[#This Row],[Jun 15-Jul 30]]+Table36[[#This Row],[Aug 15-Sep 30]]+Table36[[#This Row],[Oct 15-Nov 30]]+Table36[[#This Row],[Feb 1-Mar 15]]+Table36[[#This Row],[Apr 1-May 15]])</f>
        <v>5</v>
      </c>
      <c r="Q14">
        <f>Table36[[#This Row],[Total Cost]]/Table36[[#This Row],[Size]]</f>
        <v>104.20676691729324</v>
      </c>
    </row>
    <row r="15" spans="1:17" x14ac:dyDescent="0.3">
      <c r="A15" s="3">
        <v>120040</v>
      </c>
      <c r="B15" s="5" t="s">
        <v>22</v>
      </c>
      <c r="C15" s="6" t="s">
        <v>99</v>
      </c>
      <c r="D15" s="29">
        <v>13.6</v>
      </c>
      <c r="E15" s="63">
        <v>1</v>
      </c>
      <c r="F15" s="64">
        <f>230.99*Table36[[#This Row],[Jun 15-Jul 30]]</f>
        <v>230.99</v>
      </c>
      <c r="G15" s="63">
        <v>1</v>
      </c>
      <c r="H15" s="64">
        <f>230.99*Table36[[#This Row],[Aug 15-Sep 30]]</f>
        <v>230.99</v>
      </c>
      <c r="I15" s="63">
        <v>1</v>
      </c>
      <c r="J15" s="64">
        <f>346.49*Table36[[#This Row],[Oct 15-Nov 30]]</f>
        <v>346.49</v>
      </c>
      <c r="K15" s="49">
        <v>1</v>
      </c>
      <c r="L15" s="50">
        <f>230.99*Table36[[#This Row],[Feb 1-Mar 15]]</f>
        <v>230.99</v>
      </c>
      <c r="M15" s="49">
        <v>1</v>
      </c>
      <c r="N15" s="50">
        <f>346.49*Table36[[#This Row],[Apr 1-May 15]]</f>
        <v>346.49</v>
      </c>
      <c r="O15" s="7">
        <f>Table36[[#This Row],[Jun 15-Jul 31]]+Table36[[#This Row],[Aug 15-Sep 31]]+Table36[[#This Row],[Oct 15-Nov 31]]+Table36[[#This Row],[Feb 1-Mar 16]]+Table36[[#This Row],[Apr 1-May 16]]</f>
        <v>1385.95</v>
      </c>
      <c r="P15">
        <f>SUM(Table36[[#This Row],[Jun 15-Jul 30]]+Table36[[#This Row],[Aug 15-Sep 30]]+Table36[[#This Row],[Oct 15-Nov 30]]+Table36[[#This Row],[Feb 1-Mar 15]]+Table36[[#This Row],[Apr 1-May 15]])</f>
        <v>5</v>
      </c>
      <c r="Q15">
        <f>Table36[[#This Row],[Total Cost]]/Table36[[#This Row],[Size]]</f>
        <v>101.90808823529413</v>
      </c>
    </row>
    <row r="16" spans="1:17" x14ac:dyDescent="0.3">
      <c r="A16" s="23">
        <v>120003</v>
      </c>
      <c r="B16" s="5" t="s">
        <v>13</v>
      </c>
      <c r="C16" s="6" t="s">
        <v>74</v>
      </c>
      <c r="D16" s="29">
        <v>14.8</v>
      </c>
      <c r="E16" s="49">
        <v>0</v>
      </c>
      <c r="F16" s="50">
        <f>230.99*Table36[[#This Row],[Jun 15-Jul 30]]</f>
        <v>0</v>
      </c>
      <c r="G16" s="63">
        <v>1</v>
      </c>
      <c r="H16" s="64">
        <f>230.99*Table36[[#This Row],[Aug 15-Sep 30]]</f>
        <v>230.99</v>
      </c>
      <c r="I16" s="63">
        <v>1</v>
      </c>
      <c r="J16" s="64">
        <f>346.49*Table36[[#This Row],[Oct 15-Nov 30]]</f>
        <v>346.49</v>
      </c>
      <c r="K16" s="49">
        <v>1</v>
      </c>
      <c r="L16" s="50">
        <f>230.99*Table36[[#This Row],[Feb 1-Mar 15]]</f>
        <v>230.99</v>
      </c>
      <c r="M16" s="49">
        <v>1</v>
      </c>
      <c r="N16" s="50">
        <f>346.49*Table36[[#This Row],[Apr 1-May 15]]</f>
        <v>346.49</v>
      </c>
      <c r="O16" s="7">
        <f>Table36[[#This Row],[Jun 15-Jul 31]]+Table36[[#This Row],[Aug 15-Sep 31]]+Table36[[#This Row],[Oct 15-Nov 31]]+Table36[[#This Row],[Feb 1-Mar 16]]+Table36[[#This Row],[Apr 1-May 16]]</f>
        <v>1154.96</v>
      </c>
      <c r="P16">
        <f>SUM(Table36[[#This Row],[Jun 15-Jul 30]]+Table36[[#This Row],[Aug 15-Sep 30]]+Table36[[#This Row],[Oct 15-Nov 30]]+Table36[[#This Row],[Feb 1-Mar 15]]+Table36[[#This Row],[Apr 1-May 15]])</f>
        <v>4</v>
      </c>
      <c r="Q16">
        <f>Table36[[#This Row],[Total Cost]]/Table36[[#This Row],[Size]]</f>
        <v>78.037837837837841</v>
      </c>
    </row>
    <row r="17" spans="1:17" x14ac:dyDescent="0.3">
      <c r="A17" s="3">
        <v>120059</v>
      </c>
      <c r="B17" s="5" t="s">
        <v>30</v>
      </c>
      <c r="C17" s="6" t="s">
        <v>101</v>
      </c>
      <c r="D17" s="29">
        <v>15.3</v>
      </c>
      <c r="E17" s="63">
        <v>1</v>
      </c>
      <c r="F17" s="64">
        <f>230.99*Table36[[#This Row],[Jun 15-Jul 30]]</f>
        <v>230.99</v>
      </c>
      <c r="G17" s="63">
        <v>1</v>
      </c>
      <c r="H17" s="64">
        <f>230.99*Table36[[#This Row],[Aug 15-Sep 30]]</f>
        <v>230.99</v>
      </c>
      <c r="I17" s="63">
        <v>1</v>
      </c>
      <c r="J17" s="64">
        <f>346.49*Table36[[#This Row],[Oct 15-Nov 30]]</f>
        <v>346.49</v>
      </c>
      <c r="K17" s="49">
        <v>1</v>
      </c>
      <c r="L17" s="50">
        <f>230.99*Table36[[#This Row],[Feb 1-Mar 15]]</f>
        <v>230.99</v>
      </c>
      <c r="M17" s="49">
        <v>1</v>
      </c>
      <c r="N17" s="50">
        <f>346.49*Table36[[#This Row],[Apr 1-May 15]]</f>
        <v>346.49</v>
      </c>
      <c r="O17" s="7">
        <f>Table36[[#This Row],[Jun 15-Jul 31]]+Table36[[#This Row],[Aug 15-Sep 31]]+Table36[[#This Row],[Oct 15-Nov 31]]+Table36[[#This Row],[Feb 1-Mar 16]]+Table36[[#This Row],[Apr 1-May 16]]</f>
        <v>1385.95</v>
      </c>
      <c r="P17">
        <f>SUM(Table36[[#This Row],[Jun 15-Jul 30]]+Table36[[#This Row],[Aug 15-Sep 30]]+Table36[[#This Row],[Oct 15-Nov 30]]+Table36[[#This Row],[Feb 1-Mar 15]]+Table36[[#This Row],[Apr 1-May 15]])</f>
        <v>5</v>
      </c>
      <c r="Q17">
        <f>Table36[[#This Row],[Total Cost]]/Table36[[#This Row],[Size]]</f>
        <v>90.584967320261441</v>
      </c>
    </row>
    <row r="18" spans="1:17" x14ac:dyDescent="0.3">
      <c r="A18" s="3">
        <v>120098</v>
      </c>
      <c r="B18" s="5" t="s">
        <v>41</v>
      </c>
      <c r="C18" s="6" t="s">
        <v>123</v>
      </c>
      <c r="D18" s="29">
        <v>16.600000000000001</v>
      </c>
      <c r="E18" s="63">
        <v>1</v>
      </c>
      <c r="F18" s="64">
        <f>230.99*Table36[[#This Row],[Jun 15-Jul 30]]</f>
        <v>230.99</v>
      </c>
      <c r="G18" s="63">
        <v>1</v>
      </c>
      <c r="H18" s="64">
        <f>230.99*Table36[[#This Row],[Aug 15-Sep 30]]</f>
        <v>230.99</v>
      </c>
      <c r="I18" s="63">
        <v>1</v>
      </c>
      <c r="J18" s="64">
        <f>346.49*Table36[[#This Row],[Oct 15-Nov 30]]</f>
        <v>346.49</v>
      </c>
      <c r="K18" s="49">
        <v>1</v>
      </c>
      <c r="L18" s="50">
        <f>230.99*Table36[[#This Row],[Feb 1-Mar 15]]</f>
        <v>230.99</v>
      </c>
      <c r="M18" s="49">
        <v>1</v>
      </c>
      <c r="N18" s="50">
        <f>346.49*Table36[[#This Row],[Apr 1-May 15]]</f>
        <v>346.49</v>
      </c>
      <c r="O18">
        <f>Table36[[#This Row],[Jun 15-Jul 31]]+Table36[[#This Row],[Aug 15-Sep 31]]+Table36[[#This Row],[Oct 15-Nov 31]]+Table36[[#This Row],[Feb 1-Mar 16]]+Table36[[#This Row],[Apr 1-May 16]]</f>
        <v>1385.95</v>
      </c>
      <c r="P18">
        <f>SUM(Table36[[#This Row],[Jun 15-Jul 30]]+Table36[[#This Row],[Aug 15-Sep 30]]+Table36[[#This Row],[Oct 15-Nov 30]]+Table36[[#This Row],[Feb 1-Mar 15]]+Table36[[#This Row],[Apr 1-May 15]])</f>
        <v>5</v>
      </c>
      <c r="Q18">
        <f>Table36[[#This Row],[Total Cost]]/Table36[[#This Row],[Size]]</f>
        <v>83.490963855421683</v>
      </c>
    </row>
    <row r="19" spans="1:17" x14ac:dyDescent="0.3">
      <c r="A19" s="19">
        <v>120001</v>
      </c>
      <c r="B19" s="18" t="s">
        <v>12</v>
      </c>
      <c r="C19" s="26" t="s">
        <v>72</v>
      </c>
      <c r="D19" s="29">
        <v>17.100000000000001</v>
      </c>
      <c r="E19" s="49">
        <v>0</v>
      </c>
      <c r="F19" s="50">
        <f>230.99*Table36[[#This Row],[Jun 15-Jul 30]]</f>
        <v>0</v>
      </c>
      <c r="G19" s="49">
        <v>0</v>
      </c>
      <c r="H19" s="50">
        <f>230.99*Table36[[#This Row],[Aug 15-Sep 30]]</f>
        <v>0</v>
      </c>
      <c r="I19" s="49">
        <v>0</v>
      </c>
      <c r="J19" s="50">
        <f>346.49*Table36[[#This Row],[Oct 15-Nov 30]]</f>
        <v>0</v>
      </c>
      <c r="K19" s="49">
        <v>0</v>
      </c>
      <c r="L19" s="50">
        <f>230.99*Table36[[#This Row],[Feb 1-Mar 15]]</f>
        <v>0</v>
      </c>
      <c r="M19" s="49">
        <v>1</v>
      </c>
      <c r="N19" s="50">
        <f>346.49*Table36[[#This Row],[Apr 1-May 15]]</f>
        <v>346.49</v>
      </c>
      <c r="O19" s="7">
        <f>Table36[[#This Row],[Jun 15-Jul 31]]+Table36[[#This Row],[Aug 15-Sep 31]]+Table36[[#This Row],[Oct 15-Nov 31]]+Table36[[#This Row],[Feb 1-Mar 16]]+Table36[[#This Row],[Apr 1-May 16]]</f>
        <v>346.49</v>
      </c>
      <c r="P19">
        <f>SUM(Table36[[#This Row],[Jun 15-Jul 30]]+Table36[[#This Row],[Aug 15-Sep 30]]+Table36[[#This Row],[Oct 15-Nov 30]]+Table36[[#This Row],[Feb 1-Mar 15]]+Table36[[#This Row],[Apr 1-May 15]])</f>
        <v>1</v>
      </c>
      <c r="Q19">
        <f>Table36[[#This Row],[Total Cost]]/Table36[[#This Row],[Size]]</f>
        <v>20.262573099415203</v>
      </c>
    </row>
    <row r="20" spans="1:17" x14ac:dyDescent="0.3">
      <c r="A20" s="3">
        <v>120209</v>
      </c>
      <c r="B20" s="4" t="s">
        <v>10</v>
      </c>
      <c r="C20" s="14" t="s">
        <v>138</v>
      </c>
      <c r="D20" s="29">
        <v>17.2</v>
      </c>
      <c r="E20" s="65">
        <v>1</v>
      </c>
      <c r="F20" s="64">
        <f>230.99*Table36[[#This Row],[Jun 15-Jul 30]]</f>
        <v>230.99</v>
      </c>
      <c r="G20" s="65">
        <v>1</v>
      </c>
      <c r="H20" s="64">
        <f>230.99*Table36[[#This Row],[Aug 15-Sep 30]]</f>
        <v>230.99</v>
      </c>
      <c r="I20" s="65">
        <v>1</v>
      </c>
      <c r="J20" s="64">
        <f>346.49*Table36[[#This Row],[Oct 15-Nov 30]]</f>
        <v>346.49</v>
      </c>
      <c r="K20" s="53">
        <v>1</v>
      </c>
      <c r="L20" s="50">
        <f>230.99*Table36[[#This Row],[Feb 1-Mar 15]]</f>
        <v>230.99</v>
      </c>
      <c r="M20" s="53">
        <v>1</v>
      </c>
      <c r="N20" s="50">
        <f>346.49*Table36[[#This Row],[Apr 1-May 15]]</f>
        <v>346.49</v>
      </c>
      <c r="O20" s="34">
        <f>Table36[[#This Row],[Jun 15-Jul 31]]+Table36[[#This Row],[Aug 15-Sep 31]]+Table36[[#This Row],[Oct 15-Nov 31]]+Table36[[#This Row],[Feb 1-Mar 16]]+Table36[[#This Row],[Apr 1-May 16]]</f>
        <v>1385.95</v>
      </c>
      <c r="P20">
        <f>SUM(Table36[[#This Row],[Jun 15-Jul 30]]+Table36[[#This Row],[Aug 15-Sep 30]]+Table36[[#This Row],[Oct 15-Nov 30]]+Table36[[#This Row],[Feb 1-Mar 15]]+Table36[[#This Row],[Apr 1-May 15]])</f>
        <v>5</v>
      </c>
      <c r="Q20">
        <f>Table36[[#This Row],[Total Cost]]/Table36[[#This Row],[Size]]</f>
        <v>80.578488372093034</v>
      </c>
    </row>
    <row r="21" spans="1:17" x14ac:dyDescent="0.3">
      <c r="A21" s="3">
        <v>120097</v>
      </c>
      <c r="B21" s="5" t="s">
        <v>41</v>
      </c>
      <c r="C21" s="6" t="s">
        <v>122</v>
      </c>
      <c r="D21" s="29">
        <v>17.3</v>
      </c>
      <c r="E21" s="65">
        <v>1</v>
      </c>
      <c r="F21" s="64">
        <f>230.99*Table36[[#This Row],[Jun 15-Jul 30]]</f>
        <v>230.99</v>
      </c>
      <c r="G21" s="65">
        <v>1</v>
      </c>
      <c r="H21" s="64">
        <f>230.99*Table36[[#This Row],[Aug 15-Sep 30]]</f>
        <v>230.99</v>
      </c>
      <c r="I21" s="65">
        <v>1</v>
      </c>
      <c r="J21" s="64">
        <f>346.49*Table36[[#This Row],[Oct 15-Nov 30]]</f>
        <v>346.49</v>
      </c>
      <c r="K21" s="53">
        <v>1</v>
      </c>
      <c r="L21" s="50">
        <f>230.99*Table36[[#This Row],[Feb 1-Mar 15]]</f>
        <v>230.99</v>
      </c>
      <c r="M21" s="53">
        <v>1</v>
      </c>
      <c r="N21" s="50">
        <f>346.49*Table36[[#This Row],[Apr 1-May 15]]</f>
        <v>346.49</v>
      </c>
      <c r="O21" s="34">
        <f>Table36[[#This Row],[Jun 15-Jul 31]]+Table36[[#This Row],[Aug 15-Sep 31]]+Table36[[#This Row],[Oct 15-Nov 31]]+Table36[[#This Row],[Feb 1-Mar 16]]+Table36[[#This Row],[Apr 1-May 16]]</f>
        <v>1385.95</v>
      </c>
      <c r="P21">
        <f>SUM(Table36[[#This Row],[Jun 15-Jul 30]]+Table36[[#This Row],[Aug 15-Sep 30]]+Table36[[#This Row],[Oct 15-Nov 30]]+Table36[[#This Row],[Feb 1-Mar 15]]+Table36[[#This Row],[Apr 1-May 15]])</f>
        <v>5</v>
      </c>
      <c r="Q21">
        <f>Table36[[#This Row],[Total Cost]]/Table36[[#This Row],[Size]]</f>
        <v>80.112716763005778</v>
      </c>
    </row>
    <row r="22" spans="1:17" x14ac:dyDescent="0.3">
      <c r="A22" s="3">
        <v>130104</v>
      </c>
      <c r="B22" s="4" t="s">
        <v>57</v>
      </c>
      <c r="C22" s="14" t="s">
        <v>148</v>
      </c>
      <c r="D22" s="29">
        <v>17.399999999999999</v>
      </c>
      <c r="E22" s="63">
        <v>1</v>
      </c>
      <c r="F22" s="64">
        <f>230.99*Table36[[#This Row],[Jun 15-Jul 30]]</f>
        <v>230.99</v>
      </c>
      <c r="G22" s="63">
        <v>1</v>
      </c>
      <c r="H22" s="64">
        <f>230.99*Table36[[#This Row],[Aug 15-Sep 30]]</f>
        <v>230.99</v>
      </c>
      <c r="I22" s="63">
        <v>1</v>
      </c>
      <c r="J22" s="64">
        <f>346.49*Table36[[#This Row],[Oct 15-Nov 30]]</f>
        <v>346.49</v>
      </c>
      <c r="K22" s="49">
        <v>1</v>
      </c>
      <c r="L22" s="50">
        <f>230.99*Table36[[#This Row],[Feb 1-Mar 15]]</f>
        <v>230.99</v>
      </c>
      <c r="M22" s="49">
        <v>1</v>
      </c>
      <c r="N22" s="50">
        <f>346.49*Table36[[#This Row],[Apr 1-May 15]]</f>
        <v>346.49</v>
      </c>
      <c r="O22">
        <f>Table36[[#This Row],[Jun 15-Jul 31]]+Table36[[#This Row],[Aug 15-Sep 31]]+Table36[[#This Row],[Oct 15-Nov 31]]+Table36[[#This Row],[Feb 1-Mar 16]]+Table36[[#This Row],[Apr 1-May 16]]</f>
        <v>1385.95</v>
      </c>
      <c r="P22">
        <f>SUM(Table36[[#This Row],[Jun 15-Jul 30]]+Table36[[#This Row],[Aug 15-Sep 30]]+Table36[[#This Row],[Oct 15-Nov 30]]+Table36[[#This Row],[Feb 1-Mar 15]]+Table36[[#This Row],[Apr 1-May 15]])</f>
        <v>5</v>
      </c>
      <c r="Q22">
        <f>Table36[[#This Row],[Total Cost]]/Table36[[#This Row],[Size]]</f>
        <v>79.652298850574724</v>
      </c>
    </row>
    <row r="23" spans="1:17" x14ac:dyDescent="0.3">
      <c r="A23" s="33">
        <v>120213</v>
      </c>
      <c r="B23" s="18" t="s">
        <v>49</v>
      </c>
      <c r="C23" s="26" t="s">
        <v>193</v>
      </c>
      <c r="D23" s="36">
        <v>18</v>
      </c>
      <c r="E23" s="63">
        <v>1</v>
      </c>
      <c r="F23" s="64">
        <f>230.99*Table36[[#This Row],[Jun 15-Jul 30]]</f>
        <v>230.99</v>
      </c>
      <c r="G23" s="63">
        <v>1</v>
      </c>
      <c r="H23" s="64">
        <f>230.99*Table36[[#This Row],[Aug 15-Sep 30]]</f>
        <v>230.99</v>
      </c>
      <c r="I23" s="63">
        <v>1</v>
      </c>
      <c r="J23" s="64">
        <f>346.49*Table36[[#This Row],[Oct 15-Nov 30]]</f>
        <v>346.49</v>
      </c>
      <c r="K23" s="49">
        <v>1</v>
      </c>
      <c r="L23" s="50">
        <f>230.99*Table36[[#This Row],[Feb 1-Mar 15]]</f>
        <v>230.99</v>
      </c>
      <c r="M23" s="49">
        <v>1</v>
      </c>
      <c r="N23" s="50">
        <f>346.49*Table36[[#This Row],[Apr 1-May 15]]</f>
        <v>346.49</v>
      </c>
      <c r="O23">
        <f>Table36[[#This Row],[Jun 15-Jul 31]]+Table36[[#This Row],[Aug 15-Sep 31]]+Table36[[#This Row],[Oct 15-Nov 31]]+Table36[[#This Row],[Feb 1-Mar 16]]+Table36[[#This Row],[Apr 1-May 16]]</f>
        <v>1385.95</v>
      </c>
      <c r="P23">
        <f>SUM(Table36[[#This Row],[Jun 15-Jul 30]]+Table36[[#This Row],[Aug 15-Sep 30]]+Table36[[#This Row],[Oct 15-Nov 30]]+Table36[[#This Row],[Feb 1-Mar 15]]+Table36[[#This Row],[Apr 1-May 15]])</f>
        <v>5</v>
      </c>
      <c r="Q23">
        <f>Table36[[#This Row],[Total Cost]]/Table36[[#This Row],[Size]]</f>
        <v>76.99722222222222</v>
      </c>
    </row>
    <row r="24" spans="1:17" x14ac:dyDescent="0.3">
      <c r="A24" s="8">
        <v>120002</v>
      </c>
      <c r="B24" s="5" t="s">
        <v>12</v>
      </c>
      <c r="C24" s="6" t="s">
        <v>73</v>
      </c>
      <c r="D24" s="29">
        <v>18.100000000000001</v>
      </c>
      <c r="E24" s="63">
        <v>1</v>
      </c>
      <c r="F24" s="64">
        <f>230.99*Table36[[#This Row],[Jun 15-Jul 30]]</f>
        <v>230.99</v>
      </c>
      <c r="G24" s="63">
        <v>1</v>
      </c>
      <c r="H24" s="64">
        <f>230.99*Table36[[#This Row],[Aug 15-Sep 30]]</f>
        <v>230.99</v>
      </c>
      <c r="I24" s="63">
        <v>1</v>
      </c>
      <c r="J24" s="64">
        <f>346.49*Table36[[#This Row],[Oct 15-Nov 30]]</f>
        <v>346.49</v>
      </c>
      <c r="K24" s="49">
        <v>1</v>
      </c>
      <c r="L24" s="50">
        <f>230.99*Table36[[#This Row],[Feb 1-Mar 15]]</f>
        <v>230.99</v>
      </c>
      <c r="M24" s="49">
        <v>1</v>
      </c>
      <c r="N24" s="50">
        <f>346.49*Table36[[#This Row],[Apr 1-May 15]]</f>
        <v>346.49</v>
      </c>
      <c r="O24" s="7">
        <f>Table36[[#This Row],[Jun 15-Jul 31]]+Table36[[#This Row],[Aug 15-Sep 31]]+Table36[[#This Row],[Oct 15-Nov 31]]+Table36[[#This Row],[Feb 1-Mar 16]]+Table36[[#This Row],[Apr 1-May 16]]</f>
        <v>1385.95</v>
      </c>
      <c r="P24">
        <f>SUM(Table36[[#This Row],[Jun 15-Jul 30]]+Table36[[#This Row],[Aug 15-Sep 30]]+Table36[[#This Row],[Oct 15-Nov 30]]+Table36[[#This Row],[Feb 1-Mar 15]]+Table36[[#This Row],[Apr 1-May 15]])</f>
        <v>5</v>
      </c>
      <c r="Q24">
        <f>Table36[[#This Row],[Total Cost]]/Table36[[#This Row],[Size]]</f>
        <v>76.571823204419886</v>
      </c>
    </row>
    <row r="25" spans="1:17" x14ac:dyDescent="0.3">
      <c r="A25" s="24">
        <v>120107</v>
      </c>
      <c r="B25" s="18" t="s">
        <v>43</v>
      </c>
      <c r="C25" s="26" t="s">
        <v>130</v>
      </c>
      <c r="D25" s="29">
        <v>18.2</v>
      </c>
      <c r="E25" s="49">
        <v>0</v>
      </c>
      <c r="F25" s="50">
        <f>230.99*Table36[[#This Row],[Jun 15-Jul 30]]</f>
        <v>0</v>
      </c>
      <c r="G25" s="49">
        <v>0</v>
      </c>
      <c r="H25" s="50">
        <f>230.99*Table36[[#This Row],[Aug 15-Sep 30]]</f>
        <v>0</v>
      </c>
      <c r="I25" s="49">
        <v>0</v>
      </c>
      <c r="J25" s="50">
        <f>346.49*Table36[[#This Row],[Oct 15-Nov 30]]</f>
        <v>0</v>
      </c>
      <c r="K25" s="49">
        <v>0</v>
      </c>
      <c r="L25" s="50">
        <f>230.99*Table36[[#This Row],[Feb 1-Mar 15]]</f>
        <v>0</v>
      </c>
      <c r="M25" s="49">
        <v>1</v>
      </c>
      <c r="N25" s="50">
        <f>346.49*Table36[[#This Row],[Apr 1-May 15]]</f>
        <v>346.49</v>
      </c>
      <c r="O25">
        <f>Table36[[#This Row],[Jun 15-Jul 31]]+Table36[[#This Row],[Aug 15-Sep 31]]+Table36[[#This Row],[Oct 15-Nov 31]]+Table36[[#This Row],[Feb 1-Mar 16]]+Table36[[#This Row],[Apr 1-May 16]]</f>
        <v>346.49</v>
      </c>
      <c r="P25">
        <f>SUM(Table36[[#This Row],[Jun 15-Jul 30]]+Table36[[#This Row],[Aug 15-Sep 30]]+Table36[[#This Row],[Oct 15-Nov 30]]+Table36[[#This Row],[Feb 1-Mar 15]]+Table36[[#This Row],[Apr 1-May 15]])</f>
        <v>1</v>
      </c>
      <c r="Q25">
        <f>Table36[[#This Row],[Total Cost]]/Table36[[#This Row],[Size]]</f>
        <v>19.03791208791209</v>
      </c>
    </row>
    <row r="26" spans="1:17" x14ac:dyDescent="0.3">
      <c r="A26" s="24">
        <v>120089</v>
      </c>
      <c r="B26" s="18" t="s">
        <v>40</v>
      </c>
      <c r="C26" s="26" t="s">
        <v>116</v>
      </c>
      <c r="D26" s="29">
        <v>19.2</v>
      </c>
      <c r="E26" s="49">
        <v>0</v>
      </c>
      <c r="F26" s="50">
        <f>230.99*Table36[[#This Row],[Jun 15-Jul 30]]</f>
        <v>0</v>
      </c>
      <c r="G26" s="63">
        <v>1</v>
      </c>
      <c r="H26" s="64">
        <f>230.99*Table36[[#This Row],[Aug 15-Sep 30]]</f>
        <v>230.99</v>
      </c>
      <c r="I26" s="63">
        <v>1</v>
      </c>
      <c r="J26" s="64">
        <f>346.49*Table36[[#This Row],[Oct 15-Nov 30]]</f>
        <v>346.49</v>
      </c>
      <c r="K26" s="49">
        <v>1</v>
      </c>
      <c r="L26" s="50">
        <f>230.99*Table36[[#This Row],[Feb 1-Mar 15]]</f>
        <v>230.99</v>
      </c>
      <c r="M26" s="49">
        <v>1</v>
      </c>
      <c r="N26" s="50">
        <f>346.49*Table36[[#This Row],[Apr 1-May 15]]</f>
        <v>346.49</v>
      </c>
      <c r="O26">
        <f>Table36[[#This Row],[Jun 15-Jul 31]]+Table36[[#This Row],[Aug 15-Sep 31]]+Table36[[#This Row],[Oct 15-Nov 31]]+Table36[[#This Row],[Feb 1-Mar 16]]+Table36[[#This Row],[Apr 1-May 16]]</f>
        <v>1154.96</v>
      </c>
      <c r="P26">
        <f>SUM(Table36[[#This Row],[Jun 15-Jul 30]]+Table36[[#This Row],[Aug 15-Sep 30]]+Table36[[#This Row],[Oct 15-Nov 30]]+Table36[[#This Row],[Feb 1-Mar 15]]+Table36[[#This Row],[Apr 1-May 15]])</f>
        <v>4</v>
      </c>
      <c r="Q26">
        <f>Table36[[#This Row],[Total Cost]]/Table36[[#This Row],[Size]]</f>
        <v>60.154166666666669</v>
      </c>
    </row>
    <row r="27" spans="1:17" x14ac:dyDescent="0.3">
      <c r="A27" s="23">
        <v>120090</v>
      </c>
      <c r="B27" s="18" t="s">
        <v>40</v>
      </c>
      <c r="C27" s="26" t="s">
        <v>117</v>
      </c>
      <c r="D27" s="29">
        <v>20</v>
      </c>
      <c r="E27" s="49">
        <v>0</v>
      </c>
      <c r="F27" s="50">
        <f>230.99*Table36[[#This Row],[Jun 15-Jul 30]]</f>
        <v>0</v>
      </c>
      <c r="G27" s="49">
        <v>0</v>
      </c>
      <c r="H27" s="50">
        <f>230.99*Table36[[#This Row],[Aug 15-Sep 30]]</f>
        <v>0</v>
      </c>
      <c r="I27" s="49">
        <v>0</v>
      </c>
      <c r="J27" s="50">
        <f>346.49*Table36[[#This Row],[Oct 15-Nov 30]]</f>
        <v>0</v>
      </c>
      <c r="K27" s="49">
        <v>0</v>
      </c>
      <c r="L27" s="50">
        <f>230.99*Table36[[#This Row],[Feb 1-Mar 15]]</f>
        <v>0</v>
      </c>
      <c r="M27" s="49">
        <v>1</v>
      </c>
      <c r="N27" s="50">
        <f>346.49*Table36[[#This Row],[Apr 1-May 15]]</f>
        <v>346.49</v>
      </c>
      <c r="O27">
        <f>Table36[[#This Row],[Jun 15-Jul 31]]+Table36[[#This Row],[Aug 15-Sep 31]]+Table36[[#This Row],[Oct 15-Nov 31]]+Table36[[#This Row],[Feb 1-Mar 16]]+Table36[[#This Row],[Apr 1-May 16]]</f>
        <v>346.49</v>
      </c>
      <c r="P27">
        <f>SUM(Table36[[#This Row],[Jun 15-Jul 30]]+Table36[[#This Row],[Aug 15-Sep 30]]+Table36[[#This Row],[Oct 15-Nov 30]]+Table36[[#This Row],[Feb 1-Mar 15]]+Table36[[#This Row],[Apr 1-May 15]])</f>
        <v>1</v>
      </c>
      <c r="Q27">
        <f>Table36[[#This Row],[Total Cost]]/Table36[[#This Row],[Size]]</f>
        <v>17.3245</v>
      </c>
    </row>
    <row r="28" spans="1:17" x14ac:dyDescent="0.3">
      <c r="A28" s="24">
        <v>120054</v>
      </c>
      <c r="B28" s="5" t="s">
        <v>28</v>
      </c>
      <c r="C28" s="6" t="s">
        <v>97</v>
      </c>
      <c r="D28" s="29">
        <v>20.399999999999999</v>
      </c>
      <c r="E28" s="53">
        <v>0</v>
      </c>
      <c r="F28" s="50">
        <f>230.99*Table36[[#This Row],[Jun 15-Jul 30]]</f>
        <v>0</v>
      </c>
      <c r="G28" s="65">
        <v>1</v>
      </c>
      <c r="H28" s="64">
        <f>230.99*Table36[[#This Row],[Aug 15-Sep 30]]</f>
        <v>230.99</v>
      </c>
      <c r="I28" s="65">
        <v>1</v>
      </c>
      <c r="J28" s="64">
        <f>346.49*Table36[[#This Row],[Oct 15-Nov 30]]</f>
        <v>346.49</v>
      </c>
      <c r="K28" s="53">
        <v>1</v>
      </c>
      <c r="L28" s="50">
        <f>230.99*Table36[[#This Row],[Feb 1-Mar 15]]</f>
        <v>230.99</v>
      </c>
      <c r="M28" s="53">
        <v>1</v>
      </c>
      <c r="N28" s="50">
        <f>346.49*Table36[[#This Row],[Apr 1-May 15]]</f>
        <v>346.49</v>
      </c>
      <c r="O28" s="34">
        <f>Table36[[#This Row],[Jun 15-Jul 31]]+Table36[[#This Row],[Aug 15-Sep 31]]+Table36[[#This Row],[Oct 15-Nov 31]]+Table36[[#This Row],[Feb 1-Mar 16]]+Table36[[#This Row],[Apr 1-May 16]]</f>
        <v>1154.96</v>
      </c>
      <c r="P28">
        <f>SUM(Table36[[#This Row],[Jun 15-Jul 30]]+Table36[[#This Row],[Aug 15-Sep 30]]+Table36[[#This Row],[Oct 15-Nov 30]]+Table36[[#This Row],[Feb 1-Mar 15]]+Table36[[#This Row],[Apr 1-May 15]])</f>
        <v>4</v>
      </c>
      <c r="Q28">
        <f>Table36[[#This Row],[Total Cost]]/Table36[[#This Row],[Size]]</f>
        <v>56.615686274509812</v>
      </c>
    </row>
    <row r="29" spans="1:17" x14ac:dyDescent="0.3">
      <c r="A29" s="3">
        <v>120018</v>
      </c>
      <c r="B29" s="5" t="s">
        <v>15</v>
      </c>
      <c r="C29" s="6" t="s">
        <v>82</v>
      </c>
      <c r="D29" s="29">
        <v>20.8</v>
      </c>
      <c r="E29" s="65">
        <v>1</v>
      </c>
      <c r="F29" s="64">
        <f>230.99*Table36[[#This Row],[Jun 15-Jul 30]]</f>
        <v>230.99</v>
      </c>
      <c r="G29" s="65">
        <v>1</v>
      </c>
      <c r="H29" s="64">
        <f>230.99*Table36[[#This Row],[Aug 15-Sep 30]]</f>
        <v>230.99</v>
      </c>
      <c r="I29" s="65">
        <v>1</v>
      </c>
      <c r="J29" s="64">
        <f>346.49*Table36[[#This Row],[Oct 15-Nov 30]]</f>
        <v>346.49</v>
      </c>
      <c r="K29" s="53">
        <v>1</v>
      </c>
      <c r="L29" s="50">
        <f>230.99*Table36[[#This Row],[Feb 1-Mar 15]]</f>
        <v>230.99</v>
      </c>
      <c r="M29" s="53">
        <v>1</v>
      </c>
      <c r="N29" s="50">
        <f>346.49*Table36[[#This Row],[Apr 1-May 15]]</f>
        <v>346.49</v>
      </c>
      <c r="O29" s="34">
        <f>Table36[[#This Row],[Jun 15-Jul 31]]+Table36[[#This Row],[Aug 15-Sep 31]]+Table36[[#This Row],[Oct 15-Nov 31]]+Table36[[#This Row],[Feb 1-Mar 16]]+Table36[[#This Row],[Apr 1-May 16]]</f>
        <v>1385.95</v>
      </c>
      <c r="P29">
        <f>SUM(Table36[[#This Row],[Jun 15-Jul 30]]+Table36[[#This Row],[Aug 15-Sep 30]]+Table36[[#This Row],[Oct 15-Nov 30]]+Table36[[#This Row],[Feb 1-Mar 15]]+Table36[[#This Row],[Apr 1-May 15]])</f>
        <v>5</v>
      </c>
      <c r="Q29">
        <f>Table36[[#This Row],[Total Cost]]/Table36[[#This Row],[Size]]</f>
        <v>66.632211538461533</v>
      </c>
    </row>
    <row r="30" spans="1:17" x14ac:dyDescent="0.3">
      <c r="A30" s="24">
        <v>120106</v>
      </c>
      <c r="B30" s="18" t="s">
        <v>43</v>
      </c>
      <c r="C30" s="26" t="s">
        <v>129</v>
      </c>
      <c r="D30" s="29">
        <v>21.3</v>
      </c>
      <c r="E30" s="53">
        <v>0</v>
      </c>
      <c r="F30" s="50">
        <f>230.99*Table36[[#This Row],[Jun 15-Jul 30]]</f>
        <v>0</v>
      </c>
      <c r="G30" s="53">
        <v>0</v>
      </c>
      <c r="H30" s="50">
        <f>230.99*Table36[[#This Row],[Aug 15-Sep 30]]</f>
        <v>0</v>
      </c>
      <c r="I30" s="53">
        <v>0</v>
      </c>
      <c r="J30" s="50">
        <f>346.49*Table36[[#This Row],[Oct 15-Nov 30]]</f>
        <v>0</v>
      </c>
      <c r="K30" s="53">
        <v>0</v>
      </c>
      <c r="L30" s="50">
        <f>230.99*Table36[[#This Row],[Feb 1-Mar 15]]</f>
        <v>0</v>
      </c>
      <c r="M30" s="53">
        <v>1</v>
      </c>
      <c r="N30" s="50">
        <f>346.49*Table36[[#This Row],[Apr 1-May 15]]</f>
        <v>346.49</v>
      </c>
      <c r="O30" s="34">
        <f>Table36[[#This Row],[Jun 15-Jul 31]]+Table36[[#This Row],[Aug 15-Sep 31]]+Table36[[#This Row],[Oct 15-Nov 31]]+Table36[[#This Row],[Feb 1-Mar 16]]+Table36[[#This Row],[Apr 1-May 16]]</f>
        <v>346.49</v>
      </c>
      <c r="P30">
        <f>SUM(Table36[[#This Row],[Jun 15-Jul 30]]+Table36[[#This Row],[Aug 15-Sep 30]]+Table36[[#This Row],[Oct 15-Nov 30]]+Table36[[#This Row],[Feb 1-Mar 15]]+Table36[[#This Row],[Apr 1-May 15]])</f>
        <v>1</v>
      </c>
      <c r="Q30">
        <f>Table36[[#This Row],[Total Cost]]/Table36[[#This Row],[Size]]</f>
        <v>16.267136150234741</v>
      </c>
    </row>
    <row r="31" spans="1:17" x14ac:dyDescent="0.3">
      <c r="A31" s="24">
        <v>120105</v>
      </c>
      <c r="B31" s="18" t="s">
        <v>43</v>
      </c>
      <c r="C31" s="26" t="s">
        <v>128</v>
      </c>
      <c r="D31" s="29">
        <v>21.4</v>
      </c>
      <c r="E31" s="49">
        <v>0</v>
      </c>
      <c r="F31" s="50">
        <f>230.99*Table36[[#This Row],[Jun 15-Jul 30]]</f>
        <v>0</v>
      </c>
      <c r="G31" s="49">
        <v>0</v>
      </c>
      <c r="H31" s="50">
        <f>230.99*Table36[[#This Row],[Aug 15-Sep 30]]</f>
        <v>0</v>
      </c>
      <c r="I31" s="49">
        <v>0</v>
      </c>
      <c r="J31" s="50">
        <f>346.49*Table36[[#This Row],[Oct 15-Nov 30]]</f>
        <v>0</v>
      </c>
      <c r="K31" s="49">
        <v>0</v>
      </c>
      <c r="L31" s="50">
        <f>230.99*Table36[[#This Row],[Feb 1-Mar 15]]</f>
        <v>0</v>
      </c>
      <c r="M31" s="49">
        <v>1</v>
      </c>
      <c r="N31" s="50">
        <f>346.49*Table36[[#This Row],[Apr 1-May 15]]</f>
        <v>346.49</v>
      </c>
      <c r="O31">
        <f>Table36[[#This Row],[Jun 15-Jul 31]]+Table36[[#This Row],[Aug 15-Sep 31]]+Table36[[#This Row],[Oct 15-Nov 31]]+Table36[[#This Row],[Feb 1-Mar 16]]+Table36[[#This Row],[Apr 1-May 16]]</f>
        <v>346.49</v>
      </c>
      <c r="P31">
        <f>SUM(Table36[[#This Row],[Jun 15-Jul 30]]+Table36[[#This Row],[Aug 15-Sep 30]]+Table36[[#This Row],[Oct 15-Nov 30]]+Table36[[#This Row],[Feb 1-Mar 15]]+Table36[[#This Row],[Apr 1-May 15]])</f>
        <v>1</v>
      </c>
      <c r="Q31">
        <f>Table36[[#This Row],[Total Cost]]/Table36[[#This Row],[Size]]</f>
        <v>16.191121495327103</v>
      </c>
    </row>
    <row r="32" spans="1:17" x14ac:dyDescent="0.3">
      <c r="A32" s="23">
        <v>120004</v>
      </c>
      <c r="B32" s="5" t="s">
        <v>13</v>
      </c>
      <c r="C32" s="6" t="s">
        <v>189</v>
      </c>
      <c r="D32" s="29">
        <v>22.1</v>
      </c>
      <c r="E32" s="53">
        <v>0</v>
      </c>
      <c r="F32" s="50">
        <f>230.99*Table36[[#This Row],[Jun 15-Jul 30]]</f>
        <v>0</v>
      </c>
      <c r="G32" s="65">
        <v>1</v>
      </c>
      <c r="H32" s="64">
        <f>230.99*Table36[[#This Row],[Aug 15-Sep 30]]</f>
        <v>230.99</v>
      </c>
      <c r="I32" s="65">
        <v>1</v>
      </c>
      <c r="J32" s="64">
        <f>346.49*Table36[[#This Row],[Oct 15-Nov 30]]</f>
        <v>346.49</v>
      </c>
      <c r="K32" s="53">
        <v>1</v>
      </c>
      <c r="L32" s="50">
        <f>230.99*Table36[[#This Row],[Feb 1-Mar 15]]</f>
        <v>230.99</v>
      </c>
      <c r="M32" s="53">
        <v>1</v>
      </c>
      <c r="N32" s="50">
        <f>346.49*Table36[[#This Row],[Apr 1-May 15]]</f>
        <v>346.49</v>
      </c>
      <c r="O32" s="34">
        <f>Table36[[#This Row],[Jun 15-Jul 31]]+Table36[[#This Row],[Aug 15-Sep 31]]+Table36[[#This Row],[Oct 15-Nov 31]]+Table36[[#This Row],[Feb 1-Mar 16]]+Table36[[#This Row],[Apr 1-May 16]]</f>
        <v>1154.96</v>
      </c>
      <c r="P32">
        <f>SUM(Table36[[#This Row],[Jun 15-Jul 30]]+Table36[[#This Row],[Aug 15-Sep 30]]+Table36[[#This Row],[Oct 15-Nov 30]]+Table36[[#This Row],[Feb 1-Mar 15]]+Table36[[#This Row],[Apr 1-May 15]])</f>
        <v>4</v>
      </c>
      <c r="Q32">
        <f>Table36[[#This Row],[Total Cost]]/Table36[[#This Row],[Size]]</f>
        <v>52.260633484162895</v>
      </c>
    </row>
    <row r="33" spans="1:17" x14ac:dyDescent="0.3">
      <c r="A33" s="3">
        <v>110102</v>
      </c>
      <c r="B33" s="5" t="s">
        <v>5</v>
      </c>
      <c r="C33" s="6" t="s">
        <v>61</v>
      </c>
      <c r="D33" s="29">
        <v>22.2</v>
      </c>
      <c r="E33" s="63">
        <v>1</v>
      </c>
      <c r="F33" s="64">
        <f>230.99*Table36[[#This Row],[Jun 15-Jul 30]]</f>
        <v>230.99</v>
      </c>
      <c r="G33" s="63">
        <v>1</v>
      </c>
      <c r="H33" s="64">
        <f>230.99*Table36[[#This Row],[Aug 15-Sep 30]]</f>
        <v>230.99</v>
      </c>
      <c r="I33" s="63">
        <v>1</v>
      </c>
      <c r="J33" s="64">
        <f>346.49*Table36[[#This Row],[Oct 15-Nov 30]]</f>
        <v>346.49</v>
      </c>
      <c r="K33" s="49">
        <v>1</v>
      </c>
      <c r="L33" s="50">
        <f>230.99*Table36[[#This Row],[Feb 1-Mar 15]]</f>
        <v>230.99</v>
      </c>
      <c r="M33" s="49">
        <v>1</v>
      </c>
      <c r="N33" s="50">
        <f>346.49*Table36[[#This Row],[Apr 1-May 15]]</f>
        <v>346.49</v>
      </c>
      <c r="O33">
        <f>Table36[[#This Row],[Jun 15-Jul 31]]+Table36[[#This Row],[Aug 15-Sep 31]]+Table36[[#This Row],[Oct 15-Nov 31]]+Table36[[#This Row],[Feb 1-Mar 16]]+Table36[[#This Row],[Apr 1-May 16]]</f>
        <v>1385.95</v>
      </c>
      <c r="P33">
        <f>SUM(Table36[[#This Row],[Jun 15-Jul 30]]+Table36[[#This Row],[Aug 15-Sep 30]]+Table36[[#This Row],[Oct 15-Nov 30]]+Table36[[#This Row],[Feb 1-Mar 15]]+Table36[[#This Row],[Apr 1-May 15]])</f>
        <v>5</v>
      </c>
      <c r="Q33">
        <f>Table36[[#This Row],[Total Cost]]/Table36[[#This Row],[Size]]</f>
        <v>62.430180180180187</v>
      </c>
    </row>
    <row r="34" spans="1:17" x14ac:dyDescent="0.3">
      <c r="A34" s="23">
        <v>120104</v>
      </c>
      <c r="B34" s="18" t="s">
        <v>43</v>
      </c>
      <c r="C34" s="26" t="s">
        <v>127</v>
      </c>
      <c r="D34" s="29">
        <v>22.2</v>
      </c>
      <c r="E34" s="49">
        <v>0</v>
      </c>
      <c r="F34" s="50">
        <f>230.99*Table36[[#This Row],[Jun 15-Jul 30]]</f>
        <v>0</v>
      </c>
      <c r="G34" s="49">
        <v>0</v>
      </c>
      <c r="H34" s="50">
        <f>230.99*Table36[[#This Row],[Aug 15-Sep 30]]</f>
        <v>0</v>
      </c>
      <c r="I34" s="49">
        <v>0</v>
      </c>
      <c r="J34" s="50">
        <f>346.49*Table36[[#This Row],[Oct 15-Nov 30]]</f>
        <v>0</v>
      </c>
      <c r="K34" s="49">
        <v>0</v>
      </c>
      <c r="L34" s="50">
        <f>230.99*Table36[[#This Row],[Feb 1-Mar 15]]</f>
        <v>0</v>
      </c>
      <c r="M34" s="49">
        <v>1</v>
      </c>
      <c r="N34" s="50">
        <f>346.49*Table36[[#This Row],[Apr 1-May 15]]</f>
        <v>346.49</v>
      </c>
      <c r="O34">
        <f>Table36[[#This Row],[Jun 15-Jul 31]]+Table36[[#This Row],[Aug 15-Sep 31]]+Table36[[#This Row],[Oct 15-Nov 31]]+Table36[[#This Row],[Feb 1-Mar 16]]+Table36[[#This Row],[Apr 1-May 16]]</f>
        <v>346.49</v>
      </c>
      <c r="P34">
        <f>SUM(Table36[[#This Row],[Jun 15-Jul 30]]+Table36[[#This Row],[Aug 15-Sep 30]]+Table36[[#This Row],[Oct 15-Nov 30]]+Table36[[#This Row],[Feb 1-Mar 15]]+Table36[[#This Row],[Apr 1-May 15]])</f>
        <v>1</v>
      </c>
      <c r="Q34">
        <f>Table36[[#This Row],[Total Cost]]/Table36[[#This Row],[Size]]</f>
        <v>15.607657657657658</v>
      </c>
    </row>
    <row r="35" spans="1:17" x14ac:dyDescent="0.3">
      <c r="A35" s="24">
        <v>120022</v>
      </c>
      <c r="B35" s="5" t="s">
        <v>16</v>
      </c>
      <c r="C35" s="6" t="s">
        <v>86</v>
      </c>
      <c r="D35" s="29">
        <v>22.6</v>
      </c>
      <c r="E35" s="49">
        <v>0</v>
      </c>
      <c r="F35" s="50">
        <f>230.99*Table36[[#This Row],[Jun 15-Jul 30]]</f>
        <v>0</v>
      </c>
      <c r="G35" s="63">
        <v>1</v>
      </c>
      <c r="H35" s="64">
        <f>230.99*Table36[[#This Row],[Aug 15-Sep 30]]</f>
        <v>230.99</v>
      </c>
      <c r="I35" s="63">
        <v>1</v>
      </c>
      <c r="J35" s="64">
        <f>346.49*Table36[[#This Row],[Oct 15-Nov 30]]</f>
        <v>346.49</v>
      </c>
      <c r="K35" s="49">
        <v>1</v>
      </c>
      <c r="L35" s="50">
        <f>230.99*Table36[[#This Row],[Feb 1-Mar 15]]</f>
        <v>230.99</v>
      </c>
      <c r="M35" s="49">
        <v>1</v>
      </c>
      <c r="N35" s="50">
        <f>346.49*Table36[[#This Row],[Apr 1-May 15]]</f>
        <v>346.49</v>
      </c>
      <c r="O35">
        <f>Table36[[#This Row],[Jun 15-Jul 31]]+Table36[[#This Row],[Aug 15-Sep 31]]+Table36[[#This Row],[Oct 15-Nov 31]]+Table36[[#This Row],[Feb 1-Mar 16]]+Table36[[#This Row],[Apr 1-May 16]]</f>
        <v>1154.96</v>
      </c>
      <c r="P35">
        <f>SUM(Table36[[#This Row],[Jun 15-Jul 30]]+Table36[[#This Row],[Aug 15-Sep 30]]+Table36[[#This Row],[Oct 15-Nov 30]]+Table36[[#This Row],[Feb 1-Mar 15]]+Table36[[#This Row],[Apr 1-May 15]])</f>
        <v>4</v>
      </c>
      <c r="Q35">
        <f>Table36[[#This Row],[Total Cost]]/Table36[[#This Row],[Size]]</f>
        <v>51.104424778761057</v>
      </c>
    </row>
    <row r="36" spans="1:17" x14ac:dyDescent="0.3">
      <c r="A36" s="33">
        <v>120208</v>
      </c>
      <c r="B36" s="18" t="s">
        <v>48</v>
      </c>
      <c r="C36" s="26" t="s">
        <v>136</v>
      </c>
      <c r="D36" s="29">
        <v>24.3</v>
      </c>
      <c r="E36" s="63">
        <v>1</v>
      </c>
      <c r="F36" s="64">
        <f>230.99*Table36[[#This Row],[Jun 15-Jul 30]]</f>
        <v>230.99</v>
      </c>
      <c r="G36" s="63">
        <v>1</v>
      </c>
      <c r="H36" s="64">
        <f>230.99*Table36[[#This Row],[Aug 15-Sep 30]]</f>
        <v>230.99</v>
      </c>
      <c r="I36" s="63">
        <v>1</v>
      </c>
      <c r="J36" s="64">
        <f>346.49*Table36[[#This Row],[Oct 15-Nov 30]]</f>
        <v>346.49</v>
      </c>
      <c r="K36" s="49">
        <v>1</v>
      </c>
      <c r="L36" s="50">
        <f>230.99*Table36[[#This Row],[Feb 1-Mar 15]]</f>
        <v>230.99</v>
      </c>
      <c r="M36" s="49">
        <v>1</v>
      </c>
      <c r="N36" s="50">
        <f>346.49*Table36[[#This Row],[Apr 1-May 15]]</f>
        <v>346.49</v>
      </c>
      <c r="O36">
        <f>Table36[[#This Row],[Jun 15-Jul 31]]+Table36[[#This Row],[Aug 15-Sep 31]]+Table36[[#This Row],[Oct 15-Nov 31]]+Table36[[#This Row],[Feb 1-Mar 16]]+Table36[[#This Row],[Apr 1-May 16]]</f>
        <v>1385.95</v>
      </c>
      <c r="P36">
        <f>SUM(Table36[[#This Row],[Jun 15-Jul 30]]+Table36[[#This Row],[Aug 15-Sep 30]]+Table36[[#This Row],[Oct 15-Nov 30]]+Table36[[#This Row],[Feb 1-Mar 15]]+Table36[[#This Row],[Apr 1-May 15]])</f>
        <v>5</v>
      </c>
      <c r="Q36">
        <f>Table36[[#This Row],[Total Cost]]/Table36[[#This Row],[Size]]</f>
        <v>57.034979423868315</v>
      </c>
    </row>
    <row r="37" spans="1:17" x14ac:dyDescent="0.3">
      <c r="A37" s="33">
        <v>120207</v>
      </c>
      <c r="B37" s="18" t="s">
        <v>47</v>
      </c>
      <c r="C37" s="26" t="s">
        <v>137</v>
      </c>
      <c r="D37" s="29">
        <v>25.2</v>
      </c>
      <c r="E37" s="63">
        <v>1</v>
      </c>
      <c r="F37" s="64">
        <f>276.19*Table36[[#This Row],[Jun 15-Jul 30]]</f>
        <v>276.19</v>
      </c>
      <c r="G37" s="63">
        <v>1</v>
      </c>
      <c r="H37" s="64">
        <f>276.19*Table36[[#This Row],[Aug 15-Sep 30]]</f>
        <v>276.19</v>
      </c>
      <c r="I37" s="63">
        <v>1</v>
      </c>
      <c r="J37" s="64">
        <f>414.29*Table36[[#This Row],[Oct 15-Nov 30]]</f>
        <v>414.29</v>
      </c>
      <c r="K37" s="49">
        <v>1</v>
      </c>
      <c r="L37" s="50">
        <f>276.19*Table36[[#This Row],[Feb 1-Mar 15]]</f>
        <v>276.19</v>
      </c>
      <c r="M37" s="49">
        <v>1</v>
      </c>
      <c r="N37" s="50">
        <f>414.29*Table36[[#This Row],[Apr 1-May 15]]</f>
        <v>414.29</v>
      </c>
      <c r="O37">
        <f>Table36[[#This Row],[Jun 15-Jul 31]]+Table36[[#This Row],[Aug 15-Sep 31]]+Table36[[#This Row],[Oct 15-Nov 31]]+Table36[[#This Row],[Feb 1-Mar 16]]+Table36[[#This Row],[Apr 1-May 16]]</f>
        <v>1657.15</v>
      </c>
      <c r="P37">
        <f>SUM(Table36[[#This Row],[Jun 15-Jul 30]]+Table36[[#This Row],[Aug 15-Sep 30]]+Table36[[#This Row],[Oct 15-Nov 30]]+Table36[[#This Row],[Feb 1-Mar 15]]+Table36[[#This Row],[Apr 1-May 15]])</f>
        <v>5</v>
      </c>
      <c r="Q37">
        <f>Table36[[#This Row],[Total Cost]]/Table36[[#This Row],[Size]]</f>
        <v>65.759920634920647</v>
      </c>
    </row>
    <row r="38" spans="1:17" x14ac:dyDescent="0.3">
      <c r="A38" s="33">
        <v>120206</v>
      </c>
      <c r="B38" s="18" t="s">
        <v>46</v>
      </c>
      <c r="C38" s="26" t="s">
        <v>136</v>
      </c>
      <c r="D38" s="35">
        <v>25.2</v>
      </c>
      <c r="E38" s="65">
        <v>1</v>
      </c>
      <c r="F38" s="64">
        <f>276.19*Table36[[#This Row],[Jun 15-Jul 30]]</f>
        <v>276.19</v>
      </c>
      <c r="G38" s="65">
        <v>1</v>
      </c>
      <c r="H38" s="64">
        <f>276.19*Table36[[#This Row],[Aug 15-Sep 30]]</f>
        <v>276.19</v>
      </c>
      <c r="I38" s="65">
        <v>1</v>
      </c>
      <c r="J38" s="64">
        <f>414.29*Table36[[#This Row],[Oct 15-Nov 30]]</f>
        <v>414.29</v>
      </c>
      <c r="K38" s="53">
        <v>1</v>
      </c>
      <c r="L38" s="50">
        <f>276.19*Table36[[#This Row],[Feb 1-Mar 15]]</f>
        <v>276.19</v>
      </c>
      <c r="M38" s="53">
        <v>1</v>
      </c>
      <c r="N38" s="50">
        <f>414.29*Table36[[#This Row],[Apr 1-May 15]]</f>
        <v>414.29</v>
      </c>
      <c r="O38" s="34">
        <f>Table36[[#This Row],[Jun 15-Jul 31]]+Table36[[#This Row],[Aug 15-Sep 31]]+Table36[[#This Row],[Oct 15-Nov 31]]+Table36[[#This Row],[Feb 1-Mar 16]]+Table36[[#This Row],[Apr 1-May 16]]</f>
        <v>1657.15</v>
      </c>
      <c r="P38">
        <f>SUM(Table36[[#This Row],[Jun 15-Jul 30]]+Table36[[#This Row],[Aug 15-Sep 30]]+Table36[[#This Row],[Oct 15-Nov 30]]+Table36[[#This Row],[Feb 1-Mar 15]]+Table36[[#This Row],[Apr 1-May 15]])</f>
        <v>5</v>
      </c>
      <c r="Q38">
        <f>Table36[[#This Row],[Total Cost]]/Table36[[#This Row],[Size]]</f>
        <v>65.759920634920647</v>
      </c>
    </row>
    <row r="39" spans="1:17" x14ac:dyDescent="0.3">
      <c r="A39" s="3">
        <v>110105</v>
      </c>
      <c r="B39" s="5" t="s">
        <v>6</v>
      </c>
      <c r="C39" s="6" t="s">
        <v>64</v>
      </c>
      <c r="D39" s="35">
        <v>26.5</v>
      </c>
      <c r="E39" s="65">
        <v>1</v>
      </c>
      <c r="F39" s="64">
        <f>276.19*Table36[[#This Row],[Jun 15-Jul 30]]</f>
        <v>276.19</v>
      </c>
      <c r="G39" s="65">
        <v>1</v>
      </c>
      <c r="H39" s="64">
        <f>276.19*Table36[[#This Row],[Aug 15-Sep 30]]</f>
        <v>276.19</v>
      </c>
      <c r="I39" s="65">
        <v>1</v>
      </c>
      <c r="J39" s="64">
        <f>414.29*Table36[[#This Row],[Oct 15-Nov 30]]</f>
        <v>414.29</v>
      </c>
      <c r="K39" s="53">
        <v>1</v>
      </c>
      <c r="L39" s="50">
        <f>276.19*Table36[[#This Row],[Feb 1-Mar 15]]</f>
        <v>276.19</v>
      </c>
      <c r="M39" s="53">
        <v>1</v>
      </c>
      <c r="N39" s="50">
        <f>414.29*Table36[[#This Row],[Apr 1-May 15]]</f>
        <v>414.29</v>
      </c>
      <c r="O39" s="34">
        <f>Table36[[#This Row],[Jun 15-Jul 31]]+Table36[[#This Row],[Aug 15-Sep 31]]+Table36[[#This Row],[Oct 15-Nov 31]]+Table36[[#This Row],[Feb 1-Mar 16]]+Table36[[#This Row],[Apr 1-May 16]]</f>
        <v>1657.15</v>
      </c>
      <c r="P39">
        <f>SUM(Table36[[#This Row],[Jun 15-Jul 30]]+Table36[[#This Row],[Aug 15-Sep 30]]+Table36[[#This Row],[Oct 15-Nov 30]]+Table36[[#This Row],[Feb 1-Mar 15]]+Table36[[#This Row],[Apr 1-May 15]])</f>
        <v>5</v>
      </c>
      <c r="Q39">
        <f>Table36[[#This Row],[Total Cost]]/Table36[[#This Row],[Size]]</f>
        <v>62.533962264150944</v>
      </c>
    </row>
    <row r="40" spans="1:17" x14ac:dyDescent="0.3">
      <c r="A40" s="3">
        <v>110117</v>
      </c>
      <c r="B40" s="4" t="s">
        <v>10</v>
      </c>
      <c r="C40" s="14" t="s">
        <v>71</v>
      </c>
      <c r="D40" s="29">
        <v>27.7</v>
      </c>
      <c r="E40" s="63">
        <v>1</v>
      </c>
      <c r="F40" s="64">
        <f>276.19*Table36[[#This Row],[Jun 15-Jul 30]]</f>
        <v>276.19</v>
      </c>
      <c r="G40" s="63">
        <v>1</v>
      </c>
      <c r="H40" s="64">
        <f>276.19*Table36[[#This Row],[Aug 15-Sep 30]]</f>
        <v>276.19</v>
      </c>
      <c r="I40" s="63">
        <v>1</v>
      </c>
      <c r="J40" s="64">
        <f>414.29*Table36[[#This Row],[Oct 15-Nov 30]]</f>
        <v>414.29</v>
      </c>
      <c r="K40" s="49">
        <v>1</v>
      </c>
      <c r="L40" s="50">
        <f>276.19*Table36[[#This Row],[Feb 1-Mar 15]]</f>
        <v>276.19</v>
      </c>
      <c r="M40" s="49">
        <v>1</v>
      </c>
      <c r="N40" s="50">
        <f>414.29*Table36[[#This Row],[Apr 1-May 15]]</f>
        <v>414.29</v>
      </c>
      <c r="O40">
        <f>Table36[[#This Row],[Jun 15-Jul 31]]+Table36[[#This Row],[Aug 15-Sep 31]]+Table36[[#This Row],[Oct 15-Nov 31]]+Table36[[#This Row],[Feb 1-Mar 16]]+Table36[[#This Row],[Apr 1-May 16]]</f>
        <v>1657.15</v>
      </c>
      <c r="P40">
        <f>SUM(Table36[[#This Row],[Jun 15-Jul 30]]+Table36[[#This Row],[Aug 15-Sep 30]]+Table36[[#This Row],[Oct 15-Nov 30]]+Table36[[#This Row],[Feb 1-Mar 15]]+Table36[[#This Row],[Apr 1-May 15]])</f>
        <v>5</v>
      </c>
      <c r="Q40">
        <f>Table36[[#This Row],[Total Cost]]/Table36[[#This Row],[Size]]</f>
        <v>59.824909747292423</v>
      </c>
    </row>
    <row r="41" spans="1:17" x14ac:dyDescent="0.3">
      <c r="A41" s="24">
        <v>120020</v>
      </c>
      <c r="B41" s="5" t="s">
        <v>16</v>
      </c>
      <c r="C41" s="6" t="s">
        <v>84</v>
      </c>
      <c r="D41" s="29">
        <v>29.2</v>
      </c>
      <c r="E41" s="49">
        <v>0</v>
      </c>
      <c r="F41" s="50">
        <f>276.19*Table36[[#This Row],[Jun 15-Jul 30]]</f>
        <v>0</v>
      </c>
      <c r="G41" s="63">
        <v>1</v>
      </c>
      <c r="H41" s="64">
        <f>276.19*Table36[[#This Row],[Aug 15-Sep 30]]</f>
        <v>276.19</v>
      </c>
      <c r="I41" s="63">
        <v>1</v>
      </c>
      <c r="J41" s="64">
        <f>414.29*Table36[[#This Row],[Oct 15-Nov 30]]</f>
        <v>414.29</v>
      </c>
      <c r="K41" s="49">
        <v>1</v>
      </c>
      <c r="L41" s="50">
        <f>276.19*Table36[[#This Row],[Feb 1-Mar 15]]</f>
        <v>276.19</v>
      </c>
      <c r="M41" s="49">
        <v>1</v>
      </c>
      <c r="N41" s="50">
        <f>414.29*Table36[[#This Row],[Apr 1-May 15]]</f>
        <v>414.29</v>
      </c>
      <c r="O41">
        <f>Table36[[#This Row],[Jun 15-Jul 31]]+Table36[[#This Row],[Aug 15-Sep 31]]+Table36[[#This Row],[Oct 15-Nov 31]]+Table36[[#This Row],[Feb 1-Mar 16]]+Table36[[#This Row],[Apr 1-May 16]]</f>
        <v>1380.96</v>
      </c>
      <c r="P41">
        <f>SUM(Table36[[#This Row],[Jun 15-Jul 30]]+Table36[[#This Row],[Aug 15-Sep 30]]+Table36[[#This Row],[Oct 15-Nov 30]]+Table36[[#This Row],[Feb 1-Mar 15]]+Table36[[#This Row],[Apr 1-May 15]])</f>
        <v>4</v>
      </c>
      <c r="Q41">
        <f>Table36[[#This Row],[Total Cost]]/Table36[[#This Row],[Size]]</f>
        <v>47.293150684931511</v>
      </c>
    </row>
    <row r="42" spans="1:17" x14ac:dyDescent="0.3">
      <c r="A42" s="3">
        <v>120062</v>
      </c>
      <c r="B42" s="5" t="s">
        <v>33</v>
      </c>
      <c r="C42" s="6" t="s">
        <v>103</v>
      </c>
      <c r="D42" s="29">
        <v>29.2</v>
      </c>
      <c r="E42" s="63">
        <v>1</v>
      </c>
      <c r="F42" s="64">
        <f>276.19*Table36[[#This Row],[Jun 15-Jul 30]]</f>
        <v>276.19</v>
      </c>
      <c r="G42" s="63">
        <v>1</v>
      </c>
      <c r="H42" s="64">
        <f>276.19*Table36[[#This Row],[Aug 15-Sep 30]]</f>
        <v>276.19</v>
      </c>
      <c r="I42" s="63">
        <v>1</v>
      </c>
      <c r="J42" s="64">
        <f>414.29*Table36[[#This Row],[Oct 15-Nov 30]]</f>
        <v>414.29</v>
      </c>
      <c r="K42" s="49">
        <v>1</v>
      </c>
      <c r="L42" s="50">
        <f>276.19*Table36[[#This Row],[Feb 1-Mar 15]]</f>
        <v>276.19</v>
      </c>
      <c r="M42" s="49">
        <v>1</v>
      </c>
      <c r="N42" s="50">
        <f>414.29*Table36[[#This Row],[Apr 1-May 15]]</f>
        <v>414.29</v>
      </c>
      <c r="O42" s="7">
        <f>Table36[[#This Row],[Jun 15-Jul 31]]+Table36[[#This Row],[Aug 15-Sep 31]]+Table36[[#This Row],[Oct 15-Nov 31]]+Table36[[#This Row],[Feb 1-Mar 16]]+Table36[[#This Row],[Apr 1-May 16]]</f>
        <v>1657.15</v>
      </c>
      <c r="P42">
        <f>SUM(Table36[[#This Row],[Jun 15-Jul 30]]+Table36[[#This Row],[Aug 15-Sep 30]]+Table36[[#This Row],[Oct 15-Nov 30]]+Table36[[#This Row],[Feb 1-Mar 15]]+Table36[[#This Row],[Apr 1-May 15]])</f>
        <v>5</v>
      </c>
      <c r="Q42">
        <f>Table36[[#This Row],[Total Cost]]/Table36[[#This Row],[Size]]</f>
        <v>56.751712328767127</v>
      </c>
    </row>
    <row r="43" spans="1:17" x14ac:dyDescent="0.3">
      <c r="A43" s="3">
        <v>110106</v>
      </c>
      <c r="B43" s="5" t="s">
        <v>6</v>
      </c>
      <c r="C43" s="6" t="s">
        <v>65</v>
      </c>
      <c r="D43" s="29">
        <v>30.8</v>
      </c>
      <c r="E43" s="65">
        <v>1</v>
      </c>
      <c r="F43" s="64">
        <f>276.19*Table36[[#This Row],[Jun 15-Jul 30]]</f>
        <v>276.19</v>
      </c>
      <c r="G43" s="65">
        <v>1</v>
      </c>
      <c r="H43" s="64">
        <f>276.19*Table36[[#This Row],[Aug 15-Sep 30]]</f>
        <v>276.19</v>
      </c>
      <c r="I43" s="65">
        <v>1</v>
      </c>
      <c r="J43" s="64">
        <f>414.29*Table36[[#This Row],[Oct 15-Nov 30]]</f>
        <v>414.29</v>
      </c>
      <c r="K43" s="53">
        <v>1</v>
      </c>
      <c r="L43" s="50">
        <f>276.19*Table36[[#This Row],[Feb 1-Mar 15]]</f>
        <v>276.19</v>
      </c>
      <c r="M43" s="53">
        <v>1</v>
      </c>
      <c r="N43" s="50">
        <f>414.29*Table36[[#This Row],[Apr 1-May 15]]</f>
        <v>414.29</v>
      </c>
      <c r="O43" s="34">
        <f>Table36[[#This Row],[Jun 15-Jul 31]]+Table36[[#This Row],[Aug 15-Sep 31]]+Table36[[#This Row],[Oct 15-Nov 31]]+Table36[[#This Row],[Feb 1-Mar 16]]+Table36[[#This Row],[Apr 1-May 16]]</f>
        <v>1657.15</v>
      </c>
      <c r="P43">
        <f>SUM(Table36[[#This Row],[Jun 15-Jul 30]]+Table36[[#This Row],[Aug 15-Sep 30]]+Table36[[#This Row],[Oct 15-Nov 30]]+Table36[[#This Row],[Feb 1-Mar 15]]+Table36[[#This Row],[Apr 1-May 15]])</f>
        <v>5</v>
      </c>
      <c r="Q43">
        <f>Table36[[#This Row],[Total Cost]]/Table36[[#This Row],[Size]]</f>
        <v>53.803571428571431</v>
      </c>
    </row>
    <row r="44" spans="1:17" x14ac:dyDescent="0.3">
      <c r="A44" s="24">
        <v>120019</v>
      </c>
      <c r="B44" s="5" t="s">
        <v>16</v>
      </c>
      <c r="C44" s="6" t="s">
        <v>83</v>
      </c>
      <c r="D44" s="29">
        <v>31</v>
      </c>
      <c r="E44" s="53">
        <v>0</v>
      </c>
      <c r="F44" s="50">
        <f>276.19*Table36[[#This Row],[Jun 15-Jul 30]]</f>
        <v>0</v>
      </c>
      <c r="G44" s="65">
        <v>1</v>
      </c>
      <c r="H44" s="64">
        <f>276.19*Table36[[#This Row],[Aug 15-Sep 30]]</f>
        <v>276.19</v>
      </c>
      <c r="I44" s="65">
        <v>1</v>
      </c>
      <c r="J44" s="64">
        <f>414.29*Table36[[#This Row],[Oct 15-Nov 30]]</f>
        <v>414.29</v>
      </c>
      <c r="K44" s="53">
        <v>1</v>
      </c>
      <c r="L44" s="50">
        <f>276.19*Table36[[#This Row],[Feb 1-Mar 15]]</f>
        <v>276.19</v>
      </c>
      <c r="M44" s="53">
        <v>1</v>
      </c>
      <c r="N44" s="50">
        <f>414.29*Table36[[#This Row],[Apr 1-May 15]]</f>
        <v>414.29</v>
      </c>
      <c r="O44" s="34">
        <f>Table36[[#This Row],[Jun 15-Jul 31]]+Table36[[#This Row],[Aug 15-Sep 31]]+Table36[[#This Row],[Oct 15-Nov 31]]+Table36[[#This Row],[Feb 1-Mar 16]]+Table36[[#This Row],[Apr 1-May 16]]</f>
        <v>1380.96</v>
      </c>
      <c r="P44">
        <f>SUM(Table36[[#This Row],[Jun 15-Jul 30]]+Table36[[#This Row],[Aug 15-Sep 30]]+Table36[[#This Row],[Oct 15-Nov 30]]+Table36[[#This Row],[Feb 1-Mar 15]]+Table36[[#This Row],[Apr 1-May 15]])</f>
        <v>4</v>
      </c>
      <c r="Q44">
        <f>Table36[[#This Row],[Total Cost]]/Table36[[#This Row],[Size]]</f>
        <v>44.547096774193548</v>
      </c>
    </row>
    <row r="45" spans="1:17" x14ac:dyDescent="0.3">
      <c r="A45" s="3">
        <v>110107</v>
      </c>
      <c r="B45" s="5" t="s">
        <v>6</v>
      </c>
      <c r="C45" s="6" t="s">
        <v>66</v>
      </c>
      <c r="D45" s="29">
        <v>32.5</v>
      </c>
      <c r="E45" s="63">
        <v>1</v>
      </c>
      <c r="F45" s="64">
        <f>276.19*Table36[[#This Row],[Jun 15-Jul 30]]</f>
        <v>276.19</v>
      </c>
      <c r="G45" s="63">
        <v>1</v>
      </c>
      <c r="H45" s="64">
        <f>276.19*Table36[[#This Row],[Aug 15-Sep 30]]</f>
        <v>276.19</v>
      </c>
      <c r="I45" s="63">
        <v>1</v>
      </c>
      <c r="J45" s="64">
        <f>414.29*Table36[[#This Row],[Oct 15-Nov 30]]</f>
        <v>414.29</v>
      </c>
      <c r="K45" s="49">
        <v>1</v>
      </c>
      <c r="L45" s="50">
        <f>276.19*Table36[[#This Row],[Feb 1-Mar 15]]</f>
        <v>276.19</v>
      </c>
      <c r="M45" s="49">
        <v>1</v>
      </c>
      <c r="N45" s="50">
        <f>414.29*Table36[[#This Row],[Apr 1-May 15]]</f>
        <v>414.29</v>
      </c>
      <c r="O45">
        <f>Table36[[#This Row],[Jun 15-Jul 31]]+Table36[[#This Row],[Aug 15-Sep 31]]+Table36[[#This Row],[Oct 15-Nov 31]]+Table36[[#This Row],[Feb 1-Mar 16]]+Table36[[#This Row],[Apr 1-May 16]]</f>
        <v>1657.15</v>
      </c>
      <c r="P45">
        <f>SUM(Table36[[#This Row],[Jun 15-Jul 30]]+Table36[[#This Row],[Aug 15-Sep 30]]+Table36[[#This Row],[Oct 15-Nov 30]]+Table36[[#This Row],[Feb 1-Mar 15]]+Table36[[#This Row],[Apr 1-May 15]])</f>
        <v>5</v>
      </c>
      <c r="Q45">
        <f>Table36[[#This Row],[Total Cost]]/Table36[[#This Row],[Size]]</f>
        <v>50.989230769230772</v>
      </c>
    </row>
    <row r="46" spans="1:17" x14ac:dyDescent="0.3">
      <c r="A46" s="3">
        <v>120210</v>
      </c>
      <c r="B46" s="4" t="s">
        <v>10</v>
      </c>
      <c r="C46" s="14" t="s">
        <v>139</v>
      </c>
      <c r="D46" s="29">
        <v>33.9</v>
      </c>
      <c r="E46" s="63">
        <v>1</v>
      </c>
      <c r="F46" s="64">
        <f>276.19*Table36[[#This Row],[Jun 15-Jul 30]]</f>
        <v>276.19</v>
      </c>
      <c r="G46" s="63">
        <v>1</v>
      </c>
      <c r="H46" s="64">
        <f>276.19*Table36[[#This Row],[Aug 15-Sep 30]]</f>
        <v>276.19</v>
      </c>
      <c r="I46" s="63">
        <v>1</v>
      </c>
      <c r="J46" s="64">
        <f>414.29*Table36[[#This Row],[Oct 15-Nov 30]]</f>
        <v>414.29</v>
      </c>
      <c r="K46" s="49">
        <v>1</v>
      </c>
      <c r="L46" s="50">
        <f>276.19*Table36[[#This Row],[Feb 1-Mar 15]]</f>
        <v>276.19</v>
      </c>
      <c r="M46" s="49">
        <v>1</v>
      </c>
      <c r="N46" s="50">
        <f>414.29*Table36[[#This Row],[Apr 1-May 15]]</f>
        <v>414.29</v>
      </c>
      <c r="O46">
        <f>Table36[[#This Row],[Jun 15-Jul 31]]+Table36[[#This Row],[Aug 15-Sep 31]]+Table36[[#This Row],[Oct 15-Nov 31]]+Table36[[#This Row],[Feb 1-Mar 16]]+Table36[[#This Row],[Apr 1-May 16]]</f>
        <v>1657.15</v>
      </c>
      <c r="P46">
        <f>SUM(Table36[[#This Row],[Jun 15-Jul 30]]+Table36[[#This Row],[Aug 15-Sep 30]]+Table36[[#This Row],[Oct 15-Nov 30]]+Table36[[#This Row],[Feb 1-Mar 15]]+Table36[[#This Row],[Apr 1-May 15]])</f>
        <v>5</v>
      </c>
      <c r="Q46">
        <f>Table36[[#This Row],[Total Cost]]/Table36[[#This Row],[Size]]</f>
        <v>48.883480825958706</v>
      </c>
    </row>
    <row r="47" spans="1:17" x14ac:dyDescent="0.3">
      <c r="A47" s="3">
        <v>130006</v>
      </c>
      <c r="B47" s="5" t="s">
        <v>52</v>
      </c>
      <c r="C47" s="6" t="s">
        <v>145</v>
      </c>
      <c r="D47" s="29">
        <v>41.3</v>
      </c>
      <c r="E47" s="49">
        <v>0</v>
      </c>
      <c r="F47" s="50">
        <f>276.19*Table36[[#This Row],[Jun 15-Jul 30]]</f>
        <v>0</v>
      </c>
      <c r="G47" s="63">
        <v>1</v>
      </c>
      <c r="H47" s="64">
        <f>276.19*Table36[[#This Row],[Aug 15-Sep 30]]</f>
        <v>276.19</v>
      </c>
      <c r="I47" s="63">
        <v>1</v>
      </c>
      <c r="J47" s="64">
        <f>414.29*Table36[[#This Row],[Oct 15-Nov 30]]</f>
        <v>414.29</v>
      </c>
      <c r="K47" s="49">
        <v>1</v>
      </c>
      <c r="L47" s="50">
        <f>276.19*Table36[[#This Row],[Feb 1-Mar 15]]</f>
        <v>276.19</v>
      </c>
      <c r="M47" s="49">
        <v>1</v>
      </c>
      <c r="N47" s="50">
        <f>414.29*Table36[[#This Row],[Apr 1-May 15]]</f>
        <v>414.29</v>
      </c>
      <c r="O47">
        <f>Table36[[#This Row],[Jun 15-Jul 31]]+Table36[[#This Row],[Aug 15-Sep 31]]+Table36[[#This Row],[Oct 15-Nov 31]]+Table36[[#This Row],[Feb 1-Mar 16]]+Table36[[#This Row],[Apr 1-May 16]]</f>
        <v>1380.96</v>
      </c>
      <c r="P47">
        <f>SUM(Table36[[#This Row],[Jun 15-Jul 30]]+Table36[[#This Row],[Aug 15-Sep 30]]+Table36[[#This Row],[Oct 15-Nov 30]]+Table36[[#This Row],[Feb 1-Mar 15]]+Table36[[#This Row],[Apr 1-May 15]])</f>
        <v>4</v>
      </c>
      <c r="Q47">
        <f>Table36[[#This Row],[Total Cost]]/Table36[[#This Row],[Size]]</f>
        <v>33.437288135593221</v>
      </c>
    </row>
    <row r="48" spans="1:17" x14ac:dyDescent="0.3">
      <c r="A48" s="19">
        <v>120051</v>
      </c>
      <c r="B48" s="18" t="s">
        <v>27</v>
      </c>
      <c r="C48" s="26" t="s">
        <v>94</v>
      </c>
      <c r="D48" s="29">
        <v>44.3</v>
      </c>
      <c r="E48" s="49">
        <v>0</v>
      </c>
      <c r="F48" s="50">
        <f>276.19*Table36[[#This Row],[Jun 15-Jul 30]]</f>
        <v>0</v>
      </c>
      <c r="G48" s="49">
        <v>0</v>
      </c>
      <c r="H48" s="50">
        <f>276.19*Table36[[#This Row],[Aug 15-Sep 30]]</f>
        <v>0</v>
      </c>
      <c r="I48" s="49">
        <v>0</v>
      </c>
      <c r="J48" s="50">
        <f>414.29*Table36[[#This Row],[Oct 15-Nov 30]]</f>
        <v>0</v>
      </c>
      <c r="K48" s="49">
        <v>0</v>
      </c>
      <c r="L48" s="50">
        <f>276.19*Table36[[#This Row],[Feb 1-Mar 15]]</f>
        <v>0</v>
      </c>
      <c r="M48" s="49">
        <v>1</v>
      </c>
      <c r="N48" s="50">
        <f>414.29*Table36[[#This Row],[Apr 1-May 15]]</f>
        <v>414.29</v>
      </c>
      <c r="O48">
        <f>Table36[[#This Row],[Jun 15-Jul 31]]+Table36[[#This Row],[Aug 15-Sep 31]]+Table36[[#This Row],[Oct 15-Nov 31]]+Table36[[#This Row],[Feb 1-Mar 16]]+Table36[[#This Row],[Apr 1-May 16]]</f>
        <v>414.29</v>
      </c>
      <c r="P48">
        <f>SUM(Table36[[#This Row],[Jun 15-Jul 30]]+Table36[[#This Row],[Aug 15-Sep 30]]+Table36[[#This Row],[Oct 15-Nov 30]]+Table36[[#This Row],[Feb 1-Mar 15]]+Table36[[#This Row],[Apr 1-May 15]])</f>
        <v>1</v>
      </c>
      <c r="Q48">
        <f>Table36[[#This Row],[Total Cost]]/Table36[[#This Row],[Size]]</f>
        <v>9.3519187358916493</v>
      </c>
    </row>
    <row r="49" spans="1:17" x14ac:dyDescent="0.3">
      <c r="A49" s="3">
        <v>130001</v>
      </c>
      <c r="B49" s="5" t="s">
        <v>51</v>
      </c>
      <c r="C49" s="6" t="s">
        <v>141</v>
      </c>
      <c r="D49" s="29">
        <v>44.7</v>
      </c>
      <c r="E49" s="63">
        <v>1</v>
      </c>
      <c r="F49" s="64">
        <f>276.19*Table36[[#This Row],[Jun 15-Jul 30]]</f>
        <v>276.19</v>
      </c>
      <c r="G49" s="63">
        <v>1</v>
      </c>
      <c r="H49" s="64">
        <f>276.19*Table36[[#This Row],[Aug 15-Sep 30]]</f>
        <v>276.19</v>
      </c>
      <c r="I49" s="63">
        <v>1</v>
      </c>
      <c r="J49" s="64">
        <f>414.29*Table36[[#This Row],[Oct 15-Nov 30]]</f>
        <v>414.29</v>
      </c>
      <c r="K49" s="49">
        <v>1</v>
      </c>
      <c r="L49" s="50">
        <f>276.19*Table36[[#This Row],[Feb 1-Mar 15]]</f>
        <v>276.19</v>
      </c>
      <c r="M49" s="49">
        <v>1</v>
      </c>
      <c r="N49" s="50">
        <f>414.29*Table36[[#This Row],[Apr 1-May 15]]</f>
        <v>414.29</v>
      </c>
      <c r="O49">
        <f>Table36[[#This Row],[Jun 15-Jul 31]]+Table36[[#This Row],[Aug 15-Sep 31]]+Table36[[#This Row],[Oct 15-Nov 31]]+Table36[[#This Row],[Feb 1-Mar 16]]+Table36[[#This Row],[Apr 1-May 16]]</f>
        <v>1657.15</v>
      </c>
      <c r="P49">
        <f>SUM(Table36[[#This Row],[Jun 15-Jul 30]]+Table36[[#This Row],[Aug 15-Sep 30]]+Table36[[#This Row],[Oct 15-Nov 30]]+Table36[[#This Row],[Feb 1-Mar 15]]+Table36[[#This Row],[Apr 1-May 15]])</f>
        <v>5</v>
      </c>
      <c r="Q49">
        <f>Table36[[#This Row],[Total Cost]]/Table36[[#This Row],[Size]]</f>
        <v>37.072706935123044</v>
      </c>
    </row>
    <row r="50" spans="1:17" x14ac:dyDescent="0.3">
      <c r="A50" s="3">
        <v>130003</v>
      </c>
      <c r="B50" s="5" t="s">
        <v>51</v>
      </c>
      <c r="C50" s="6" t="s">
        <v>143</v>
      </c>
      <c r="D50" s="29">
        <v>50.8</v>
      </c>
      <c r="E50" s="63">
        <v>1</v>
      </c>
      <c r="F50" s="64">
        <f>514.51*Table36[[#This Row],[Jun 15-Jul 30]]</f>
        <v>514.51</v>
      </c>
      <c r="G50" s="63">
        <v>1</v>
      </c>
      <c r="H50" s="64">
        <f>514.51*Table36[[#This Row],[Aug 15-Sep 30]]</f>
        <v>514.51</v>
      </c>
      <c r="I50" s="63">
        <v>1</v>
      </c>
      <c r="J50" s="64">
        <f>771.77*Table36[[#This Row],[Oct 15-Nov 30]]</f>
        <v>771.77</v>
      </c>
      <c r="K50" s="49">
        <v>1</v>
      </c>
      <c r="L50" s="50">
        <f>514.51*Table36[[#This Row],[Feb 1-Mar 15]]</f>
        <v>514.51</v>
      </c>
      <c r="M50" s="49">
        <v>1</v>
      </c>
      <c r="N50" s="50">
        <f>771.77*Table36[[#This Row],[Apr 1-May 15]]</f>
        <v>771.77</v>
      </c>
      <c r="O50">
        <f>Table36[[#This Row],[Jun 15-Jul 31]]+Table36[[#This Row],[Aug 15-Sep 31]]+Table36[[#This Row],[Oct 15-Nov 31]]+Table36[[#This Row],[Feb 1-Mar 16]]+Table36[[#This Row],[Apr 1-May 16]]</f>
        <v>3087.07</v>
      </c>
      <c r="P50">
        <f>SUM(Table36[[#This Row],[Jun 15-Jul 30]]+Table36[[#This Row],[Aug 15-Sep 30]]+Table36[[#This Row],[Oct 15-Nov 30]]+Table36[[#This Row],[Feb 1-Mar 15]]+Table36[[#This Row],[Apr 1-May 15]])</f>
        <v>5</v>
      </c>
      <c r="Q50">
        <f>Table36[[#This Row],[Total Cost]]/Table36[[#This Row],[Size]]</f>
        <v>60.769094488188983</v>
      </c>
    </row>
    <row r="51" spans="1:17" x14ac:dyDescent="0.3">
      <c r="A51" s="3">
        <v>130002</v>
      </c>
      <c r="B51" s="5" t="s">
        <v>51</v>
      </c>
      <c r="C51" s="6" t="s">
        <v>142</v>
      </c>
      <c r="D51" s="29">
        <v>51.2</v>
      </c>
      <c r="E51" s="63">
        <v>1</v>
      </c>
      <c r="F51" s="64">
        <f>514.51*Table36[[#This Row],[Jun 15-Jul 30]]</f>
        <v>514.51</v>
      </c>
      <c r="G51" s="63">
        <v>1</v>
      </c>
      <c r="H51" s="64">
        <f>514.51*Table36[[#This Row],[Aug 15-Sep 30]]</f>
        <v>514.51</v>
      </c>
      <c r="I51" s="63">
        <v>1</v>
      </c>
      <c r="J51" s="64">
        <f>771.77*Table36[[#This Row],[Oct 15-Nov 30]]</f>
        <v>771.77</v>
      </c>
      <c r="K51" s="49">
        <v>1</v>
      </c>
      <c r="L51" s="50">
        <f>514.51*Table36[[#This Row],[Feb 1-Mar 15]]</f>
        <v>514.51</v>
      </c>
      <c r="M51" s="49">
        <v>1</v>
      </c>
      <c r="N51" s="50">
        <f>771.77*Table36[[#This Row],[Apr 1-May 15]]</f>
        <v>771.77</v>
      </c>
      <c r="O51">
        <f>Table36[[#This Row],[Jun 15-Jul 31]]+Table36[[#This Row],[Aug 15-Sep 31]]+Table36[[#This Row],[Oct 15-Nov 31]]+Table36[[#This Row],[Feb 1-Mar 16]]+Table36[[#This Row],[Apr 1-May 16]]</f>
        <v>3087.07</v>
      </c>
      <c r="P51">
        <f>SUM(Table36[[#This Row],[Jun 15-Jul 30]]+Table36[[#This Row],[Aug 15-Sep 30]]+Table36[[#This Row],[Oct 15-Nov 30]]+Table36[[#This Row],[Feb 1-Mar 15]]+Table36[[#This Row],[Apr 1-May 15]])</f>
        <v>5</v>
      </c>
      <c r="Q51">
        <f>Table36[[#This Row],[Total Cost]]/Table36[[#This Row],[Size]]</f>
        <v>60.294335937500001</v>
      </c>
    </row>
    <row r="52" spans="1:17" x14ac:dyDescent="0.3">
      <c r="A52" s="3">
        <v>130004</v>
      </c>
      <c r="B52" s="5" t="s">
        <v>51</v>
      </c>
      <c r="C52" s="6" t="s">
        <v>144</v>
      </c>
      <c r="D52" s="29">
        <v>51.5</v>
      </c>
      <c r="E52" s="63">
        <v>1</v>
      </c>
      <c r="F52" s="64">
        <f>514.51*Table36[[#This Row],[Jun 15-Jul 30]]</f>
        <v>514.51</v>
      </c>
      <c r="G52" s="63">
        <v>1</v>
      </c>
      <c r="H52" s="64">
        <f>514.51*Table36[[#This Row],[Aug 15-Sep 30]]</f>
        <v>514.51</v>
      </c>
      <c r="I52" s="63">
        <v>1</v>
      </c>
      <c r="J52" s="64">
        <f>771.77*Table36[[#This Row],[Oct 15-Nov 30]]</f>
        <v>771.77</v>
      </c>
      <c r="K52" s="49">
        <v>1</v>
      </c>
      <c r="L52" s="50">
        <f>514.51*Table36[[#This Row],[Feb 1-Mar 15]]</f>
        <v>514.51</v>
      </c>
      <c r="M52" s="49">
        <v>1</v>
      </c>
      <c r="N52" s="50">
        <f>771.77*Table36[[#This Row],[Apr 1-May 15]]</f>
        <v>771.77</v>
      </c>
      <c r="O52">
        <f>Table36[[#This Row],[Jun 15-Jul 31]]+Table36[[#This Row],[Aug 15-Sep 31]]+Table36[[#This Row],[Oct 15-Nov 31]]+Table36[[#This Row],[Feb 1-Mar 16]]+Table36[[#This Row],[Apr 1-May 16]]</f>
        <v>3087.07</v>
      </c>
      <c r="P52">
        <f>SUM(Table36[[#This Row],[Jun 15-Jul 30]]+Table36[[#This Row],[Aug 15-Sep 30]]+Table36[[#This Row],[Oct 15-Nov 30]]+Table36[[#This Row],[Feb 1-Mar 15]]+Table36[[#This Row],[Apr 1-May 15]])</f>
        <v>5</v>
      </c>
      <c r="Q52">
        <f>Table36[[#This Row],[Total Cost]]/Table36[[#This Row],[Size]]</f>
        <v>59.94310679611651</v>
      </c>
    </row>
    <row r="53" spans="1:17" x14ac:dyDescent="0.3">
      <c r="A53" s="8">
        <v>110115</v>
      </c>
      <c r="B53" s="5" t="s">
        <v>9</v>
      </c>
      <c r="C53" s="6" t="s">
        <v>70</v>
      </c>
      <c r="D53" s="35">
        <v>51.9</v>
      </c>
      <c r="E53" s="65">
        <v>1</v>
      </c>
      <c r="F53" s="64">
        <f>514.51*Table36[[#This Row],[Jun 15-Jul 30]]</f>
        <v>514.51</v>
      </c>
      <c r="G53" s="65">
        <v>1</v>
      </c>
      <c r="H53" s="64">
        <f>514.51*Table36[[#This Row],[Aug 15-Sep 30]]</f>
        <v>514.51</v>
      </c>
      <c r="I53" s="65">
        <v>1</v>
      </c>
      <c r="J53" s="64">
        <f>771.77*Table36[[#This Row],[Oct 15-Nov 30]]</f>
        <v>771.77</v>
      </c>
      <c r="K53" s="53">
        <v>1</v>
      </c>
      <c r="L53" s="50">
        <f>514.51*Table36[[#This Row],[Feb 1-Mar 15]]</f>
        <v>514.51</v>
      </c>
      <c r="M53" s="53">
        <v>1</v>
      </c>
      <c r="N53" s="50">
        <f>771.77*Table36[[#This Row],[Apr 1-May 15]]</f>
        <v>771.77</v>
      </c>
      <c r="O53">
        <f>Table36[[#This Row],[Jun 15-Jul 31]]+Table36[[#This Row],[Aug 15-Sep 31]]+Table36[[#This Row],[Oct 15-Nov 31]]+Table36[[#This Row],[Feb 1-Mar 16]]+Table36[[#This Row],[Apr 1-May 16]]</f>
        <v>3087.07</v>
      </c>
      <c r="P53">
        <f>SUM(Table36[[#This Row],[Jun 15-Jul 30]]+Table36[[#This Row],[Aug 15-Sep 30]]+Table36[[#This Row],[Oct 15-Nov 30]]+Table36[[#This Row],[Feb 1-Mar 15]]+Table36[[#This Row],[Apr 1-May 15]])</f>
        <v>5</v>
      </c>
      <c r="Q53">
        <f>Table36[[#This Row],[Total Cost]]/Table36[[#This Row],[Size]]</f>
        <v>59.481117533718695</v>
      </c>
    </row>
    <row r="54" spans="1:17" x14ac:dyDescent="0.3">
      <c r="A54" s="3">
        <v>130103</v>
      </c>
      <c r="B54" s="5" t="s">
        <v>56</v>
      </c>
      <c r="C54" s="6" t="s">
        <v>162</v>
      </c>
      <c r="D54" s="35">
        <v>53.5</v>
      </c>
      <c r="E54" s="65">
        <v>1</v>
      </c>
      <c r="F54" s="64">
        <f>514.51*Table36[[#This Row],[Jun 15-Jul 30]]</f>
        <v>514.51</v>
      </c>
      <c r="G54" s="65">
        <v>1</v>
      </c>
      <c r="H54" s="64">
        <f>514.51*Table36[[#This Row],[Aug 15-Sep 30]]</f>
        <v>514.51</v>
      </c>
      <c r="I54" s="65">
        <v>1</v>
      </c>
      <c r="J54" s="64">
        <f>771.77*Table36[[#This Row],[Oct 15-Nov 30]]</f>
        <v>771.77</v>
      </c>
      <c r="K54" s="53">
        <v>1</v>
      </c>
      <c r="L54" s="50">
        <f>514.51*Table36[[#This Row],[Feb 1-Mar 15]]</f>
        <v>514.51</v>
      </c>
      <c r="M54" s="53">
        <v>1</v>
      </c>
      <c r="N54" s="50">
        <f>771.77*Table36[[#This Row],[Apr 1-May 15]]</f>
        <v>771.77</v>
      </c>
      <c r="O54">
        <f>Table36[[#This Row],[Jun 15-Jul 31]]+Table36[[#This Row],[Aug 15-Sep 31]]+Table36[[#This Row],[Oct 15-Nov 31]]+Table36[[#This Row],[Feb 1-Mar 16]]+Table36[[#This Row],[Apr 1-May 16]]</f>
        <v>3087.07</v>
      </c>
      <c r="P54">
        <f>SUM(Table36[[#This Row],[Jun 15-Jul 30]]+Table36[[#This Row],[Aug 15-Sep 30]]+Table36[[#This Row],[Oct 15-Nov 30]]+Table36[[#This Row],[Feb 1-Mar 15]]+Table36[[#This Row],[Apr 1-May 15]])</f>
        <v>5</v>
      </c>
      <c r="Q54">
        <f>Table36[[#This Row],[Total Cost]]/Table36[[#This Row],[Size]]</f>
        <v>57.702242990654206</v>
      </c>
    </row>
    <row r="55" spans="1:17" x14ac:dyDescent="0.3">
      <c r="A55" s="3">
        <v>110103</v>
      </c>
      <c r="B55" s="5" t="s">
        <v>6</v>
      </c>
      <c r="C55" s="6" t="s">
        <v>62</v>
      </c>
      <c r="D55" s="35">
        <v>54.7</v>
      </c>
      <c r="E55" s="65">
        <v>1</v>
      </c>
      <c r="F55" s="64">
        <f>514.51*Table36[[#This Row],[Jun 15-Jul 30]]</f>
        <v>514.51</v>
      </c>
      <c r="G55" s="65">
        <v>1</v>
      </c>
      <c r="H55" s="64">
        <f>514.51*Table36[[#This Row],[Aug 15-Sep 30]]</f>
        <v>514.51</v>
      </c>
      <c r="I55" s="65">
        <v>1</v>
      </c>
      <c r="J55" s="64">
        <f>771.77*Table36[[#This Row],[Oct 15-Nov 30]]</f>
        <v>771.77</v>
      </c>
      <c r="K55" s="53">
        <v>1</v>
      </c>
      <c r="L55" s="50">
        <f>514.51*Table36[[#This Row],[Feb 1-Mar 15]]</f>
        <v>514.51</v>
      </c>
      <c r="M55" s="53">
        <v>1</v>
      </c>
      <c r="N55" s="50">
        <f>771.77*Table36[[#This Row],[Apr 1-May 15]]</f>
        <v>771.77</v>
      </c>
      <c r="O55">
        <f>Table36[[#This Row],[Jun 15-Jul 31]]+Table36[[#This Row],[Aug 15-Sep 31]]+Table36[[#This Row],[Oct 15-Nov 31]]+Table36[[#This Row],[Feb 1-Mar 16]]+Table36[[#This Row],[Apr 1-May 16]]</f>
        <v>3087.07</v>
      </c>
      <c r="P55">
        <f>SUM(Table36[[#This Row],[Jun 15-Jul 30]]+Table36[[#This Row],[Aug 15-Sep 30]]+Table36[[#This Row],[Oct 15-Nov 30]]+Table36[[#This Row],[Feb 1-Mar 15]]+Table36[[#This Row],[Apr 1-May 15]])</f>
        <v>5</v>
      </c>
      <c r="Q55">
        <f>Table36[[#This Row],[Total Cost]]/Table36[[#This Row],[Size]]</f>
        <v>56.436380255941501</v>
      </c>
    </row>
    <row r="56" spans="1:17" x14ac:dyDescent="0.3">
      <c r="A56" s="3">
        <v>110104</v>
      </c>
      <c r="B56" s="5" t="s">
        <v>6</v>
      </c>
      <c r="C56" s="6" t="s">
        <v>63</v>
      </c>
      <c r="D56" s="35">
        <v>58.1</v>
      </c>
      <c r="E56" s="65">
        <v>1</v>
      </c>
      <c r="F56" s="64">
        <f>514.51*Table36[[#This Row],[Jun 15-Jul 30]]</f>
        <v>514.51</v>
      </c>
      <c r="G56" s="65">
        <v>1</v>
      </c>
      <c r="H56" s="64">
        <f>514.51*Table36[[#This Row],[Aug 15-Sep 30]]</f>
        <v>514.51</v>
      </c>
      <c r="I56" s="65">
        <v>1</v>
      </c>
      <c r="J56" s="64">
        <f>771.77*Table36[[#This Row],[Oct 15-Nov 30]]</f>
        <v>771.77</v>
      </c>
      <c r="K56" s="53">
        <v>1</v>
      </c>
      <c r="L56" s="50">
        <f>514.51*Table36[[#This Row],[Feb 1-Mar 15]]</f>
        <v>514.51</v>
      </c>
      <c r="M56" s="53">
        <v>1</v>
      </c>
      <c r="N56" s="50">
        <f>771.77*Table36[[#This Row],[Apr 1-May 15]]</f>
        <v>771.77</v>
      </c>
      <c r="O56">
        <f>Table36[[#This Row],[Jun 15-Jul 31]]+Table36[[#This Row],[Aug 15-Sep 31]]+Table36[[#This Row],[Oct 15-Nov 31]]+Table36[[#This Row],[Feb 1-Mar 16]]+Table36[[#This Row],[Apr 1-May 16]]</f>
        <v>3087.07</v>
      </c>
      <c r="P56">
        <f>SUM(Table36[[#This Row],[Jun 15-Jul 30]]+Table36[[#This Row],[Aug 15-Sep 30]]+Table36[[#This Row],[Oct 15-Nov 30]]+Table36[[#This Row],[Feb 1-Mar 15]]+Table36[[#This Row],[Apr 1-May 15]])</f>
        <v>5</v>
      </c>
      <c r="Q56">
        <f>Table36[[#This Row],[Total Cost]]/Table36[[#This Row],[Size]]</f>
        <v>53.133734939759037</v>
      </c>
    </row>
    <row r="57" spans="1:17" x14ac:dyDescent="0.3">
      <c r="A57" s="3">
        <v>110101</v>
      </c>
      <c r="B57" s="5" t="s">
        <v>4</v>
      </c>
      <c r="C57" s="6" t="s">
        <v>60</v>
      </c>
      <c r="D57" s="35">
        <v>117.4</v>
      </c>
      <c r="E57" s="65">
        <v>1</v>
      </c>
      <c r="F57" s="66">
        <f>714*Table36[[#This Row],[Jun 15-Jul 30]]</f>
        <v>714</v>
      </c>
      <c r="G57" s="65">
        <v>1</v>
      </c>
      <c r="H57" s="66">
        <f>714*Table36[[#This Row],[Aug 15-Sep 30]]</f>
        <v>714</v>
      </c>
      <c r="I57" s="65">
        <v>1</v>
      </c>
      <c r="J57" s="66">
        <f>971*Table36[[#This Row],[Oct 15-Nov 30]]</f>
        <v>971</v>
      </c>
      <c r="K57" s="53">
        <v>1</v>
      </c>
      <c r="L57" s="54">
        <f>714*Table36[[#This Row],[Feb 1-Mar 15]]</f>
        <v>714</v>
      </c>
      <c r="M57" s="53">
        <v>1</v>
      </c>
      <c r="N57" s="54">
        <f>971*Table36[[#This Row],[Apr 1-May 15]]</f>
        <v>971</v>
      </c>
      <c r="O57">
        <f>Table36[[#This Row],[Jun 15-Jul 31]]+Table36[[#This Row],[Aug 15-Sep 31]]+Table36[[#This Row],[Oct 15-Nov 31]]+Table36[[#This Row],[Feb 1-Mar 16]]+Table36[[#This Row],[Apr 1-May 16]]</f>
        <v>4084</v>
      </c>
      <c r="P57">
        <f>SUM(Table36[[#This Row],[Jun 15-Jul 30]]+Table36[[#This Row],[Aug 15-Sep 30]]+Table36[[#This Row],[Oct 15-Nov 30]]+Table36[[#This Row],[Feb 1-Mar 15]]+Table36[[#This Row],[Apr 1-May 15]])</f>
        <v>5</v>
      </c>
      <c r="Q57">
        <f>Table36[[#This Row],[Total Cost]]/Table36[[#This Row],[Size]]</f>
        <v>34.787052810902892</v>
      </c>
    </row>
    <row r="58" spans="1:17" x14ac:dyDescent="0.3">
      <c r="A58" s="3">
        <v>110114</v>
      </c>
      <c r="B58" s="5" t="s">
        <v>9</v>
      </c>
      <c r="C58" s="6" t="s">
        <v>69</v>
      </c>
      <c r="D58" s="35">
        <v>134.19999999999999</v>
      </c>
      <c r="E58" s="65">
        <v>1</v>
      </c>
      <c r="F58" s="66">
        <f>714*Table36[[#This Row],[Jun 15-Jul 30]]</f>
        <v>714</v>
      </c>
      <c r="G58" s="65">
        <v>1</v>
      </c>
      <c r="H58" s="66">
        <f>714*Table36[[#This Row],[Aug 15-Sep 30]]</f>
        <v>714</v>
      </c>
      <c r="I58" s="65">
        <v>1</v>
      </c>
      <c r="J58" s="66">
        <f>971*Table36[[#This Row],[Oct 15-Nov 30]]</f>
        <v>971</v>
      </c>
      <c r="K58" s="53">
        <v>1</v>
      </c>
      <c r="L58" s="54">
        <f>714*Table36[[#This Row],[Feb 1-Mar 15]]</f>
        <v>714</v>
      </c>
      <c r="M58" s="53">
        <v>1</v>
      </c>
      <c r="N58" s="54">
        <f>971*Table36[[#This Row],[Apr 1-May 15]]</f>
        <v>971</v>
      </c>
      <c r="O58">
        <f>Table36[[#This Row],[Jun 15-Jul 31]]+Table36[[#This Row],[Aug 15-Sep 31]]+Table36[[#This Row],[Oct 15-Nov 31]]+Table36[[#This Row],[Feb 1-Mar 16]]+Table36[[#This Row],[Apr 1-May 16]]</f>
        <v>4084</v>
      </c>
      <c r="P58">
        <f>SUM(Table36[[#This Row],[Jun 15-Jul 30]]+Table36[[#This Row],[Aug 15-Sep 30]]+Table36[[#This Row],[Oct 15-Nov 30]]+Table36[[#This Row],[Feb 1-Mar 15]]+Table36[[#This Row],[Apr 1-May 15]])</f>
        <v>5</v>
      </c>
      <c r="Q58">
        <f>Table36[[#This Row],[Total Cost]]/Table36[[#This Row],[Size]]</f>
        <v>30.432190760059616</v>
      </c>
    </row>
    <row r="59" spans="1:17" x14ac:dyDescent="0.3">
      <c r="A59" s="24">
        <v>130018</v>
      </c>
      <c r="B59" s="5" t="s">
        <v>54</v>
      </c>
      <c r="C59" s="6" t="s">
        <v>185</v>
      </c>
      <c r="D59" s="35">
        <v>143</v>
      </c>
      <c r="E59" s="65">
        <v>1</v>
      </c>
      <c r="F59" s="66">
        <f>714*Table36[[#This Row],[Jun 15-Jul 30]]</f>
        <v>714</v>
      </c>
      <c r="G59" s="65">
        <v>1</v>
      </c>
      <c r="H59" s="66">
        <f>714*Table36[[#This Row],[Aug 15-Sep 30]]</f>
        <v>714</v>
      </c>
      <c r="I59" s="65">
        <v>1</v>
      </c>
      <c r="J59" s="66">
        <f>971*Table36[[#This Row],[Oct 15-Nov 30]]</f>
        <v>971</v>
      </c>
      <c r="K59" s="53">
        <v>1</v>
      </c>
      <c r="L59" s="54">
        <f>714*Table36[[#This Row],[Feb 1-Mar 15]]</f>
        <v>714</v>
      </c>
      <c r="M59" s="53">
        <v>1</v>
      </c>
      <c r="N59" s="54">
        <f>971*Table36[[#This Row],[Apr 1-May 15]]</f>
        <v>971</v>
      </c>
      <c r="O59" s="7">
        <f>Table36[[#This Row],[Jun 15-Jul 31]]+Table36[[#This Row],[Aug 15-Sep 31]]+Table36[[#This Row],[Oct 15-Nov 31]]+Table36[[#This Row],[Feb 1-Mar 16]]+Table36[[#This Row],[Apr 1-May 16]]</f>
        <v>4084</v>
      </c>
      <c r="P59">
        <f>SUM(Table36[[#This Row],[Jun 15-Jul 30]]+Table36[[#This Row],[Aug 15-Sep 30]]+Table36[[#This Row],[Oct 15-Nov 30]]+Table36[[#This Row],[Feb 1-Mar 15]]+Table36[[#This Row],[Apr 1-May 15]])</f>
        <v>5</v>
      </c>
      <c r="Q59">
        <f>Table36[[#This Row],[Total Cost]]/Table36[[#This Row],[Size]]</f>
        <v>28.55944055944056</v>
      </c>
    </row>
    <row r="60" spans="1:17" x14ac:dyDescent="0.3">
      <c r="A60" s="24">
        <v>130019</v>
      </c>
      <c r="B60" s="5" t="s">
        <v>54</v>
      </c>
      <c r="C60" s="6" t="s">
        <v>186</v>
      </c>
      <c r="D60" s="35">
        <v>156.6</v>
      </c>
      <c r="E60" s="65">
        <v>1</v>
      </c>
      <c r="F60" s="66">
        <f>914*Table36[[#This Row],[Jun 15-Jul 30]]</f>
        <v>914</v>
      </c>
      <c r="G60" s="65">
        <v>1</v>
      </c>
      <c r="H60" s="66">
        <f>914*Table36[[#This Row],[Aug 15-Sep 30]]</f>
        <v>914</v>
      </c>
      <c r="I60" s="65">
        <v>1</v>
      </c>
      <c r="J60" s="66">
        <f>1171*Table36[[#This Row],[Oct 15-Nov 30]]</f>
        <v>1171</v>
      </c>
      <c r="K60" s="53">
        <v>1</v>
      </c>
      <c r="L60" s="54">
        <f>914*Table36[[#This Row],[Feb 1-Mar 15]]</f>
        <v>914</v>
      </c>
      <c r="M60" s="53">
        <v>1</v>
      </c>
      <c r="N60" s="54">
        <f>1171*Table36[[#This Row],[Apr 1-May 15]]</f>
        <v>1171</v>
      </c>
      <c r="O60" s="7">
        <f>Table36[[#This Row],[Jun 15-Jul 31]]+Table36[[#This Row],[Aug 15-Sep 31]]+Table36[[#This Row],[Oct 15-Nov 31]]+Table36[[#This Row],[Feb 1-Mar 16]]+Table36[[#This Row],[Apr 1-May 16]]</f>
        <v>5084</v>
      </c>
      <c r="P60">
        <f>SUM(Table36[[#This Row],[Jun 15-Jul 30]]+Table36[[#This Row],[Aug 15-Sep 30]]+Table36[[#This Row],[Oct 15-Nov 30]]+Table36[[#This Row],[Feb 1-Mar 15]]+Table36[[#This Row],[Apr 1-May 15]])</f>
        <v>5</v>
      </c>
      <c r="Q60">
        <f>Table36[[#This Row],[Total Cost]]/Table36[[#This Row],[Size]]</f>
        <v>32.464878671775224</v>
      </c>
    </row>
    <row r="61" spans="1:17" x14ac:dyDescent="0.3">
      <c r="A61" s="3">
        <v>130101</v>
      </c>
      <c r="B61" s="5" t="s">
        <v>55</v>
      </c>
      <c r="C61" s="6" t="s">
        <v>147</v>
      </c>
      <c r="D61" s="35">
        <v>223.6</v>
      </c>
      <c r="E61" s="65">
        <v>1</v>
      </c>
      <c r="F61" s="66">
        <f>914*Table36[[#This Row],[Jun 15-Jul 30]]</f>
        <v>914</v>
      </c>
      <c r="G61" s="65">
        <v>1</v>
      </c>
      <c r="H61" s="66">
        <f>914*Table36[[#This Row],[Aug 15-Sep 30]]</f>
        <v>914</v>
      </c>
      <c r="I61" s="65">
        <v>1</v>
      </c>
      <c r="J61" s="66">
        <f>1171*Table36[[#This Row],[Oct 15-Nov 30]]</f>
        <v>1171</v>
      </c>
      <c r="K61" s="53">
        <v>1</v>
      </c>
      <c r="L61" s="54">
        <f>914*Table36[[#This Row],[Feb 1-Mar 15]]</f>
        <v>914</v>
      </c>
      <c r="M61" s="53">
        <v>1</v>
      </c>
      <c r="N61" s="54">
        <f>1171*Table36[[#This Row],[Apr 1-May 15]]</f>
        <v>1171</v>
      </c>
      <c r="O61">
        <f>Table36[[#This Row],[Jun 15-Jul 31]]+Table36[[#This Row],[Aug 15-Sep 31]]+Table36[[#This Row],[Oct 15-Nov 31]]+Table36[[#This Row],[Feb 1-Mar 16]]+Table36[[#This Row],[Apr 1-May 16]]</f>
        <v>5084</v>
      </c>
      <c r="P61">
        <f>SUM(Table36[[#This Row],[Jun 15-Jul 30]]+Table36[[#This Row],[Aug 15-Sep 30]]+Table36[[#This Row],[Oct 15-Nov 30]]+Table36[[#This Row],[Feb 1-Mar 15]]+Table36[[#This Row],[Apr 1-May 15]])</f>
        <v>5</v>
      </c>
      <c r="Q61">
        <f>Table36[[#This Row],[Total Cost]]/Table36[[#This Row],[Size]]</f>
        <v>22.737030411449016</v>
      </c>
    </row>
    <row r="62" spans="1:17" ht="15" thickBot="1" x14ac:dyDescent="0.35">
      <c r="A62" s="1">
        <f>SUBTOTAL(103,Table36[GRI ID])</f>
        <v>59</v>
      </c>
      <c r="B62" s="28"/>
      <c r="C62" s="27"/>
      <c r="D62" s="2">
        <f>SUBTOTAL(109,Table36[Size])</f>
        <v>2051.2800000000002</v>
      </c>
      <c r="E62" s="51">
        <f>SUBTOTAL(109,Table36[Jun 15-Jul 30])</f>
        <v>42</v>
      </c>
      <c r="F62" s="52">
        <f>SUBTOTAL(109,Table36[Jun 15-Jul 31])</f>
        <v>15480.149999999994</v>
      </c>
      <c r="G62" s="51">
        <f>SUBTOTAL(109,Table36[Aug 15-Sep 30])</f>
        <v>47</v>
      </c>
      <c r="H62" s="52">
        <f>SUBTOTAL(109,Table36[Aug 15-Sep 31])</f>
        <v>16714.659999999996</v>
      </c>
      <c r="I62" s="51">
        <f>SUBTOTAL(109,Table36[Oct 15-Nov 30])</f>
        <v>51</v>
      </c>
      <c r="J62" s="52">
        <f>SUBTOTAL(109,Table36[Oct 15-Nov 31])</f>
        <v>24632.180000000008</v>
      </c>
      <c r="K62" s="51">
        <f>SUBTOTAL(109,Table36[Feb 1-Mar 15])</f>
        <v>47</v>
      </c>
      <c r="L62" s="52">
        <f>SUBTOTAL(109,Table36[Feb 1-Mar 16])</f>
        <v>16714.659999999996</v>
      </c>
      <c r="M62" s="51">
        <f>SUBTOTAL(109,Table36[Apr 1-May 15])</f>
        <v>59</v>
      </c>
      <c r="N62" s="52">
        <f>SUBTOTAL(109,Table36[Apr 1-May 16])</f>
        <v>27471.900000000009</v>
      </c>
      <c r="O62">
        <f>SUBTOTAL(109,Table36[Total Cost])</f>
        <v>101013.55000000005</v>
      </c>
      <c r="P62">
        <f>SUBTOTAL(109,Table36[Total Visits])</f>
        <v>246</v>
      </c>
      <c r="Q62">
        <f>SUBTOTAL(101,Table36[Total Cost/m2])</f>
        <v>55.062834947721484</v>
      </c>
    </row>
    <row r="63" spans="1:17" x14ac:dyDescent="0.3">
      <c r="A63" s="71"/>
    </row>
    <row r="64" spans="1:17" x14ac:dyDescent="0.3">
      <c r="O64">
        <v>10140</v>
      </c>
    </row>
    <row r="65" spans="8:15" x14ac:dyDescent="0.3">
      <c r="O65">
        <f>Table36[[#Totals],[Total Cost]]-O64</f>
        <v>90873.550000000047</v>
      </c>
    </row>
    <row r="68" spans="8:15" x14ac:dyDescent="0.3">
      <c r="O68">
        <v>69792.22</v>
      </c>
    </row>
    <row r="69" spans="8:15" x14ac:dyDescent="0.3">
      <c r="O69">
        <f>(Table36[[#Totals],[Total Cost]]-O68)/O68</f>
        <v>0.44734685327390422</v>
      </c>
    </row>
    <row r="70" spans="8:15" x14ac:dyDescent="0.3">
      <c r="H70">
        <f>SUM(F62,H62,J62)</f>
        <v>56826.99</v>
      </c>
      <c r="K70" s="46">
        <v>26110.52</v>
      </c>
    </row>
    <row r="72" spans="8:15" x14ac:dyDescent="0.3">
      <c r="H72">
        <v>6280</v>
      </c>
      <c r="K72" s="46">
        <f>K70+Table36[[#Totals],[Jun 15-Jul 31]]+Table36[[#Totals],[Aug 15-Sep 31]]+Table36[[#Totals],[Oct 15-Nov 31]]</f>
        <v>82937.510000000009</v>
      </c>
      <c r="L72">
        <f>(K72-O68)/O68</f>
        <v>0.18834893058280719</v>
      </c>
    </row>
    <row r="76" spans="8:15" x14ac:dyDescent="0.3">
      <c r="H76">
        <v>230.99</v>
      </c>
      <c r="I76">
        <v>276.19</v>
      </c>
      <c r="J76">
        <v>514.51</v>
      </c>
      <c r="K76">
        <v>714</v>
      </c>
      <c r="L76">
        <v>914</v>
      </c>
    </row>
    <row r="77" spans="8:15" x14ac:dyDescent="0.3">
      <c r="H77">
        <v>346.49</v>
      </c>
      <c r="I77">
        <v>414.29</v>
      </c>
      <c r="J77">
        <v>771.77</v>
      </c>
      <c r="K77">
        <v>971</v>
      </c>
      <c r="L77">
        <v>1171</v>
      </c>
    </row>
    <row r="79" spans="8:15" x14ac:dyDescent="0.3">
      <c r="H79">
        <f>H76/8.6</f>
        <v>26.859302325581396</v>
      </c>
      <c r="I79">
        <f>I76/25</f>
        <v>11.047599999999999</v>
      </c>
      <c r="J79">
        <f>J76/50</f>
        <v>10.2902</v>
      </c>
      <c r="K79">
        <f>K76/100</f>
        <v>7.14</v>
      </c>
      <c r="L79">
        <f>L76/150</f>
        <v>6.0933333333333337</v>
      </c>
    </row>
    <row r="80" spans="8:15" x14ac:dyDescent="0.3">
      <c r="H80">
        <f>H76/24.9</f>
        <v>9.276706827309237</v>
      </c>
      <c r="I80">
        <f>I76/49.9</f>
        <v>5.5348697394789577</v>
      </c>
      <c r="J80">
        <f>J76/99.9</f>
        <v>5.1502502502502496</v>
      </c>
      <c r="K80">
        <f>K76/149.9</f>
        <v>4.7631754503002002</v>
      </c>
      <c r="L80">
        <f>L76/223.6</f>
        <v>4.0876565295169947</v>
      </c>
    </row>
    <row r="81" spans="8:12" x14ac:dyDescent="0.3">
      <c r="H81">
        <f>H77/8.6</f>
        <v>40.289534883720933</v>
      </c>
      <c r="I81">
        <f>I77/25</f>
        <v>16.5716</v>
      </c>
      <c r="J81">
        <f>J77/50</f>
        <v>15.4354</v>
      </c>
      <c r="K81">
        <f>K77/100</f>
        <v>9.7100000000000009</v>
      </c>
      <c r="L81">
        <f>L77/150</f>
        <v>7.8066666666666666</v>
      </c>
    </row>
    <row r="82" spans="8:12" x14ac:dyDescent="0.3">
      <c r="H82">
        <f>H77/24.9</f>
        <v>13.915261044176708</v>
      </c>
      <c r="I82">
        <f>I77/49.9</f>
        <v>8.3024048096192384</v>
      </c>
      <c r="J82">
        <f>J77/99.9</f>
        <v>7.7254254254254251</v>
      </c>
      <c r="K82">
        <f>K77/149.9</f>
        <v>6.4776517678452299</v>
      </c>
      <c r="L82">
        <f>L77/223.6</f>
        <v>5.237030411449016</v>
      </c>
    </row>
    <row r="106" spans="9:10" x14ac:dyDescent="0.3">
      <c r="I106" s="75"/>
      <c r="J106" s="75"/>
    </row>
  </sheetData>
  <mergeCells count="2">
    <mergeCell ref="E1:J1"/>
    <mergeCell ref="K1:N1"/>
  </mergeCells>
  <phoneticPr fontId="6" type="noConversion"/>
  <conditionalFormatting sqref="A3:A11">
    <cfRule type="duplicateValues" dxfId="37" priority="25"/>
  </conditionalFormatting>
  <conditionalFormatting sqref="A3:A19 A22:A27 A33:A37 A31 A40:A42 A45:A46">
    <cfRule type="duplicateValues" dxfId="36" priority="29"/>
  </conditionalFormatting>
  <conditionalFormatting sqref="A12:A15">
    <cfRule type="duplicateValues" dxfId="35" priority="24"/>
  </conditionalFormatting>
  <conditionalFormatting sqref="A16:A19 A22">
    <cfRule type="duplicateValues" dxfId="34" priority="28"/>
  </conditionalFormatting>
  <conditionalFormatting sqref="A23:A27">
    <cfRule type="duplicateValues" dxfId="33" priority="22"/>
  </conditionalFormatting>
  <conditionalFormatting sqref="A31">
    <cfRule type="duplicateValues" dxfId="32" priority="21"/>
  </conditionalFormatting>
  <conditionalFormatting sqref="A33">
    <cfRule type="duplicateValues" dxfId="31" priority="20"/>
  </conditionalFormatting>
  <conditionalFormatting sqref="A34:A36">
    <cfRule type="duplicateValues" dxfId="30" priority="19"/>
  </conditionalFormatting>
  <conditionalFormatting sqref="A37">
    <cfRule type="duplicateValues" dxfId="29" priority="18"/>
  </conditionalFormatting>
  <conditionalFormatting sqref="A38:A39">
    <cfRule type="duplicateValues" dxfId="28" priority="31"/>
  </conditionalFormatting>
  <conditionalFormatting sqref="A40">
    <cfRule type="duplicateValues" dxfId="27" priority="17"/>
    <cfRule type="duplicateValues" dxfId="26" priority="16"/>
  </conditionalFormatting>
  <conditionalFormatting sqref="A41">
    <cfRule type="duplicateValues" dxfId="25" priority="14"/>
    <cfRule type="duplicateValues" dxfId="24" priority="15"/>
  </conditionalFormatting>
  <conditionalFormatting sqref="A42">
    <cfRule type="duplicateValues" dxfId="23" priority="13"/>
  </conditionalFormatting>
  <conditionalFormatting sqref="A43:A44 A32 A28:A30 A20:A21">
    <cfRule type="duplicateValues" dxfId="22" priority="30"/>
  </conditionalFormatting>
  <conditionalFormatting sqref="A43:A44 A38:A39 A32 A28:A30 A20:A21">
    <cfRule type="duplicateValues" dxfId="21" priority="33"/>
    <cfRule type="duplicateValues" dxfId="20" priority="34"/>
    <cfRule type="duplicateValues" dxfId="19" priority="32"/>
  </conditionalFormatting>
  <conditionalFormatting sqref="A45:A46 A3:A19 A22:A27 A33:A37 A31">
    <cfRule type="duplicateValues" dxfId="18" priority="27"/>
  </conditionalFormatting>
  <conditionalFormatting sqref="A45:A46 A3:A19 A22:A27">
    <cfRule type="duplicateValues" dxfId="17" priority="26"/>
  </conditionalFormatting>
  <conditionalFormatting sqref="A45:A46">
    <cfRule type="duplicateValues" dxfId="16" priority="23"/>
  </conditionalFormatting>
  <conditionalFormatting sqref="A47:A50 A52">
    <cfRule type="duplicateValues" dxfId="15" priority="11"/>
  </conditionalFormatting>
  <conditionalFormatting sqref="A47:A52">
    <cfRule type="duplicateValues" dxfId="14" priority="12"/>
  </conditionalFormatting>
  <conditionalFormatting sqref="A51">
    <cfRule type="duplicateValues" dxfId="13" priority="10"/>
    <cfRule type="duplicateValues" dxfId="12" priority="9"/>
  </conditionalFormatting>
  <conditionalFormatting sqref="A53:A56">
    <cfRule type="duplicateValues" dxfId="11" priority="8"/>
    <cfRule type="duplicateValues" dxfId="10" priority="7"/>
    <cfRule type="duplicateValues" dxfId="9" priority="6"/>
    <cfRule type="duplicateValues" dxfId="8" priority="5"/>
  </conditionalFormatting>
  <conditionalFormatting sqref="A57:A61">
    <cfRule type="duplicateValues" dxfId="7" priority="2"/>
    <cfRule type="duplicateValues" dxfId="6" priority="4"/>
    <cfRule type="duplicateValues" dxfId="5" priority="3"/>
  </conditionalFormatting>
  <conditionalFormatting sqref="E3:N61">
    <cfRule type="cellIs" dxfId="4" priority="1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140E-7F35-46AC-A045-C69A32916B9D}">
  <dimension ref="A1:K106"/>
  <sheetViews>
    <sheetView topLeftCell="C56" workbookViewId="0">
      <selection activeCell="I80" sqref="I80"/>
    </sheetView>
  </sheetViews>
  <sheetFormatPr defaultRowHeight="14.4" x14ac:dyDescent="0.3"/>
  <cols>
    <col min="1" max="1" width="12.33203125" bestFit="1" customWidth="1"/>
    <col min="2" max="2" width="26.5546875" customWidth="1"/>
    <col min="3" max="3" width="21.5546875" customWidth="1"/>
    <col min="4" max="4" width="58.77734375" customWidth="1"/>
    <col min="5" max="5" width="12.44140625" bestFit="1" customWidth="1"/>
    <col min="6" max="6" width="13.21875" bestFit="1" customWidth="1"/>
    <col min="7" max="7" width="13" bestFit="1" customWidth="1"/>
    <col min="8" max="8" width="12.77734375" bestFit="1" customWidth="1"/>
    <col min="9" max="9" width="12.88671875" bestFit="1" customWidth="1"/>
    <col min="10" max="10" width="12.77734375" bestFit="1" customWidth="1"/>
    <col min="11" max="11" width="10" bestFit="1" customWidth="1"/>
  </cols>
  <sheetData>
    <row r="1" spans="1:11" ht="15.6" x14ac:dyDescent="0.3">
      <c r="A1" s="56" t="s">
        <v>154</v>
      </c>
      <c r="B1" s="56" t="s">
        <v>194</v>
      </c>
      <c r="C1" s="56" t="s">
        <v>0</v>
      </c>
      <c r="D1" s="56" t="s">
        <v>1</v>
      </c>
      <c r="E1" s="57" t="s">
        <v>225</v>
      </c>
      <c r="F1" s="57" t="s">
        <v>226</v>
      </c>
      <c r="G1" s="57" t="s">
        <v>227</v>
      </c>
      <c r="H1" s="57" t="s">
        <v>228</v>
      </c>
      <c r="I1" s="57" t="s">
        <v>229</v>
      </c>
      <c r="J1" s="57" t="s">
        <v>230</v>
      </c>
      <c r="K1" s="58" t="s">
        <v>153</v>
      </c>
    </row>
    <row r="2" spans="1:11" x14ac:dyDescent="0.3">
      <c r="A2" s="68">
        <v>120002</v>
      </c>
      <c r="B2" s="12" t="s">
        <v>196</v>
      </c>
      <c r="C2" s="68" t="s">
        <v>12</v>
      </c>
      <c r="D2" s="40" t="s">
        <v>73</v>
      </c>
      <c r="E2" s="73">
        <v>35</v>
      </c>
      <c r="F2" s="74">
        <v>35</v>
      </c>
      <c r="G2" s="74">
        <v>35</v>
      </c>
      <c r="H2" s="11">
        <v>35</v>
      </c>
      <c r="I2" s="11">
        <v>35</v>
      </c>
      <c r="J2" s="11">
        <v>35</v>
      </c>
      <c r="K2" s="55">
        <f t="shared" ref="K2:K33" si="0">SUM(E2:J2)</f>
        <v>210</v>
      </c>
    </row>
    <row r="3" spans="1:11" x14ac:dyDescent="0.3">
      <c r="A3" s="68">
        <v>120003</v>
      </c>
      <c r="B3" s="12" t="s">
        <v>196</v>
      </c>
      <c r="C3" s="68" t="s">
        <v>13</v>
      </c>
      <c r="D3" s="40" t="s">
        <v>74</v>
      </c>
      <c r="E3" s="73">
        <v>35</v>
      </c>
      <c r="F3" s="74">
        <v>35</v>
      </c>
      <c r="G3" s="74">
        <v>35</v>
      </c>
      <c r="H3" s="11">
        <v>35</v>
      </c>
      <c r="I3" s="11">
        <v>35</v>
      </c>
      <c r="J3" s="11">
        <v>35</v>
      </c>
      <c r="K3" s="55">
        <f t="shared" si="0"/>
        <v>210</v>
      </c>
    </row>
    <row r="4" spans="1:11" x14ac:dyDescent="0.3">
      <c r="A4" s="68">
        <v>120004</v>
      </c>
      <c r="B4" s="12" t="s">
        <v>196</v>
      </c>
      <c r="C4" s="68" t="s">
        <v>13</v>
      </c>
      <c r="D4" s="40" t="s">
        <v>75</v>
      </c>
      <c r="E4" s="73">
        <v>35</v>
      </c>
      <c r="F4" s="74">
        <v>35</v>
      </c>
      <c r="G4" s="74">
        <v>35</v>
      </c>
      <c r="H4" s="11">
        <v>35</v>
      </c>
      <c r="I4" s="11">
        <v>35</v>
      </c>
      <c r="J4" s="11">
        <v>35</v>
      </c>
      <c r="K4" s="55">
        <f t="shared" si="0"/>
        <v>210</v>
      </c>
    </row>
    <row r="5" spans="1:11" x14ac:dyDescent="0.3">
      <c r="A5" s="12">
        <v>120216</v>
      </c>
      <c r="B5" s="12" t="s">
        <v>195</v>
      </c>
      <c r="C5" s="39" t="s">
        <v>14</v>
      </c>
      <c r="D5" s="40" t="s">
        <v>200</v>
      </c>
      <c r="E5" s="73">
        <v>35</v>
      </c>
      <c r="F5" s="74">
        <v>35</v>
      </c>
      <c r="G5" s="74">
        <v>35</v>
      </c>
      <c r="H5" s="74">
        <v>35</v>
      </c>
      <c r="I5" s="11">
        <v>35</v>
      </c>
      <c r="J5" s="11">
        <v>35</v>
      </c>
      <c r="K5" s="55">
        <f t="shared" si="0"/>
        <v>210</v>
      </c>
    </row>
    <row r="6" spans="1:11" x14ac:dyDescent="0.3">
      <c r="A6" s="68">
        <v>120005</v>
      </c>
      <c r="B6" s="12" t="s">
        <v>196</v>
      </c>
      <c r="C6" s="39" t="s">
        <v>14</v>
      </c>
      <c r="D6" s="40" t="s">
        <v>76</v>
      </c>
      <c r="E6" s="73">
        <v>35</v>
      </c>
      <c r="F6" s="74">
        <v>35</v>
      </c>
      <c r="G6" s="74">
        <v>35</v>
      </c>
      <c r="H6" s="74">
        <v>35</v>
      </c>
      <c r="I6" s="11">
        <v>35</v>
      </c>
      <c r="J6" s="11">
        <v>35</v>
      </c>
      <c r="K6" s="55">
        <f t="shared" si="0"/>
        <v>210</v>
      </c>
    </row>
    <row r="7" spans="1:11" x14ac:dyDescent="0.3">
      <c r="A7" s="68">
        <v>120006</v>
      </c>
      <c r="B7" s="12" t="s">
        <v>196</v>
      </c>
      <c r="C7" s="39" t="s">
        <v>14</v>
      </c>
      <c r="D7" s="40" t="s">
        <v>77</v>
      </c>
      <c r="E7" s="73">
        <v>35</v>
      </c>
      <c r="F7" s="74">
        <v>35</v>
      </c>
      <c r="G7" s="74">
        <v>35</v>
      </c>
      <c r="H7" s="74">
        <v>35</v>
      </c>
      <c r="I7" s="11">
        <v>35</v>
      </c>
      <c r="J7" s="11">
        <v>35</v>
      </c>
      <c r="K7" s="55">
        <f t="shared" si="0"/>
        <v>210</v>
      </c>
    </row>
    <row r="8" spans="1:11" x14ac:dyDescent="0.3">
      <c r="A8" s="68">
        <v>120007</v>
      </c>
      <c r="B8" s="12" t="s">
        <v>196</v>
      </c>
      <c r="C8" s="39" t="s">
        <v>14</v>
      </c>
      <c r="D8" s="40" t="s">
        <v>78</v>
      </c>
      <c r="E8" s="73">
        <v>35</v>
      </c>
      <c r="F8" s="74">
        <v>35</v>
      </c>
      <c r="G8" s="74">
        <v>35</v>
      </c>
      <c r="H8" s="74">
        <v>35</v>
      </c>
      <c r="I8" s="11">
        <v>35</v>
      </c>
      <c r="J8" s="11">
        <v>35</v>
      </c>
      <c r="K8" s="55">
        <f t="shared" si="0"/>
        <v>210</v>
      </c>
    </row>
    <row r="9" spans="1:11" x14ac:dyDescent="0.3">
      <c r="A9" s="12">
        <v>120008</v>
      </c>
      <c r="B9" s="12" t="s">
        <v>196</v>
      </c>
      <c r="C9" s="39" t="s">
        <v>14</v>
      </c>
      <c r="D9" s="40" t="s">
        <v>79</v>
      </c>
      <c r="E9" s="73">
        <v>35</v>
      </c>
      <c r="F9" s="74">
        <v>35</v>
      </c>
      <c r="G9" s="74">
        <v>35</v>
      </c>
      <c r="H9" s="74">
        <v>35</v>
      </c>
      <c r="I9" s="11">
        <v>35</v>
      </c>
      <c r="J9" s="11">
        <v>35</v>
      </c>
      <c r="K9" s="55">
        <f t="shared" si="0"/>
        <v>210</v>
      </c>
    </row>
    <row r="10" spans="1:11" x14ac:dyDescent="0.3">
      <c r="A10" s="12">
        <v>120009</v>
      </c>
      <c r="B10" s="12" t="s">
        <v>196</v>
      </c>
      <c r="C10" s="39" t="s">
        <v>14</v>
      </c>
      <c r="D10" s="40" t="s">
        <v>80</v>
      </c>
      <c r="E10" s="73">
        <v>35</v>
      </c>
      <c r="F10" s="74">
        <v>35</v>
      </c>
      <c r="G10" s="74">
        <v>35</v>
      </c>
      <c r="H10" s="74">
        <v>35</v>
      </c>
      <c r="I10" s="11">
        <v>35</v>
      </c>
      <c r="J10" s="11">
        <v>35</v>
      </c>
      <c r="K10" s="55">
        <f t="shared" si="0"/>
        <v>210</v>
      </c>
    </row>
    <row r="11" spans="1:11" x14ac:dyDescent="0.3">
      <c r="A11" s="12">
        <v>120010</v>
      </c>
      <c r="B11" s="12" t="s">
        <v>196</v>
      </c>
      <c r="C11" s="39" t="s">
        <v>14</v>
      </c>
      <c r="D11" s="40" t="s">
        <v>81</v>
      </c>
      <c r="E11" s="73">
        <v>35</v>
      </c>
      <c r="F11" s="74">
        <v>35</v>
      </c>
      <c r="G11" s="74">
        <v>35</v>
      </c>
      <c r="H11" s="74">
        <v>35</v>
      </c>
      <c r="I11" s="11">
        <v>35</v>
      </c>
      <c r="J11" s="11">
        <v>35</v>
      </c>
      <c r="K11" s="55">
        <f t="shared" si="0"/>
        <v>210</v>
      </c>
    </row>
    <row r="12" spans="1:11" x14ac:dyDescent="0.3">
      <c r="A12" s="12">
        <v>110114</v>
      </c>
      <c r="B12" s="12" t="s">
        <v>196</v>
      </c>
      <c r="C12" s="39" t="s">
        <v>9</v>
      </c>
      <c r="D12" s="67" t="s">
        <v>69</v>
      </c>
      <c r="E12" s="73">
        <v>35</v>
      </c>
      <c r="F12" s="74">
        <v>35</v>
      </c>
      <c r="G12" s="74">
        <v>35</v>
      </c>
      <c r="H12" s="11">
        <v>35</v>
      </c>
      <c r="I12" s="11">
        <v>35</v>
      </c>
      <c r="J12" s="11">
        <v>35</v>
      </c>
      <c r="K12" s="55">
        <f t="shared" si="0"/>
        <v>210</v>
      </c>
    </row>
    <row r="13" spans="1:11" x14ac:dyDescent="0.3">
      <c r="A13" s="68">
        <v>110115</v>
      </c>
      <c r="B13" s="12" t="s">
        <v>196</v>
      </c>
      <c r="C13" s="39" t="s">
        <v>9</v>
      </c>
      <c r="D13" s="67" t="s">
        <v>70</v>
      </c>
      <c r="E13" s="73">
        <v>35</v>
      </c>
      <c r="F13" s="74">
        <v>35</v>
      </c>
      <c r="G13" s="74">
        <v>35</v>
      </c>
      <c r="H13" s="11">
        <v>35</v>
      </c>
      <c r="I13" s="11">
        <v>35</v>
      </c>
      <c r="J13" s="11">
        <v>35</v>
      </c>
      <c r="K13" s="55">
        <f t="shared" si="0"/>
        <v>210</v>
      </c>
    </row>
    <row r="14" spans="1:11" x14ac:dyDescent="0.3">
      <c r="A14" s="12">
        <v>120201</v>
      </c>
      <c r="B14" s="12" t="s">
        <v>195</v>
      </c>
      <c r="C14" s="39" t="s">
        <v>44</v>
      </c>
      <c r="D14" s="40" t="s">
        <v>132</v>
      </c>
      <c r="E14" s="73">
        <v>35</v>
      </c>
      <c r="F14" s="74">
        <v>35</v>
      </c>
      <c r="G14" s="74">
        <v>35</v>
      </c>
      <c r="H14" s="11">
        <v>35</v>
      </c>
      <c r="I14" s="11">
        <v>35</v>
      </c>
      <c r="J14" s="11">
        <v>35</v>
      </c>
      <c r="K14" s="55">
        <f t="shared" si="0"/>
        <v>210</v>
      </c>
    </row>
    <row r="15" spans="1:11" ht="27.6" x14ac:dyDescent="0.3">
      <c r="A15" s="12">
        <v>130001</v>
      </c>
      <c r="B15" s="12" t="s">
        <v>195</v>
      </c>
      <c r="C15" s="39" t="s">
        <v>51</v>
      </c>
      <c r="D15" s="67" t="s">
        <v>141</v>
      </c>
      <c r="E15" s="37">
        <v>35</v>
      </c>
      <c r="F15" s="74">
        <v>35</v>
      </c>
      <c r="G15" s="74">
        <v>35</v>
      </c>
      <c r="H15" s="11">
        <v>35</v>
      </c>
      <c r="I15" s="11">
        <v>35</v>
      </c>
      <c r="J15" s="11">
        <v>35</v>
      </c>
      <c r="K15" s="55">
        <f t="shared" si="0"/>
        <v>210</v>
      </c>
    </row>
    <row r="16" spans="1:11" ht="27.6" x14ac:dyDescent="0.3">
      <c r="A16" s="12">
        <v>130002</v>
      </c>
      <c r="B16" s="12" t="s">
        <v>195</v>
      </c>
      <c r="C16" s="39" t="s">
        <v>51</v>
      </c>
      <c r="D16" s="67" t="s">
        <v>142</v>
      </c>
      <c r="E16" s="37">
        <v>35</v>
      </c>
      <c r="F16" s="74">
        <v>35</v>
      </c>
      <c r="G16" s="74">
        <v>35</v>
      </c>
      <c r="H16" s="11">
        <v>35</v>
      </c>
      <c r="I16" s="11">
        <v>35</v>
      </c>
      <c r="J16" s="11">
        <v>35</v>
      </c>
      <c r="K16" s="55">
        <f t="shared" si="0"/>
        <v>210</v>
      </c>
    </row>
    <row r="17" spans="1:11" x14ac:dyDescent="0.3">
      <c r="A17" s="12">
        <v>130003</v>
      </c>
      <c r="B17" s="12" t="s">
        <v>195</v>
      </c>
      <c r="C17" s="39" t="s">
        <v>51</v>
      </c>
      <c r="D17" s="67" t="s">
        <v>143</v>
      </c>
      <c r="E17" s="37">
        <v>35</v>
      </c>
      <c r="F17" s="74">
        <v>35</v>
      </c>
      <c r="G17" s="74">
        <v>35</v>
      </c>
      <c r="H17" s="11">
        <v>35</v>
      </c>
      <c r="I17" s="11">
        <v>35</v>
      </c>
      <c r="J17" s="11">
        <v>35</v>
      </c>
      <c r="K17" s="55">
        <f t="shared" si="0"/>
        <v>210</v>
      </c>
    </row>
    <row r="18" spans="1:11" x14ac:dyDescent="0.3">
      <c r="A18" s="3">
        <v>130004</v>
      </c>
      <c r="B18" s="12" t="s">
        <v>195</v>
      </c>
      <c r="C18" s="39" t="s">
        <v>51</v>
      </c>
      <c r="D18" s="9" t="s">
        <v>144</v>
      </c>
      <c r="E18" s="37">
        <v>35</v>
      </c>
      <c r="F18" s="74">
        <v>35</v>
      </c>
      <c r="G18" s="74">
        <v>35</v>
      </c>
      <c r="H18" s="11">
        <v>35</v>
      </c>
      <c r="I18" s="11">
        <v>35</v>
      </c>
      <c r="J18" s="11">
        <v>35</v>
      </c>
      <c r="K18" s="55">
        <f t="shared" si="0"/>
        <v>210</v>
      </c>
    </row>
    <row r="19" spans="1:11" x14ac:dyDescent="0.3">
      <c r="A19" s="3">
        <v>120018</v>
      </c>
      <c r="B19" s="12" t="s">
        <v>196</v>
      </c>
      <c r="C19" s="39" t="s">
        <v>15</v>
      </c>
      <c r="D19" s="6" t="s">
        <v>82</v>
      </c>
      <c r="E19" s="37">
        <v>35</v>
      </c>
      <c r="F19" s="74">
        <v>35</v>
      </c>
      <c r="G19" s="74">
        <v>35</v>
      </c>
      <c r="H19" s="11">
        <v>35</v>
      </c>
      <c r="I19" s="11">
        <v>35</v>
      </c>
      <c r="J19" s="11">
        <v>35</v>
      </c>
      <c r="K19" s="55">
        <f t="shared" si="0"/>
        <v>210</v>
      </c>
    </row>
    <row r="20" spans="1:11" x14ac:dyDescent="0.3">
      <c r="A20" s="3">
        <v>120019</v>
      </c>
      <c r="B20" s="12" t="s">
        <v>195</v>
      </c>
      <c r="C20" s="39" t="s">
        <v>16</v>
      </c>
      <c r="D20" s="6" t="s">
        <v>83</v>
      </c>
      <c r="E20" s="73">
        <v>35</v>
      </c>
      <c r="F20" s="74">
        <v>35</v>
      </c>
      <c r="G20" s="74">
        <v>35</v>
      </c>
      <c r="H20" s="11">
        <v>35</v>
      </c>
      <c r="I20" s="11">
        <v>35</v>
      </c>
      <c r="J20" s="11">
        <v>35</v>
      </c>
      <c r="K20" s="55">
        <f t="shared" si="0"/>
        <v>210</v>
      </c>
    </row>
    <row r="21" spans="1:11" x14ac:dyDescent="0.3">
      <c r="A21" s="3">
        <v>120020</v>
      </c>
      <c r="B21" s="12" t="s">
        <v>195</v>
      </c>
      <c r="C21" s="39" t="s">
        <v>16</v>
      </c>
      <c r="D21" s="6" t="s">
        <v>84</v>
      </c>
      <c r="E21" s="73">
        <v>35</v>
      </c>
      <c r="F21" s="74">
        <v>35</v>
      </c>
      <c r="G21" s="74">
        <v>35</v>
      </c>
      <c r="H21" s="11">
        <v>35</v>
      </c>
      <c r="I21" s="11">
        <v>35</v>
      </c>
      <c r="J21" s="11">
        <v>35</v>
      </c>
      <c r="K21" s="55">
        <f t="shared" si="0"/>
        <v>210</v>
      </c>
    </row>
    <row r="22" spans="1:11" x14ac:dyDescent="0.3">
      <c r="A22" s="3">
        <v>120021</v>
      </c>
      <c r="B22" s="12" t="s">
        <v>195</v>
      </c>
      <c r="C22" s="39" t="s">
        <v>16</v>
      </c>
      <c r="D22" s="6" t="s">
        <v>85</v>
      </c>
      <c r="E22" s="73">
        <v>35</v>
      </c>
      <c r="F22" s="74">
        <v>35</v>
      </c>
      <c r="G22" s="74">
        <v>35</v>
      </c>
      <c r="H22" s="11">
        <v>35</v>
      </c>
      <c r="I22" s="11">
        <v>35</v>
      </c>
      <c r="J22" s="11">
        <v>35</v>
      </c>
      <c r="K22" s="55">
        <f t="shared" si="0"/>
        <v>210</v>
      </c>
    </row>
    <row r="23" spans="1:11" x14ac:dyDescent="0.3">
      <c r="A23" s="3">
        <v>120022</v>
      </c>
      <c r="B23" s="12" t="s">
        <v>195</v>
      </c>
      <c r="C23" s="39" t="s">
        <v>16</v>
      </c>
      <c r="D23" s="6" t="s">
        <v>86</v>
      </c>
      <c r="E23" s="73">
        <v>35</v>
      </c>
      <c r="F23" s="74">
        <v>35</v>
      </c>
      <c r="G23" s="74">
        <v>35</v>
      </c>
      <c r="H23" s="11">
        <v>35</v>
      </c>
      <c r="I23" s="11">
        <v>35</v>
      </c>
      <c r="J23" s="11">
        <v>35</v>
      </c>
      <c r="K23" s="55">
        <f t="shared" si="0"/>
        <v>210</v>
      </c>
    </row>
    <row r="24" spans="1:11" x14ac:dyDescent="0.3">
      <c r="A24" s="12">
        <v>120213</v>
      </c>
      <c r="B24" s="12" t="s">
        <v>195</v>
      </c>
      <c r="C24" s="39" t="s">
        <v>49</v>
      </c>
      <c r="D24" s="67" t="s">
        <v>140</v>
      </c>
      <c r="E24" s="73">
        <v>35</v>
      </c>
      <c r="F24" s="74">
        <v>35</v>
      </c>
      <c r="G24" s="74">
        <v>35</v>
      </c>
      <c r="H24" s="11">
        <v>35</v>
      </c>
      <c r="I24" s="11">
        <v>35</v>
      </c>
      <c r="J24" s="11">
        <v>35</v>
      </c>
      <c r="K24" s="55">
        <f t="shared" si="0"/>
        <v>210</v>
      </c>
    </row>
    <row r="25" spans="1:11" x14ac:dyDescent="0.3">
      <c r="A25" s="68">
        <v>120090</v>
      </c>
      <c r="B25" s="12" t="s">
        <v>195</v>
      </c>
      <c r="C25" s="39" t="s">
        <v>40</v>
      </c>
      <c r="D25" s="40" t="s">
        <v>117</v>
      </c>
      <c r="E25" s="73">
        <v>35</v>
      </c>
      <c r="F25" s="74">
        <v>35</v>
      </c>
      <c r="G25" s="74">
        <v>35</v>
      </c>
      <c r="H25" s="11">
        <v>35</v>
      </c>
      <c r="I25" s="11">
        <v>35</v>
      </c>
      <c r="J25" s="11">
        <v>35</v>
      </c>
      <c r="K25" s="55">
        <f t="shared" si="0"/>
        <v>210</v>
      </c>
    </row>
    <row r="26" spans="1:11" x14ac:dyDescent="0.3">
      <c r="A26" s="12">
        <v>120089</v>
      </c>
      <c r="B26" s="12" t="s">
        <v>195</v>
      </c>
      <c r="C26" s="39" t="s">
        <v>40</v>
      </c>
      <c r="D26" s="40" t="s">
        <v>116</v>
      </c>
      <c r="E26" s="73">
        <v>35</v>
      </c>
      <c r="F26" s="74">
        <v>35</v>
      </c>
      <c r="G26" s="74">
        <v>35</v>
      </c>
      <c r="H26" s="11">
        <v>35</v>
      </c>
      <c r="I26" s="11">
        <v>35</v>
      </c>
      <c r="J26" s="11">
        <v>35</v>
      </c>
      <c r="K26" s="55">
        <f t="shared" si="0"/>
        <v>210</v>
      </c>
    </row>
    <row r="27" spans="1:11" x14ac:dyDescent="0.3">
      <c r="A27" s="12">
        <v>110102</v>
      </c>
      <c r="B27" s="12" t="s">
        <v>195</v>
      </c>
      <c r="C27" s="39" t="s">
        <v>5</v>
      </c>
      <c r="D27" s="40" t="s">
        <v>61</v>
      </c>
      <c r="E27" s="73">
        <v>35</v>
      </c>
      <c r="F27" s="74">
        <v>35</v>
      </c>
      <c r="G27" s="74">
        <v>35</v>
      </c>
      <c r="H27" s="11">
        <v>35</v>
      </c>
      <c r="I27" s="11">
        <v>35</v>
      </c>
      <c r="J27" s="11">
        <v>35</v>
      </c>
      <c r="K27" s="55">
        <f t="shared" si="0"/>
        <v>210</v>
      </c>
    </row>
    <row r="28" spans="1:11" x14ac:dyDescent="0.3">
      <c r="A28" s="12">
        <v>130018</v>
      </c>
      <c r="B28" s="12" t="s">
        <v>195</v>
      </c>
      <c r="C28" s="39" t="s">
        <v>54</v>
      </c>
      <c r="D28" s="40" t="s">
        <v>146</v>
      </c>
      <c r="E28" s="73">
        <v>35</v>
      </c>
      <c r="F28" s="74">
        <v>35</v>
      </c>
      <c r="G28" s="74">
        <v>35</v>
      </c>
      <c r="H28" s="11">
        <v>35</v>
      </c>
      <c r="I28" s="11">
        <v>35</v>
      </c>
      <c r="J28" s="11">
        <v>35</v>
      </c>
      <c r="K28" s="55">
        <f t="shared" si="0"/>
        <v>210</v>
      </c>
    </row>
    <row r="29" spans="1:11" x14ac:dyDescent="0.3">
      <c r="A29" s="3">
        <v>130019</v>
      </c>
      <c r="B29" s="12" t="s">
        <v>195</v>
      </c>
      <c r="C29" s="5" t="s">
        <v>54</v>
      </c>
      <c r="D29" s="6" t="s">
        <v>146</v>
      </c>
      <c r="E29" s="73">
        <v>35</v>
      </c>
      <c r="F29" s="74">
        <v>35</v>
      </c>
      <c r="G29" s="74">
        <v>35</v>
      </c>
      <c r="H29" s="11">
        <v>35</v>
      </c>
      <c r="I29" s="11">
        <v>35</v>
      </c>
      <c r="J29" s="11">
        <v>35</v>
      </c>
      <c r="K29" s="55">
        <f t="shared" si="0"/>
        <v>210</v>
      </c>
    </row>
    <row r="30" spans="1:11" x14ac:dyDescent="0.3">
      <c r="A30" s="3">
        <v>120203</v>
      </c>
      <c r="B30" s="12" t="s">
        <v>195</v>
      </c>
      <c r="C30" s="5" t="s">
        <v>18</v>
      </c>
      <c r="D30" s="6" t="s">
        <v>133</v>
      </c>
      <c r="E30" s="73">
        <v>35</v>
      </c>
      <c r="F30" s="74">
        <v>35</v>
      </c>
      <c r="G30" s="74">
        <v>35</v>
      </c>
      <c r="H30" s="11">
        <v>35</v>
      </c>
      <c r="I30" s="11">
        <v>35</v>
      </c>
      <c r="J30" s="11">
        <v>35</v>
      </c>
      <c r="K30" s="55">
        <f t="shared" si="0"/>
        <v>210</v>
      </c>
    </row>
    <row r="31" spans="1:11" x14ac:dyDescent="0.3">
      <c r="A31" s="3">
        <v>120204</v>
      </c>
      <c r="B31" s="12" t="s">
        <v>195</v>
      </c>
      <c r="C31" s="5" t="s">
        <v>18</v>
      </c>
      <c r="D31" s="6" t="s">
        <v>134</v>
      </c>
      <c r="E31" s="73">
        <v>35</v>
      </c>
      <c r="F31" s="74">
        <v>35</v>
      </c>
      <c r="G31" s="74">
        <v>35</v>
      </c>
      <c r="H31" s="11">
        <v>35</v>
      </c>
      <c r="I31" s="11">
        <v>35</v>
      </c>
      <c r="J31" s="11">
        <v>35</v>
      </c>
      <c r="K31" s="55">
        <f t="shared" si="0"/>
        <v>210</v>
      </c>
    </row>
    <row r="32" spans="1:11" x14ac:dyDescent="0.3">
      <c r="A32" s="15">
        <v>120034</v>
      </c>
      <c r="B32" s="12" t="s">
        <v>196</v>
      </c>
      <c r="C32" s="16" t="s">
        <v>19</v>
      </c>
      <c r="D32" s="17" t="s">
        <v>88</v>
      </c>
      <c r="E32" s="73">
        <v>35</v>
      </c>
      <c r="F32" s="74">
        <v>35</v>
      </c>
      <c r="G32" s="74">
        <v>35</v>
      </c>
      <c r="H32" s="11">
        <v>35</v>
      </c>
      <c r="I32" s="11">
        <v>35</v>
      </c>
      <c r="J32" s="11">
        <v>35</v>
      </c>
      <c r="K32" s="55">
        <f t="shared" si="0"/>
        <v>210</v>
      </c>
    </row>
    <row r="33" spans="1:11" x14ac:dyDescent="0.3">
      <c r="A33" s="3">
        <v>120088</v>
      </c>
      <c r="B33" s="41" t="s">
        <v>195</v>
      </c>
      <c r="C33" s="5" t="s">
        <v>39</v>
      </c>
      <c r="D33" s="6" t="s">
        <v>115</v>
      </c>
      <c r="E33" s="73">
        <v>35</v>
      </c>
      <c r="F33" s="74">
        <v>35</v>
      </c>
      <c r="G33" s="74">
        <v>35</v>
      </c>
      <c r="H33" s="11">
        <v>35</v>
      </c>
      <c r="I33" s="11">
        <v>35</v>
      </c>
      <c r="J33" s="11">
        <v>35</v>
      </c>
      <c r="K33" s="55">
        <f t="shared" si="0"/>
        <v>210</v>
      </c>
    </row>
    <row r="34" spans="1:11" x14ac:dyDescent="0.3">
      <c r="A34" s="12">
        <v>130104</v>
      </c>
      <c r="B34" s="12" t="s">
        <v>195</v>
      </c>
      <c r="C34" s="12" t="s">
        <v>57</v>
      </c>
      <c r="D34" s="72" t="s">
        <v>148</v>
      </c>
      <c r="E34" s="73">
        <v>35</v>
      </c>
      <c r="F34" s="74">
        <v>35</v>
      </c>
      <c r="G34" s="74">
        <v>35</v>
      </c>
      <c r="H34" s="11">
        <v>35</v>
      </c>
      <c r="I34" s="11">
        <v>35</v>
      </c>
      <c r="J34" s="11">
        <v>35</v>
      </c>
      <c r="K34" s="55">
        <f t="shared" ref="K34:K65" si="1">SUM(E34:J34)</f>
        <v>210</v>
      </c>
    </row>
    <row r="35" spans="1:11" x14ac:dyDescent="0.3">
      <c r="A35" s="12">
        <v>110117</v>
      </c>
      <c r="B35" s="12" t="s">
        <v>195</v>
      </c>
      <c r="C35" s="12" t="s">
        <v>10</v>
      </c>
      <c r="D35" s="72" t="s">
        <v>71</v>
      </c>
      <c r="E35" s="73">
        <v>35</v>
      </c>
      <c r="F35" s="74">
        <v>35</v>
      </c>
      <c r="G35" s="74">
        <v>35</v>
      </c>
      <c r="H35" s="11">
        <v>35</v>
      </c>
      <c r="I35" s="11">
        <v>35</v>
      </c>
      <c r="J35" s="11">
        <v>35</v>
      </c>
      <c r="K35" s="55">
        <f t="shared" si="1"/>
        <v>210</v>
      </c>
    </row>
    <row r="36" spans="1:11" x14ac:dyDescent="0.3">
      <c r="A36" s="12">
        <v>120209</v>
      </c>
      <c r="B36" s="12" t="s">
        <v>195</v>
      </c>
      <c r="C36" s="12" t="s">
        <v>10</v>
      </c>
      <c r="D36" s="72" t="s">
        <v>138</v>
      </c>
      <c r="E36" s="73">
        <v>35</v>
      </c>
      <c r="F36" s="74">
        <v>35</v>
      </c>
      <c r="G36" s="74">
        <v>35</v>
      </c>
      <c r="H36" s="11">
        <v>35</v>
      </c>
      <c r="I36" s="11">
        <v>35</v>
      </c>
      <c r="J36" s="11">
        <v>35</v>
      </c>
      <c r="K36" s="55">
        <f t="shared" si="1"/>
        <v>210</v>
      </c>
    </row>
    <row r="37" spans="1:11" x14ac:dyDescent="0.3">
      <c r="A37" s="12">
        <v>120210</v>
      </c>
      <c r="B37" s="12" t="s">
        <v>195</v>
      </c>
      <c r="C37" s="12" t="s">
        <v>10</v>
      </c>
      <c r="D37" s="72" t="s">
        <v>139</v>
      </c>
      <c r="E37" s="73">
        <v>35</v>
      </c>
      <c r="F37" s="74">
        <v>35</v>
      </c>
      <c r="G37" s="74">
        <v>35</v>
      </c>
      <c r="H37" s="11">
        <v>35</v>
      </c>
      <c r="I37" s="11">
        <v>35</v>
      </c>
      <c r="J37" s="11">
        <v>35</v>
      </c>
      <c r="K37" s="55">
        <f t="shared" si="1"/>
        <v>210</v>
      </c>
    </row>
    <row r="38" spans="1:11" x14ac:dyDescent="0.3">
      <c r="A38" s="12">
        <v>120205</v>
      </c>
      <c r="B38" s="12" t="s">
        <v>195</v>
      </c>
      <c r="C38" s="39" t="s">
        <v>45</v>
      </c>
      <c r="D38" s="40" t="s">
        <v>135</v>
      </c>
      <c r="E38" s="73">
        <v>35</v>
      </c>
      <c r="F38" s="74">
        <v>35</v>
      </c>
      <c r="G38" s="74">
        <v>35</v>
      </c>
      <c r="H38" s="11">
        <v>35</v>
      </c>
      <c r="I38" s="11">
        <v>35</v>
      </c>
      <c r="J38" s="11">
        <v>35</v>
      </c>
      <c r="K38" s="55">
        <f t="shared" si="1"/>
        <v>210</v>
      </c>
    </row>
    <row r="39" spans="1:11" x14ac:dyDescent="0.3">
      <c r="A39" s="12">
        <v>120037</v>
      </c>
      <c r="B39" s="12" t="s">
        <v>195</v>
      </c>
      <c r="C39" s="39" t="s">
        <v>20</v>
      </c>
      <c r="D39" s="40" t="s">
        <v>89</v>
      </c>
      <c r="E39" s="73">
        <v>35</v>
      </c>
      <c r="F39" s="74">
        <v>35</v>
      </c>
      <c r="G39" s="74">
        <v>35</v>
      </c>
      <c r="H39" s="11">
        <v>35</v>
      </c>
      <c r="I39" s="11">
        <v>35</v>
      </c>
      <c r="J39" s="11">
        <v>35</v>
      </c>
      <c r="K39" s="55">
        <f t="shared" si="1"/>
        <v>210</v>
      </c>
    </row>
    <row r="40" spans="1:11" x14ac:dyDescent="0.3">
      <c r="A40" s="12">
        <v>120038</v>
      </c>
      <c r="B40" s="12" t="s">
        <v>195</v>
      </c>
      <c r="C40" s="39" t="s">
        <v>21</v>
      </c>
      <c r="D40" s="40" t="s">
        <v>231</v>
      </c>
      <c r="E40" s="73">
        <v>35</v>
      </c>
      <c r="F40" s="74">
        <v>35</v>
      </c>
      <c r="G40" s="74">
        <v>35</v>
      </c>
      <c r="H40" s="11">
        <v>35</v>
      </c>
      <c r="I40" s="11">
        <v>35</v>
      </c>
      <c r="J40" s="11">
        <v>35</v>
      </c>
      <c r="K40" s="55">
        <f t="shared" si="1"/>
        <v>210</v>
      </c>
    </row>
    <row r="41" spans="1:11" x14ac:dyDescent="0.3">
      <c r="A41" s="12">
        <v>120040</v>
      </c>
      <c r="B41" s="12" t="s">
        <v>196</v>
      </c>
      <c r="C41" s="39" t="s">
        <v>22</v>
      </c>
      <c r="D41" s="40" t="s">
        <v>90</v>
      </c>
      <c r="E41" s="73">
        <v>35</v>
      </c>
      <c r="F41" s="74">
        <v>35</v>
      </c>
      <c r="G41" s="74">
        <v>35</v>
      </c>
      <c r="H41" s="11">
        <v>35</v>
      </c>
      <c r="I41" s="11">
        <v>35</v>
      </c>
      <c r="J41" s="11">
        <v>35</v>
      </c>
      <c r="K41" s="55">
        <f t="shared" si="1"/>
        <v>210</v>
      </c>
    </row>
    <row r="42" spans="1:11" x14ac:dyDescent="0.3">
      <c r="A42" s="12">
        <v>120054</v>
      </c>
      <c r="B42" s="12" t="s">
        <v>195</v>
      </c>
      <c r="C42" s="39" t="s">
        <v>28</v>
      </c>
      <c r="D42" s="40" t="s">
        <v>97</v>
      </c>
      <c r="E42" s="73">
        <v>35</v>
      </c>
      <c r="F42" s="74">
        <v>35</v>
      </c>
      <c r="G42" s="74">
        <v>35</v>
      </c>
      <c r="H42" s="11">
        <v>35</v>
      </c>
      <c r="I42" s="11">
        <v>35</v>
      </c>
      <c r="J42" s="11">
        <v>35</v>
      </c>
      <c r="K42" s="55">
        <f t="shared" si="1"/>
        <v>210</v>
      </c>
    </row>
    <row r="43" spans="1:11" x14ac:dyDescent="0.3">
      <c r="A43" s="12">
        <v>120046</v>
      </c>
      <c r="B43" s="12" t="s">
        <v>195</v>
      </c>
      <c r="C43" s="39" t="s">
        <v>24</v>
      </c>
      <c r="D43" s="69" t="s">
        <v>232</v>
      </c>
      <c r="E43" s="73">
        <v>35</v>
      </c>
      <c r="F43" s="74">
        <v>35</v>
      </c>
      <c r="G43" s="74">
        <v>35</v>
      </c>
      <c r="H43" s="11">
        <v>35</v>
      </c>
      <c r="I43" s="11">
        <v>35</v>
      </c>
      <c r="J43" s="11">
        <v>35</v>
      </c>
      <c r="K43" s="55">
        <f t="shared" si="1"/>
        <v>210</v>
      </c>
    </row>
    <row r="44" spans="1:11" x14ac:dyDescent="0.3">
      <c r="A44" s="12">
        <v>120048</v>
      </c>
      <c r="B44" s="12" t="s">
        <v>195</v>
      </c>
      <c r="C44" s="39" t="s">
        <v>24</v>
      </c>
      <c r="D44" s="69" t="s">
        <v>233</v>
      </c>
      <c r="E44" s="73">
        <v>35</v>
      </c>
      <c r="F44" s="74">
        <v>35</v>
      </c>
      <c r="G44" s="74">
        <v>35</v>
      </c>
      <c r="H44" s="11">
        <v>35</v>
      </c>
      <c r="I44" s="11">
        <v>35</v>
      </c>
      <c r="J44" s="11">
        <v>35</v>
      </c>
      <c r="K44" s="55">
        <f t="shared" si="1"/>
        <v>210</v>
      </c>
    </row>
    <row r="45" spans="1:11" x14ac:dyDescent="0.3">
      <c r="A45" s="12">
        <v>120049</v>
      </c>
      <c r="B45" s="12" t="s">
        <v>195</v>
      </c>
      <c r="C45" s="39" t="s">
        <v>24</v>
      </c>
      <c r="D45" s="69" t="s">
        <v>234</v>
      </c>
      <c r="E45" s="73">
        <v>35</v>
      </c>
      <c r="F45" s="74">
        <v>35</v>
      </c>
      <c r="G45" s="74">
        <v>35</v>
      </c>
      <c r="H45" s="11">
        <v>35</v>
      </c>
      <c r="I45" s="11">
        <v>35</v>
      </c>
      <c r="J45" s="11">
        <v>35</v>
      </c>
      <c r="K45" s="55">
        <f t="shared" si="1"/>
        <v>210</v>
      </c>
    </row>
    <row r="46" spans="1:11" x14ac:dyDescent="0.3">
      <c r="A46" s="12">
        <v>120091</v>
      </c>
      <c r="B46" s="12" t="s">
        <v>195</v>
      </c>
      <c r="C46" s="39" t="s">
        <v>2</v>
      </c>
      <c r="D46" s="40" t="s">
        <v>118</v>
      </c>
      <c r="E46" s="73">
        <v>35</v>
      </c>
      <c r="F46" s="74">
        <v>35</v>
      </c>
      <c r="G46" s="74">
        <v>35</v>
      </c>
      <c r="H46" s="11">
        <v>35</v>
      </c>
      <c r="I46" s="11">
        <v>35</v>
      </c>
      <c r="J46" s="11">
        <v>35</v>
      </c>
      <c r="K46" s="55">
        <f t="shared" si="1"/>
        <v>210</v>
      </c>
    </row>
    <row r="47" spans="1:11" x14ac:dyDescent="0.3">
      <c r="A47" s="12">
        <v>120092</v>
      </c>
      <c r="B47" s="12" t="s">
        <v>195</v>
      </c>
      <c r="C47" s="39" t="s">
        <v>2</v>
      </c>
      <c r="D47" s="40" t="s">
        <v>119</v>
      </c>
      <c r="E47" s="73">
        <v>35</v>
      </c>
      <c r="F47" s="74">
        <v>35</v>
      </c>
      <c r="G47" s="74">
        <v>35</v>
      </c>
      <c r="H47" s="11">
        <v>35</v>
      </c>
      <c r="I47" s="11">
        <v>35</v>
      </c>
      <c r="J47" s="11">
        <v>35</v>
      </c>
      <c r="K47" s="55">
        <f t="shared" si="1"/>
        <v>210</v>
      </c>
    </row>
    <row r="48" spans="1:11" x14ac:dyDescent="0.3">
      <c r="A48" s="12">
        <v>120093</v>
      </c>
      <c r="B48" s="12" t="s">
        <v>195</v>
      </c>
      <c r="C48" s="39" t="s">
        <v>2</v>
      </c>
      <c r="D48" s="40" t="s">
        <v>120</v>
      </c>
      <c r="E48" s="73">
        <v>35</v>
      </c>
      <c r="F48" s="74">
        <v>35</v>
      </c>
      <c r="G48" s="74">
        <v>35</v>
      </c>
      <c r="H48" s="11">
        <v>35</v>
      </c>
      <c r="I48" s="11">
        <v>35</v>
      </c>
      <c r="J48" s="11">
        <v>35</v>
      </c>
      <c r="K48" s="55">
        <f t="shared" si="1"/>
        <v>210</v>
      </c>
    </row>
    <row r="49" spans="1:11" x14ac:dyDescent="0.3">
      <c r="A49" s="12">
        <v>120094</v>
      </c>
      <c r="B49" s="12" t="s">
        <v>195</v>
      </c>
      <c r="C49" s="39" t="s">
        <v>2</v>
      </c>
      <c r="D49" s="40" t="s">
        <v>121</v>
      </c>
      <c r="E49" s="73">
        <v>35</v>
      </c>
      <c r="F49" s="74">
        <v>35</v>
      </c>
      <c r="G49" s="74">
        <v>35</v>
      </c>
      <c r="H49" s="11">
        <v>35</v>
      </c>
      <c r="I49" s="11">
        <v>35</v>
      </c>
      <c r="J49" s="11">
        <v>35</v>
      </c>
      <c r="K49" s="55">
        <f t="shared" si="1"/>
        <v>210</v>
      </c>
    </row>
    <row r="50" spans="1:11" x14ac:dyDescent="0.3">
      <c r="A50" s="12">
        <v>110121</v>
      </c>
      <c r="B50" s="12" t="s">
        <v>195</v>
      </c>
      <c r="C50" s="39" t="s">
        <v>2</v>
      </c>
      <c r="D50" s="40" t="s">
        <v>199</v>
      </c>
      <c r="E50" s="73">
        <v>35</v>
      </c>
      <c r="F50" s="74">
        <v>35</v>
      </c>
      <c r="G50" s="74">
        <v>35</v>
      </c>
      <c r="H50" s="11">
        <v>35</v>
      </c>
      <c r="I50" s="11">
        <v>35</v>
      </c>
      <c r="J50" s="11">
        <v>35</v>
      </c>
      <c r="K50" s="55">
        <f t="shared" si="1"/>
        <v>210</v>
      </c>
    </row>
    <row r="51" spans="1:11" x14ac:dyDescent="0.3">
      <c r="A51" s="12">
        <v>110006</v>
      </c>
      <c r="B51" s="12" t="s">
        <v>195</v>
      </c>
      <c r="C51" s="39" t="s">
        <v>3</v>
      </c>
      <c r="D51" s="40" t="s">
        <v>58</v>
      </c>
      <c r="E51" s="73">
        <v>35</v>
      </c>
      <c r="F51" s="74">
        <v>35</v>
      </c>
      <c r="G51" s="74">
        <v>35</v>
      </c>
      <c r="H51" s="11">
        <v>35</v>
      </c>
      <c r="I51" s="11">
        <v>35</v>
      </c>
      <c r="J51" s="11">
        <v>35</v>
      </c>
      <c r="K51" s="55">
        <f t="shared" si="1"/>
        <v>210</v>
      </c>
    </row>
    <row r="52" spans="1:11" x14ac:dyDescent="0.3">
      <c r="A52" s="12">
        <v>110007</v>
      </c>
      <c r="B52" s="12" t="s">
        <v>195</v>
      </c>
      <c r="C52" s="39" t="s">
        <v>3</v>
      </c>
      <c r="D52" s="40" t="s">
        <v>59</v>
      </c>
      <c r="E52" s="73">
        <v>35</v>
      </c>
      <c r="F52" s="74">
        <v>35</v>
      </c>
      <c r="G52" s="74">
        <v>35</v>
      </c>
      <c r="H52" s="11">
        <v>35</v>
      </c>
      <c r="I52" s="11">
        <v>35</v>
      </c>
      <c r="J52" s="11">
        <v>35</v>
      </c>
      <c r="K52" s="55">
        <f t="shared" si="1"/>
        <v>210</v>
      </c>
    </row>
    <row r="53" spans="1:11" x14ac:dyDescent="0.3">
      <c r="A53" s="12">
        <v>120207</v>
      </c>
      <c r="B53" s="12" t="s">
        <v>195</v>
      </c>
      <c r="C53" s="39" t="s">
        <v>47</v>
      </c>
      <c r="D53" s="40" t="s">
        <v>137</v>
      </c>
      <c r="E53" s="73">
        <v>35</v>
      </c>
      <c r="F53" s="74">
        <v>35</v>
      </c>
      <c r="G53" s="74">
        <v>35</v>
      </c>
      <c r="H53" s="11">
        <v>35</v>
      </c>
      <c r="I53" s="11">
        <v>35</v>
      </c>
      <c r="J53" s="11">
        <v>35</v>
      </c>
      <c r="K53" s="55">
        <f t="shared" si="1"/>
        <v>210</v>
      </c>
    </row>
    <row r="54" spans="1:11" x14ac:dyDescent="0.3">
      <c r="A54" s="12">
        <v>110108</v>
      </c>
      <c r="B54" s="12" t="s">
        <v>195</v>
      </c>
      <c r="C54" s="39" t="s">
        <v>7</v>
      </c>
      <c r="D54" s="40" t="s">
        <v>67</v>
      </c>
      <c r="E54" s="73">
        <v>35</v>
      </c>
      <c r="F54" s="74">
        <v>35</v>
      </c>
      <c r="G54" s="74">
        <v>35</v>
      </c>
      <c r="H54" s="11">
        <v>35</v>
      </c>
      <c r="I54" s="11">
        <v>35</v>
      </c>
      <c r="J54" s="11">
        <v>35</v>
      </c>
      <c r="K54" s="55">
        <f t="shared" si="1"/>
        <v>210</v>
      </c>
    </row>
    <row r="55" spans="1:11" x14ac:dyDescent="0.3">
      <c r="A55" s="12">
        <v>110103</v>
      </c>
      <c r="B55" s="12" t="s">
        <v>195</v>
      </c>
      <c r="C55" s="39" t="s">
        <v>6</v>
      </c>
      <c r="D55" s="40" t="s">
        <v>62</v>
      </c>
      <c r="E55" s="73">
        <v>35</v>
      </c>
      <c r="F55" s="74">
        <v>35</v>
      </c>
      <c r="G55" s="74">
        <v>35</v>
      </c>
      <c r="H55" s="11">
        <v>35</v>
      </c>
      <c r="I55" s="11">
        <v>35</v>
      </c>
      <c r="J55" s="11">
        <v>35</v>
      </c>
      <c r="K55" s="55">
        <f t="shared" si="1"/>
        <v>210</v>
      </c>
    </row>
    <row r="56" spans="1:11" x14ac:dyDescent="0.3">
      <c r="A56" s="12">
        <v>110104</v>
      </c>
      <c r="B56" s="12" t="s">
        <v>195</v>
      </c>
      <c r="C56" s="39" t="s">
        <v>6</v>
      </c>
      <c r="D56" s="40" t="s">
        <v>63</v>
      </c>
      <c r="E56" s="73">
        <v>35</v>
      </c>
      <c r="F56" s="74">
        <v>35</v>
      </c>
      <c r="G56" s="74">
        <v>35</v>
      </c>
      <c r="H56" s="11">
        <v>35</v>
      </c>
      <c r="I56" s="11">
        <v>35</v>
      </c>
      <c r="J56" s="11">
        <v>35</v>
      </c>
      <c r="K56" s="55">
        <f t="shared" si="1"/>
        <v>210</v>
      </c>
    </row>
    <row r="57" spans="1:11" x14ac:dyDescent="0.3">
      <c r="A57" s="12">
        <v>110105</v>
      </c>
      <c r="B57" s="12" t="s">
        <v>195</v>
      </c>
      <c r="C57" s="39" t="s">
        <v>6</v>
      </c>
      <c r="D57" s="40" t="s">
        <v>64</v>
      </c>
      <c r="E57" s="73">
        <v>35</v>
      </c>
      <c r="F57" s="74">
        <v>35</v>
      </c>
      <c r="G57" s="74">
        <v>35</v>
      </c>
      <c r="H57" s="11">
        <v>35</v>
      </c>
      <c r="I57" s="11">
        <v>35</v>
      </c>
      <c r="J57" s="11">
        <v>35</v>
      </c>
      <c r="K57" s="55">
        <f t="shared" si="1"/>
        <v>210</v>
      </c>
    </row>
    <row r="58" spans="1:11" x14ac:dyDescent="0.3">
      <c r="A58" s="12">
        <v>110106</v>
      </c>
      <c r="B58" s="12" t="s">
        <v>195</v>
      </c>
      <c r="C58" s="39" t="s">
        <v>6</v>
      </c>
      <c r="D58" s="40" t="s">
        <v>65</v>
      </c>
      <c r="E58" s="73">
        <v>35</v>
      </c>
      <c r="F58" s="74">
        <v>35</v>
      </c>
      <c r="G58" s="74">
        <v>35</v>
      </c>
      <c r="H58" s="11">
        <v>35</v>
      </c>
      <c r="I58" s="11">
        <v>35</v>
      </c>
      <c r="J58" s="11">
        <v>35</v>
      </c>
      <c r="K58" s="55">
        <f t="shared" si="1"/>
        <v>210</v>
      </c>
    </row>
    <row r="59" spans="1:11" x14ac:dyDescent="0.3">
      <c r="A59" s="12">
        <v>110107</v>
      </c>
      <c r="B59" s="12" t="s">
        <v>195</v>
      </c>
      <c r="C59" s="39" t="s">
        <v>6</v>
      </c>
      <c r="D59" s="40" t="s">
        <v>66</v>
      </c>
      <c r="E59" s="73">
        <v>35</v>
      </c>
      <c r="F59" s="74">
        <v>35</v>
      </c>
      <c r="G59" s="74">
        <v>35</v>
      </c>
      <c r="H59" s="11">
        <v>35</v>
      </c>
      <c r="I59" s="11">
        <v>35</v>
      </c>
      <c r="J59" s="11">
        <v>35</v>
      </c>
      <c r="K59" s="55">
        <f t="shared" si="1"/>
        <v>210</v>
      </c>
    </row>
    <row r="60" spans="1:11" x14ac:dyDescent="0.3">
      <c r="A60" s="12">
        <v>120056</v>
      </c>
      <c r="B60" s="12" t="s">
        <v>195</v>
      </c>
      <c r="C60" s="39" t="s">
        <v>29</v>
      </c>
      <c r="D60" s="40" t="s">
        <v>98</v>
      </c>
      <c r="E60" s="37">
        <v>35</v>
      </c>
      <c r="F60" s="74">
        <v>35</v>
      </c>
      <c r="G60" s="74">
        <v>35</v>
      </c>
      <c r="H60" s="11">
        <v>35</v>
      </c>
      <c r="I60" s="11">
        <v>35</v>
      </c>
      <c r="J60" s="11">
        <v>35</v>
      </c>
      <c r="K60" s="55">
        <f t="shared" si="1"/>
        <v>210</v>
      </c>
    </row>
    <row r="61" spans="1:11" x14ac:dyDescent="0.3">
      <c r="A61" s="12">
        <v>120058</v>
      </c>
      <c r="B61" s="12" t="s">
        <v>195</v>
      </c>
      <c r="C61" s="39" t="s">
        <v>29</v>
      </c>
      <c r="D61" s="40" t="s">
        <v>100</v>
      </c>
      <c r="E61" s="37">
        <v>35</v>
      </c>
      <c r="F61" s="74">
        <v>35</v>
      </c>
      <c r="G61" s="74">
        <v>35</v>
      </c>
      <c r="H61" s="11">
        <v>35</v>
      </c>
      <c r="I61" s="11">
        <v>35</v>
      </c>
      <c r="J61" s="11">
        <v>35</v>
      </c>
      <c r="K61" s="55">
        <f t="shared" si="1"/>
        <v>210</v>
      </c>
    </row>
    <row r="62" spans="1:11" x14ac:dyDescent="0.3">
      <c r="A62" s="12">
        <v>120080</v>
      </c>
      <c r="B62" s="12" t="s">
        <v>195</v>
      </c>
      <c r="C62" s="39" t="s">
        <v>38</v>
      </c>
      <c r="D62" s="40" t="s">
        <v>107</v>
      </c>
      <c r="E62" s="73">
        <v>35</v>
      </c>
      <c r="F62" s="74">
        <v>35</v>
      </c>
      <c r="G62" s="74">
        <v>35</v>
      </c>
      <c r="H62" s="11">
        <v>35</v>
      </c>
      <c r="I62" s="11">
        <v>35</v>
      </c>
      <c r="J62" s="11">
        <v>35</v>
      </c>
      <c r="K62" s="55">
        <f t="shared" si="1"/>
        <v>210</v>
      </c>
    </row>
    <row r="63" spans="1:11" x14ac:dyDescent="0.3">
      <c r="A63" s="12">
        <v>120081</v>
      </c>
      <c r="B63" s="12" t="s">
        <v>195</v>
      </c>
      <c r="C63" s="39" t="s">
        <v>38</v>
      </c>
      <c r="D63" s="40" t="s">
        <v>108</v>
      </c>
      <c r="E63" s="73">
        <v>35</v>
      </c>
      <c r="F63" s="74">
        <v>35</v>
      </c>
      <c r="G63" s="74">
        <v>35</v>
      </c>
      <c r="H63" s="11">
        <v>35</v>
      </c>
      <c r="I63" s="11">
        <v>35</v>
      </c>
      <c r="J63" s="11">
        <v>35</v>
      </c>
      <c r="K63" s="55">
        <f t="shared" si="1"/>
        <v>210</v>
      </c>
    </row>
    <row r="64" spans="1:11" x14ac:dyDescent="0.3">
      <c r="A64" s="12">
        <v>120082</v>
      </c>
      <c r="B64" s="12" t="s">
        <v>195</v>
      </c>
      <c r="C64" s="39" t="s">
        <v>38</v>
      </c>
      <c r="D64" s="40" t="s">
        <v>109</v>
      </c>
      <c r="E64" s="73">
        <v>35</v>
      </c>
      <c r="F64" s="74">
        <v>35</v>
      </c>
      <c r="G64" s="74">
        <v>35</v>
      </c>
      <c r="H64" s="11">
        <v>35</v>
      </c>
      <c r="I64" s="11">
        <v>35</v>
      </c>
      <c r="J64" s="11">
        <v>35</v>
      </c>
      <c r="K64" s="55">
        <f t="shared" si="1"/>
        <v>210</v>
      </c>
    </row>
    <row r="65" spans="1:11" x14ac:dyDescent="0.3">
      <c r="A65" s="12">
        <v>120083</v>
      </c>
      <c r="B65" s="12" t="s">
        <v>195</v>
      </c>
      <c r="C65" s="39" t="s">
        <v>38</v>
      </c>
      <c r="D65" s="40" t="s">
        <v>110</v>
      </c>
      <c r="E65" s="73">
        <v>35</v>
      </c>
      <c r="F65" s="74">
        <v>35</v>
      </c>
      <c r="G65" s="74">
        <v>35</v>
      </c>
      <c r="H65" s="11">
        <v>35</v>
      </c>
      <c r="I65" s="11">
        <v>35</v>
      </c>
      <c r="J65" s="11">
        <v>35</v>
      </c>
      <c r="K65" s="55">
        <f t="shared" si="1"/>
        <v>210</v>
      </c>
    </row>
    <row r="66" spans="1:11" x14ac:dyDescent="0.3">
      <c r="A66" s="12">
        <v>120084</v>
      </c>
      <c r="B66" s="12" t="s">
        <v>195</v>
      </c>
      <c r="C66" s="39" t="s">
        <v>38</v>
      </c>
      <c r="D66" s="40" t="s">
        <v>111</v>
      </c>
      <c r="E66" s="73">
        <v>35</v>
      </c>
      <c r="F66" s="74">
        <v>35</v>
      </c>
      <c r="G66" s="74">
        <v>35</v>
      </c>
      <c r="H66" s="11">
        <v>35</v>
      </c>
      <c r="I66" s="11">
        <v>35</v>
      </c>
      <c r="J66" s="11">
        <v>35</v>
      </c>
      <c r="K66" s="55">
        <f t="shared" ref="K66:K97" si="2">SUM(E66:J66)</f>
        <v>210</v>
      </c>
    </row>
    <row r="67" spans="1:11" x14ac:dyDescent="0.3">
      <c r="A67" s="12">
        <v>120085</v>
      </c>
      <c r="B67" s="12" t="s">
        <v>195</v>
      </c>
      <c r="C67" s="39" t="s">
        <v>38</v>
      </c>
      <c r="D67" s="40" t="s">
        <v>112</v>
      </c>
      <c r="E67" s="73">
        <v>35</v>
      </c>
      <c r="F67" s="74">
        <v>35</v>
      </c>
      <c r="G67" s="74">
        <v>35</v>
      </c>
      <c r="H67" s="11">
        <v>35</v>
      </c>
      <c r="I67" s="11">
        <v>35</v>
      </c>
      <c r="J67" s="11">
        <v>35</v>
      </c>
      <c r="K67" s="55">
        <f t="shared" si="2"/>
        <v>210</v>
      </c>
    </row>
    <row r="68" spans="1:11" x14ac:dyDescent="0.3">
      <c r="A68" s="12">
        <v>120086</v>
      </c>
      <c r="B68" s="12" t="s">
        <v>195</v>
      </c>
      <c r="C68" s="39" t="s">
        <v>38</v>
      </c>
      <c r="D68" s="40" t="s">
        <v>113</v>
      </c>
      <c r="E68" s="73">
        <v>35</v>
      </c>
      <c r="F68" s="74">
        <v>35</v>
      </c>
      <c r="G68" s="74">
        <v>35</v>
      </c>
      <c r="H68" s="11">
        <v>35</v>
      </c>
      <c r="I68" s="11">
        <v>35</v>
      </c>
      <c r="J68" s="11">
        <v>35</v>
      </c>
      <c r="K68" s="55">
        <f t="shared" si="2"/>
        <v>210</v>
      </c>
    </row>
    <row r="69" spans="1:11" x14ac:dyDescent="0.3">
      <c r="A69" s="12">
        <v>120087</v>
      </c>
      <c r="B69" s="12" t="s">
        <v>195</v>
      </c>
      <c r="C69" s="39" t="s">
        <v>38</v>
      </c>
      <c r="D69" s="40" t="s">
        <v>114</v>
      </c>
      <c r="E69" s="73">
        <v>35</v>
      </c>
      <c r="F69" s="74">
        <v>35</v>
      </c>
      <c r="G69" s="74">
        <v>35</v>
      </c>
      <c r="H69" s="11">
        <v>35</v>
      </c>
      <c r="I69" s="11">
        <v>35</v>
      </c>
      <c r="J69" s="11">
        <v>35</v>
      </c>
      <c r="K69" s="55">
        <f t="shared" si="2"/>
        <v>210</v>
      </c>
    </row>
    <row r="70" spans="1:11" x14ac:dyDescent="0.3">
      <c r="A70" s="12">
        <v>120072</v>
      </c>
      <c r="B70" s="12" t="s">
        <v>195</v>
      </c>
      <c r="C70" s="39" t="s">
        <v>37</v>
      </c>
      <c r="D70" s="40" t="s">
        <v>106</v>
      </c>
      <c r="E70" s="73">
        <v>35</v>
      </c>
      <c r="F70" s="74">
        <v>35</v>
      </c>
      <c r="G70" s="74">
        <v>35</v>
      </c>
      <c r="H70" s="11">
        <v>35</v>
      </c>
      <c r="I70" s="11">
        <v>35</v>
      </c>
      <c r="J70" s="11">
        <v>35</v>
      </c>
      <c r="K70" s="55">
        <f t="shared" si="2"/>
        <v>210</v>
      </c>
    </row>
    <row r="71" spans="1:11" x14ac:dyDescent="0.3">
      <c r="A71" s="12">
        <v>120073</v>
      </c>
      <c r="B71" s="12" t="s">
        <v>195</v>
      </c>
      <c r="C71" s="39" t="s">
        <v>37</v>
      </c>
      <c r="D71" s="40" t="s">
        <v>106</v>
      </c>
      <c r="E71" s="73">
        <v>35</v>
      </c>
      <c r="F71" s="74">
        <v>35</v>
      </c>
      <c r="G71" s="74">
        <v>35</v>
      </c>
      <c r="H71" s="11">
        <v>35</v>
      </c>
      <c r="I71" s="11">
        <v>35</v>
      </c>
      <c r="J71" s="11">
        <v>35</v>
      </c>
      <c r="K71" s="55">
        <f t="shared" si="2"/>
        <v>210</v>
      </c>
    </row>
    <row r="72" spans="1:11" x14ac:dyDescent="0.3">
      <c r="A72" s="12">
        <v>120074</v>
      </c>
      <c r="B72" s="12" t="s">
        <v>195</v>
      </c>
      <c r="C72" s="39" t="s">
        <v>37</v>
      </c>
      <c r="D72" s="40" t="s">
        <v>106</v>
      </c>
      <c r="E72" s="73">
        <v>35</v>
      </c>
      <c r="F72" s="74">
        <v>35</v>
      </c>
      <c r="G72" s="74">
        <v>35</v>
      </c>
      <c r="H72" s="11">
        <v>35</v>
      </c>
      <c r="I72" s="11">
        <v>35</v>
      </c>
      <c r="J72" s="11">
        <v>35</v>
      </c>
      <c r="K72" s="55">
        <f t="shared" si="2"/>
        <v>210</v>
      </c>
    </row>
    <row r="73" spans="1:11" x14ac:dyDescent="0.3">
      <c r="A73" s="12">
        <v>120075</v>
      </c>
      <c r="B73" s="12" t="s">
        <v>195</v>
      </c>
      <c r="C73" s="39" t="s">
        <v>37</v>
      </c>
      <c r="D73" s="40" t="s">
        <v>106</v>
      </c>
      <c r="E73" s="73">
        <v>35</v>
      </c>
      <c r="F73" s="74">
        <v>35</v>
      </c>
      <c r="G73" s="74">
        <v>35</v>
      </c>
      <c r="H73" s="11">
        <v>35</v>
      </c>
      <c r="I73" s="11">
        <v>35</v>
      </c>
      <c r="J73" s="11">
        <v>35</v>
      </c>
      <c r="K73" s="55">
        <f t="shared" si="2"/>
        <v>210</v>
      </c>
    </row>
    <row r="74" spans="1:11" x14ac:dyDescent="0.3">
      <c r="A74" s="12">
        <v>120076</v>
      </c>
      <c r="B74" s="12" t="s">
        <v>195</v>
      </c>
      <c r="C74" s="39" t="s">
        <v>37</v>
      </c>
      <c r="D74" s="40" t="s">
        <v>106</v>
      </c>
      <c r="E74" s="73">
        <v>35</v>
      </c>
      <c r="F74" s="74">
        <v>35</v>
      </c>
      <c r="G74" s="74">
        <v>35</v>
      </c>
      <c r="H74" s="11">
        <v>35</v>
      </c>
      <c r="I74" s="11">
        <v>35</v>
      </c>
      <c r="J74" s="11">
        <v>35</v>
      </c>
      <c r="K74" s="55">
        <f t="shared" si="2"/>
        <v>210</v>
      </c>
    </row>
    <row r="75" spans="1:11" x14ac:dyDescent="0.3">
      <c r="A75" s="12">
        <v>120077</v>
      </c>
      <c r="B75" s="12" t="s">
        <v>195</v>
      </c>
      <c r="C75" s="39" t="s">
        <v>37</v>
      </c>
      <c r="D75" s="40" t="s">
        <v>106</v>
      </c>
      <c r="E75" s="73">
        <v>35</v>
      </c>
      <c r="F75" s="74">
        <v>35</v>
      </c>
      <c r="G75" s="74">
        <v>35</v>
      </c>
      <c r="H75" s="11">
        <v>35</v>
      </c>
      <c r="I75" s="11">
        <v>35</v>
      </c>
      <c r="J75" s="11">
        <v>35</v>
      </c>
      <c r="K75" s="55">
        <f t="shared" si="2"/>
        <v>210</v>
      </c>
    </row>
    <row r="76" spans="1:11" x14ac:dyDescent="0.3">
      <c r="A76" s="12">
        <v>120097</v>
      </c>
      <c r="B76" s="12" t="s">
        <v>195</v>
      </c>
      <c r="C76" s="39" t="s">
        <v>41</v>
      </c>
      <c r="D76" s="40" t="s">
        <v>122</v>
      </c>
      <c r="E76" s="73">
        <v>35</v>
      </c>
      <c r="F76" s="74">
        <v>35</v>
      </c>
      <c r="G76" s="74">
        <v>35</v>
      </c>
      <c r="H76" s="11">
        <v>35</v>
      </c>
      <c r="I76" s="11">
        <v>35</v>
      </c>
      <c r="J76" s="11">
        <v>35</v>
      </c>
      <c r="K76" s="55">
        <f t="shared" si="2"/>
        <v>210</v>
      </c>
    </row>
    <row r="77" spans="1:11" x14ac:dyDescent="0.3">
      <c r="A77" s="12">
        <v>120098</v>
      </c>
      <c r="B77" s="12" t="s">
        <v>195</v>
      </c>
      <c r="C77" s="39" t="s">
        <v>41</v>
      </c>
      <c r="D77" s="40" t="s">
        <v>123</v>
      </c>
      <c r="E77" s="73">
        <v>35</v>
      </c>
      <c r="F77" s="74">
        <v>35</v>
      </c>
      <c r="G77" s="74">
        <v>35</v>
      </c>
      <c r="H77" s="11">
        <v>35</v>
      </c>
      <c r="I77" s="11">
        <v>35</v>
      </c>
      <c r="J77" s="11">
        <v>35</v>
      </c>
      <c r="K77" s="55">
        <f t="shared" si="2"/>
        <v>210</v>
      </c>
    </row>
    <row r="78" spans="1:11" x14ac:dyDescent="0.3">
      <c r="A78" s="12">
        <v>120057</v>
      </c>
      <c r="B78" s="12" t="s">
        <v>196</v>
      </c>
      <c r="C78" s="39" t="s">
        <v>30</v>
      </c>
      <c r="D78" s="40" t="s">
        <v>99</v>
      </c>
      <c r="E78" s="73">
        <v>35</v>
      </c>
      <c r="F78" s="74">
        <v>35</v>
      </c>
      <c r="G78" s="74">
        <v>35</v>
      </c>
      <c r="H78" s="74">
        <v>35</v>
      </c>
      <c r="I78" s="11">
        <v>35</v>
      </c>
      <c r="J78" s="11">
        <v>35</v>
      </c>
      <c r="K78" s="55">
        <f t="shared" si="2"/>
        <v>210</v>
      </c>
    </row>
    <row r="79" spans="1:11" x14ac:dyDescent="0.3">
      <c r="A79" s="12">
        <v>120059</v>
      </c>
      <c r="B79" s="12" t="s">
        <v>196</v>
      </c>
      <c r="C79" s="39" t="s">
        <v>30</v>
      </c>
      <c r="D79" s="40" t="s">
        <v>101</v>
      </c>
      <c r="E79" s="73">
        <v>35</v>
      </c>
      <c r="F79" s="74">
        <v>35</v>
      </c>
      <c r="G79" s="74">
        <v>35</v>
      </c>
      <c r="H79" s="74">
        <v>35</v>
      </c>
      <c r="I79" s="11">
        <v>35</v>
      </c>
      <c r="J79" s="11">
        <v>35</v>
      </c>
      <c r="K79" s="55">
        <f t="shared" si="2"/>
        <v>210</v>
      </c>
    </row>
    <row r="80" spans="1:11" x14ac:dyDescent="0.3">
      <c r="A80" s="12">
        <v>120062</v>
      </c>
      <c r="B80" s="12" t="s">
        <v>196</v>
      </c>
      <c r="C80" s="39" t="s">
        <v>33</v>
      </c>
      <c r="D80" s="40" t="s">
        <v>103</v>
      </c>
      <c r="E80" s="73">
        <v>35</v>
      </c>
      <c r="F80" s="74">
        <v>35</v>
      </c>
      <c r="G80" s="74">
        <v>35</v>
      </c>
      <c r="H80" s="74">
        <v>35</v>
      </c>
      <c r="I80" s="11">
        <v>35</v>
      </c>
      <c r="J80" s="11">
        <v>35</v>
      </c>
      <c r="K80" s="55">
        <f t="shared" si="2"/>
        <v>210</v>
      </c>
    </row>
    <row r="81" spans="1:11" x14ac:dyDescent="0.3">
      <c r="A81" s="12">
        <v>120063</v>
      </c>
      <c r="B81" s="12" t="s">
        <v>196</v>
      </c>
      <c r="C81" s="39" t="s">
        <v>34</v>
      </c>
      <c r="D81" s="40" t="s">
        <v>104</v>
      </c>
      <c r="E81" s="73">
        <v>35</v>
      </c>
      <c r="F81" s="74">
        <v>35</v>
      </c>
      <c r="G81" s="74">
        <v>35</v>
      </c>
      <c r="H81" s="11">
        <v>35</v>
      </c>
      <c r="I81" s="11">
        <v>35</v>
      </c>
      <c r="J81" s="11">
        <v>35</v>
      </c>
      <c r="K81" s="55">
        <f t="shared" si="2"/>
        <v>210</v>
      </c>
    </row>
    <row r="82" spans="1:11" x14ac:dyDescent="0.3">
      <c r="A82" s="12">
        <v>120108</v>
      </c>
      <c r="B82" s="12" t="s">
        <v>195</v>
      </c>
      <c r="C82" s="39" t="s">
        <v>34</v>
      </c>
      <c r="D82" s="40" t="s">
        <v>131</v>
      </c>
      <c r="E82" s="73">
        <v>35</v>
      </c>
      <c r="F82" s="74">
        <v>35</v>
      </c>
      <c r="G82" s="74">
        <v>35</v>
      </c>
      <c r="H82" s="11">
        <v>35</v>
      </c>
      <c r="I82" s="11">
        <v>35</v>
      </c>
      <c r="J82" s="11">
        <v>35</v>
      </c>
      <c r="K82" s="55">
        <f t="shared" si="2"/>
        <v>210</v>
      </c>
    </row>
    <row r="83" spans="1:11" x14ac:dyDescent="0.3">
      <c r="A83" s="12">
        <v>120041</v>
      </c>
      <c r="B83" s="12" t="s">
        <v>196</v>
      </c>
      <c r="C83" s="39" t="s">
        <v>23</v>
      </c>
      <c r="D83" s="40" t="s">
        <v>91</v>
      </c>
      <c r="E83" s="73">
        <v>35</v>
      </c>
      <c r="F83" s="74">
        <v>35</v>
      </c>
      <c r="G83" s="74">
        <v>35</v>
      </c>
      <c r="H83" s="11">
        <v>35</v>
      </c>
      <c r="I83" s="11">
        <v>35</v>
      </c>
      <c r="J83" s="11">
        <v>35</v>
      </c>
      <c r="K83" s="55">
        <f t="shared" si="2"/>
        <v>210</v>
      </c>
    </row>
    <row r="84" spans="1:11" x14ac:dyDescent="0.3">
      <c r="A84" s="12">
        <v>120042</v>
      </c>
      <c r="B84" s="12" t="s">
        <v>196</v>
      </c>
      <c r="C84" s="39" t="s">
        <v>23</v>
      </c>
      <c r="D84" s="40" t="s">
        <v>92</v>
      </c>
      <c r="E84" s="73">
        <v>35</v>
      </c>
      <c r="F84" s="74">
        <v>35</v>
      </c>
      <c r="G84" s="74">
        <v>35</v>
      </c>
      <c r="H84" s="11">
        <v>35</v>
      </c>
      <c r="I84" s="11">
        <v>35</v>
      </c>
      <c r="J84" s="11">
        <v>35</v>
      </c>
      <c r="K84" s="55">
        <f t="shared" si="2"/>
        <v>210</v>
      </c>
    </row>
    <row r="85" spans="1:11" x14ac:dyDescent="0.3">
      <c r="A85" s="12">
        <v>120060</v>
      </c>
      <c r="B85" s="12" t="s">
        <v>195</v>
      </c>
      <c r="C85" s="39" t="s">
        <v>31</v>
      </c>
      <c r="D85" s="40" t="s">
        <v>88</v>
      </c>
      <c r="E85" s="73">
        <v>35</v>
      </c>
      <c r="F85" s="74">
        <v>35</v>
      </c>
      <c r="G85" s="74">
        <v>35</v>
      </c>
      <c r="H85" s="11">
        <v>35</v>
      </c>
      <c r="I85" s="11">
        <v>35</v>
      </c>
      <c r="J85" s="11">
        <v>35</v>
      </c>
      <c r="K85" s="55">
        <f t="shared" si="2"/>
        <v>210</v>
      </c>
    </row>
    <row r="86" spans="1:11" x14ac:dyDescent="0.3">
      <c r="A86" s="12">
        <v>120099</v>
      </c>
      <c r="B86" s="12" t="s">
        <v>195</v>
      </c>
      <c r="C86" s="39" t="s">
        <v>36</v>
      </c>
      <c r="D86" s="40" t="s">
        <v>124</v>
      </c>
      <c r="E86" s="73">
        <v>35</v>
      </c>
      <c r="F86" s="74">
        <v>35</v>
      </c>
      <c r="G86" s="74">
        <v>35</v>
      </c>
      <c r="H86" s="11">
        <v>35</v>
      </c>
      <c r="I86" s="11">
        <v>35</v>
      </c>
      <c r="J86" s="11">
        <v>35</v>
      </c>
      <c r="K86" s="55">
        <f t="shared" si="2"/>
        <v>210</v>
      </c>
    </row>
    <row r="87" spans="1:11" x14ac:dyDescent="0.3">
      <c r="A87" s="12">
        <v>130101</v>
      </c>
      <c r="B87" s="12" t="s">
        <v>195</v>
      </c>
      <c r="C87" s="39" t="s">
        <v>55</v>
      </c>
      <c r="D87" s="40" t="s">
        <v>147</v>
      </c>
      <c r="E87" s="73">
        <v>35</v>
      </c>
      <c r="F87" s="74">
        <v>35</v>
      </c>
      <c r="G87" s="74">
        <v>35</v>
      </c>
      <c r="H87" s="11">
        <v>35</v>
      </c>
      <c r="I87" s="11">
        <v>35</v>
      </c>
      <c r="J87" s="11">
        <v>35</v>
      </c>
      <c r="K87" s="55">
        <f t="shared" si="2"/>
        <v>210</v>
      </c>
    </row>
    <row r="88" spans="1:11" x14ac:dyDescent="0.3">
      <c r="A88" s="3">
        <v>110101</v>
      </c>
      <c r="B88" s="12" t="s">
        <v>195</v>
      </c>
      <c r="C88" s="39" t="s">
        <v>4</v>
      </c>
      <c r="D88" s="40" t="s">
        <v>60</v>
      </c>
      <c r="E88" s="73">
        <v>35</v>
      </c>
      <c r="F88" s="74">
        <v>35</v>
      </c>
      <c r="G88" s="74">
        <v>35</v>
      </c>
      <c r="H88" s="11">
        <v>35</v>
      </c>
      <c r="I88" s="11">
        <v>35</v>
      </c>
      <c r="J88" s="11">
        <v>35</v>
      </c>
      <c r="K88" s="55">
        <f t="shared" si="2"/>
        <v>210</v>
      </c>
    </row>
    <row r="89" spans="1:11" x14ac:dyDescent="0.3">
      <c r="A89" s="3">
        <v>120208</v>
      </c>
      <c r="B89" s="12" t="s">
        <v>195</v>
      </c>
      <c r="C89" s="39" t="s">
        <v>48</v>
      </c>
      <c r="D89" s="40" t="s">
        <v>136</v>
      </c>
      <c r="E89" s="73">
        <v>35</v>
      </c>
      <c r="F89" s="74">
        <v>35</v>
      </c>
      <c r="G89" s="74">
        <v>35</v>
      </c>
      <c r="H89" s="11">
        <v>35</v>
      </c>
      <c r="I89" s="11">
        <v>35</v>
      </c>
      <c r="J89" s="11">
        <v>35</v>
      </c>
      <c r="K89" s="55">
        <f t="shared" si="2"/>
        <v>210</v>
      </c>
    </row>
    <row r="90" spans="1:11" x14ac:dyDescent="0.3">
      <c r="A90" s="3">
        <v>120206</v>
      </c>
      <c r="B90" s="12" t="s">
        <v>195</v>
      </c>
      <c r="C90" s="39" t="s">
        <v>46</v>
      </c>
      <c r="D90" s="40" t="s">
        <v>136</v>
      </c>
      <c r="E90" s="73">
        <v>35</v>
      </c>
      <c r="F90" s="74">
        <v>35</v>
      </c>
      <c r="G90" s="74">
        <v>35</v>
      </c>
      <c r="H90" s="11">
        <v>35</v>
      </c>
      <c r="I90" s="11">
        <v>35</v>
      </c>
      <c r="J90" s="11">
        <v>35</v>
      </c>
      <c r="K90" s="55">
        <f t="shared" si="2"/>
        <v>210</v>
      </c>
    </row>
    <row r="91" spans="1:11" x14ac:dyDescent="0.3">
      <c r="A91" s="3">
        <v>120064</v>
      </c>
      <c r="B91" s="12" t="s">
        <v>196</v>
      </c>
      <c r="C91" s="39" t="s">
        <v>35</v>
      </c>
      <c r="D91" s="40" t="s">
        <v>105</v>
      </c>
      <c r="E91" s="73">
        <v>35</v>
      </c>
      <c r="F91" s="74">
        <v>35</v>
      </c>
      <c r="G91" s="74">
        <v>35</v>
      </c>
      <c r="H91" s="11">
        <v>35</v>
      </c>
      <c r="I91" s="11">
        <v>35</v>
      </c>
      <c r="J91" s="11">
        <v>35</v>
      </c>
      <c r="K91" s="55">
        <f t="shared" si="2"/>
        <v>210</v>
      </c>
    </row>
    <row r="92" spans="1:11" x14ac:dyDescent="0.3">
      <c r="A92" s="3">
        <v>120102</v>
      </c>
      <c r="B92" s="12" t="s">
        <v>195</v>
      </c>
      <c r="C92" s="39" t="s">
        <v>42</v>
      </c>
      <c r="D92" s="40" t="s">
        <v>125</v>
      </c>
      <c r="E92" s="73">
        <v>35</v>
      </c>
      <c r="F92" s="74">
        <v>35</v>
      </c>
      <c r="G92" s="74">
        <v>35</v>
      </c>
      <c r="H92" s="11">
        <v>35</v>
      </c>
      <c r="I92" s="11">
        <v>35</v>
      </c>
      <c r="J92" s="11">
        <v>35</v>
      </c>
      <c r="K92" s="55">
        <f t="shared" si="2"/>
        <v>210</v>
      </c>
    </row>
    <row r="93" spans="1:11" x14ac:dyDescent="0.3">
      <c r="A93" s="3">
        <v>120103</v>
      </c>
      <c r="B93" s="12" t="s">
        <v>195</v>
      </c>
      <c r="C93" s="39" t="s">
        <v>42</v>
      </c>
      <c r="D93" s="40" t="s">
        <v>126</v>
      </c>
      <c r="E93" s="73">
        <v>35</v>
      </c>
      <c r="F93" s="74">
        <v>35</v>
      </c>
      <c r="G93" s="74">
        <v>35</v>
      </c>
      <c r="H93" s="11">
        <v>35</v>
      </c>
      <c r="I93" s="11">
        <v>35</v>
      </c>
      <c r="J93" s="11">
        <v>35</v>
      </c>
      <c r="K93" s="55">
        <f t="shared" si="2"/>
        <v>210</v>
      </c>
    </row>
    <row r="94" spans="1:11" x14ac:dyDescent="0.3">
      <c r="A94" s="3">
        <v>110122</v>
      </c>
      <c r="B94" s="12" t="s">
        <v>195</v>
      </c>
      <c r="C94" s="39" t="s">
        <v>197</v>
      </c>
      <c r="D94" s="6" t="s">
        <v>198</v>
      </c>
      <c r="E94" s="73">
        <v>35</v>
      </c>
      <c r="F94" s="74">
        <v>35</v>
      </c>
      <c r="G94" s="74">
        <v>35</v>
      </c>
      <c r="H94" s="11">
        <v>35</v>
      </c>
      <c r="I94" s="11">
        <v>35</v>
      </c>
      <c r="J94" s="11">
        <v>35</v>
      </c>
      <c r="K94" s="55">
        <f t="shared" si="2"/>
        <v>210</v>
      </c>
    </row>
    <row r="95" spans="1:11" x14ac:dyDescent="0.3">
      <c r="A95" s="8">
        <v>120104</v>
      </c>
      <c r="B95" s="12" t="s">
        <v>195</v>
      </c>
      <c r="C95" s="39" t="s">
        <v>43</v>
      </c>
      <c r="D95" s="40" t="s">
        <v>127</v>
      </c>
      <c r="E95" s="73">
        <v>35</v>
      </c>
      <c r="F95" s="74">
        <v>35</v>
      </c>
      <c r="G95" s="74">
        <v>35</v>
      </c>
      <c r="H95" s="11">
        <v>35</v>
      </c>
      <c r="I95" s="11">
        <v>35</v>
      </c>
      <c r="J95" s="11">
        <v>35</v>
      </c>
      <c r="K95" s="55">
        <f t="shared" si="2"/>
        <v>210</v>
      </c>
    </row>
    <row r="96" spans="1:11" x14ac:dyDescent="0.3">
      <c r="A96" s="8">
        <v>120105</v>
      </c>
      <c r="B96" s="12" t="s">
        <v>195</v>
      </c>
      <c r="C96" s="39" t="s">
        <v>43</v>
      </c>
      <c r="D96" s="40" t="s">
        <v>128</v>
      </c>
      <c r="E96" s="73">
        <v>35</v>
      </c>
      <c r="F96" s="74">
        <v>35</v>
      </c>
      <c r="G96" s="74">
        <v>35</v>
      </c>
      <c r="H96" s="11">
        <v>35</v>
      </c>
      <c r="I96" s="11">
        <v>35</v>
      </c>
      <c r="J96" s="11">
        <v>35</v>
      </c>
      <c r="K96" s="55">
        <f t="shared" si="2"/>
        <v>210</v>
      </c>
    </row>
    <row r="97" spans="1:11" x14ac:dyDescent="0.3">
      <c r="A97" s="8">
        <v>120106</v>
      </c>
      <c r="B97" s="12" t="s">
        <v>195</v>
      </c>
      <c r="C97" s="39" t="s">
        <v>43</v>
      </c>
      <c r="D97" s="40" t="s">
        <v>129</v>
      </c>
      <c r="E97" s="73">
        <v>35</v>
      </c>
      <c r="F97" s="74">
        <v>35</v>
      </c>
      <c r="G97" s="74">
        <v>35</v>
      </c>
      <c r="H97" s="11">
        <v>35</v>
      </c>
      <c r="I97" s="11">
        <v>35</v>
      </c>
      <c r="J97" s="11">
        <v>35</v>
      </c>
      <c r="K97" s="55">
        <f t="shared" si="2"/>
        <v>210</v>
      </c>
    </row>
    <row r="98" spans="1:11" x14ac:dyDescent="0.3">
      <c r="A98" s="8">
        <v>120107</v>
      </c>
      <c r="B98" s="12" t="s">
        <v>195</v>
      </c>
      <c r="C98" s="39" t="s">
        <v>43</v>
      </c>
      <c r="D98" s="40" t="s">
        <v>130</v>
      </c>
      <c r="E98" s="73">
        <v>35</v>
      </c>
      <c r="F98" s="74">
        <v>35</v>
      </c>
      <c r="G98" s="74">
        <v>35</v>
      </c>
      <c r="H98" s="11">
        <v>35</v>
      </c>
      <c r="I98" s="11">
        <v>35</v>
      </c>
      <c r="J98" s="11">
        <v>35</v>
      </c>
      <c r="K98" s="55">
        <f t="shared" ref="K98:K99" si="3">SUM(E98:J98)</f>
        <v>210</v>
      </c>
    </row>
    <row r="99" spans="1:11" x14ac:dyDescent="0.3">
      <c r="A99" s="59" t="s">
        <v>153</v>
      </c>
      <c r="B99" s="59"/>
      <c r="C99" s="59"/>
      <c r="D99" s="59"/>
      <c r="E99" s="60">
        <f t="shared" ref="E99:J99" si="4">SUM(E2:E98)</f>
        <v>3395</v>
      </c>
      <c r="F99" s="61">
        <f t="shared" si="4"/>
        <v>3395</v>
      </c>
      <c r="G99" s="61">
        <f t="shared" si="4"/>
        <v>3395</v>
      </c>
      <c r="H99" s="61">
        <f t="shared" si="4"/>
        <v>3395</v>
      </c>
      <c r="I99" s="61">
        <f t="shared" si="4"/>
        <v>3395</v>
      </c>
      <c r="J99" s="61">
        <f t="shared" si="4"/>
        <v>3395</v>
      </c>
      <c r="K99" s="62">
        <f t="shared" si="3"/>
        <v>20370</v>
      </c>
    </row>
    <row r="100" spans="1:11" x14ac:dyDescent="0.3">
      <c r="E100" s="38"/>
    </row>
    <row r="106" spans="1:11" x14ac:dyDescent="0.3">
      <c r="E106" s="10">
        <f>SUM(E99:G99)</f>
        <v>10185</v>
      </c>
      <c r="K106" s="10">
        <f>K99+18868</f>
        <v>39238</v>
      </c>
    </row>
  </sheetData>
  <conditionalFormatting sqref="A94:A98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Zone A</vt:lpstr>
      <vt:lpstr>Zone B</vt:lpstr>
      <vt:lpstr>Inlet Maintenance</vt:lpstr>
    </vt:vector>
  </TitlesOfParts>
  <Company>City of Vancouver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Madeleine</dc:creator>
  <cp:lastModifiedBy>McManus, Julie</cp:lastModifiedBy>
  <dcterms:created xsi:type="dcterms:W3CDTF">2024-01-03T19:55:14Z</dcterms:created>
  <dcterms:modified xsi:type="dcterms:W3CDTF">2025-09-27T21:07:38Z</dcterms:modified>
</cp:coreProperties>
</file>