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PTOP - TALLER CRS\Downloads\"/>
    </mc:Choice>
  </mc:AlternateContent>
  <xr:revisionPtr revIDLastSave="0" documentId="13_ncr:1_{2FBF2B03-E756-43C8-AF68-601983562586}" xr6:coauthVersionLast="47" xr6:coauthVersionMax="47" xr10:uidLastSave="{00000000-0000-0000-0000-000000000000}"/>
  <bookViews>
    <workbookView xWindow="-108" yWindow="-108" windowWidth="23256" windowHeight="12576" activeTab="4" xr2:uid="{1EC1FFEC-C7C1-49B4-B9B0-9D0D61F8DEAB}"/>
  </bookViews>
  <sheets>
    <sheet name="BD_PERSONAL" sheetId="4" r:id="rId1"/>
    <sheet name="CARGA DATOS MOD" sheetId="10" r:id="rId2"/>
    <sheet name="CARGA DATOS MOI" sheetId="5" r:id="rId3"/>
    <sheet name="MOD" sheetId="6" r:id="rId4"/>
    <sheet name="MOI" sheetId="7" r:id="rId5"/>
    <sheet name="ADMINISTRATIVO" sheetId="8" r:id="rId6"/>
    <sheet name="FORMATOS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7" l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2" i="7"/>
  <c r="AC2" i="7"/>
  <c r="AC3" i="7"/>
  <c r="AC4" i="7"/>
  <c r="AC5" i="7"/>
  <c r="AC6" i="7"/>
  <c r="AC7" i="7"/>
  <c r="AC8" i="7"/>
  <c r="AC9" i="7"/>
  <c r="AE9" i="7" s="1"/>
  <c r="AC10" i="7"/>
  <c r="AC11" i="7"/>
  <c r="AC12" i="7"/>
  <c r="AC13" i="7"/>
  <c r="AC14" i="7"/>
  <c r="AC15" i="7"/>
  <c r="AC16" i="7"/>
  <c r="AC17" i="7"/>
  <c r="AE17" i="7" s="1"/>
  <c r="AC18" i="7"/>
  <c r="AC19" i="7"/>
  <c r="AC20" i="7"/>
  <c r="AC21" i="7"/>
  <c r="AC22" i="7"/>
  <c r="AC23" i="7"/>
  <c r="AC24" i="7"/>
  <c r="AC25" i="7"/>
  <c r="AD25" i="7" s="1"/>
  <c r="AC26" i="7"/>
  <c r="AC27" i="7"/>
  <c r="AC28" i="7"/>
  <c r="AC29" i="7"/>
  <c r="AC30" i="7"/>
  <c r="AC31" i="7"/>
  <c r="AC32" i="7"/>
  <c r="AC33" i="7"/>
  <c r="AD33" i="7" s="1"/>
  <c r="AC34" i="7"/>
  <c r="AC35" i="7"/>
  <c r="AC36" i="7"/>
  <c r="AC37" i="7"/>
  <c r="AC38" i="7"/>
  <c r="AC39" i="7"/>
  <c r="AC40" i="7"/>
  <c r="AC41" i="7"/>
  <c r="AD41" i="7" s="1"/>
  <c r="AC42" i="7"/>
  <c r="AC43" i="7"/>
  <c r="AC44" i="7"/>
  <c r="AC45" i="7"/>
  <c r="AC46" i="7"/>
  <c r="AC47" i="7"/>
  <c r="AC48" i="7"/>
  <c r="AC49" i="7"/>
  <c r="AD49" i="7" s="1"/>
  <c r="AC50" i="7"/>
  <c r="AC51" i="7"/>
  <c r="AC52" i="7"/>
  <c r="AC53" i="7"/>
  <c r="AC54" i="7"/>
  <c r="AC55" i="7"/>
  <c r="AC56" i="7"/>
  <c r="AC57" i="7"/>
  <c r="AE57" i="7" s="1"/>
  <c r="AC58" i="7"/>
  <c r="AC59" i="7"/>
  <c r="AC60" i="7"/>
  <c r="AE60" i="7" s="1"/>
  <c r="AF60" i="7" s="1"/>
  <c r="AC61" i="7"/>
  <c r="AC62" i="7"/>
  <c r="AC63" i="7"/>
  <c r="AE63" i="7" s="1"/>
  <c r="AF63" i="7" s="1"/>
  <c r="R3" i="7"/>
  <c r="R4" i="7"/>
  <c r="R5" i="7"/>
  <c r="R6" i="7"/>
  <c r="R7" i="7"/>
  <c r="R8" i="7"/>
  <c r="R9" i="7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2" i="6"/>
  <c r="AC2" i="6"/>
  <c r="AC3" i="6"/>
  <c r="AC4" i="6"/>
  <c r="AC5" i="6"/>
  <c r="AC6" i="6"/>
  <c r="AD6" i="6" s="1"/>
  <c r="AC7" i="6"/>
  <c r="AC8" i="6"/>
  <c r="AE8" i="6" s="1"/>
  <c r="AC9" i="6"/>
  <c r="AD9" i="6" s="1"/>
  <c r="AC10" i="6"/>
  <c r="AC11" i="6"/>
  <c r="AC12" i="6"/>
  <c r="AC13" i="6"/>
  <c r="AC14" i="6"/>
  <c r="AC15" i="6"/>
  <c r="AC16" i="6"/>
  <c r="AE16" i="6" s="1"/>
  <c r="AC17" i="6"/>
  <c r="AD17" i="6" s="1"/>
  <c r="AC18" i="6"/>
  <c r="AC19" i="6"/>
  <c r="AC20" i="6"/>
  <c r="AC21" i="6"/>
  <c r="AC22" i="6"/>
  <c r="AD22" i="6" s="1"/>
  <c r="AC23" i="6"/>
  <c r="AC24" i="6"/>
  <c r="AD24" i="6" s="1"/>
  <c r="AC25" i="6"/>
  <c r="AD25" i="6" s="1"/>
  <c r="AC26" i="6"/>
  <c r="AC27" i="6"/>
  <c r="AC28" i="6"/>
  <c r="AC29" i="6"/>
  <c r="AC30" i="6"/>
  <c r="AD30" i="6" s="1"/>
  <c r="AC31" i="6"/>
  <c r="AC32" i="6"/>
  <c r="AD32" i="6" s="1"/>
  <c r="AC33" i="6"/>
  <c r="AD33" i="6" s="1"/>
  <c r="AC34" i="6"/>
  <c r="AC35" i="6"/>
  <c r="AC36" i="6"/>
  <c r="AC37" i="6"/>
  <c r="AC38" i="6"/>
  <c r="AD38" i="6" s="1"/>
  <c r="AC39" i="6"/>
  <c r="AC40" i="6"/>
  <c r="AE40" i="6" s="1"/>
  <c r="AC41" i="6"/>
  <c r="AD41" i="6" s="1"/>
  <c r="AC42" i="6"/>
  <c r="AC43" i="6"/>
  <c r="AC44" i="6"/>
  <c r="AC45" i="6"/>
  <c r="AC46" i="6"/>
  <c r="AC47" i="6"/>
  <c r="AC48" i="6"/>
  <c r="AD48" i="6" s="1"/>
  <c r="AC49" i="6"/>
  <c r="AD49" i="6" s="1"/>
  <c r="AC50" i="6"/>
  <c r="AC51" i="6"/>
  <c r="AC52" i="6"/>
  <c r="AC53" i="6"/>
  <c r="AC54" i="6"/>
  <c r="AC55" i="6"/>
  <c r="AC56" i="6"/>
  <c r="AE56" i="6" s="1"/>
  <c r="AC57" i="6"/>
  <c r="AD57" i="6" s="1"/>
  <c r="AC58" i="6"/>
  <c r="AC59" i="6"/>
  <c r="AC60" i="6"/>
  <c r="AC61" i="6"/>
  <c r="AC62" i="6"/>
  <c r="AD62" i="6" s="1"/>
  <c r="AC63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Z63" i="7"/>
  <c r="AD62" i="7"/>
  <c r="Z62" i="7"/>
  <c r="AE61" i="7"/>
  <c r="AF61" i="7" s="1"/>
  <c r="Z61" i="7"/>
  <c r="Z60" i="7"/>
  <c r="AE59" i="7"/>
  <c r="Z59" i="7"/>
  <c r="AD58" i="7"/>
  <c r="Z58" i="7"/>
  <c r="Z57" i="7"/>
  <c r="AE56" i="7"/>
  <c r="Z56" i="7"/>
  <c r="AE55" i="7"/>
  <c r="Z55" i="7"/>
  <c r="AD54" i="7"/>
  <c r="Z54" i="7"/>
  <c r="AE53" i="7"/>
  <c r="Z53" i="7"/>
  <c r="AE52" i="7"/>
  <c r="Z52" i="7"/>
  <c r="AE51" i="7"/>
  <c r="Z51" i="7"/>
  <c r="AD50" i="7"/>
  <c r="Z50" i="7"/>
  <c r="Z49" i="7"/>
  <c r="E49" i="7"/>
  <c r="F49" i="7" s="1"/>
  <c r="H49" i="7" s="1"/>
  <c r="AE48" i="7"/>
  <c r="Z48" i="7"/>
  <c r="E48" i="7"/>
  <c r="F48" i="7" s="1"/>
  <c r="H48" i="7" s="1"/>
  <c r="AD47" i="7"/>
  <c r="Z47" i="7"/>
  <c r="E47" i="7"/>
  <c r="F47" i="7" s="1"/>
  <c r="H47" i="7" s="1"/>
  <c r="AE46" i="7"/>
  <c r="Z46" i="7"/>
  <c r="E46" i="7"/>
  <c r="F46" i="7" s="1"/>
  <c r="H46" i="7" s="1"/>
  <c r="AE45" i="7"/>
  <c r="AD45" i="7"/>
  <c r="Z45" i="7"/>
  <c r="E45" i="7"/>
  <c r="F45" i="7" s="1"/>
  <c r="H45" i="7" s="1"/>
  <c r="AE44" i="7"/>
  <c r="Z44" i="7"/>
  <c r="E44" i="7"/>
  <c r="F44" i="7" s="1"/>
  <c r="H44" i="7" s="1"/>
  <c r="AD43" i="7"/>
  <c r="Z43" i="7"/>
  <c r="E43" i="7"/>
  <c r="F43" i="7" s="1"/>
  <c r="H43" i="7" s="1"/>
  <c r="AE42" i="7"/>
  <c r="Z42" i="7"/>
  <c r="E42" i="7"/>
  <c r="F42" i="7" s="1"/>
  <c r="H42" i="7" s="1"/>
  <c r="Z41" i="7"/>
  <c r="E41" i="7"/>
  <c r="F41" i="7" s="1"/>
  <c r="H41" i="7" s="1"/>
  <c r="AE40" i="7"/>
  <c r="Z40" i="7"/>
  <c r="E40" i="7"/>
  <c r="F40" i="7" s="1"/>
  <c r="H40" i="7" s="1"/>
  <c r="AE39" i="7"/>
  <c r="Z39" i="7"/>
  <c r="E39" i="7"/>
  <c r="F39" i="7" s="1"/>
  <c r="H39" i="7" s="1"/>
  <c r="AD38" i="7"/>
  <c r="AE38" i="7"/>
  <c r="Z38" i="7"/>
  <c r="E38" i="7"/>
  <c r="F38" i="7" s="1"/>
  <c r="H38" i="7" s="1"/>
  <c r="AD37" i="7"/>
  <c r="Z37" i="7"/>
  <c r="E37" i="7"/>
  <c r="F37" i="7" s="1"/>
  <c r="H37" i="7" s="1"/>
  <c r="AE36" i="7"/>
  <c r="Z36" i="7"/>
  <c r="E36" i="7"/>
  <c r="F36" i="7" s="1"/>
  <c r="H36" i="7" s="1"/>
  <c r="AD35" i="7"/>
  <c r="Z35" i="7"/>
  <c r="E35" i="7"/>
  <c r="F35" i="7" s="1"/>
  <c r="H35" i="7" s="1"/>
  <c r="AE34" i="7"/>
  <c r="Z34" i="7"/>
  <c r="E34" i="7"/>
  <c r="F34" i="7" s="1"/>
  <c r="H34" i="7" s="1"/>
  <c r="Z33" i="7"/>
  <c r="E33" i="7"/>
  <c r="F33" i="7" s="1"/>
  <c r="H33" i="7" s="1"/>
  <c r="AE32" i="7"/>
  <c r="Z32" i="7"/>
  <c r="E32" i="7"/>
  <c r="F32" i="7" s="1"/>
  <c r="H32" i="7" s="1"/>
  <c r="AE31" i="7"/>
  <c r="Z31" i="7"/>
  <c r="E31" i="7"/>
  <c r="F31" i="7" s="1"/>
  <c r="H31" i="7" s="1"/>
  <c r="AD30" i="7"/>
  <c r="AE30" i="7"/>
  <c r="Z30" i="7"/>
  <c r="E30" i="7"/>
  <c r="F30" i="7" s="1"/>
  <c r="H30" i="7" s="1"/>
  <c r="AE29" i="7"/>
  <c r="Z29" i="7"/>
  <c r="F29" i="7"/>
  <c r="H29" i="7" s="1"/>
  <c r="E29" i="7"/>
  <c r="AE28" i="7"/>
  <c r="Z28" i="7"/>
  <c r="E28" i="7"/>
  <c r="F28" i="7" s="1"/>
  <c r="H28" i="7" s="1"/>
  <c r="AD27" i="7"/>
  <c r="Z27" i="7"/>
  <c r="E27" i="7"/>
  <c r="F27" i="7" s="1"/>
  <c r="H27" i="7" s="1"/>
  <c r="AE26" i="7"/>
  <c r="Z26" i="7"/>
  <c r="E26" i="7"/>
  <c r="F26" i="7" s="1"/>
  <c r="H26" i="7" s="1"/>
  <c r="Z25" i="7"/>
  <c r="E25" i="7"/>
  <c r="F25" i="7" s="1"/>
  <c r="H25" i="7" s="1"/>
  <c r="AE24" i="7"/>
  <c r="Z24" i="7"/>
  <c r="E24" i="7"/>
  <c r="F24" i="7" s="1"/>
  <c r="H24" i="7" s="1"/>
  <c r="AE23" i="7"/>
  <c r="Z23" i="7"/>
  <c r="F23" i="7"/>
  <c r="H23" i="7" s="1"/>
  <c r="E23" i="7"/>
  <c r="AE22" i="7"/>
  <c r="Z22" i="7"/>
  <c r="E22" i="7"/>
  <c r="F22" i="7" s="1"/>
  <c r="H22" i="7" s="1"/>
  <c r="AE21" i="7"/>
  <c r="Z21" i="7"/>
  <c r="E21" i="7"/>
  <c r="F21" i="7" s="1"/>
  <c r="H21" i="7" s="1"/>
  <c r="AE20" i="7"/>
  <c r="Z20" i="7"/>
  <c r="E20" i="7"/>
  <c r="F20" i="7" s="1"/>
  <c r="H20" i="7" s="1"/>
  <c r="AD19" i="7"/>
  <c r="Z19" i="7"/>
  <c r="E19" i="7"/>
  <c r="F19" i="7" s="1"/>
  <c r="H19" i="7" s="1"/>
  <c r="AD18" i="7"/>
  <c r="AE18" i="7"/>
  <c r="Z18" i="7"/>
  <c r="E18" i="7"/>
  <c r="F18" i="7" s="1"/>
  <c r="H18" i="7" s="1"/>
  <c r="Z17" i="7"/>
  <c r="F17" i="7"/>
  <c r="H17" i="7" s="1"/>
  <c r="E17" i="7"/>
  <c r="AE16" i="7"/>
  <c r="Z16" i="7"/>
  <c r="E16" i="7"/>
  <c r="F16" i="7" s="1"/>
  <c r="H16" i="7" s="1"/>
  <c r="AE15" i="7"/>
  <c r="Z15" i="7"/>
  <c r="E15" i="7"/>
  <c r="F15" i="7" s="1"/>
  <c r="H15" i="7" s="1"/>
  <c r="AE14" i="7"/>
  <c r="Z14" i="7"/>
  <c r="E14" i="7"/>
  <c r="F14" i="7" s="1"/>
  <c r="H14" i="7" s="1"/>
  <c r="AE13" i="7"/>
  <c r="Z13" i="7"/>
  <c r="E13" i="7"/>
  <c r="F13" i="7" s="1"/>
  <c r="H13" i="7" s="1"/>
  <c r="AE12" i="7"/>
  <c r="Z12" i="7"/>
  <c r="E12" i="7"/>
  <c r="F12" i="7" s="1"/>
  <c r="H12" i="7" s="1"/>
  <c r="AD11" i="7"/>
  <c r="Z11" i="7"/>
  <c r="F11" i="7"/>
  <c r="H11" i="7" s="1"/>
  <c r="E11" i="7"/>
  <c r="AE10" i="7"/>
  <c r="Z10" i="7"/>
  <c r="E10" i="7"/>
  <c r="F10" i="7" s="1"/>
  <c r="H10" i="7" s="1"/>
  <c r="Z9" i="7"/>
  <c r="E9" i="7"/>
  <c r="F9" i="7" s="1"/>
  <c r="H9" i="7" s="1"/>
  <c r="AE8" i="7"/>
  <c r="Z8" i="7"/>
  <c r="Q9" i="7"/>
  <c r="O9" i="7"/>
  <c r="P9" i="7" s="1"/>
  <c r="E8" i="7"/>
  <c r="F8" i="7" s="1"/>
  <c r="H8" i="7" s="1"/>
  <c r="AE7" i="7"/>
  <c r="Z7" i="7"/>
  <c r="Q8" i="7"/>
  <c r="O8" i="7"/>
  <c r="P8" i="7" s="1"/>
  <c r="F7" i="7"/>
  <c r="H7" i="7" s="1"/>
  <c r="E7" i="7"/>
  <c r="AE6" i="7"/>
  <c r="Z6" i="7"/>
  <c r="Q7" i="7"/>
  <c r="O7" i="7"/>
  <c r="P7" i="7" s="1"/>
  <c r="E6" i="7"/>
  <c r="F6" i="7" s="1"/>
  <c r="H6" i="7" s="1"/>
  <c r="AE5" i="7"/>
  <c r="Z5" i="7"/>
  <c r="Q6" i="7"/>
  <c r="O6" i="7"/>
  <c r="P6" i="7" s="1"/>
  <c r="E5" i="7"/>
  <c r="F5" i="7" s="1"/>
  <c r="H5" i="7" s="1"/>
  <c r="AE4" i="7"/>
  <c r="Z4" i="7"/>
  <c r="Q5" i="7"/>
  <c r="O5" i="7"/>
  <c r="P5" i="7" s="1"/>
  <c r="E4" i="7"/>
  <c r="F4" i="7" s="1"/>
  <c r="H4" i="7" s="1"/>
  <c r="AD3" i="7"/>
  <c r="Z3" i="7"/>
  <c r="Q4" i="7"/>
  <c r="O4" i="7"/>
  <c r="P4" i="7" s="1"/>
  <c r="E3" i="7"/>
  <c r="F3" i="7" s="1"/>
  <c r="H3" i="7" s="1"/>
  <c r="AE2" i="7"/>
  <c r="Z2" i="7"/>
  <c r="Q3" i="7"/>
  <c r="O3" i="7"/>
  <c r="P3" i="7" s="1"/>
  <c r="E2" i="7"/>
  <c r="F2" i="7" s="1"/>
  <c r="H2" i="7" s="1"/>
  <c r="Q41" i="6"/>
  <c r="O41" i="6"/>
  <c r="P41" i="6" s="1"/>
  <c r="Q40" i="6"/>
  <c r="O40" i="6"/>
  <c r="P40" i="6" s="1"/>
  <c r="Q39" i="6"/>
  <c r="O39" i="6"/>
  <c r="P39" i="6" s="1"/>
  <c r="Q38" i="6"/>
  <c r="O38" i="6"/>
  <c r="P38" i="6" s="1"/>
  <c r="Q37" i="6"/>
  <c r="O37" i="6"/>
  <c r="P37" i="6" s="1"/>
  <c r="Q36" i="6"/>
  <c r="O36" i="6"/>
  <c r="P36" i="6" s="1"/>
  <c r="Q35" i="6"/>
  <c r="O35" i="6"/>
  <c r="P35" i="6" s="1"/>
  <c r="Q34" i="6"/>
  <c r="O34" i="6"/>
  <c r="P34" i="6" s="1"/>
  <c r="Q33" i="6"/>
  <c r="O33" i="6"/>
  <c r="P33" i="6" s="1"/>
  <c r="Q32" i="6"/>
  <c r="O32" i="6"/>
  <c r="P32" i="6" s="1"/>
  <c r="Q31" i="6"/>
  <c r="O31" i="6"/>
  <c r="P31" i="6" s="1"/>
  <c r="Q30" i="6"/>
  <c r="O30" i="6"/>
  <c r="P30" i="6" s="1"/>
  <c r="Q29" i="6"/>
  <c r="O29" i="6"/>
  <c r="P29" i="6" s="1"/>
  <c r="Q28" i="6"/>
  <c r="O28" i="6"/>
  <c r="P28" i="6" s="1"/>
  <c r="Q27" i="6"/>
  <c r="O27" i="6"/>
  <c r="P27" i="6" s="1"/>
  <c r="Q26" i="6"/>
  <c r="O26" i="6"/>
  <c r="P26" i="6" s="1"/>
  <c r="Q25" i="6"/>
  <c r="O25" i="6"/>
  <c r="P25" i="6" s="1"/>
  <c r="Q24" i="6"/>
  <c r="O24" i="6"/>
  <c r="P24" i="6" s="1"/>
  <c r="Q23" i="6"/>
  <c r="P23" i="6"/>
  <c r="O23" i="6"/>
  <c r="Q22" i="6"/>
  <c r="O22" i="6"/>
  <c r="P22" i="6" s="1"/>
  <c r="Q21" i="6"/>
  <c r="O21" i="6"/>
  <c r="P21" i="6" s="1"/>
  <c r="Q20" i="6"/>
  <c r="O20" i="6"/>
  <c r="P20" i="6" s="1"/>
  <c r="Q19" i="6"/>
  <c r="O19" i="6"/>
  <c r="P19" i="6" s="1"/>
  <c r="Q18" i="6"/>
  <c r="O18" i="6"/>
  <c r="P18" i="6" s="1"/>
  <c r="Q17" i="6"/>
  <c r="O17" i="6"/>
  <c r="P17" i="6" s="1"/>
  <c r="Q16" i="6"/>
  <c r="O16" i="6"/>
  <c r="P16" i="6" s="1"/>
  <c r="Q15" i="6"/>
  <c r="O15" i="6"/>
  <c r="P15" i="6" s="1"/>
  <c r="Q14" i="6"/>
  <c r="O14" i="6"/>
  <c r="P14" i="6" s="1"/>
  <c r="Q13" i="6"/>
  <c r="O13" i="6"/>
  <c r="P13" i="6" s="1"/>
  <c r="Q12" i="6"/>
  <c r="O12" i="6"/>
  <c r="P12" i="6" s="1"/>
  <c r="Q11" i="6"/>
  <c r="O11" i="6"/>
  <c r="P11" i="6" s="1"/>
  <c r="Q10" i="6"/>
  <c r="O10" i="6"/>
  <c r="P10" i="6" s="1"/>
  <c r="Q9" i="6"/>
  <c r="O9" i="6"/>
  <c r="P9" i="6" s="1"/>
  <c r="Q8" i="6"/>
  <c r="O8" i="6"/>
  <c r="P8" i="6" s="1"/>
  <c r="Q7" i="6"/>
  <c r="O7" i="6"/>
  <c r="P7" i="6" s="1"/>
  <c r="Q6" i="6"/>
  <c r="O6" i="6"/>
  <c r="P6" i="6" s="1"/>
  <c r="Q5" i="6"/>
  <c r="O5" i="6"/>
  <c r="P5" i="6" s="1"/>
  <c r="Q4" i="6"/>
  <c r="O4" i="6"/>
  <c r="P4" i="6" s="1"/>
  <c r="Q3" i="6"/>
  <c r="O3" i="6"/>
  <c r="P3" i="6" s="1"/>
  <c r="Z2" i="6"/>
  <c r="AD2" i="6"/>
  <c r="Z3" i="6"/>
  <c r="AD3" i="6"/>
  <c r="Z4" i="6"/>
  <c r="AE4" i="6"/>
  <c r="Z5" i="6"/>
  <c r="AD5" i="6"/>
  <c r="Z6" i="6"/>
  <c r="Z7" i="6"/>
  <c r="AD7" i="6"/>
  <c r="Z8" i="6"/>
  <c r="Z9" i="6"/>
  <c r="Z10" i="6"/>
  <c r="AD10" i="6"/>
  <c r="Z11" i="6"/>
  <c r="AD11" i="6"/>
  <c r="Z12" i="6"/>
  <c r="AD12" i="6"/>
  <c r="Z13" i="6"/>
  <c r="AD13" i="6"/>
  <c r="Z14" i="6"/>
  <c r="AD14" i="6"/>
  <c r="Z15" i="6"/>
  <c r="AD15" i="6"/>
  <c r="Z16" i="6"/>
  <c r="Z17" i="6"/>
  <c r="Z18" i="6"/>
  <c r="AD18" i="6"/>
  <c r="Z19" i="6"/>
  <c r="AD19" i="6"/>
  <c r="Z20" i="6"/>
  <c r="AD20" i="6"/>
  <c r="Z21" i="6"/>
  <c r="AD21" i="6"/>
  <c r="Z22" i="6"/>
  <c r="Z23" i="6"/>
  <c r="AD23" i="6"/>
  <c r="Z24" i="6"/>
  <c r="Z25" i="6"/>
  <c r="Z26" i="6"/>
  <c r="AD26" i="6"/>
  <c r="Z27" i="6"/>
  <c r="AD27" i="6"/>
  <c r="Z28" i="6"/>
  <c r="AE28" i="6"/>
  <c r="Z29" i="6"/>
  <c r="AD29" i="6"/>
  <c r="Z30" i="6"/>
  <c r="Z31" i="6"/>
  <c r="AD31" i="6"/>
  <c r="Z32" i="6"/>
  <c r="Z33" i="6"/>
  <c r="Z34" i="6"/>
  <c r="AD34" i="6"/>
  <c r="Z35" i="6"/>
  <c r="AD35" i="6"/>
  <c r="Z36" i="6"/>
  <c r="AD36" i="6"/>
  <c r="Z37" i="6"/>
  <c r="AD37" i="6"/>
  <c r="Z38" i="6"/>
  <c r="Z39" i="6"/>
  <c r="AD39" i="6"/>
  <c r="Z40" i="6"/>
  <c r="Z41" i="6"/>
  <c r="Z42" i="6"/>
  <c r="AD42" i="6"/>
  <c r="Z43" i="6"/>
  <c r="AD43" i="6"/>
  <c r="Z44" i="6"/>
  <c r="AE44" i="6"/>
  <c r="Z45" i="6"/>
  <c r="AD45" i="6"/>
  <c r="Z46" i="6"/>
  <c r="AD46" i="6"/>
  <c r="Z47" i="6"/>
  <c r="AD47" i="6"/>
  <c r="Z48" i="6"/>
  <c r="Z49" i="6"/>
  <c r="Z50" i="6"/>
  <c r="AD50" i="6"/>
  <c r="Z51" i="6"/>
  <c r="AD51" i="6"/>
  <c r="Z52" i="6"/>
  <c r="AD52" i="6"/>
  <c r="Z53" i="6"/>
  <c r="AD53" i="6"/>
  <c r="Z54" i="6"/>
  <c r="AD54" i="6"/>
  <c r="Z55" i="6"/>
  <c r="AD55" i="6"/>
  <c r="Z56" i="6"/>
  <c r="Z57" i="6"/>
  <c r="Z58" i="6"/>
  <c r="AD58" i="6"/>
  <c r="Z59" i="6"/>
  <c r="AD59" i="6"/>
  <c r="Z60" i="6"/>
  <c r="AD60" i="6"/>
  <c r="Z61" i="6"/>
  <c r="AD61" i="6"/>
  <c r="Z62" i="6"/>
  <c r="Z63" i="6"/>
  <c r="AD63" i="6"/>
  <c r="AF45" i="7" l="1"/>
  <c r="AE43" i="7"/>
  <c r="AF43" i="7" s="1"/>
  <c r="AD34" i="7"/>
  <c r="AD16" i="7"/>
  <c r="AF16" i="7" s="1"/>
  <c r="AD12" i="7"/>
  <c r="AD28" i="7"/>
  <c r="AD42" i="7"/>
  <c r="AF42" i="7" s="1"/>
  <c r="AD8" i="7"/>
  <c r="AF8" i="7" s="1"/>
  <c r="AD24" i="7"/>
  <c r="AF24" i="7" s="1"/>
  <c r="AD6" i="7"/>
  <c r="AF6" i="7" s="1"/>
  <c r="AD10" i="7"/>
  <c r="AF10" i="7" s="1"/>
  <c r="AE25" i="7"/>
  <c r="AF12" i="7"/>
  <c r="AD2" i="7"/>
  <c r="AF2" i="7" s="1"/>
  <c r="AD14" i="7"/>
  <c r="AF14" i="7" s="1"/>
  <c r="AF28" i="7"/>
  <c r="AD20" i="7"/>
  <c r="AF20" i="7" s="1"/>
  <c r="AE41" i="7"/>
  <c r="AF41" i="7" s="1"/>
  <c r="AD44" i="7"/>
  <c r="AF44" i="7" s="1"/>
  <c r="AF38" i="7"/>
  <c r="AF30" i="7"/>
  <c r="AF34" i="7"/>
  <c r="AD26" i="7"/>
  <c r="AF26" i="7" s="1"/>
  <c r="AE33" i="7"/>
  <c r="AF33" i="7" s="1"/>
  <c r="AD36" i="7"/>
  <c r="AF36" i="7" s="1"/>
  <c r="AE37" i="7"/>
  <c r="AF37" i="7" s="1"/>
  <c r="AD40" i="7"/>
  <c r="AF40" i="7" s="1"/>
  <c r="AD22" i="7"/>
  <c r="AF22" i="7" s="1"/>
  <c r="AD32" i="7"/>
  <c r="AF32" i="7" s="1"/>
  <c r="AD46" i="7"/>
  <c r="AF46" i="7" s="1"/>
  <c r="AE49" i="7"/>
  <c r="AF49" i="7" s="1"/>
  <c r="AD4" i="7"/>
  <c r="AF4" i="7" s="1"/>
  <c r="AF18" i="7"/>
  <c r="AD48" i="7"/>
  <c r="AF48" i="7" s="1"/>
  <c r="AF25" i="7"/>
  <c r="AE3" i="7"/>
  <c r="AF3" i="7" s="1"/>
  <c r="AE19" i="7"/>
  <c r="AF19" i="7" s="1"/>
  <c r="AE27" i="7"/>
  <c r="AF27" i="7" s="1"/>
  <c r="AE35" i="7"/>
  <c r="AF35" i="7" s="1"/>
  <c r="AE47" i="7"/>
  <c r="AF47" i="7" s="1"/>
  <c r="AE50" i="7"/>
  <c r="AF50" i="7" s="1"/>
  <c r="AE54" i="7"/>
  <c r="AF54" i="7" s="1"/>
  <c r="AE58" i="7"/>
  <c r="AF58" i="7" s="1"/>
  <c r="AE62" i="7"/>
  <c r="AF62" i="7" s="1"/>
  <c r="AE11" i="7"/>
  <c r="AF11" i="7" s="1"/>
  <c r="AD5" i="7"/>
  <c r="AF5" i="7" s="1"/>
  <c r="AD13" i="7"/>
  <c r="AF13" i="7" s="1"/>
  <c r="AD21" i="7"/>
  <c r="AF21" i="7" s="1"/>
  <c r="AD29" i="7"/>
  <c r="AF29" i="7" s="1"/>
  <c r="AD53" i="7"/>
  <c r="AF53" i="7" s="1"/>
  <c r="AD57" i="7"/>
  <c r="AF57" i="7" s="1"/>
  <c r="AD61" i="7"/>
  <c r="AD7" i="7"/>
  <c r="AF7" i="7" s="1"/>
  <c r="AD15" i="7"/>
  <c r="AF15" i="7" s="1"/>
  <c r="AD23" i="7"/>
  <c r="AF23" i="7" s="1"/>
  <c r="AD31" i="7"/>
  <c r="AF31" i="7" s="1"/>
  <c r="AD39" i="7"/>
  <c r="AF39" i="7" s="1"/>
  <c r="AD52" i="7"/>
  <c r="AF52" i="7" s="1"/>
  <c r="AD56" i="7"/>
  <c r="AF56" i="7" s="1"/>
  <c r="AD60" i="7"/>
  <c r="AD9" i="7"/>
  <c r="AF9" i="7" s="1"/>
  <c r="AD17" i="7"/>
  <c r="AF17" i="7" s="1"/>
  <c r="AD51" i="7"/>
  <c r="AF51" i="7" s="1"/>
  <c r="AD55" i="7"/>
  <c r="AF55" i="7" s="1"/>
  <c r="AD59" i="7"/>
  <c r="AF59" i="7" s="1"/>
  <c r="AD63" i="7"/>
  <c r="AE63" i="6"/>
  <c r="AF63" i="6" s="1"/>
  <c r="AE27" i="6"/>
  <c r="AF27" i="6" s="1"/>
  <c r="AE55" i="6"/>
  <c r="AE31" i="6"/>
  <c r="AF31" i="6" s="1"/>
  <c r="AE59" i="6"/>
  <c r="AF59" i="6" s="1"/>
  <c r="AE23" i="6"/>
  <c r="AF23" i="6" s="1"/>
  <c r="AE35" i="6"/>
  <c r="AF35" i="6" s="1"/>
  <c r="AE47" i="6"/>
  <c r="AF47" i="6" s="1"/>
  <c r="AE15" i="6"/>
  <c r="AF15" i="6" s="1"/>
  <c r="AE39" i="6"/>
  <c r="AF39" i="6" s="1"/>
  <c r="AE7" i="6"/>
  <c r="AF7" i="6" s="1"/>
  <c r="AE51" i="6"/>
  <c r="AF51" i="6" s="1"/>
  <c r="AE19" i="6"/>
  <c r="AF19" i="6" s="1"/>
  <c r="AE43" i="6"/>
  <c r="AF43" i="6" s="1"/>
  <c r="AE11" i="6"/>
  <c r="AF11" i="6" s="1"/>
  <c r="AF55" i="6"/>
  <c r="AE60" i="6"/>
  <c r="AF60" i="6" s="1"/>
  <c r="AE52" i="6"/>
  <c r="AF52" i="6" s="1"/>
  <c r="AE48" i="6"/>
  <c r="AF48" i="6" s="1"/>
  <c r="AE36" i="6"/>
  <c r="AF36" i="6" s="1"/>
  <c r="AE32" i="6"/>
  <c r="AF32" i="6" s="1"/>
  <c r="AE24" i="6"/>
  <c r="AF24" i="6" s="1"/>
  <c r="AE20" i="6"/>
  <c r="AF20" i="6" s="1"/>
  <c r="AE12" i="6"/>
  <c r="AF12" i="6" s="1"/>
  <c r="AD56" i="6"/>
  <c r="AF56" i="6" s="1"/>
  <c r="AD44" i="6"/>
  <c r="AF44" i="6" s="1"/>
  <c r="AD40" i="6"/>
  <c r="AF40" i="6" s="1"/>
  <c r="AD28" i="6"/>
  <c r="AF28" i="6" s="1"/>
  <c r="AD16" i="6"/>
  <c r="AF16" i="6" s="1"/>
  <c r="AD8" i="6"/>
  <c r="AF8" i="6" s="1"/>
  <c r="AD4" i="6"/>
  <c r="AF4" i="6" s="1"/>
  <c r="AE61" i="6"/>
  <c r="AF61" i="6" s="1"/>
  <c r="AE53" i="6"/>
  <c r="AF53" i="6" s="1"/>
  <c r="AE37" i="6"/>
  <c r="AF37" i="6" s="1"/>
  <c r="AE25" i="6"/>
  <c r="AF25" i="6" s="1"/>
  <c r="AE9" i="6"/>
  <c r="AF9" i="6" s="1"/>
  <c r="AE5" i="6"/>
  <c r="AF5" i="6" s="1"/>
  <c r="AE57" i="6"/>
  <c r="AF57" i="6" s="1"/>
  <c r="AE49" i="6"/>
  <c r="AF49" i="6" s="1"/>
  <c r="AE45" i="6"/>
  <c r="AF45" i="6" s="1"/>
  <c r="AE41" i="6"/>
  <c r="AF41" i="6" s="1"/>
  <c r="AE33" i="6"/>
  <c r="AF33" i="6" s="1"/>
  <c r="AE29" i="6"/>
  <c r="AF29" i="6" s="1"/>
  <c r="AE21" i="6"/>
  <c r="AF21" i="6" s="1"/>
  <c r="AE17" i="6"/>
  <c r="AF17" i="6" s="1"/>
  <c r="AE13" i="6"/>
  <c r="AF13" i="6" s="1"/>
  <c r="AE62" i="6"/>
  <c r="AF62" i="6" s="1"/>
  <c r="AE54" i="6"/>
  <c r="AF54" i="6" s="1"/>
  <c r="AE46" i="6"/>
  <c r="AF46" i="6" s="1"/>
  <c r="AE38" i="6"/>
  <c r="AF38" i="6" s="1"/>
  <c r="AE34" i="6"/>
  <c r="AF34" i="6" s="1"/>
  <c r="AE26" i="6"/>
  <c r="AF26" i="6" s="1"/>
  <c r="AE18" i="6"/>
  <c r="AF18" i="6" s="1"/>
  <c r="AE2" i="6"/>
  <c r="AF2" i="6" s="1"/>
  <c r="AE58" i="6"/>
  <c r="AF58" i="6" s="1"/>
  <c r="AE50" i="6"/>
  <c r="AF50" i="6" s="1"/>
  <c r="AE42" i="6"/>
  <c r="AF42" i="6" s="1"/>
  <c r="AE30" i="6"/>
  <c r="AF30" i="6" s="1"/>
  <c r="AE22" i="6"/>
  <c r="AF22" i="6" s="1"/>
  <c r="AE14" i="6"/>
  <c r="AF14" i="6" s="1"/>
  <c r="AE10" i="6"/>
  <c r="AF10" i="6" s="1"/>
  <c r="AE6" i="6"/>
  <c r="AF6" i="6" s="1"/>
  <c r="AE3" i="6"/>
  <c r="AF3" i="6" s="1"/>
  <c r="A28" i="9"/>
  <c r="A29" i="9"/>
  <c r="A30" i="9"/>
  <c r="A31" i="9"/>
  <c r="A32" i="9"/>
  <c r="A24" i="9"/>
  <c r="A25" i="9"/>
  <c r="A26" i="9"/>
  <c r="A27" i="9"/>
  <c r="A12" i="9"/>
  <c r="A13" i="9"/>
  <c r="A14" i="9"/>
  <c r="A15" i="9"/>
  <c r="A16" i="9"/>
  <c r="A17" i="9"/>
  <c r="A18" i="9"/>
  <c r="A4" i="9"/>
  <c r="A5" i="9"/>
  <c r="A6" i="9"/>
  <c r="A7" i="9"/>
  <c r="A8" i="9"/>
  <c r="A9" i="9"/>
  <c r="A10" i="9"/>
  <c r="A11" i="9"/>
  <c r="A3" i="9"/>
  <c r="AA32" i="9"/>
  <c r="X32" i="9"/>
  <c r="U32" i="9"/>
  <c r="R32" i="9"/>
  <c r="O32" i="9"/>
  <c r="L32" i="9"/>
  <c r="I32" i="9"/>
  <c r="F32" i="9"/>
  <c r="AA31" i="9"/>
  <c r="X31" i="9"/>
  <c r="U31" i="9"/>
  <c r="R31" i="9"/>
  <c r="O31" i="9"/>
  <c r="L31" i="9"/>
  <c r="I31" i="9"/>
  <c r="F31" i="9"/>
  <c r="AA30" i="9"/>
  <c r="X30" i="9"/>
  <c r="U30" i="9"/>
  <c r="R30" i="9"/>
  <c r="O30" i="9"/>
  <c r="L30" i="9"/>
  <c r="I30" i="9"/>
  <c r="F30" i="9"/>
  <c r="AA29" i="9"/>
  <c r="X29" i="9"/>
  <c r="U29" i="9"/>
  <c r="R29" i="9"/>
  <c r="O29" i="9"/>
  <c r="L29" i="9"/>
  <c r="I29" i="9"/>
  <c r="F29" i="9"/>
  <c r="AA28" i="9"/>
  <c r="X28" i="9"/>
  <c r="U28" i="9"/>
  <c r="R28" i="9"/>
  <c r="O28" i="9"/>
  <c r="L28" i="9"/>
  <c r="I28" i="9"/>
  <c r="F28" i="9"/>
  <c r="AA27" i="9"/>
  <c r="X27" i="9"/>
  <c r="U27" i="9"/>
  <c r="R27" i="9"/>
  <c r="O27" i="9"/>
  <c r="L27" i="9"/>
  <c r="I27" i="9"/>
  <c r="F27" i="9"/>
  <c r="AA26" i="9"/>
  <c r="X26" i="9"/>
  <c r="U26" i="9"/>
  <c r="R26" i="9"/>
  <c r="O26" i="9"/>
  <c r="L26" i="9"/>
  <c r="I26" i="9"/>
  <c r="F26" i="9"/>
  <c r="AA25" i="9"/>
  <c r="X25" i="9"/>
  <c r="U25" i="9"/>
  <c r="R25" i="9"/>
  <c r="O25" i="9"/>
  <c r="L25" i="9"/>
  <c r="I25" i="9"/>
  <c r="F25" i="9"/>
  <c r="AA24" i="9"/>
  <c r="X24" i="9"/>
  <c r="U24" i="9"/>
  <c r="R24" i="9"/>
  <c r="O24" i="9"/>
  <c r="L24" i="9"/>
  <c r="I24" i="9"/>
  <c r="F24" i="9"/>
  <c r="AA23" i="9"/>
  <c r="X23" i="9"/>
  <c r="U23" i="9"/>
  <c r="R23" i="9"/>
  <c r="O23" i="9"/>
  <c r="L23" i="9"/>
  <c r="I23" i="9"/>
  <c r="F23" i="9"/>
  <c r="AB23" i="9" s="1"/>
  <c r="A23" i="9"/>
  <c r="AA4" i="9" l="1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AA3" i="9"/>
  <c r="AB3" i="9" s="1"/>
  <c r="X3" i="9"/>
  <c r="U3" i="9"/>
  <c r="R3" i="9"/>
  <c r="O3" i="9"/>
  <c r="L3" i="9"/>
  <c r="I3" i="9"/>
  <c r="F3" i="9"/>
  <c r="E49" i="6" l="1"/>
  <c r="F49" i="6" s="1"/>
  <c r="H49" i="6" s="1"/>
  <c r="E48" i="6"/>
  <c r="F48" i="6" s="1"/>
  <c r="H48" i="6" s="1"/>
  <c r="E47" i="6"/>
  <c r="F47" i="6" s="1"/>
  <c r="H47" i="6" s="1"/>
  <c r="E46" i="6"/>
  <c r="F46" i="6" s="1"/>
  <c r="H46" i="6" s="1"/>
  <c r="E45" i="6"/>
  <c r="F45" i="6" s="1"/>
  <c r="H45" i="6" s="1"/>
  <c r="E44" i="6"/>
  <c r="F44" i="6" s="1"/>
  <c r="H44" i="6" s="1"/>
  <c r="E43" i="6"/>
  <c r="F43" i="6" s="1"/>
  <c r="H43" i="6" s="1"/>
  <c r="E42" i="6"/>
  <c r="F42" i="6" s="1"/>
  <c r="H42" i="6" s="1"/>
  <c r="E41" i="6"/>
  <c r="F41" i="6" s="1"/>
  <c r="H41" i="6" s="1"/>
  <c r="E40" i="6"/>
  <c r="F40" i="6" s="1"/>
  <c r="H40" i="6" s="1"/>
  <c r="E39" i="6"/>
  <c r="F39" i="6" s="1"/>
  <c r="H39" i="6" s="1"/>
  <c r="E38" i="6"/>
  <c r="F38" i="6" s="1"/>
  <c r="H38" i="6" s="1"/>
  <c r="E37" i="6"/>
  <c r="F37" i="6" s="1"/>
  <c r="H37" i="6" s="1"/>
  <c r="E36" i="6"/>
  <c r="F36" i="6" s="1"/>
  <c r="H36" i="6" s="1"/>
  <c r="E35" i="6"/>
  <c r="F35" i="6" s="1"/>
  <c r="H35" i="6" s="1"/>
  <c r="E34" i="6"/>
  <c r="F34" i="6" s="1"/>
  <c r="H34" i="6" s="1"/>
  <c r="E33" i="6"/>
  <c r="F33" i="6" s="1"/>
  <c r="H33" i="6" s="1"/>
  <c r="E32" i="6"/>
  <c r="F32" i="6" s="1"/>
  <c r="H32" i="6" s="1"/>
  <c r="E31" i="6"/>
  <c r="F31" i="6" s="1"/>
  <c r="H31" i="6" s="1"/>
  <c r="E30" i="6"/>
  <c r="F30" i="6" s="1"/>
  <c r="H30" i="6" s="1"/>
  <c r="E29" i="6"/>
  <c r="F29" i="6" s="1"/>
  <c r="H29" i="6" s="1"/>
  <c r="E28" i="6"/>
  <c r="F28" i="6" s="1"/>
  <c r="H28" i="6" s="1"/>
  <c r="E27" i="6"/>
  <c r="F27" i="6" s="1"/>
  <c r="H27" i="6" s="1"/>
  <c r="E26" i="6"/>
  <c r="F26" i="6" s="1"/>
  <c r="H26" i="6" s="1"/>
  <c r="E25" i="6"/>
  <c r="F25" i="6" s="1"/>
  <c r="H25" i="6" s="1"/>
  <c r="E24" i="6"/>
  <c r="F24" i="6" s="1"/>
  <c r="H24" i="6" s="1"/>
  <c r="E23" i="6"/>
  <c r="F23" i="6" s="1"/>
  <c r="H23" i="6" s="1"/>
  <c r="E22" i="6"/>
  <c r="F22" i="6" s="1"/>
  <c r="H22" i="6" s="1"/>
  <c r="E21" i="6"/>
  <c r="F21" i="6" s="1"/>
  <c r="H21" i="6" s="1"/>
  <c r="E20" i="6"/>
  <c r="F20" i="6" s="1"/>
  <c r="H20" i="6" s="1"/>
  <c r="E19" i="6"/>
  <c r="F19" i="6" s="1"/>
  <c r="H19" i="6" s="1"/>
  <c r="E18" i="6"/>
  <c r="F18" i="6" s="1"/>
  <c r="H18" i="6" s="1"/>
  <c r="E17" i="6"/>
  <c r="F17" i="6" s="1"/>
  <c r="H17" i="6" s="1"/>
  <c r="E16" i="6"/>
  <c r="F16" i="6" s="1"/>
  <c r="H16" i="6" s="1"/>
  <c r="E15" i="6"/>
  <c r="F15" i="6" s="1"/>
  <c r="H15" i="6" s="1"/>
  <c r="E14" i="6"/>
  <c r="F14" i="6" s="1"/>
  <c r="H14" i="6" s="1"/>
  <c r="E13" i="6"/>
  <c r="F13" i="6" s="1"/>
  <c r="H13" i="6" s="1"/>
  <c r="E12" i="6"/>
  <c r="F12" i="6" s="1"/>
  <c r="H12" i="6" s="1"/>
  <c r="E11" i="6"/>
  <c r="F11" i="6" s="1"/>
  <c r="H11" i="6" s="1"/>
  <c r="E10" i="6"/>
  <c r="F10" i="6" s="1"/>
  <c r="H10" i="6" s="1"/>
  <c r="E9" i="6"/>
  <c r="F9" i="6" s="1"/>
  <c r="H9" i="6" s="1"/>
  <c r="E8" i="6"/>
  <c r="F8" i="6" s="1"/>
  <c r="H8" i="6" s="1"/>
  <c r="E7" i="6"/>
  <c r="F7" i="6" s="1"/>
  <c r="H7" i="6" s="1"/>
  <c r="E6" i="6"/>
  <c r="F6" i="6" s="1"/>
  <c r="H6" i="6" s="1"/>
  <c r="E5" i="6"/>
  <c r="F5" i="6" s="1"/>
  <c r="H5" i="6" s="1"/>
  <c r="E4" i="6"/>
  <c r="F4" i="6" s="1"/>
  <c r="H4" i="6" s="1"/>
  <c r="E3" i="6"/>
  <c r="F3" i="6" s="1"/>
  <c r="H3" i="6" s="1"/>
  <c r="E2" i="6"/>
  <c r="F2" i="6" s="1"/>
  <c r="H2" i="6" s="1"/>
  <c r="AB7" i="4" l="1"/>
  <c r="AA7" i="4"/>
  <c r="AB6" i="4"/>
  <c r="AA6" i="4"/>
  <c r="AB5" i="4"/>
  <c r="AA5" i="4"/>
  <c r="AB4" i="4"/>
  <c r="AA4" i="4"/>
  <c r="AB3" i="4"/>
  <c r="AA3" i="4"/>
  <c r="R4" i="4"/>
  <c r="R5" i="4"/>
  <c r="R6" i="4"/>
  <c r="R7" i="4"/>
  <c r="R8" i="4"/>
  <c r="R9" i="4"/>
  <c r="R10" i="4"/>
  <c r="R3" i="4"/>
  <c r="Q4" i="4"/>
  <c r="Q5" i="4"/>
  <c r="Q6" i="4"/>
  <c r="Q7" i="4"/>
  <c r="Q8" i="4"/>
  <c r="Q9" i="4"/>
  <c r="Q10" i="4"/>
  <c r="Q3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</calcChain>
</file>

<file path=xl/sharedStrings.xml><?xml version="1.0" encoding="utf-8"?>
<sst xmlns="http://schemas.openxmlformats.org/spreadsheetml/2006/main" count="1034" uniqueCount="127">
  <si>
    <t>FECHA</t>
  </si>
  <si>
    <t>NOMBRE</t>
  </si>
  <si>
    <t>JORNADA</t>
  </si>
  <si>
    <t>SERVICIO</t>
  </si>
  <si>
    <t>HORAS</t>
  </si>
  <si>
    <t>DESCUENTO</t>
  </si>
  <si>
    <t>DEBE</t>
  </si>
  <si>
    <t>COSTO DIA</t>
  </si>
  <si>
    <t>COSTO HH</t>
  </si>
  <si>
    <t>PAGO SD</t>
  </si>
  <si>
    <t>SOLES SUB TOTAL</t>
  </si>
  <si>
    <t>AVILA OBLEA PERCY CARLOS</t>
  </si>
  <si>
    <t>trabaja</t>
  </si>
  <si>
    <t>TECHOS</t>
  </si>
  <si>
    <t>TANQUES</t>
  </si>
  <si>
    <t>descansa</t>
  </si>
  <si>
    <t>dia adicional</t>
  </si>
  <si>
    <t>descanso forzado</t>
  </si>
  <si>
    <t>DOMINICAL</t>
  </si>
  <si>
    <t>TOTAL HORAS</t>
  </si>
  <si>
    <t>AVILA OBLEA JOSE MARIA</t>
  </si>
  <si>
    <t>ZARANDA</t>
  </si>
  <si>
    <t>DNI</t>
  </si>
  <si>
    <t>CARGO</t>
  </si>
  <si>
    <t>SISTEMA</t>
  </si>
  <si>
    <t>HR DE CONTRATO</t>
  </si>
  <si>
    <t>SUELDO</t>
  </si>
  <si>
    <t>TIPO PAGO</t>
  </si>
  <si>
    <t>INFANTES BERMUDEZ JESUS</t>
  </si>
  <si>
    <t>AYUDANTE</t>
  </si>
  <si>
    <t>JORNAL</t>
  </si>
  <si>
    <t>NORMAL</t>
  </si>
  <si>
    <t>PORTILLA FLORES JEAN PIER</t>
  </si>
  <si>
    <t>FLORES ALVA ORLANDO</t>
  </si>
  <si>
    <t>FERNANDEZ DIAZ FRANK</t>
  </si>
  <si>
    <t>OFICIAL</t>
  </si>
  <si>
    <t>GARCIA VIGO IMANOL</t>
  </si>
  <si>
    <t>MECANICO</t>
  </si>
  <si>
    <t>ESPERICUETA CABEL LEONARDO</t>
  </si>
  <si>
    <t>CAMPOS REYES ABRAHAM</t>
  </si>
  <si>
    <t>CABEL ALFARO FERNANDO LUCIO</t>
  </si>
  <si>
    <t>CALDERERO</t>
  </si>
  <si>
    <t>CEPEDA CABALLERO WILLIAM EDUARDO</t>
  </si>
  <si>
    <t>ALVA ARANDA JOHN POOL</t>
  </si>
  <si>
    <t>ZAVALETA GUEVARA LUIS EDUARDO</t>
  </si>
  <si>
    <t>JARA VALENCIA TEOFILO</t>
  </si>
  <si>
    <t>BADO RODRIGUEZ CARLOS</t>
  </si>
  <si>
    <t>ARMADOR</t>
  </si>
  <si>
    <t>SOLDADOR</t>
  </si>
  <si>
    <t>ROMERO CHAVEZ ERICK</t>
  </si>
  <si>
    <t>BORJA ROSALS ABIMAEL ABDIAS</t>
  </si>
  <si>
    <t>LEON CHUNGA JORGE LUIS</t>
  </si>
  <si>
    <t>GRADOS CHOCHABOT JOHNNATAN HERNANDO</t>
  </si>
  <si>
    <t>BAUTISTA RAMIREZ HAROLL</t>
  </si>
  <si>
    <t>URQUIAGA PAREDES DAVID ALEXANDER</t>
  </si>
  <si>
    <t>TRUJILLO SANTOS JOSTIN ESTIWAR</t>
  </si>
  <si>
    <t>BRIONES CALDERON HELMUT ERNEST</t>
  </si>
  <si>
    <t>SALAZAR TINTAYA JOSE ADELIO</t>
  </si>
  <si>
    <t>ESQUIVEL FLORES JONY</t>
  </si>
  <si>
    <t>GUTIERREZ RODRIGUEZ DONICIO PERPETUO</t>
  </si>
  <si>
    <t>VALDEZ MESTANZA JOSE WILSON</t>
  </si>
  <si>
    <t>CABEL PEREDA NOE</t>
  </si>
  <si>
    <t>PELAEZ MOGROVEJO EDU OMAR</t>
  </si>
  <si>
    <t>RUBIÑOS CABRERA LUIS</t>
  </si>
  <si>
    <t>ALDAVE GOICOCHEA DAVID NOE</t>
  </si>
  <si>
    <t>MARIÑOS CRUZ MIGUEL ANGEL</t>
  </si>
  <si>
    <t>ELECTRICISTA</t>
  </si>
  <si>
    <t>FLORES PEREZ JHONATAN</t>
  </si>
  <si>
    <t>REYES LOPEZ JUNIOR FERNANDO</t>
  </si>
  <si>
    <t>MELGAREJO MORALES JULIO JHEFERSON</t>
  </si>
  <si>
    <t>CORPUES TELLO MAYCOL</t>
  </si>
  <si>
    <t>GARCIA PAREDES CARLOS ANDRES</t>
  </si>
  <si>
    <t>ZUÑIGA ABANTO MARCO ANTONIO</t>
  </si>
  <si>
    <t>MARILUZ MENDOZA DUAL ROALDE</t>
  </si>
  <si>
    <t>REYES MAURICIO DAVID</t>
  </si>
  <si>
    <t>COMPRA HORAS</t>
  </si>
  <si>
    <t>AREVALO CALDERON JUAN CARLOS</t>
  </si>
  <si>
    <t>ALVARADO CASTILLO AARON MARIO</t>
  </si>
  <si>
    <t>GONZALES DELGADO ANGEL MARCIAL</t>
  </si>
  <si>
    <t>URQUIZA ASCENCIO JORGE LUIS</t>
  </si>
  <si>
    <t>AGUILAR VASQUEZ GIAN CARLO</t>
  </si>
  <si>
    <t>RAMIREZ ROMERO PAUL</t>
  </si>
  <si>
    <t>CHAVEZ MACO LENIN</t>
  </si>
  <si>
    <t>SUPERVISOR</t>
  </si>
  <si>
    <t>GONSALEZ GONZALES YEISON</t>
  </si>
  <si>
    <t>LOZANO OLIVA LUIS DEIVIN</t>
  </si>
  <si>
    <t>MOYA INGUIL TOSHICO ALBERTO</t>
  </si>
  <si>
    <t>CRUZADO CUBAS MAICOL ALEX</t>
  </si>
  <si>
    <t>BELTRAN GARCIA ROSAS FORTUNATO</t>
  </si>
  <si>
    <t>GARCIA BOBADILLA JUAN CARLOS</t>
  </si>
  <si>
    <t>COTRINA COTRINA VICTOR EDGARDO</t>
  </si>
  <si>
    <t>MANO DE OBRA DIRECTA (MOD)</t>
  </si>
  <si>
    <t>MANO DE OBRA INDIRECTA (MOI)</t>
  </si>
  <si>
    <t>ADMINISTRATIVO</t>
  </si>
  <si>
    <t>INGENIERO</t>
  </si>
  <si>
    <t>GERENTE</t>
  </si>
  <si>
    <t>URBANO RAMOS EDDY</t>
  </si>
  <si>
    <t>MIÑANO ALFARO HECTOR</t>
  </si>
  <si>
    <t>LEIVA ZAVALETA STEVEN</t>
  </si>
  <si>
    <t>LEON LESCANO JAVIER</t>
  </si>
  <si>
    <t>JIMENEZ AZABACHE CAROL</t>
  </si>
  <si>
    <t>HH</t>
  </si>
  <si>
    <t>SERVICIO 2</t>
  </si>
  <si>
    <t>SERVICIO 3</t>
  </si>
  <si>
    <t>SERVICIO 4</t>
  </si>
  <si>
    <t>SERVICIO 5</t>
  </si>
  <si>
    <t>SERVICIO 6</t>
  </si>
  <si>
    <t>SERVICIO 7</t>
  </si>
  <si>
    <t>SERVICIO 8</t>
  </si>
  <si>
    <t>DIA -MES</t>
  </si>
  <si>
    <t>FORMATO SOLO PARA PERSONAL TÉCNICO</t>
  </si>
  <si>
    <t>HORAS TOT.</t>
  </si>
  <si>
    <t>NOMBRE TÉNICO</t>
  </si>
  <si>
    <t>MANTENIMIENTO OLMOS</t>
  </si>
  <si>
    <t>NOMBRE SUPERV.</t>
  </si>
  <si>
    <t>FORMATO SOLO PARA SUPERVISORES</t>
  </si>
  <si>
    <t>HI.</t>
  </si>
  <si>
    <t>HS.</t>
  </si>
  <si>
    <t>ENCHAQUETADO</t>
  </si>
  <si>
    <t>S/. POR DIA</t>
  </si>
  <si>
    <t>FECHA INICIO</t>
  </si>
  <si>
    <t>FECHA FIN</t>
  </si>
  <si>
    <t>PERIODO</t>
  </si>
  <si>
    <t>VIGENCIA</t>
  </si>
  <si>
    <t>CONTROL DE TARIFAS MANO OBRA VARIABLE DIRECTA POR JORNAL</t>
  </si>
  <si>
    <t>CONTROL DE TARIFAS MANO OBRA VARIABLE INDIRECTA POR JORNAL</t>
  </si>
  <si>
    <t>DEBEMOS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</si>
</sst>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S/-280A]\ * #,##0.00_-;\-[$S/-280A]\ * #,##0.00_-;_-[$S/-280A]\ * &quot;-&quot;??_-;_-@_-"/>
    <numFmt numFmtId="165" formatCode="[$S/-280A]\ #,##0.00"/>
    <numFmt numFmtId="169" formatCode="[$-F800]dddd\,\ mmmm\ dd\,\ yyyy"/>
    <numFmt numFmtId="172" formatCode="h:mm\ AM/PM"/>
    <numFmt numFmtId="173" formatCode="0.0"/>
    <numFmt numFmtId="175" formatCode="##\ &quot;Dias&quot;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030A0"/>
        <bgColor theme="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5" tint="0.39997558519241921"/>
      </left>
      <right/>
      <top/>
      <bottom/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5" tint="0.39997558519241921"/>
      </right>
      <top/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1" fillId="0" borderId="0" xfId="0" applyNumberFormat="1" applyFont="1"/>
    <xf numFmtId="2" fontId="0" fillId="0" borderId="0" xfId="0" applyNumberFormat="1"/>
    <xf numFmtId="14" fontId="2" fillId="0" borderId="1" xfId="0" applyNumberFormat="1" applyFont="1" applyBorder="1"/>
    <xf numFmtId="14" fontId="3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4" fontId="0" fillId="2" borderId="1" xfId="0" applyNumberFormat="1" applyFill="1" applyBorder="1"/>
    <xf numFmtId="14" fontId="0" fillId="0" borderId="1" xfId="0" applyNumberFormat="1" applyBorder="1"/>
    <xf numFmtId="14" fontId="0" fillId="0" borderId="0" xfId="0" applyNumberFormat="1"/>
    <xf numFmtId="0" fontId="0" fillId="3" borderId="1" xfId="0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165" fontId="0" fillId="6" borderId="1" xfId="0" applyNumberFormat="1" applyFill="1" applyBorder="1"/>
    <xf numFmtId="0" fontId="0" fillId="3" borderId="2" xfId="0" applyFill="1" applyBorder="1"/>
    <xf numFmtId="2" fontId="0" fillId="3" borderId="2" xfId="0" applyNumberFormat="1" applyFill="1" applyBorder="1"/>
    <xf numFmtId="2" fontId="0" fillId="4" borderId="2" xfId="0" applyNumberFormat="1" applyFill="1" applyBorder="1"/>
    <xf numFmtId="165" fontId="0" fillId="5" borderId="2" xfId="0" applyNumberFormat="1" applyFill="1" applyBorder="1"/>
    <xf numFmtId="165" fontId="0" fillId="4" borderId="2" xfId="0" applyNumberFormat="1" applyFill="1" applyBorder="1"/>
    <xf numFmtId="14" fontId="0" fillId="0" borderId="2" xfId="0" applyNumberFormat="1" applyBorder="1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8" borderId="3" xfId="0" applyFill="1" applyBorder="1"/>
    <xf numFmtId="0" fontId="0" fillId="0" borderId="3" xfId="0" applyBorder="1"/>
    <xf numFmtId="0" fontId="0" fillId="9" borderId="1" xfId="0" applyFont="1" applyFill="1" applyBorder="1" applyAlignment="1">
      <alignment horizontal="left" vertical="center"/>
    </xf>
    <xf numFmtId="164" fontId="0" fillId="9" borderId="1" xfId="0" applyNumberFormat="1" applyFont="1" applyFill="1" applyBorder="1"/>
    <xf numFmtId="164" fontId="0" fillId="0" borderId="1" xfId="0" applyNumberFormat="1" applyFont="1" applyBorder="1"/>
    <xf numFmtId="2" fontId="8" fillId="0" borderId="0" xfId="0" applyNumberFormat="1" applyFont="1" applyAlignment="1">
      <alignment horizontal="centerContinuous" vertical="center"/>
    </xf>
    <xf numFmtId="2" fontId="0" fillId="0" borderId="0" xfId="0" applyNumberForma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4" fillId="7" borderId="5" xfId="0" applyFont="1" applyFill="1" applyBorder="1"/>
    <xf numFmtId="0" fontId="4" fillId="7" borderId="0" xfId="0" applyFont="1" applyFill="1" applyBorder="1"/>
    <xf numFmtId="0" fontId="4" fillId="7" borderId="6" xfId="0" applyFont="1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0" fillId="8" borderId="1" xfId="0" applyFont="1" applyFill="1" applyBorder="1"/>
    <xf numFmtId="164" fontId="0" fillId="8" borderId="1" xfId="0" applyNumberFormat="1" applyFont="1" applyFill="1" applyBorder="1"/>
    <xf numFmtId="0" fontId="0" fillId="12" borderId="1" xfId="0" applyFont="1" applyFill="1" applyBorder="1"/>
    <xf numFmtId="164" fontId="0" fillId="12" borderId="1" xfId="0" applyNumberFormat="1" applyFont="1" applyFill="1" applyBorder="1"/>
    <xf numFmtId="0" fontId="0" fillId="0" borderId="12" xfId="0" applyBorder="1"/>
    <xf numFmtId="0" fontId="5" fillId="0" borderId="9" xfId="0" applyFont="1" applyBorder="1" applyAlignment="1">
      <alignment horizontal="center" vertical="center"/>
    </xf>
    <xf numFmtId="0" fontId="0" fillId="20" borderId="1" xfId="0" applyFill="1" applyBorder="1"/>
    <xf numFmtId="0" fontId="6" fillId="3" borderId="16" xfId="0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17" borderId="16" xfId="0" applyFont="1" applyFill="1" applyBorder="1" applyAlignment="1">
      <alignment horizontal="center" vertical="center"/>
    </xf>
    <xf numFmtId="0" fontId="6" fillId="18" borderId="16" xfId="0" applyFont="1" applyFill="1" applyBorder="1" applyAlignment="1">
      <alignment horizontal="center" vertical="center"/>
    </xf>
    <xf numFmtId="0" fontId="6" fillId="19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6" fillId="21" borderId="16" xfId="0" applyFont="1" applyFill="1" applyBorder="1" applyAlignment="1">
      <alignment horizontal="center" vertical="center"/>
    </xf>
    <xf numFmtId="0" fontId="6" fillId="22" borderId="16" xfId="0" applyFont="1" applyFill="1" applyBorder="1" applyAlignment="1">
      <alignment horizontal="center" vertical="center"/>
    </xf>
    <xf numFmtId="169" fontId="0" fillId="0" borderId="12" xfId="0" applyNumberFormat="1" applyBorder="1"/>
    <xf numFmtId="14" fontId="0" fillId="0" borderId="12" xfId="0" applyNumberFormat="1" applyBorder="1"/>
    <xf numFmtId="172" fontId="0" fillId="0" borderId="12" xfId="0" applyNumberFormat="1" applyBorder="1"/>
    <xf numFmtId="2" fontId="5" fillId="20" borderId="12" xfId="0" applyNumberFormat="1" applyFont="1" applyFill="1" applyBorder="1"/>
    <xf numFmtId="0" fontId="5" fillId="11" borderId="9" xfId="0" applyFont="1" applyFill="1" applyBorder="1" applyAlignment="1">
      <alignment horizontal="center" vertical="center"/>
    </xf>
    <xf numFmtId="0" fontId="4" fillId="23" borderId="9" xfId="0" applyFont="1" applyFill="1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/>
    </xf>
    <xf numFmtId="173" fontId="5" fillId="11" borderId="12" xfId="0" applyNumberFormat="1" applyFont="1" applyFill="1" applyBorder="1"/>
    <xf numFmtId="0" fontId="10" fillId="0" borderId="13" xfId="0" applyFont="1" applyBorder="1" applyAlignment="1">
      <alignment horizontal="centerContinuous" vertical="center"/>
    </xf>
    <xf numFmtId="0" fontId="0" fillId="0" borderId="14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11" fillId="23" borderId="10" xfId="0" applyFont="1" applyFill="1" applyBorder="1" applyAlignment="1">
      <alignment horizontal="center" vertical="center"/>
    </xf>
    <xf numFmtId="0" fontId="11" fillId="23" borderId="12" xfId="0" applyFont="1" applyFill="1" applyBorder="1" applyAlignment="1">
      <alignment horizontal="center" vertical="center"/>
    </xf>
    <xf numFmtId="0" fontId="11" fillId="23" borderId="11" xfId="0" applyFont="1" applyFill="1" applyBorder="1" applyAlignment="1">
      <alignment horizontal="center" vertical="center"/>
    </xf>
    <xf numFmtId="0" fontId="5" fillId="14" borderId="1" xfId="0" applyFont="1" applyFill="1" applyBorder="1"/>
    <xf numFmtId="164" fontId="0" fillId="3" borderId="1" xfId="0" applyNumberFormat="1" applyFill="1" applyBorder="1"/>
    <xf numFmtId="14" fontId="0" fillId="3" borderId="1" xfId="0" applyNumberFormat="1" applyFill="1" applyBorder="1"/>
    <xf numFmtId="175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5" fillId="14" borderId="2" xfId="0" applyFont="1" applyFill="1" applyBorder="1"/>
    <xf numFmtId="164" fontId="0" fillId="3" borderId="2" xfId="0" applyNumberFormat="1" applyFill="1" applyBorder="1"/>
    <xf numFmtId="14" fontId="0" fillId="3" borderId="2" xfId="0" applyNumberFormat="1" applyFill="1" applyBorder="1"/>
    <xf numFmtId="175" fontId="0" fillId="4" borderId="2" xfId="0" applyNumberFormat="1" applyFill="1" applyBorder="1"/>
    <xf numFmtId="0" fontId="0" fillId="4" borderId="2" xfId="0" applyFill="1" applyBorder="1" applyAlignment="1">
      <alignment horizontal="center" vertical="center"/>
    </xf>
    <xf numFmtId="0" fontId="4" fillId="13" borderId="7" xfId="0" applyFont="1" applyFill="1" applyBorder="1"/>
    <xf numFmtId="0" fontId="4" fillId="13" borderId="4" xfId="0" applyFont="1" applyFill="1" applyBorder="1"/>
    <xf numFmtId="0" fontId="4" fillId="13" borderId="8" xfId="0" applyFont="1" applyFill="1" applyBorder="1"/>
    <xf numFmtId="0" fontId="7" fillId="24" borderId="0" xfId="0" applyNumberFormat="1" applyFont="1" applyFill="1" applyAlignment="1">
      <alignment horizontal="centerContinuous" vertical="center"/>
    </xf>
    <xf numFmtId="0" fontId="7" fillId="15" borderId="0" xfId="0" applyNumberFormat="1" applyFont="1" applyFill="1" applyAlignment="1">
      <alignment horizontal="centerContinuous" vertical="center"/>
    </xf>
  </cellXfs>
  <cellStyles count="1">
    <cellStyle name="Normal" xfId="0" builtinId="0"/>
  </cellStyles>
  <dxfs count="207">
    <dxf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rgb="FFFF7C8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rgb="FFCCFFCC"/>
        </patternFill>
      </fill>
    </dxf>
    <dxf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rgb="FFFF7C8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rgb="FFCCFFCC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rgb="FFFF7C8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rgb="FFCCFFCC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rgb="FFFF7C8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rgb="FFCCFFCC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rgb="FFFF7C8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rgb="FFCCFFCC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rgb="FFFF7C8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rgb="FFCCFFCC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rgb="FFFF7C80"/>
        </patternFill>
      </fill>
    </dxf>
    <dxf>
      <font>
        <b/>
        <i val="0"/>
      </font>
      <fill>
        <patternFill>
          <bgColor rgb="FFFF9999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rgb="FFCCFFCC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rgb="FFFF7C8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rgb="FFFF0000"/>
        </patternFill>
      </fill>
    </dxf>
    <dxf>
      <numFmt numFmtId="165" formatCode="[$S/-280A]\ 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S/-280A]\ 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rgb="FF7030A0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S/-280A]\ * #,##0.00_-;\-[$S/-280A]\ * #,##0.00_-;_-[$S/-280A]\ * &quot;-&quot;??_-;_-@_-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S/-280A]\ * #,##0.00_-;\-[$S/-280A]\ * #,##0.00_-;_-[$S/-280A]\ * &quot;-&quot;??_-;_-@_-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S/-280A]\ * #,##0.00_-;\-[$S/-280A]\ * #,##0.00_-;_-[$S/-280A]\ * &quot;-&quot;??_-;_-@_-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S/-280A]\ * #,##0.00_-;\-[$S/-280A]\ * #,##0.00_-;_-[$S/-280A]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ck">
          <color theme="0"/>
        </bottom>
      </border>
    </dxf>
    <dxf>
      <border outline="0">
        <top style="thin">
          <color theme="5" tint="0.39997558519241921"/>
        </top>
      </border>
    </dxf>
    <dxf>
      <numFmt numFmtId="165" formatCode="[$S/-280A]\ #,##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##\ &quot;Dias&quot;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S/-280A]\ * #,##0.00_-;\-[$S/-280A]\ * #,##0.00_-;_-[$S/-280A]\ * &quot;-&quot;??_-;_-@_-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S/-280A]\ * #,##0.00_-;\-[$S/-280A]\ * #,##0.00_-;_-[$S/-280A]\ * &quot;-&quot;??_-;_-@_-"/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S/-280A]\ * #,##0.00_-;\-[$S/-280A]\ * #,##0.00_-;_-[$S/-28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S/-280A]\ #,##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S/-280A]\ #,##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S/-280A]\ #,##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##\ &quot;Dias&quot;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S/-280A]\ * #,##0.00_-;\-[$S/-280A]\ * #,##0.00_-;_-[$S/-280A]\ * &quot;-&quot;??_-;_-@_-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S/-280A]\ * #,##0.00_-;\-[$S/-280A]\ * #,##0.00_-;_-[$S/-280A]\ * &quot;-&quot;??_-;_-@_-"/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S/-280A]\ * #,##0.00_-;\-[$S/-280A]\ * #,##0.00_-;_-[$S/-28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S/-280A]\ #,##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S/-280A]\ #,##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S/-280A]\ * #,##0.00_-;\-[$S/-280A]\ * #,##0.00_-;_-[$S/-280A]\ * &quot;-&quot;??_-;_-@_-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S/-280A]\ * #,##0.00_-;\-[$S/-280A]\ * #,##0.00_-;_-[$S/-280A]\ * &quot;-&quot;??_-;_-@_-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S/-280A]\ * #,##0.00_-;\-[$S/-280A]\ * #,##0.00_-;_-[$S/-280A]\ * &quot;-&quot;??_-;_-@_-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S/-280A]\ * #,##0.00_-;\-[$S/-280A]\ * #,##0.00_-;_-[$S/-280A]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bottom style="thin">
          <color theme="5" tint="0.39997558519241921"/>
        </bottom>
      </border>
    </dxf>
    <dxf>
      <border outline="0">
        <top style="thin">
          <color theme="5" tint="0.39997558519241921"/>
        </top>
      </border>
    </dxf>
    <dxf>
      <numFmt numFmtId="164" formatCode="_-[$S/-280A]\ * #,##0.00_-;\-[$S/-280A]\ * #,##0.00_-;_-[$S/-28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S/-280A]\ * #,##0.00_-;\-[$S/-280A]\ * #,##0.00_-;_-[$S/-28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S/-280A]\ * #,##0.00_-;\-[$S/-280A]\ * #,##0.00_-;_-[$S/-28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S/-280A]\ * #,##0.00_-;\-[$S/-280A]\ * #,##0.00_-;_-[$S/-28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S/-280A]\ * #,##0.00_-;\-[$S/-280A]\ * #,##0.00_-;_-[$S/-280A]\ * &quot;-&quot;??_-;_-@_-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FFCC"/>
      <color rgb="FFFF9999"/>
      <color rgb="FF99FFCC"/>
      <color rgb="FFCCFF99"/>
      <color rgb="FFFFFF66"/>
      <color rgb="FF3399FF"/>
      <color rgb="FFFF7C8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60BFAF-FAAE-4316-BB5C-BFD6AAD1D28B}" name="BD_MOVD" displayName="BD_MOVD" ref="A2:I48" totalsRowShown="0">
  <autoFilter ref="A2:I48" xr:uid="{3960BFAF-FAAE-4316-BB5C-BFD6AAD1D28B}"/>
  <tableColumns count="9">
    <tableColumn id="1" xr3:uid="{4CE95859-3EDC-4688-B3A5-FAEAD7F471AC}" name="NOMBRE" dataDxfId="206"/>
    <tableColumn id="10" xr3:uid="{BF40ADDC-7A4C-4D1A-8F91-1F1F3CE21D48}" name="DNI" dataDxfId="205"/>
    <tableColumn id="2" xr3:uid="{5CF6C337-6447-4959-A644-19A89F1F3978}" name="CARGO" dataDxfId="204"/>
    <tableColumn id="4" xr3:uid="{AA3D339E-1128-4956-89DF-7151298C52C9}" name="SISTEMA" dataDxfId="203"/>
    <tableColumn id="8" xr3:uid="{3523FF4F-3754-4781-A0F6-2216262D1B41}" name="HR DE CONTRATO" dataDxfId="202"/>
    <tableColumn id="6" xr3:uid="{C6D6899F-61A8-4E13-BF28-5357A1D3A308}" name="COSTO DIA" dataDxfId="201"/>
    <tableColumn id="12" xr3:uid="{4A700EE8-D533-45E9-AAD4-D5D26F7C0751}" name="SUELDO" dataDxfId="200">
      <calculatedColumnFormula>IF(BD_MOVD[[#This Row],[SISTEMA]]="SUELDO",BD_MOVD[[#This Row],[COSTO DIA]]*30,0)</calculatedColumnFormula>
    </tableColumn>
    <tableColumn id="7" xr3:uid="{02EF6CEA-1AD9-4702-BCD5-A53B18332DCB}" name="COSTO HH" dataDxfId="199">
      <calculatedColumnFormula>IFERROR(BD_MOVD[[#This Row],[COSTO DIA]]/BD_MOVD[[#This Row],[HR DE CONTRATO]],0)</calculatedColumnFormula>
    </tableColumn>
    <tableColumn id="11" xr3:uid="{54E56F33-AE72-4E20-8EBF-23EC0B99C2A3}" name="TIPO PAGO" dataDxfId="19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034BE8-439A-4F27-A1CF-E52BB7C55160}" name="BD_MOVI" displayName="BD_MOVI" ref="K2:S10" totalsRowShown="0" headerRowDxfId="194" dataDxfId="195" headerRowBorderDxfId="196" tableBorderDxfId="197">
  <autoFilter ref="K2:S10" xr:uid="{A5034BE8-439A-4F27-A1CF-E52BB7C55160}"/>
  <tableColumns count="9">
    <tableColumn id="1" xr3:uid="{2840DB1B-6BDF-429F-A3EA-FA05F59B1A81}" name="NOMBRE" dataDxfId="193"/>
    <tableColumn id="2" xr3:uid="{07A8C2CC-782C-4F2D-ABD2-DBD1BD134E33}" name="DNI" dataDxfId="192"/>
    <tableColumn id="3" xr3:uid="{4DF23B7B-D71C-43F5-A9C1-78CC2F63B94E}" name="CARGO" dataDxfId="191"/>
    <tableColumn id="4" xr3:uid="{471C0459-20BC-4FD4-B0D6-3430B667BC4B}" name="SISTEMA" dataDxfId="190"/>
    <tableColumn id="5" xr3:uid="{CFD83E75-F8B1-4001-BB22-293545B49BB6}" name="HR DE CONTRATO" dataDxfId="189"/>
    <tableColumn id="6" xr3:uid="{133C7E98-4603-44F6-A0CD-D6E60BB4983F}" name="COSTO DIA" dataDxfId="188"/>
    <tableColumn id="7" xr3:uid="{6685121C-E020-49E5-A852-BDCE9D6910D1}" name="SUELDO" dataDxfId="187">
      <calculatedColumnFormula>P3*30</calculatedColumnFormula>
    </tableColumn>
    <tableColumn id="8" xr3:uid="{B7157D07-BAB2-4B86-8FF8-A737F84BE06C}" name="COSTO HH" dataDxfId="186">
      <calculatedColumnFormula>P3/O3</calculatedColumnFormula>
    </tableColumn>
    <tableColumn id="9" xr3:uid="{B8A4CC30-D9C2-47F0-ABF2-B26986C837F6}" name="TIPO PAGO" dataDxfId="185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9DF1D84-9E78-4452-A5DE-56C879B93747}" name="BD_ADMINIS" displayName="BD_ADMINIS" ref="U2:AC7" totalsRowShown="0" headerRowDxfId="114" dataDxfId="115" headerRowBorderDxfId="125" tableBorderDxfId="126">
  <autoFilter ref="U2:AC7" xr:uid="{89DF1D84-9E78-4452-A5DE-56C879B93747}"/>
  <tableColumns count="9">
    <tableColumn id="1" xr3:uid="{3B541C43-0A99-4896-96DC-29036380CBB8}" name="NOMBRE" dataDxfId="124"/>
    <tableColumn id="2" xr3:uid="{7BDF3288-E08A-4B77-9190-18257E210EBF}" name="DNI" dataDxfId="123"/>
    <tableColumn id="3" xr3:uid="{1E1A2E17-3380-4D32-AB9D-BDFE0325CEDD}" name="CARGO" dataDxfId="122"/>
    <tableColumn id="4" xr3:uid="{6C7EC1E3-FD63-4B37-A20E-6592D051C59E}" name="SISTEMA" dataDxfId="121"/>
    <tableColumn id="5" xr3:uid="{4B938199-3883-48EB-8389-24641E2FC328}" name="HR DE CONTRATO" dataDxfId="120"/>
    <tableColumn id="6" xr3:uid="{B5A29414-145D-46D2-AE79-7B9483D36B85}" name="COSTO DIA" dataDxfId="119"/>
    <tableColumn id="7" xr3:uid="{57197609-C8A5-486D-85C7-52EF6FFAC75B}" name="SUELDO" dataDxfId="118">
      <calculatedColumnFormula>Z3*30</calculatedColumnFormula>
    </tableColumn>
    <tableColumn id="8" xr3:uid="{5DF65C45-1E90-48A2-8916-6B4122278836}" name="COSTO HH" dataDxfId="117">
      <calculatedColumnFormula>Z3/Y3</calculatedColumnFormula>
    </tableColumn>
    <tableColumn id="9" xr3:uid="{116AE46A-23C4-45CE-8313-CC9ED5E67758}" name="TIPO PAGO" dataDxfId="1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4DEBAC-C4AB-4CD4-A3D3-9881470F1182}" name="MOVD_Jornal" displayName="MOVD_Jornal" ref="A1:H49" totalsRowShown="0">
  <autoFilter ref="A1:H49" xr:uid="{BF4DEBAC-C4AB-4CD4-A3D3-9881470F1182}"/>
  <sortState xmlns:xlrd2="http://schemas.microsoft.com/office/spreadsheetml/2017/richdata2" ref="A2:H49">
    <sortCondition ref="A1:A42"/>
  </sortState>
  <tableColumns count="8">
    <tableColumn id="1" xr3:uid="{17274454-B42A-4AB0-A173-D3F28C232D17}" name="FECHA" dataDxfId="184"/>
    <tableColumn id="2" xr3:uid="{F02986DF-2E8F-4B64-A17B-895D34C01A21}" name="NOMBRE" dataDxfId="183"/>
    <tableColumn id="3" xr3:uid="{B1758AEF-7866-40A1-B712-0AA8F9F70F78}" name="SERVICIO" dataDxfId="182"/>
    <tableColumn id="4" xr3:uid="{FB89D8C8-9A4A-4010-B5CE-0F8010727828}" name="HORAS" dataDxfId="181"/>
    <tableColumn id="5" xr3:uid="{F9B31334-EF44-4F31-826D-DF9E75C387EC}" name="DOMINICAL" dataDxfId="180">
      <calculatedColumnFormula>(8/48)*MOVD_Jornal[[#This Row],[HORAS]]</calculatedColumnFormula>
    </tableColumn>
    <tableColumn id="6" xr3:uid="{B7FC0467-A90D-443B-B365-152EB22CE062}" name="TOTAL HORAS" dataDxfId="179">
      <calculatedColumnFormula>SUM(MOVD_Jornal[[#This Row],[HORAS]:[DOMINICAL]])</calculatedColumnFormula>
    </tableColumn>
    <tableColumn id="7" xr3:uid="{E4F846C3-0ABA-4342-8BAE-7D3F40EC7F41}" name="COSTO HH" dataDxfId="178"/>
    <tableColumn id="8" xr3:uid="{14DA23D1-D0DD-4491-99FE-4DD0844B974C}" name="SOLES SUB TOTAL" dataDxfId="177">
      <calculatedColumnFormula>MOVD_Jornal[[#This Row],[TOTAL HORAS]]*MOVD_Jornal[[#This Row],[COSTO HH]]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13E61B-69F5-4B82-998B-52B52F3C2B6F}" name="MOVD_Sueldo" displayName="MOVD_Sueldo" ref="U1:AF63" totalsRowShown="0">
  <autoFilter ref="U1:AF63" xr:uid="{E813E61B-69F5-4B82-998B-52B52F3C2B6F}"/>
  <tableColumns count="12">
    <tableColumn id="2" xr3:uid="{05205748-4F1E-41BA-8010-15443A79ED3F}" name="FECHA" dataDxfId="176"/>
    <tableColumn id="13" xr3:uid="{0FC29CE9-5E2B-4423-8445-6C6FB4BFB66B}" name="NOMBRE" dataDxfId="175"/>
    <tableColumn id="3" xr3:uid="{2FECA506-C6B9-4686-8ECF-478C83181FE7}" name="JORNADA" dataDxfId="174"/>
    <tableColumn id="7" xr3:uid="{13A203E1-D832-4935-9A0E-639E1C7FDED3}" name="SERVICIO" dataDxfId="173"/>
    <tableColumn id="4" xr3:uid="{1FC994DE-F1C4-4502-AE31-9936B396334B}" name="HORAS" dataDxfId="172"/>
    <tableColumn id="5" xr3:uid="{1F750C24-0DD9-40CF-9736-67988F8BAA3B}" name="DESCUENTO" dataDxfId="171">
      <calculatedColumnFormula>IF(AND(WEEKDAY(U2,2)&lt;&gt; 7,W2="trabaja"),Y2-(10/COUNTIFS(MOVD_Sueldo[FECHA],MOVD_Sueldo[[#This Row],[FECHA]],MOVD_Sueldo[NOMBRE],MOVD_Sueldo[[#This Row],[NOMBRE]])),IF(WEEKDAY(U2,2)= 7,0,0))</calculatedColumnFormula>
    </tableColumn>
    <tableColumn id="6" xr3:uid="{68F2384C-091F-416A-820C-CEC319282377}" name="DEBE" dataDxfId="110">
      <calculatedColumnFormula>IF(AND(W2="descanso forzado",WEEKDAY(U2,2)&lt;&gt;7),10,0)</calculatedColumnFormula>
    </tableColumn>
    <tableColumn id="8" xr3:uid="{223D7462-20C8-4CD6-B1B4-3A0A6264CDBF}" name="DEBEMOS" dataDxfId="111">
      <calculatedColumnFormula>IF(AND(W2="dia adicional",WEEKDAY(U2,2)&lt;&gt;7),10,0)</calculatedColumnFormula>
    </tableColumn>
    <tableColumn id="1" xr3:uid="{BA316347-6967-4670-A4C5-4F40AEB7CA3B}" name="COSTO DIA" dataDxfId="112">
      <calculatedColumnFormula>VLOOKUP(MOVD_Sueldo[[#This Row],[NOMBRE]],BD_MOVD[],6,0)/COUNTIFS(MOVD_Sueldo[FECHA],MOVD_Sueldo[[#This Row],[FECHA]],MOVD_Sueldo[NOMBRE],MOVD_Sueldo[[#This Row],[NOMBRE]])</calculatedColumnFormula>
    </tableColumn>
    <tableColumn id="10" xr3:uid="{8C0427B9-0420-457A-859B-0B0A2319B906}" name="COSTO HH" dataDxfId="170">
      <calculatedColumnFormula>(MOVD_Sueldo[[#This Row],[COSTO DIA]]*30)/240*COUNTIFS(MOVD_Sueldo[FECHA],MOVD_Sueldo[[#This Row],[FECHA]],MOVD_Sueldo[NOMBRE],MOVD_Sueldo[[#This Row],[NOMBRE]])</calculatedColumnFormula>
    </tableColumn>
    <tableColumn id="11" xr3:uid="{55408563-2491-4AF9-AEB2-434DBAD408E2}" name="PAGO SD" dataDxfId="169">
      <calculatedColumnFormula>(MOVD_Sueldo[[#This Row],[COSTO DIA]]*30)/DAY(EOMONTH(U2,0))</calculatedColumnFormula>
    </tableColumn>
    <tableColumn id="12" xr3:uid="{A3CC4161-78AA-4A24-BFED-C58D0F635DEC}" name="SOLES SUB TOTAL" dataDxfId="168">
      <calculatedColumnFormula>IF(W2&lt;&gt; "descanso forzado",AE2+Z2*AD2,AE2)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C6E00-6745-4695-A80C-12D58C9A052B}" name="MOVD_ControlJornal" displayName="MOVD_ControlJornal" ref="K2:R41" totalsRowShown="0" headerRowDxfId="167" dataDxfId="166" headerRowBorderDxfId="164" tableBorderDxfId="165" totalsRowBorderDxfId="163">
  <autoFilter ref="K2:R41" xr:uid="{4DEC6E00-6745-4695-A80C-12D58C9A052B}"/>
  <sortState xmlns:xlrd2="http://schemas.microsoft.com/office/spreadsheetml/2017/richdata2" ref="K3:Q40">
    <sortCondition ref="K2:K40"/>
  </sortState>
  <tableColumns count="8">
    <tableColumn id="1" xr3:uid="{686A2D33-C467-4B72-81C2-38EF9AB408CA}" name="NOMBRE" dataDxfId="162"/>
    <tableColumn id="13" xr3:uid="{99324B5A-ED6E-4B4C-80F1-2A40AE7E7E74}" name="S/. POR DIA" dataDxfId="161"/>
    <tableColumn id="11" xr3:uid="{A1105707-47AB-445C-8EF0-F0F8BF538A65}" name="FECHA INICIO" dataDxfId="160"/>
    <tableColumn id="10" xr3:uid="{D86F3182-BBEA-4F51-958C-E77B43F23961}" name="FECHA FIN" dataDxfId="159"/>
    <tableColumn id="5" xr3:uid="{C4DF9716-8BEC-4892-B388-176FB477CD93}" name="PERIODO" dataDxfId="158">
      <calculatedColumnFormula>MOVD_ControlJornal[[#This Row],[FECHA FIN]]-MOVD_ControlJornal[[#This Row],[FECHA INICIO]]+1</calculatedColumnFormula>
    </tableColumn>
    <tableColumn id="12" xr3:uid="{CB3D91F5-3128-41AE-92BA-5008F9789D51}" name="VIGENCIA" dataDxfId="157">
      <calculatedColumnFormula>IF(MOVD_ControlJornal[[#This Row],[PERIODO]]&gt;=364,"ANUAL", IF(MOVD_ControlJornal[[#This Row],[PERIODO]]&gt;=1,"POR DIAS","PASADO"))</calculatedColumnFormula>
    </tableColumn>
    <tableColumn id="6" xr3:uid="{CF871188-BF51-4C7B-A2F4-3F4F534EE039}" name="COSTO HH" dataDxfId="156">
      <calculatedColumnFormula>MOVD_ControlJornal[[#This Row],[S/. POR DIA]]/8</calculatedColumnFormula>
    </tableColumn>
    <tableColumn id="3" xr3:uid="{4C6DBD64-5054-4EA7-92A2-B172CE81C50A}" name="TIPO PAGO" dataDxfId="113">
      <calculatedColumnFormula>VLOOKUP(MOVD_ControlJornal[[#This Row],[NOMBRE]],BD_MOVD[],9,0)</calculatedColumnFormula>
    </tableColumn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C72ACD-5316-4F9B-A325-7668156BBB6F}" name="MOVI_Jornal" displayName="MOVI_Jornal" ref="A1:H49" totalsRowShown="0">
  <autoFilter ref="A1:H49" xr:uid="{A8C72ACD-5316-4F9B-A325-7668156BBB6F}"/>
  <sortState xmlns:xlrd2="http://schemas.microsoft.com/office/spreadsheetml/2017/richdata2" ref="A2:H49">
    <sortCondition ref="A1:A42"/>
  </sortState>
  <tableColumns count="8">
    <tableColumn id="1" xr3:uid="{EAC70AAD-6B26-41FF-9E61-6A44835035CC}" name="FECHA" dataDxfId="155"/>
    <tableColumn id="2" xr3:uid="{155E3822-DC04-4D02-A3E2-78AF9C1B2110}" name="NOMBRE" dataDxfId="154"/>
    <tableColumn id="3" xr3:uid="{87E80F4E-7A7B-43E0-9E0F-9B458EDB8FC3}" name="SERVICIO" dataDxfId="153"/>
    <tableColumn id="4" xr3:uid="{8EDDEC2C-FDB0-439C-BF6B-1C7CFD0DA40F}" name="HORAS" dataDxfId="152"/>
    <tableColumn id="5" xr3:uid="{A6C48088-457F-4D53-B434-A5FBD06D5A37}" name="DOMINICAL" dataDxfId="151">
      <calculatedColumnFormula>(8/48)*MOVI_Jornal[[#This Row],[HORAS]]</calculatedColumnFormula>
    </tableColumn>
    <tableColumn id="6" xr3:uid="{7A4A22B3-6813-4AF5-9C30-4FB6278C7019}" name="TOTAL HORAS" dataDxfId="150">
      <calculatedColumnFormula>SUM(MOVI_Jornal[[#This Row],[HORAS]:[DOMINICAL]])</calculatedColumnFormula>
    </tableColumn>
    <tableColumn id="7" xr3:uid="{57723C0E-A075-4D21-ABFA-0EDE6C75304C}" name="COSTO HH" dataDxfId="149"/>
    <tableColumn id="8" xr3:uid="{A087FC92-F49F-4B42-9E4D-1092E505CBF1}" name="SOLES SUB TOTAL" dataDxfId="148">
      <calculatedColumnFormula>MOVI_Jornal[[#This Row],[TOTAL HORAS]]*MOVI_Jornal[[#This Row],[COSTO HH]]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135DEB4-227A-48FB-9E77-524C35ABC80D}" name="MOVI_Sueldo" displayName="MOVI_Sueldo" ref="U1:AF63" totalsRowShown="0">
  <autoFilter ref="U1:AF63" xr:uid="{F135DEB4-227A-48FB-9E77-524C35ABC80D}"/>
  <tableColumns count="12">
    <tableColumn id="2" xr3:uid="{219C50BE-ADDB-4A04-86AA-F3F50EB939AB}" name="FECHA" dataDxfId="147"/>
    <tableColumn id="13" xr3:uid="{8E1E6BFE-5980-40CF-B63F-D8E8BFE003C4}" name="NOMBRE" dataDxfId="146"/>
    <tableColumn id="3" xr3:uid="{5A95F388-9C1D-4AFD-9546-A9E26DD554AF}" name="JORNADA" dataDxfId="145"/>
    <tableColumn id="7" xr3:uid="{DBFD33AD-3975-4645-A1CE-C5AF4B1F5DC3}" name="SERVICIO" dataDxfId="144"/>
    <tableColumn id="4" xr3:uid="{3C4B7837-9279-45AA-8386-58404F7B9619}" name="HORAS" dataDxfId="143"/>
    <tableColumn id="5" xr3:uid="{9EA1EAF9-E8C0-4FE3-B640-6727C30475E0}" name="DESCUENTO" dataDxfId="142">
      <calculatedColumnFormula>IF(AND(WEEKDAY(U2,2)&lt;&gt; 7,W2="trabaja"),Y2-(10/COUNTIFS(MOVI_Sueldo[FECHA],MOVI_Sueldo[[#This Row],[FECHA]],MOVI_Sueldo[NOMBRE],MOVI_Sueldo[[#This Row],[NOMBRE]])),IF(WEEKDAY(U2,2)= 7,0,0))</calculatedColumnFormula>
    </tableColumn>
    <tableColumn id="6" xr3:uid="{A94CD0BB-73DB-4589-A575-BC5BCED2550C}" name="DEBE" dataDxfId="77">
      <calculatedColumnFormula>IF(AND(W2="descanso forzado",WEEKDAY(U2,2)&lt;&gt;7),10,0)</calculatedColumnFormula>
    </tableColumn>
    <tableColumn id="8" xr3:uid="{EC71C457-667B-4028-8745-0B8E7E08502B}" name="DEBEMOS" dataDxfId="76">
      <calculatedColumnFormula>IF(AND(W2="dia adicional",WEEKDAY(U2,2)&lt;&gt;7),10,0)</calculatedColumnFormula>
    </tableColumn>
    <tableColumn id="1" xr3:uid="{C3C344F7-0646-4304-BBB7-827D9B5D8F19}" name="COSTO DIA" dataDxfId="103">
      <calculatedColumnFormula>VLOOKUP(MOVI_Sueldo[[#This Row],[NOMBRE]],BD_MOVI[],6,0)/COUNTIFS(MOVI_Sueldo[FECHA],MOVI_Sueldo[[#This Row],[FECHA]],MOVI_Sueldo[NOMBRE],MOVI_Sueldo[[#This Row],[NOMBRE]])</calculatedColumnFormula>
    </tableColumn>
    <tableColumn id="10" xr3:uid="{B9076BCE-2987-439B-8E92-89FF739B7069}" name="COSTO HH" dataDxfId="141">
      <calculatedColumnFormula>(MOVI_Sueldo[[#This Row],[COSTO DIA]]*30)/240*COUNTIFS(MOVI_Sueldo[FECHA],MOVI_Sueldo[[#This Row],[FECHA]],MOVI_Sueldo[NOMBRE],MOVI_Sueldo[[#This Row],[NOMBRE]])</calculatedColumnFormula>
    </tableColumn>
    <tableColumn id="11" xr3:uid="{7CA148A9-C19C-4872-A419-B4354E1C3CA9}" name="PAGO SD" dataDxfId="140">
      <calculatedColumnFormula>(MOVI_Sueldo[[#This Row],[COSTO DIA]]*30)/DAY(EOMONTH(U2,0))</calculatedColumnFormula>
    </tableColumn>
    <tableColumn id="12" xr3:uid="{897B54F0-5855-4A51-B581-453CEFD6E2C1}" name="SOLES SUB TOTAL" dataDxfId="139">
      <calculatedColumnFormula>IF(W2&lt;&gt; "descanso forzado",AE2+Z2*AD2,AE2)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7B76D7-E31F-4BC4-B37C-E89EBEFBB4B8}" name="MOVI_ControlJornal" displayName="MOVI_ControlJornal" ref="K2:R9" totalsRowShown="0" headerRowDxfId="138" dataDxfId="137" headerRowBorderDxfId="135" tableBorderDxfId="136" totalsRowBorderDxfId="134">
  <autoFilter ref="K2:R9" xr:uid="{2E7B76D7-E31F-4BC4-B37C-E89EBEFBB4B8}"/>
  <sortState xmlns:xlrd2="http://schemas.microsoft.com/office/spreadsheetml/2017/richdata2" ref="K3:Q9">
    <sortCondition ref="K2:K9"/>
  </sortState>
  <tableColumns count="8">
    <tableColumn id="1" xr3:uid="{463E9898-62C1-4780-982E-18C6327E438F}" name="NOMBRE" dataDxfId="133"/>
    <tableColumn id="13" xr3:uid="{BB72BC0E-D468-4061-B181-0056FA66FB0D}" name="S/. POR DIA" dataDxfId="132"/>
    <tableColumn id="11" xr3:uid="{1FA19241-E2A1-4F5C-BF02-C077E5E046C7}" name="FECHA INICIO" dataDxfId="131"/>
    <tableColumn id="10" xr3:uid="{FE075035-3ECE-4003-B172-CE0DBC6EBFE6}" name="FECHA FIN" dataDxfId="130"/>
    <tableColumn id="5" xr3:uid="{EB59C9BC-944C-43F6-93A3-5D9CB83664FB}" name="PERIODO" dataDxfId="129">
      <calculatedColumnFormula>MOVI_ControlJornal[[#This Row],[FECHA FIN]]-MOVI_ControlJornal[[#This Row],[FECHA INICIO]]+1</calculatedColumnFormula>
    </tableColumn>
    <tableColumn id="12" xr3:uid="{F8DF7857-5C35-486E-831C-80A946D052C1}" name="VIGENCIA" dataDxfId="128">
      <calculatedColumnFormula>IF(MOVI_ControlJornal[[#This Row],[PERIODO]]&gt;=364,"ANUAL", IF(MOVI_ControlJornal[[#This Row],[PERIODO]]&gt;=1,"POR DIAS","PASADO"))</calculatedColumnFormula>
    </tableColumn>
    <tableColumn id="6" xr3:uid="{B9F3BF15-C363-4E11-B21D-6D4F3D2FCC8D}" name="COSTO HH" dataDxfId="127">
      <calculatedColumnFormula>MOVI_ControlJornal[[#This Row],[S/. POR DIA]]/8</calculatedColumnFormula>
    </tableColumn>
    <tableColumn id="3" xr3:uid="{074B5E8C-0BB5-4F63-9607-8FD54683CD7C}" name="TIPO PAGO" dataDxfId="109">
      <calculatedColumnFormula>VLOOKUP(MOVI_ControlJornal[[#This Row],[NOMBRE]],BD_MOVI[],9,0)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1897-44A8-45B7-B5D1-CB9A8A21F358}">
  <sheetPr codeName="Hoja2"/>
  <dimension ref="A1:AC48"/>
  <sheetViews>
    <sheetView topLeftCell="F1" workbookViewId="0">
      <selection activeCell="K10" sqref="K10"/>
    </sheetView>
  </sheetViews>
  <sheetFormatPr baseColWidth="10" defaultRowHeight="14.4" x14ac:dyDescent="0.3"/>
  <cols>
    <col min="1" max="1" width="40.44140625" bestFit="1" customWidth="1"/>
    <col min="2" max="2" width="9" bestFit="1" customWidth="1"/>
    <col min="3" max="3" width="12.33203125" bestFit="1" customWidth="1"/>
    <col min="4" max="4" width="10.77734375" bestFit="1" customWidth="1"/>
    <col min="5" max="5" width="18.109375" bestFit="1" customWidth="1"/>
    <col min="6" max="6" width="12.44140625" bestFit="1" customWidth="1"/>
    <col min="7" max="7" width="11.44140625" bestFit="1" customWidth="1"/>
    <col min="8" max="8" width="11.88671875" bestFit="1" customWidth="1"/>
    <col min="9" max="9" width="15.77734375" bestFit="1" customWidth="1"/>
    <col min="11" max="11" width="32.33203125" bestFit="1" customWidth="1"/>
    <col min="12" max="12" width="9" bestFit="1" customWidth="1"/>
    <col min="13" max="13" width="11.33203125" bestFit="1" customWidth="1"/>
    <col min="14" max="14" width="10.77734375" bestFit="1" customWidth="1"/>
    <col min="15" max="15" width="18.109375" bestFit="1" customWidth="1"/>
    <col min="16" max="16" width="12.44140625" bestFit="1" customWidth="1"/>
    <col min="17" max="17" width="11.44140625" bestFit="1" customWidth="1"/>
    <col min="18" max="18" width="11.88671875" bestFit="1" customWidth="1"/>
    <col min="19" max="19" width="15.77734375" bestFit="1" customWidth="1"/>
    <col min="21" max="21" width="23.44140625" bestFit="1" customWidth="1"/>
    <col min="22" max="22" width="15.5546875" bestFit="1" customWidth="1"/>
    <col min="23" max="23" width="12.44140625" bestFit="1" customWidth="1"/>
    <col min="24" max="24" width="10.44140625" customWidth="1"/>
    <col min="25" max="25" width="17.77734375" customWidth="1"/>
    <col min="26" max="26" width="12.109375" customWidth="1"/>
    <col min="27" max="27" width="12.44140625" bestFit="1" customWidth="1"/>
    <col min="28" max="28" width="11.5546875" customWidth="1"/>
    <col min="29" max="29" width="12.21875" customWidth="1"/>
  </cols>
  <sheetData>
    <row r="1" spans="1:29" ht="21" x14ac:dyDescent="0.3">
      <c r="A1" s="30" t="s">
        <v>91</v>
      </c>
      <c r="B1" s="31"/>
      <c r="C1" s="31"/>
      <c r="D1" s="31"/>
      <c r="E1" s="31"/>
      <c r="F1" s="31"/>
      <c r="G1" s="31"/>
      <c r="H1" s="31"/>
      <c r="I1" s="31"/>
      <c r="K1" s="32" t="s">
        <v>92</v>
      </c>
      <c r="L1" s="33"/>
      <c r="M1" s="33"/>
      <c r="N1" s="33"/>
      <c r="O1" s="33"/>
      <c r="P1" s="33"/>
      <c r="Q1" s="33"/>
      <c r="R1" s="33"/>
      <c r="S1" s="33"/>
      <c r="U1" s="32" t="s">
        <v>93</v>
      </c>
      <c r="V1" s="32"/>
      <c r="W1" s="32"/>
      <c r="X1" s="32"/>
      <c r="Y1" s="32"/>
      <c r="Z1" s="32"/>
      <c r="AA1" s="32"/>
      <c r="AB1" s="32"/>
      <c r="AC1" s="32"/>
    </row>
    <row r="2" spans="1:29" ht="15" thickBot="1" x14ac:dyDescent="0.35">
      <c r="A2" t="s">
        <v>1</v>
      </c>
      <c r="B2" t="s">
        <v>22</v>
      </c>
      <c r="C2" t="s">
        <v>23</v>
      </c>
      <c r="D2" t="s">
        <v>24</v>
      </c>
      <c r="E2" t="s">
        <v>25</v>
      </c>
      <c r="F2" t="s">
        <v>7</v>
      </c>
      <c r="G2" t="s">
        <v>26</v>
      </c>
      <c r="H2" t="s">
        <v>8</v>
      </c>
      <c r="I2" t="s">
        <v>27</v>
      </c>
      <c r="K2" s="34" t="s">
        <v>1</v>
      </c>
      <c r="L2" s="35" t="s">
        <v>22</v>
      </c>
      <c r="M2" s="35" t="s">
        <v>23</v>
      </c>
      <c r="N2" s="35" t="s">
        <v>24</v>
      </c>
      <c r="O2" s="35" t="s">
        <v>25</v>
      </c>
      <c r="P2" s="35" t="s">
        <v>7</v>
      </c>
      <c r="Q2" s="35" t="s">
        <v>26</v>
      </c>
      <c r="R2" s="35" t="s">
        <v>8</v>
      </c>
      <c r="S2" s="36" t="s">
        <v>27</v>
      </c>
      <c r="U2" s="78" t="s">
        <v>1</v>
      </c>
      <c r="V2" s="79" t="s">
        <v>22</v>
      </c>
      <c r="W2" s="79" t="s">
        <v>23</v>
      </c>
      <c r="X2" s="79" t="s">
        <v>24</v>
      </c>
      <c r="Y2" s="79" t="s">
        <v>25</v>
      </c>
      <c r="Z2" s="79" t="s">
        <v>7</v>
      </c>
      <c r="AA2" s="79" t="s">
        <v>26</v>
      </c>
      <c r="AB2" s="79" t="s">
        <v>8</v>
      </c>
      <c r="AC2" s="80" t="s">
        <v>27</v>
      </c>
    </row>
    <row r="3" spans="1:29" ht="15" thickTop="1" x14ac:dyDescent="0.3">
      <c r="A3" s="23" t="s">
        <v>28</v>
      </c>
      <c r="B3" s="5">
        <v>71983258</v>
      </c>
      <c r="C3" s="5" t="s">
        <v>29</v>
      </c>
      <c r="D3" s="23" t="s">
        <v>30</v>
      </c>
      <c r="E3" s="5">
        <v>8</v>
      </c>
      <c r="F3" s="7">
        <v>40</v>
      </c>
      <c r="G3" s="7">
        <f>IF(BD_MOVD[[#This Row],[SISTEMA]]="SUELDO",BD_MOVD[[#This Row],[COSTO DIA]]*30,0)</f>
        <v>0</v>
      </c>
      <c r="H3" s="7">
        <f>IFERROR(BD_MOVD[[#This Row],[COSTO DIA]]/BD_MOVD[[#This Row],[HR DE CONTRATO]],0)</f>
        <v>5</v>
      </c>
      <c r="I3" s="7" t="s">
        <v>31</v>
      </c>
      <c r="K3" s="37" t="s">
        <v>82</v>
      </c>
      <c r="L3" s="37">
        <v>70777478</v>
      </c>
      <c r="M3" s="37" t="s">
        <v>83</v>
      </c>
      <c r="N3" s="27" t="s">
        <v>30</v>
      </c>
      <c r="O3" s="37">
        <v>8</v>
      </c>
      <c r="P3" s="38">
        <v>40</v>
      </c>
      <c r="Q3" s="28">
        <f>P3*30</f>
        <v>1200</v>
      </c>
      <c r="R3" s="28">
        <f>P3/O3</f>
        <v>5</v>
      </c>
      <c r="S3" s="28" t="s">
        <v>31</v>
      </c>
      <c r="U3" s="25" t="s">
        <v>96</v>
      </c>
      <c r="V3" s="39"/>
      <c r="W3" s="39" t="s">
        <v>94</v>
      </c>
      <c r="X3" s="27" t="s">
        <v>26</v>
      </c>
      <c r="Y3" s="39">
        <v>8</v>
      </c>
      <c r="Z3" s="40">
        <v>83.333333333333329</v>
      </c>
      <c r="AA3" s="28">
        <f>Z3*30</f>
        <v>2500</v>
      </c>
      <c r="AB3" s="28">
        <f>Z3/Y3</f>
        <v>10.416666666666666</v>
      </c>
      <c r="AC3" s="28" t="s">
        <v>31</v>
      </c>
    </row>
    <row r="4" spans="1:29" x14ac:dyDescent="0.3">
      <c r="A4" s="23" t="s">
        <v>32</v>
      </c>
      <c r="B4" s="5">
        <v>75685221</v>
      </c>
      <c r="C4" s="5" t="s">
        <v>29</v>
      </c>
      <c r="D4" s="23" t="s">
        <v>30</v>
      </c>
      <c r="E4" s="5">
        <v>8</v>
      </c>
      <c r="F4" s="7">
        <v>50</v>
      </c>
      <c r="G4" s="7">
        <f>IF(BD_MOVD[[#This Row],[SISTEMA]]="SUELDO",BD_MOVD[[#This Row],[COSTO DIA]]*30,0)</f>
        <v>0</v>
      </c>
      <c r="H4" s="7">
        <f>IFERROR(BD_MOVD[[#This Row],[COSTO DIA]]/BD_MOVD[[#This Row],[HR DE CONTRATO]],0)</f>
        <v>6.25</v>
      </c>
      <c r="I4" s="7" t="s">
        <v>31</v>
      </c>
      <c r="K4" s="5" t="s">
        <v>84</v>
      </c>
      <c r="L4" s="5">
        <v>76331023</v>
      </c>
      <c r="M4" s="5" t="s">
        <v>83</v>
      </c>
      <c r="N4" s="27" t="s">
        <v>30</v>
      </c>
      <c r="O4" s="5">
        <v>8</v>
      </c>
      <c r="P4" s="7">
        <v>40</v>
      </c>
      <c r="Q4" s="28">
        <f t="shared" ref="Q4:Q10" si="0">P4*30</f>
        <v>1200</v>
      </c>
      <c r="R4" s="28">
        <f t="shared" ref="R4:R10" si="1">P4/O4</f>
        <v>5</v>
      </c>
      <c r="S4" s="29" t="s">
        <v>31</v>
      </c>
      <c r="U4" s="26" t="s">
        <v>97</v>
      </c>
      <c r="V4" s="41"/>
      <c r="W4" s="41" t="s">
        <v>94</v>
      </c>
      <c r="X4" s="27" t="s">
        <v>26</v>
      </c>
      <c r="Y4" s="41">
        <v>8</v>
      </c>
      <c r="Z4" s="42">
        <v>60</v>
      </c>
      <c r="AA4" s="28">
        <f t="shared" ref="AA4:AA7" si="2">Z4*30</f>
        <v>1800</v>
      </c>
      <c r="AB4" s="28">
        <f t="shared" ref="AB4:AB7" si="3">Z4/Y4</f>
        <v>7.5</v>
      </c>
      <c r="AC4" s="42" t="s">
        <v>31</v>
      </c>
    </row>
    <row r="5" spans="1:29" x14ac:dyDescent="0.3">
      <c r="A5" s="23" t="s">
        <v>33</v>
      </c>
      <c r="B5" s="5">
        <v>75715865</v>
      </c>
      <c r="C5" s="5" t="s">
        <v>29</v>
      </c>
      <c r="D5" s="23" t="s">
        <v>30</v>
      </c>
      <c r="E5" s="5">
        <v>8</v>
      </c>
      <c r="F5" s="7">
        <v>50</v>
      </c>
      <c r="G5" s="7">
        <f>IF(BD_MOVD[[#This Row],[SISTEMA]]="SUELDO",BD_MOVD[[#This Row],[COSTO DIA]]*30,0)</f>
        <v>0</v>
      </c>
      <c r="H5" s="7">
        <f>IFERROR(BD_MOVD[[#This Row],[COSTO DIA]]/BD_MOVD[[#This Row],[HR DE CONTRATO]],0)</f>
        <v>6.25</v>
      </c>
      <c r="I5" s="7" t="s">
        <v>31</v>
      </c>
      <c r="K5" s="37" t="s">
        <v>85</v>
      </c>
      <c r="L5" s="37">
        <v>70089101</v>
      </c>
      <c r="M5" s="37" t="s">
        <v>83</v>
      </c>
      <c r="N5" s="27" t="s">
        <v>30</v>
      </c>
      <c r="O5" s="37">
        <v>8</v>
      </c>
      <c r="P5" s="38">
        <v>50</v>
      </c>
      <c r="Q5" s="28">
        <f t="shared" si="0"/>
        <v>1500</v>
      </c>
      <c r="R5" s="28">
        <f t="shared" si="1"/>
        <v>6.25</v>
      </c>
      <c r="S5" s="28" t="s">
        <v>31</v>
      </c>
      <c r="U5" s="25" t="s">
        <v>98</v>
      </c>
      <c r="V5" s="39">
        <v>71914032</v>
      </c>
      <c r="W5" s="39" t="s">
        <v>94</v>
      </c>
      <c r="X5" s="27" t="s">
        <v>26</v>
      </c>
      <c r="Y5" s="39">
        <v>8</v>
      </c>
      <c r="Z5" s="40">
        <v>50</v>
      </c>
      <c r="AA5" s="28">
        <f t="shared" si="2"/>
        <v>1500</v>
      </c>
      <c r="AB5" s="28">
        <f t="shared" si="3"/>
        <v>6.25</v>
      </c>
      <c r="AC5" s="28" t="s">
        <v>31</v>
      </c>
    </row>
    <row r="6" spans="1:29" x14ac:dyDescent="0.3">
      <c r="A6" s="23" t="s">
        <v>34</v>
      </c>
      <c r="B6" s="5">
        <v>48010168</v>
      </c>
      <c r="C6" s="5" t="s">
        <v>35</v>
      </c>
      <c r="D6" s="23" t="s">
        <v>30</v>
      </c>
      <c r="E6" s="5">
        <v>8</v>
      </c>
      <c r="F6" s="7">
        <v>60</v>
      </c>
      <c r="G6" s="7">
        <f>IF(BD_MOVD[[#This Row],[SISTEMA]]="SUELDO",BD_MOVD[[#This Row],[COSTO DIA]]*30,0)</f>
        <v>0</v>
      </c>
      <c r="H6" s="7">
        <f>IFERROR(BD_MOVD[[#This Row],[COSTO DIA]]/BD_MOVD[[#This Row],[HR DE CONTRATO]],0)</f>
        <v>7.5</v>
      </c>
      <c r="I6" s="7" t="s">
        <v>31</v>
      </c>
      <c r="K6" s="5" t="s">
        <v>86</v>
      </c>
      <c r="L6" s="5">
        <v>48641566</v>
      </c>
      <c r="M6" s="5" t="s">
        <v>83</v>
      </c>
      <c r="N6" s="27" t="s">
        <v>30</v>
      </c>
      <c r="O6" s="5">
        <v>8</v>
      </c>
      <c r="P6" s="7">
        <v>70</v>
      </c>
      <c r="Q6" s="28">
        <f t="shared" si="0"/>
        <v>2100</v>
      </c>
      <c r="R6" s="28">
        <f t="shared" si="1"/>
        <v>8.75</v>
      </c>
      <c r="S6" s="29" t="s">
        <v>31</v>
      </c>
      <c r="U6" s="25" t="s">
        <v>99</v>
      </c>
      <c r="V6" s="41"/>
      <c r="W6" s="41" t="s">
        <v>95</v>
      </c>
      <c r="X6" s="27" t="s">
        <v>26</v>
      </c>
      <c r="Y6" s="41">
        <v>8</v>
      </c>
      <c r="Z6" s="42">
        <v>500</v>
      </c>
      <c r="AA6" s="28">
        <f t="shared" si="2"/>
        <v>15000</v>
      </c>
      <c r="AB6" s="28">
        <f t="shared" si="3"/>
        <v>62.5</v>
      </c>
      <c r="AC6" s="42" t="s">
        <v>31</v>
      </c>
    </row>
    <row r="7" spans="1:29" x14ac:dyDescent="0.3">
      <c r="A7" s="23" t="s">
        <v>36</v>
      </c>
      <c r="B7" s="5">
        <v>74975901</v>
      </c>
      <c r="C7" s="5" t="s">
        <v>37</v>
      </c>
      <c r="D7" s="23" t="s">
        <v>30</v>
      </c>
      <c r="E7" s="5">
        <v>8</v>
      </c>
      <c r="F7" s="7">
        <v>60</v>
      </c>
      <c r="G7" s="7">
        <f>IF(BD_MOVD[[#This Row],[SISTEMA]]="SUELDO",BD_MOVD[[#This Row],[COSTO DIA]]*30,0)</f>
        <v>0</v>
      </c>
      <c r="H7" s="7">
        <f>IFERROR(BD_MOVD[[#This Row],[COSTO DIA]]/BD_MOVD[[#This Row],[HR DE CONTRATO]],0)</f>
        <v>7.5</v>
      </c>
      <c r="I7" s="7" t="s">
        <v>31</v>
      </c>
      <c r="K7" s="37" t="s">
        <v>87</v>
      </c>
      <c r="L7" s="37">
        <v>47172572</v>
      </c>
      <c r="M7" s="37" t="s">
        <v>83</v>
      </c>
      <c r="N7" s="27" t="s">
        <v>30</v>
      </c>
      <c r="O7" s="37">
        <v>8</v>
      </c>
      <c r="P7" s="38">
        <v>83.33</v>
      </c>
      <c r="Q7" s="28">
        <f t="shared" si="0"/>
        <v>2499.9</v>
      </c>
      <c r="R7" s="28">
        <f t="shared" si="1"/>
        <v>10.41625</v>
      </c>
      <c r="S7" s="28" t="s">
        <v>31</v>
      </c>
      <c r="U7" s="25" t="s">
        <v>100</v>
      </c>
      <c r="V7" s="39"/>
      <c r="W7" s="39" t="s">
        <v>94</v>
      </c>
      <c r="X7" s="27" t="s">
        <v>26</v>
      </c>
      <c r="Y7" s="39">
        <v>8</v>
      </c>
      <c r="Z7" s="40">
        <v>73.333333333333329</v>
      </c>
      <c r="AA7" s="28">
        <f t="shared" si="2"/>
        <v>2200</v>
      </c>
      <c r="AB7" s="28">
        <f t="shared" si="3"/>
        <v>9.1666666666666661</v>
      </c>
      <c r="AC7" s="28" t="s">
        <v>31</v>
      </c>
    </row>
    <row r="8" spans="1:29" x14ac:dyDescent="0.3">
      <c r="A8" s="23" t="s">
        <v>38</v>
      </c>
      <c r="B8" s="5">
        <v>75653375</v>
      </c>
      <c r="C8" s="5" t="s">
        <v>37</v>
      </c>
      <c r="D8" s="23" t="s">
        <v>30</v>
      </c>
      <c r="E8" s="5">
        <v>8</v>
      </c>
      <c r="F8" s="7">
        <v>60</v>
      </c>
      <c r="G8" s="7">
        <f>IF(BD_MOVD[[#This Row],[SISTEMA]]="SUELDO",BD_MOVD[[#This Row],[COSTO DIA]]*30,0)</f>
        <v>0</v>
      </c>
      <c r="H8" s="7">
        <f>IFERROR(BD_MOVD[[#This Row],[COSTO DIA]]/BD_MOVD[[#This Row],[HR DE CONTRATO]],0)</f>
        <v>7.5</v>
      </c>
      <c r="I8" s="7" t="s">
        <v>31</v>
      </c>
      <c r="K8" s="5" t="s">
        <v>88</v>
      </c>
      <c r="L8" s="5">
        <v>70854573</v>
      </c>
      <c r="M8" s="5" t="s">
        <v>83</v>
      </c>
      <c r="N8" s="27" t="s">
        <v>30</v>
      </c>
      <c r="O8" s="5">
        <v>8</v>
      </c>
      <c r="P8" s="7">
        <v>83.33</v>
      </c>
      <c r="Q8" s="28">
        <f t="shared" si="0"/>
        <v>2499.9</v>
      </c>
      <c r="R8" s="28">
        <f t="shared" si="1"/>
        <v>10.41625</v>
      </c>
      <c r="S8" s="29" t="s">
        <v>31</v>
      </c>
    </row>
    <row r="9" spans="1:29" x14ac:dyDescent="0.3">
      <c r="A9" s="23" t="s">
        <v>39</v>
      </c>
      <c r="B9" s="5">
        <v>75397469</v>
      </c>
      <c r="C9" s="5" t="s">
        <v>35</v>
      </c>
      <c r="D9" s="23" t="s">
        <v>30</v>
      </c>
      <c r="E9" s="5">
        <v>8</v>
      </c>
      <c r="F9" s="7">
        <v>70</v>
      </c>
      <c r="G9" s="7">
        <f>IF(BD_MOVD[[#This Row],[SISTEMA]]="SUELDO",BD_MOVD[[#This Row],[COSTO DIA]]*30,0)</f>
        <v>0</v>
      </c>
      <c r="H9" s="7">
        <f>IFERROR(BD_MOVD[[#This Row],[COSTO DIA]]/BD_MOVD[[#This Row],[HR DE CONTRATO]],0)</f>
        <v>8.75</v>
      </c>
      <c r="I9" s="7" t="s">
        <v>31</v>
      </c>
      <c r="K9" s="37" t="s">
        <v>89</v>
      </c>
      <c r="L9" s="37">
        <v>18888706</v>
      </c>
      <c r="M9" s="37" t="s">
        <v>83</v>
      </c>
      <c r="N9" s="27" t="s">
        <v>30</v>
      </c>
      <c r="O9" s="37">
        <v>8</v>
      </c>
      <c r="P9" s="38">
        <v>150</v>
      </c>
      <c r="Q9" s="28">
        <f t="shared" si="0"/>
        <v>4500</v>
      </c>
      <c r="R9" s="28">
        <f t="shared" si="1"/>
        <v>18.75</v>
      </c>
      <c r="S9" s="28" t="s">
        <v>31</v>
      </c>
    </row>
    <row r="10" spans="1:29" x14ac:dyDescent="0.3">
      <c r="A10" s="23" t="s">
        <v>40</v>
      </c>
      <c r="B10" s="5">
        <v>18887871</v>
      </c>
      <c r="C10" s="5" t="s">
        <v>41</v>
      </c>
      <c r="D10" s="23" t="s">
        <v>30</v>
      </c>
      <c r="E10" s="5">
        <v>8</v>
      </c>
      <c r="F10" s="7">
        <v>90</v>
      </c>
      <c r="G10" s="7">
        <f>IF(BD_MOVD[[#This Row],[SISTEMA]]="SUELDO",BD_MOVD[[#This Row],[COSTO DIA]]*30,0)</f>
        <v>0</v>
      </c>
      <c r="H10" s="7">
        <f>IFERROR(BD_MOVD[[#This Row],[COSTO DIA]]/BD_MOVD[[#This Row],[HR DE CONTRATO]],0)</f>
        <v>11.25</v>
      </c>
      <c r="I10" s="7" t="s">
        <v>31</v>
      </c>
      <c r="K10" s="37" t="s">
        <v>90</v>
      </c>
      <c r="L10" s="37">
        <v>44584507</v>
      </c>
      <c r="M10" s="37" t="s">
        <v>83</v>
      </c>
      <c r="N10" s="27" t="s">
        <v>26</v>
      </c>
      <c r="O10" s="37">
        <v>8</v>
      </c>
      <c r="P10" s="38">
        <v>120</v>
      </c>
      <c r="Q10" s="28">
        <f t="shared" si="0"/>
        <v>3600</v>
      </c>
      <c r="R10" s="28">
        <f t="shared" si="1"/>
        <v>15</v>
      </c>
      <c r="S10" s="28" t="s">
        <v>75</v>
      </c>
    </row>
    <row r="11" spans="1:29" x14ac:dyDescent="0.3">
      <c r="A11" s="23" t="s">
        <v>42</v>
      </c>
      <c r="B11" s="5">
        <v>18896804</v>
      </c>
      <c r="C11" s="5" t="s">
        <v>41</v>
      </c>
      <c r="D11" s="23" t="s">
        <v>30</v>
      </c>
      <c r="E11" s="5">
        <v>8</v>
      </c>
      <c r="F11" s="7">
        <v>90</v>
      </c>
      <c r="G11" s="7">
        <f>IF(BD_MOVD[[#This Row],[SISTEMA]]="SUELDO",BD_MOVD[[#This Row],[COSTO DIA]]*30,0)</f>
        <v>0</v>
      </c>
      <c r="H11" s="7">
        <f>IFERROR(BD_MOVD[[#This Row],[COSTO DIA]]/BD_MOVD[[#This Row],[HR DE CONTRATO]],0)</f>
        <v>11.25</v>
      </c>
      <c r="I11" s="7" t="s">
        <v>31</v>
      </c>
    </row>
    <row r="12" spans="1:29" x14ac:dyDescent="0.3">
      <c r="A12" s="23" t="s">
        <v>43</v>
      </c>
      <c r="B12" s="5">
        <v>41114064</v>
      </c>
      <c r="C12" s="5" t="s">
        <v>41</v>
      </c>
      <c r="D12" s="23" t="s">
        <v>30</v>
      </c>
      <c r="E12" s="5">
        <v>8</v>
      </c>
      <c r="F12" s="7">
        <v>90</v>
      </c>
      <c r="G12" s="7">
        <f>IF(BD_MOVD[[#This Row],[SISTEMA]]="SUELDO",BD_MOVD[[#This Row],[COSTO DIA]]*30,0)</f>
        <v>0</v>
      </c>
      <c r="H12" s="7">
        <f>IFERROR(BD_MOVD[[#This Row],[COSTO DIA]]/BD_MOVD[[#This Row],[HR DE CONTRATO]],0)</f>
        <v>11.25</v>
      </c>
      <c r="I12" s="7" t="s">
        <v>31</v>
      </c>
    </row>
    <row r="13" spans="1:29" x14ac:dyDescent="0.3">
      <c r="A13" s="23" t="s">
        <v>44</v>
      </c>
      <c r="B13" s="5">
        <v>71299293</v>
      </c>
      <c r="C13" s="5" t="s">
        <v>37</v>
      </c>
      <c r="D13" s="23" t="s">
        <v>30</v>
      </c>
      <c r="E13" s="5">
        <v>8</v>
      </c>
      <c r="F13" s="7">
        <v>90</v>
      </c>
      <c r="G13" s="7">
        <f>IF(BD_MOVD[[#This Row],[SISTEMA]]="SUELDO",BD_MOVD[[#This Row],[COSTO DIA]]*30,0)</f>
        <v>0</v>
      </c>
      <c r="H13" s="7">
        <f>IFERROR(BD_MOVD[[#This Row],[COSTO DIA]]/BD_MOVD[[#This Row],[HR DE CONTRATO]],0)</f>
        <v>11.25</v>
      </c>
      <c r="I13" s="7" t="s">
        <v>31</v>
      </c>
    </row>
    <row r="14" spans="1:29" x14ac:dyDescent="0.3">
      <c r="A14" s="23" t="s">
        <v>45</v>
      </c>
      <c r="B14" s="5">
        <v>72263196</v>
      </c>
      <c r="C14" s="5" t="s">
        <v>35</v>
      </c>
      <c r="D14" s="23" t="s">
        <v>30</v>
      </c>
      <c r="E14" s="5">
        <v>8</v>
      </c>
      <c r="F14" s="7">
        <v>90</v>
      </c>
      <c r="G14" s="7">
        <f>IF(BD_MOVD[[#This Row],[SISTEMA]]="SUELDO",BD_MOVD[[#This Row],[COSTO DIA]]*30,0)</f>
        <v>0</v>
      </c>
      <c r="H14" s="7">
        <f>IFERROR(BD_MOVD[[#This Row],[COSTO DIA]]/BD_MOVD[[#This Row],[HR DE CONTRATO]],0)</f>
        <v>11.25</v>
      </c>
      <c r="I14" s="7" t="s">
        <v>31</v>
      </c>
    </row>
    <row r="15" spans="1:29" x14ac:dyDescent="0.3">
      <c r="A15" s="23" t="s">
        <v>46</v>
      </c>
      <c r="B15" s="5">
        <v>18125067</v>
      </c>
      <c r="C15" s="5" t="s">
        <v>47</v>
      </c>
      <c r="D15" s="23" t="s">
        <v>30</v>
      </c>
      <c r="E15" s="5">
        <v>8</v>
      </c>
      <c r="F15" s="7">
        <v>95</v>
      </c>
      <c r="G15" s="7">
        <f>IF(BD_MOVD[[#This Row],[SISTEMA]]="SUELDO",BD_MOVD[[#This Row],[COSTO DIA]]*30,0)</f>
        <v>0</v>
      </c>
      <c r="H15" s="7">
        <f>IFERROR(BD_MOVD[[#This Row],[COSTO DIA]]/BD_MOVD[[#This Row],[HR DE CONTRATO]],0)</f>
        <v>11.875</v>
      </c>
      <c r="I15" s="7" t="s">
        <v>31</v>
      </c>
    </row>
    <row r="16" spans="1:29" x14ac:dyDescent="0.3">
      <c r="A16" s="23" t="s">
        <v>20</v>
      </c>
      <c r="B16" s="5">
        <v>18901428</v>
      </c>
      <c r="C16" s="5" t="s">
        <v>48</v>
      </c>
      <c r="D16" s="23" t="s">
        <v>30</v>
      </c>
      <c r="E16" s="5">
        <v>8</v>
      </c>
      <c r="F16" s="7">
        <v>95</v>
      </c>
      <c r="G16" s="7">
        <f>IF(BD_MOVD[[#This Row],[SISTEMA]]="SUELDO",BD_MOVD[[#This Row],[COSTO DIA]]*30,0)</f>
        <v>0</v>
      </c>
      <c r="H16" s="7">
        <f>IFERROR(BD_MOVD[[#This Row],[COSTO DIA]]/BD_MOVD[[#This Row],[HR DE CONTRATO]],0)</f>
        <v>11.875</v>
      </c>
      <c r="I16" s="7" t="s">
        <v>31</v>
      </c>
    </row>
    <row r="17" spans="1:9" x14ac:dyDescent="0.3">
      <c r="A17" s="23" t="s">
        <v>49</v>
      </c>
      <c r="B17" s="5">
        <v>41085604</v>
      </c>
      <c r="C17" s="5" t="s">
        <v>48</v>
      </c>
      <c r="D17" s="23" t="s">
        <v>30</v>
      </c>
      <c r="E17" s="5">
        <v>8</v>
      </c>
      <c r="F17" s="7">
        <v>95</v>
      </c>
      <c r="G17" s="7">
        <f>IF(BD_MOVD[[#This Row],[SISTEMA]]="SUELDO",BD_MOVD[[#This Row],[COSTO DIA]]*30,0)</f>
        <v>0</v>
      </c>
      <c r="H17" s="7">
        <f>IFERROR(BD_MOVD[[#This Row],[COSTO DIA]]/BD_MOVD[[#This Row],[HR DE CONTRATO]],0)</f>
        <v>11.875</v>
      </c>
      <c r="I17" s="7" t="s">
        <v>31</v>
      </c>
    </row>
    <row r="18" spans="1:9" x14ac:dyDescent="0.3">
      <c r="A18" s="23" t="s">
        <v>50</v>
      </c>
      <c r="B18" s="5">
        <v>42045154</v>
      </c>
      <c r="C18" s="5" t="s">
        <v>48</v>
      </c>
      <c r="D18" s="23" t="s">
        <v>30</v>
      </c>
      <c r="E18" s="5">
        <v>8</v>
      </c>
      <c r="F18" s="7">
        <v>95</v>
      </c>
      <c r="G18" s="7">
        <f>IF(BD_MOVD[[#This Row],[SISTEMA]]="SUELDO",BD_MOVD[[#This Row],[COSTO DIA]]*30,0)</f>
        <v>0</v>
      </c>
      <c r="H18" s="7">
        <f>IFERROR(BD_MOVD[[#This Row],[COSTO DIA]]/BD_MOVD[[#This Row],[HR DE CONTRATO]],0)</f>
        <v>11.875</v>
      </c>
      <c r="I18" s="7" t="s">
        <v>31</v>
      </c>
    </row>
    <row r="19" spans="1:9" x14ac:dyDescent="0.3">
      <c r="A19" s="23" t="s">
        <v>51</v>
      </c>
      <c r="B19" s="5">
        <v>43124981</v>
      </c>
      <c r="C19" s="5" t="s">
        <v>37</v>
      </c>
      <c r="D19" s="23" t="s">
        <v>30</v>
      </c>
      <c r="E19" s="5">
        <v>8</v>
      </c>
      <c r="F19" s="7">
        <v>95</v>
      </c>
      <c r="G19" s="7">
        <f>IF(BD_MOVD[[#This Row],[SISTEMA]]="SUELDO",BD_MOVD[[#This Row],[COSTO DIA]]*30,0)</f>
        <v>0</v>
      </c>
      <c r="H19" s="7">
        <f>IFERROR(BD_MOVD[[#This Row],[COSTO DIA]]/BD_MOVD[[#This Row],[HR DE CONTRATO]],0)</f>
        <v>11.875</v>
      </c>
      <c r="I19" s="7" t="s">
        <v>31</v>
      </c>
    </row>
    <row r="20" spans="1:9" x14ac:dyDescent="0.3">
      <c r="A20" s="23" t="s">
        <v>52</v>
      </c>
      <c r="B20" s="5">
        <v>45967153</v>
      </c>
      <c r="C20" s="5" t="s">
        <v>48</v>
      </c>
      <c r="D20" s="23" t="s">
        <v>30</v>
      </c>
      <c r="E20" s="5">
        <v>8</v>
      </c>
      <c r="F20" s="7">
        <v>95</v>
      </c>
      <c r="G20" s="7">
        <f>IF(BD_MOVD[[#This Row],[SISTEMA]]="SUELDO",BD_MOVD[[#This Row],[COSTO DIA]]*30,0)</f>
        <v>0</v>
      </c>
      <c r="H20" s="7">
        <f>IFERROR(BD_MOVD[[#This Row],[COSTO DIA]]/BD_MOVD[[#This Row],[HR DE CONTRATO]],0)</f>
        <v>11.875</v>
      </c>
      <c r="I20" s="7" t="s">
        <v>31</v>
      </c>
    </row>
    <row r="21" spans="1:9" x14ac:dyDescent="0.3">
      <c r="A21" s="23" t="s">
        <v>53</v>
      </c>
      <c r="B21" s="5">
        <v>46990866</v>
      </c>
      <c r="C21" s="5" t="s">
        <v>48</v>
      </c>
      <c r="D21" s="23" t="s">
        <v>30</v>
      </c>
      <c r="E21" s="5">
        <v>8</v>
      </c>
      <c r="F21" s="7">
        <v>95</v>
      </c>
      <c r="G21" s="7">
        <f>IF(BD_MOVD[[#This Row],[SISTEMA]]="SUELDO",BD_MOVD[[#This Row],[COSTO DIA]]*30,0)</f>
        <v>0</v>
      </c>
      <c r="H21" s="7">
        <f>IFERROR(BD_MOVD[[#This Row],[COSTO DIA]]/BD_MOVD[[#This Row],[HR DE CONTRATO]],0)</f>
        <v>11.875</v>
      </c>
      <c r="I21" s="7" t="s">
        <v>31</v>
      </c>
    </row>
    <row r="22" spans="1:9" x14ac:dyDescent="0.3">
      <c r="A22" s="23" t="s">
        <v>54</v>
      </c>
      <c r="B22" s="5">
        <v>47993609</v>
      </c>
      <c r="C22" s="5" t="s">
        <v>37</v>
      </c>
      <c r="D22" s="23" t="s">
        <v>30</v>
      </c>
      <c r="E22" s="5">
        <v>8</v>
      </c>
      <c r="F22" s="7">
        <v>95</v>
      </c>
      <c r="G22" s="7">
        <f>IF(BD_MOVD[[#This Row],[SISTEMA]]="SUELDO",BD_MOVD[[#This Row],[COSTO DIA]]*30,0)</f>
        <v>0</v>
      </c>
      <c r="H22" s="7">
        <f>IFERROR(BD_MOVD[[#This Row],[COSTO DIA]]/BD_MOVD[[#This Row],[HR DE CONTRATO]],0)</f>
        <v>11.875</v>
      </c>
      <c r="I22" s="7" t="s">
        <v>31</v>
      </c>
    </row>
    <row r="23" spans="1:9" x14ac:dyDescent="0.3">
      <c r="A23" s="23" t="s">
        <v>55</v>
      </c>
      <c r="B23" s="5">
        <v>77477753</v>
      </c>
      <c r="C23" s="5" t="s">
        <v>48</v>
      </c>
      <c r="D23" s="23" t="s">
        <v>30</v>
      </c>
      <c r="E23" s="5">
        <v>8</v>
      </c>
      <c r="F23" s="7">
        <v>95</v>
      </c>
      <c r="G23" s="7">
        <f>IF(BD_MOVD[[#This Row],[SISTEMA]]="SUELDO",BD_MOVD[[#This Row],[COSTO DIA]]*30,0)</f>
        <v>0</v>
      </c>
      <c r="H23" s="7">
        <f>IFERROR(BD_MOVD[[#This Row],[COSTO DIA]]/BD_MOVD[[#This Row],[HR DE CONTRATO]],0)</f>
        <v>11.875</v>
      </c>
      <c r="I23" s="7" t="s">
        <v>31</v>
      </c>
    </row>
    <row r="24" spans="1:9" x14ac:dyDescent="0.3">
      <c r="A24" s="23" t="s">
        <v>56</v>
      </c>
      <c r="B24" s="5">
        <v>10322874</v>
      </c>
      <c r="C24" s="5" t="s">
        <v>37</v>
      </c>
      <c r="D24" s="23" t="s">
        <v>30</v>
      </c>
      <c r="E24" s="5">
        <v>8</v>
      </c>
      <c r="F24" s="7">
        <v>100</v>
      </c>
      <c r="G24" s="7">
        <f>IF(BD_MOVD[[#This Row],[SISTEMA]]="SUELDO",BD_MOVD[[#This Row],[COSTO DIA]]*30,0)</f>
        <v>0</v>
      </c>
      <c r="H24" s="7">
        <f>IFERROR(BD_MOVD[[#This Row],[COSTO DIA]]/BD_MOVD[[#This Row],[HR DE CONTRATO]],0)</f>
        <v>12.5</v>
      </c>
      <c r="I24" s="7" t="s">
        <v>31</v>
      </c>
    </row>
    <row r="25" spans="1:9" x14ac:dyDescent="0.3">
      <c r="A25" s="23" t="s">
        <v>57</v>
      </c>
      <c r="B25" s="5">
        <v>17640789</v>
      </c>
      <c r="C25" s="5" t="s">
        <v>37</v>
      </c>
      <c r="D25" s="23" t="s">
        <v>30</v>
      </c>
      <c r="E25" s="5">
        <v>8</v>
      </c>
      <c r="F25" s="7">
        <v>100</v>
      </c>
      <c r="G25" s="7">
        <f>IF(BD_MOVD[[#This Row],[SISTEMA]]="SUELDO",BD_MOVD[[#This Row],[COSTO DIA]]*30,0)</f>
        <v>0</v>
      </c>
      <c r="H25" s="7">
        <f>IFERROR(BD_MOVD[[#This Row],[COSTO DIA]]/BD_MOVD[[#This Row],[HR DE CONTRATO]],0)</f>
        <v>12.5</v>
      </c>
      <c r="I25" s="7" t="s">
        <v>31</v>
      </c>
    </row>
    <row r="26" spans="1:9" x14ac:dyDescent="0.3">
      <c r="A26" s="23" t="s">
        <v>58</v>
      </c>
      <c r="B26" s="5">
        <v>18889811</v>
      </c>
      <c r="C26" s="5" t="s">
        <v>48</v>
      </c>
      <c r="D26" s="23" t="s">
        <v>30</v>
      </c>
      <c r="E26" s="5">
        <v>8</v>
      </c>
      <c r="F26" s="7">
        <v>100</v>
      </c>
      <c r="G26" s="7">
        <f>IF(BD_MOVD[[#This Row],[SISTEMA]]="SUELDO",BD_MOVD[[#This Row],[COSTO DIA]]*30,0)</f>
        <v>0</v>
      </c>
      <c r="H26" s="7">
        <f>IFERROR(BD_MOVD[[#This Row],[COSTO DIA]]/BD_MOVD[[#This Row],[HR DE CONTRATO]],0)</f>
        <v>12.5</v>
      </c>
      <c r="I26" s="7" t="s">
        <v>31</v>
      </c>
    </row>
    <row r="27" spans="1:9" x14ac:dyDescent="0.3">
      <c r="A27" s="23" t="s">
        <v>59</v>
      </c>
      <c r="B27" s="5">
        <v>19681971</v>
      </c>
      <c r="C27" s="5" t="s">
        <v>37</v>
      </c>
      <c r="D27" s="23" t="s">
        <v>30</v>
      </c>
      <c r="E27" s="5">
        <v>8</v>
      </c>
      <c r="F27" s="7">
        <v>100</v>
      </c>
      <c r="G27" s="7">
        <f>IF(BD_MOVD[[#This Row],[SISTEMA]]="SUELDO",BD_MOVD[[#This Row],[COSTO DIA]]*30,0)</f>
        <v>0</v>
      </c>
      <c r="H27" s="7">
        <f>IFERROR(BD_MOVD[[#This Row],[COSTO DIA]]/BD_MOVD[[#This Row],[HR DE CONTRATO]],0)</f>
        <v>12.5</v>
      </c>
      <c r="I27" s="7" t="s">
        <v>31</v>
      </c>
    </row>
    <row r="28" spans="1:9" x14ac:dyDescent="0.3">
      <c r="A28" s="23" t="s">
        <v>60</v>
      </c>
      <c r="B28" s="5">
        <v>26730217</v>
      </c>
      <c r="C28" s="5" t="s">
        <v>37</v>
      </c>
      <c r="D28" s="23" t="s">
        <v>30</v>
      </c>
      <c r="E28" s="5">
        <v>8</v>
      </c>
      <c r="F28" s="7">
        <v>100</v>
      </c>
      <c r="G28" s="7">
        <f>IF(BD_MOVD[[#This Row],[SISTEMA]]="SUELDO",BD_MOVD[[#This Row],[COSTO DIA]]*30,0)</f>
        <v>0</v>
      </c>
      <c r="H28" s="7">
        <f>IFERROR(BD_MOVD[[#This Row],[COSTO DIA]]/BD_MOVD[[#This Row],[HR DE CONTRATO]],0)</f>
        <v>12.5</v>
      </c>
      <c r="I28" s="7" t="s">
        <v>31</v>
      </c>
    </row>
    <row r="29" spans="1:9" x14ac:dyDescent="0.3">
      <c r="A29" s="23" t="s">
        <v>61</v>
      </c>
      <c r="B29" s="5">
        <v>32872782</v>
      </c>
      <c r="C29" s="5" t="s">
        <v>41</v>
      </c>
      <c r="D29" s="23" t="s">
        <v>30</v>
      </c>
      <c r="E29" s="5">
        <v>8</v>
      </c>
      <c r="F29" s="7">
        <v>100</v>
      </c>
      <c r="G29" s="7">
        <f>IF(BD_MOVD[[#This Row],[SISTEMA]]="SUELDO",BD_MOVD[[#This Row],[COSTO DIA]]*30,0)</f>
        <v>0</v>
      </c>
      <c r="H29" s="7">
        <f>IFERROR(BD_MOVD[[#This Row],[COSTO DIA]]/BD_MOVD[[#This Row],[HR DE CONTRATO]],0)</f>
        <v>12.5</v>
      </c>
      <c r="I29" s="7" t="s">
        <v>31</v>
      </c>
    </row>
    <row r="30" spans="1:9" x14ac:dyDescent="0.3">
      <c r="A30" s="23" t="s">
        <v>62</v>
      </c>
      <c r="B30" s="5">
        <v>41440234</v>
      </c>
      <c r="C30" s="5" t="s">
        <v>48</v>
      </c>
      <c r="D30" s="23" t="s">
        <v>30</v>
      </c>
      <c r="E30" s="5">
        <v>8</v>
      </c>
      <c r="F30" s="7">
        <v>100</v>
      </c>
      <c r="G30" s="7">
        <f>IF(BD_MOVD[[#This Row],[SISTEMA]]="SUELDO",BD_MOVD[[#This Row],[COSTO DIA]]*30,0)</f>
        <v>0</v>
      </c>
      <c r="H30" s="7">
        <f>IFERROR(BD_MOVD[[#This Row],[COSTO DIA]]/BD_MOVD[[#This Row],[HR DE CONTRATO]],0)</f>
        <v>12.5</v>
      </c>
      <c r="I30" s="7" t="s">
        <v>31</v>
      </c>
    </row>
    <row r="31" spans="1:9" x14ac:dyDescent="0.3">
      <c r="A31" s="23" t="s">
        <v>63</v>
      </c>
      <c r="B31" s="5">
        <v>41737298</v>
      </c>
      <c r="C31" s="5" t="s">
        <v>41</v>
      </c>
      <c r="D31" s="23" t="s">
        <v>30</v>
      </c>
      <c r="E31" s="5">
        <v>8</v>
      </c>
      <c r="F31" s="7">
        <v>100</v>
      </c>
      <c r="G31" s="7">
        <f>IF(BD_MOVD[[#This Row],[SISTEMA]]="SUELDO",BD_MOVD[[#This Row],[COSTO DIA]]*30,0)</f>
        <v>0</v>
      </c>
      <c r="H31" s="7">
        <f>IFERROR(BD_MOVD[[#This Row],[COSTO DIA]]/BD_MOVD[[#This Row],[HR DE CONTRATO]],0)</f>
        <v>12.5</v>
      </c>
      <c r="I31" s="7" t="s">
        <v>31</v>
      </c>
    </row>
    <row r="32" spans="1:9" x14ac:dyDescent="0.3">
      <c r="A32" s="23" t="s">
        <v>64</v>
      </c>
      <c r="B32" s="5">
        <v>42455256</v>
      </c>
      <c r="C32" s="5" t="s">
        <v>41</v>
      </c>
      <c r="D32" s="23" t="s">
        <v>30</v>
      </c>
      <c r="E32" s="5">
        <v>8</v>
      </c>
      <c r="F32" s="7">
        <v>100</v>
      </c>
      <c r="G32" s="7">
        <f>IF(BD_MOVD[[#This Row],[SISTEMA]]="SUELDO",BD_MOVD[[#This Row],[COSTO DIA]]*30,0)</f>
        <v>0</v>
      </c>
      <c r="H32" s="7">
        <f>IFERROR(BD_MOVD[[#This Row],[COSTO DIA]]/BD_MOVD[[#This Row],[HR DE CONTRATO]],0)</f>
        <v>12.5</v>
      </c>
      <c r="I32" s="7" t="s">
        <v>31</v>
      </c>
    </row>
    <row r="33" spans="1:9" x14ac:dyDescent="0.3">
      <c r="A33" s="23" t="s">
        <v>65</v>
      </c>
      <c r="B33" s="5">
        <v>44479116</v>
      </c>
      <c r="C33" s="5" t="s">
        <v>66</v>
      </c>
      <c r="D33" s="23" t="s">
        <v>30</v>
      </c>
      <c r="E33" s="5">
        <v>8</v>
      </c>
      <c r="F33" s="7">
        <v>100</v>
      </c>
      <c r="G33" s="7">
        <f>IF(BD_MOVD[[#This Row],[SISTEMA]]="SUELDO",BD_MOVD[[#This Row],[COSTO DIA]]*30,0)</f>
        <v>0</v>
      </c>
      <c r="H33" s="7">
        <f>IFERROR(BD_MOVD[[#This Row],[COSTO DIA]]/BD_MOVD[[#This Row],[HR DE CONTRATO]],0)</f>
        <v>12.5</v>
      </c>
      <c r="I33" s="7" t="s">
        <v>31</v>
      </c>
    </row>
    <row r="34" spans="1:9" x14ac:dyDescent="0.3">
      <c r="A34" s="23" t="s">
        <v>67</v>
      </c>
      <c r="B34" s="5">
        <v>45621097</v>
      </c>
      <c r="C34" s="5" t="s">
        <v>48</v>
      </c>
      <c r="D34" s="23" t="s">
        <v>30</v>
      </c>
      <c r="E34" s="5">
        <v>8</v>
      </c>
      <c r="F34" s="7">
        <v>100</v>
      </c>
      <c r="G34" s="7">
        <f>IF(BD_MOVD[[#This Row],[SISTEMA]]="SUELDO",BD_MOVD[[#This Row],[COSTO DIA]]*30,0)</f>
        <v>0</v>
      </c>
      <c r="H34" s="7">
        <f>IFERROR(BD_MOVD[[#This Row],[COSTO DIA]]/BD_MOVD[[#This Row],[HR DE CONTRATO]],0)</f>
        <v>12.5</v>
      </c>
      <c r="I34" s="7" t="s">
        <v>31</v>
      </c>
    </row>
    <row r="35" spans="1:9" x14ac:dyDescent="0.3">
      <c r="A35" s="23" t="s">
        <v>68</v>
      </c>
      <c r="B35" s="5">
        <v>46385212</v>
      </c>
      <c r="C35" s="5" t="s">
        <v>37</v>
      </c>
      <c r="D35" s="23" t="s">
        <v>30</v>
      </c>
      <c r="E35" s="5">
        <v>8</v>
      </c>
      <c r="F35" s="7">
        <v>100</v>
      </c>
      <c r="G35" s="7">
        <f>IF(BD_MOVD[[#This Row],[SISTEMA]]="SUELDO",BD_MOVD[[#This Row],[COSTO DIA]]*30,0)</f>
        <v>0</v>
      </c>
      <c r="H35" s="7">
        <f>IFERROR(BD_MOVD[[#This Row],[COSTO DIA]]/BD_MOVD[[#This Row],[HR DE CONTRATO]],0)</f>
        <v>12.5</v>
      </c>
      <c r="I35" s="7" t="s">
        <v>31</v>
      </c>
    </row>
    <row r="36" spans="1:9" x14ac:dyDescent="0.3">
      <c r="A36" s="23" t="s">
        <v>69</v>
      </c>
      <c r="B36" s="5">
        <v>47092198</v>
      </c>
      <c r="C36" s="5" t="s">
        <v>48</v>
      </c>
      <c r="D36" s="23" t="s">
        <v>30</v>
      </c>
      <c r="E36" s="5">
        <v>8</v>
      </c>
      <c r="F36" s="7">
        <v>100</v>
      </c>
      <c r="G36" s="7">
        <f>IF(BD_MOVD[[#This Row],[SISTEMA]]="SUELDO",BD_MOVD[[#This Row],[COSTO DIA]]*30,0)</f>
        <v>0</v>
      </c>
      <c r="H36" s="7">
        <f>IFERROR(BD_MOVD[[#This Row],[COSTO DIA]]/BD_MOVD[[#This Row],[HR DE CONTRATO]],0)</f>
        <v>12.5</v>
      </c>
      <c r="I36" s="7" t="s">
        <v>31</v>
      </c>
    </row>
    <row r="37" spans="1:9" x14ac:dyDescent="0.3">
      <c r="A37" s="23" t="s">
        <v>70</v>
      </c>
      <c r="B37" s="5">
        <v>75318476</v>
      </c>
      <c r="C37" s="5" t="s">
        <v>41</v>
      </c>
      <c r="D37" s="23" t="s">
        <v>30</v>
      </c>
      <c r="E37" s="5">
        <v>8</v>
      </c>
      <c r="F37" s="7">
        <v>100</v>
      </c>
      <c r="G37" s="7">
        <f>IF(BD_MOVD[[#This Row],[SISTEMA]]="SUELDO",BD_MOVD[[#This Row],[COSTO DIA]]*30,0)</f>
        <v>0</v>
      </c>
      <c r="H37" s="7">
        <f>IFERROR(BD_MOVD[[#This Row],[COSTO DIA]]/BD_MOVD[[#This Row],[HR DE CONTRATO]],0)</f>
        <v>12.5</v>
      </c>
      <c r="I37" s="7" t="s">
        <v>31</v>
      </c>
    </row>
    <row r="38" spans="1:9" x14ac:dyDescent="0.3">
      <c r="A38" s="23" t="s">
        <v>71</v>
      </c>
      <c r="B38" s="5">
        <v>75700357</v>
      </c>
      <c r="C38" s="5" t="s">
        <v>41</v>
      </c>
      <c r="D38" s="23" t="s">
        <v>30</v>
      </c>
      <c r="E38" s="5">
        <v>8</v>
      </c>
      <c r="F38" s="7">
        <v>100</v>
      </c>
      <c r="G38" s="7">
        <f>IF(BD_MOVD[[#This Row],[SISTEMA]]="SUELDO",BD_MOVD[[#This Row],[COSTO DIA]]*30,0)</f>
        <v>0</v>
      </c>
      <c r="H38" s="7">
        <f>IFERROR(BD_MOVD[[#This Row],[COSTO DIA]]/BD_MOVD[[#This Row],[HR DE CONTRATO]],0)</f>
        <v>12.5</v>
      </c>
      <c r="I38" s="7" t="s">
        <v>31</v>
      </c>
    </row>
    <row r="39" spans="1:9" x14ac:dyDescent="0.3">
      <c r="A39" s="23" t="s">
        <v>72</v>
      </c>
      <c r="B39" s="5">
        <v>42437840</v>
      </c>
      <c r="C39" s="5" t="s">
        <v>37</v>
      </c>
      <c r="D39" s="23" t="s">
        <v>30</v>
      </c>
      <c r="E39" s="5">
        <v>8</v>
      </c>
      <c r="F39" s="7">
        <v>120</v>
      </c>
      <c r="G39" s="7">
        <f>IF(BD_MOVD[[#This Row],[SISTEMA]]="SUELDO",BD_MOVD[[#This Row],[COSTO DIA]]*30,0)</f>
        <v>0</v>
      </c>
      <c r="H39" s="7">
        <f>IFERROR(BD_MOVD[[#This Row],[COSTO DIA]]/BD_MOVD[[#This Row],[HR DE CONTRATO]],0)</f>
        <v>15</v>
      </c>
      <c r="I39" s="7" t="s">
        <v>31</v>
      </c>
    </row>
    <row r="40" spans="1:9" x14ac:dyDescent="0.3">
      <c r="A40" s="23" t="s">
        <v>73</v>
      </c>
      <c r="B40" s="5">
        <v>47006566</v>
      </c>
      <c r="C40" s="5" t="s">
        <v>48</v>
      </c>
      <c r="D40" s="23" t="s">
        <v>30</v>
      </c>
      <c r="E40" s="5">
        <v>8</v>
      </c>
      <c r="F40" s="7">
        <v>130</v>
      </c>
      <c r="G40" s="7">
        <f>IF(BD_MOVD[[#This Row],[SISTEMA]]="SUELDO",BD_MOVD[[#This Row],[COSTO DIA]]*30,0)</f>
        <v>0</v>
      </c>
      <c r="H40" s="7">
        <f>IFERROR(BD_MOVD[[#This Row],[COSTO DIA]]/BD_MOVD[[#This Row],[HR DE CONTRATO]],0)</f>
        <v>16.25</v>
      </c>
      <c r="I40" s="7" t="s">
        <v>31</v>
      </c>
    </row>
    <row r="41" spans="1:9" x14ac:dyDescent="0.3">
      <c r="A41" s="23" t="s">
        <v>74</v>
      </c>
      <c r="B41" s="5">
        <v>41555424</v>
      </c>
      <c r="C41" s="5" t="s">
        <v>41</v>
      </c>
      <c r="D41" s="24" t="s">
        <v>26</v>
      </c>
      <c r="E41" s="5">
        <v>8</v>
      </c>
      <c r="F41" s="7">
        <v>95</v>
      </c>
      <c r="G41" s="7">
        <f>IF(BD_MOVD[[#This Row],[SISTEMA]]="SUELDO",BD_MOVD[[#This Row],[COSTO DIA]]*30,0)</f>
        <v>2850</v>
      </c>
      <c r="H41" s="7">
        <f>IFERROR(BD_MOVD[[#This Row],[COSTO DIA]]/BD_MOVD[[#This Row],[HR DE CONTRATO]],0)</f>
        <v>11.875</v>
      </c>
      <c r="I41" s="7" t="s">
        <v>75</v>
      </c>
    </row>
    <row r="42" spans="1:9" x14ac:dyDescent="0.3">
      <c r="A42" s="23" t="s">
        <v>76</v>
      </c>
      <c r="B42" s="5">
        <v>32924560</v>
      </c>
      <c r="C42" s="5" t="s">
        <v>41</v>
      </c>
      <c r="D42" s="24" t="s">
        <v>26</v>
      </c>
      <c r="E42" s="5">
        <v>8</v>
      </c>
      <c r="F42" s="7">
        <v>105</v>
      </c>
      <c r="G42" s="7">
        <f>IF(BD_MOVD[[#This Row],[SISTEMA]]="SUELDO",BD_MOVD[[#This Row],[COSTO DIA]]*30,0)</f>
        <v>3150</v>
      </c>
      <c r="H42" s="7">
        <f>IFERROR(BD_MOVD[[#This Row],[COSTO DIA]]/BD_MOVD[[#This Row],[HR DE CONTRATO]],0)</f>
        <v>13.125</v>
      </c>
      <c r="I42" s="7" t="s">
        <v>75</v>
      </c>
    </row>
    <row r="43" spans="1:9" x14ac:dyDescent="0.3">
      <c r="A43" s="23" t="s">
        <v>77</v>
      </c>
      <c r="B43" s="5">
        <v>46191684</v>
      </c>
      <c r="C43" s="5" t="s">
        <v>37</v>
      </c>
      <c r="D43" s="24" t="s">
        <v>26</v>
      </c>
      <c r="E43" s="5">
        <v>8</v>
      </c>
      <c r="F43" s="7">
        <v>95</v>
      </c>
      <c r="G43" s="7">
        <f>IF(BD_MOVD[[#This Row],[SISTEMA]]="SUELDO",BD_MOVD[[#This Row],[COSTO DIA]]*30,0)</f>
        <v>2850</v>
      </c>
      <c r="H43" s="7">
        <f>IFERROR(BD_MOVD[[#This Row],[COSTO DIA]]/BD_MOVD[[#This Row],[HR DE CONTRATO]],0)</f>
        <v>11.875</v>
      </c>
      <c r="I43" s="7" t="s">
        <v>75</v>
      </c>
    </row>
    <row r="44" spans="1:9" x14ac:dyDescent="0.3">
      <c r="A44" s="23" t="s">
        <v>78</v>
      </c>
      <c r="B44" s="5">
        <v>18857590</v>
      </c>
      <c r="C44" s="5" t="s">
        <v>37</v>
      </c>
      <c r="D44" s="24" t="s">
        <v>26</v>
      </c>
      <c r="E44" s="5">
        <v>8</v>
      </c>
      <c r="F44" s="7">
        <v>95</v>
      </c>
      <c r="G44" s="7">
        <f>IF(BD_MOVD[[#This Row],[SISTEMA]]="SUELDO",BD_MOVD[[#This Row],[COSTO DIA]]*30,0)</f>
        <v>2850</v>
      </c>
      <c r="H44" s="7">
        <f>IFERROR(BD_MOVD[[#This Row],[COSTO DIA]]/BD_MOVD[[#This Row],[HR DE CONTRATO]],0)</f>
        <v>11.875</v>
      </c>
      <c r="I44" s="7" t="s">
        <v>75</v>
      </c>
    </row>
    <row r="45" spans="1:9" x14ac:dyDescent="0.3">
      <c r="A45" s="23" t="s">
        <v>79</v>
      </c>
      <c r="B45" s="5">
        <v>18901373</v>
      </c>
      <c r="C45" s="5" t="s">
        <v>37</v>
      </c>
      <c r="D45" s="24" t="s">
        <v>26</v>
      </c>
      <c r="E45" s="5">
        <v>8</v>
      </c>
      <c r="F45" s="7">
        <v>95</v>
      </c>
      <c r="G45" s="7">
        <f>IF(BD_MOVD[[#This Row],[SISTEMA]]="SUELDO",BD_MOVD[[#This Row],[COSTO DIA]]*30,0)</f>
        <v>2850</v>
      </c>
      <c r="H45" s="7">
        <f>IFERROR(BD_MOVD[[#This Row],[COSTO DIA]]/BD_MOVD[[#This Row],[HR DE CONTRATO]],0)</f>
        <v>11.875</v>
      </c>
      <c r="I45" s="7" t="s">
        <v>75</v>
      </c>
    </row>
    <row r="46" spans="1:9" x14ac:dyDescent="0.3">
      <c r="A46" s="23" t="s">
        <v>80</v>
      </c>
      <c r="B46" s="5">
        <v>70767712</v>
      </c>
      <c r="C46" s="5" t="s">
        <v>48</v>
      </c>
      <c r="D46" s="24" t="s">
        <v>26</v>
      </c>
      <c r="E46" s="5">
        <v>8</v>
      </c>
      <c r="F46" s="7">
        <v>95</v>
      </c>
      <c r="G46" s="7">
        <f>IF(BD_MOVD[[#This Row],[SISTEMA]]="SUELDO",BD_MOVD[[#This Row],[COSTO DIA]]*30,0)</f>
        <v>2850</v>
      </c>
      <c r="H46" s="7">
        <f>IFERROR(BD_MOVD[[#This Row],[COSTO DIA]]/BD_MOVD[[#This Row],[HR DE CONTRATO]],0)</f>
        <v>11.875</v>
      </c>
      <c r="I46" s="7" t="s">
        <v>75</v>
      </c>
    </row>
    <row r="47" spans="1:9" x14ac:dyDescent="0.3">
      <c r="A47" s="23" t="s">
        <v>11</v>
      </c>
      <c r="B47" s="5">
        <v>18901067</v>
      </c>
      <c r="C47" s="5" t="s">
        <v>48</v>
      </c>
      <c r="D47" s="24" t="s">
        <v>26</v>
      </c>
      <c r="E47" s="5">
        <v>8</v>
      </c>
      <c r="F47" s="7">
        <v>95</v>
      </c>
      <c r="G47" s="7">
        <f>IF(BD_MOVD[[#This Row],[SISTEMA]]="SUELDO",BD_MOVD[[#This Row],[COSTO DIA]]*30,0)</f>
        <v>2850</v>
      </c>
      <c r="H47" s="7">
        <f>IFERROR(BD_MOVD[[#This Row],[COSTO DIA]]/BD_MOVD[[#This Row],[HR DE CONTRATO]],0)</f>
        <v>11.875</v>
      </c>
      <c r="I47" s="7" t="s">
        <v>75</v>
      </c>
    </row>
    <row r="48" spans="1:9" x14ac:dyDescent="0.3">
      <c r="A48" s="23" t="s">
        <v>81</v>
      </c>
      <c r="B48" s="5">
        <v>44242287</v>
      </c>
      <c r="C48" s="5" t="s">
        <v>48</v>
      </c>
      <c r="D48" s="24" t="s">
        <v>26</v>
      </c>
      <c r="E48" s="5">
        <v>8</v>
      </c>
      <c r="F48" s="7">
        <v>95</v>
      </c>
      <c r="G48" s="7">
        <f>IF(BD_MOVD[[#This Row],[SISTEMA]]="SUELDO",BD_MOVD[[#This Row],[COSTO DIA]]*30,0)</f>
        <v>2850</v>
      </c>
      <c r="H48" s="7">
        <f>IFERROR(BD_MOVD[[#This Row],[COSTO DIA]]/BD_MOVD[[#This Row],[HR DE CONTRATO]],0)</f>
        <v>11.875</v>
      </c>
      <c r="I48" s="7" t="s">
        <v>75</v>
      </c>
    </row>
  </sheetData>
  <conditionalFormatting sqref="D3:D48">
    <cfRule type="containsText" dxfId="102" priority="11" operator="containsText" text="JORNAL">
      <formula>NOT(ISERROR(SEARCH("JORNAL",D3)))</formula>
    </cfRule>
    <cfRule type="containsText" dxfId="101" priority="13" operator="containsText" text="SUELDO">
      <formula>NOT(ISERROR(SEARCH("SUELDO",D3)))</formula>
    </cfRule>
  </conditionalFormatting>
  <conditionalFormatting sqref="I3:I48">
    <cfRule type="containsText" dxfId="100" priority="12" operator="containsText" text="NORMAL">
      <formula>NOT(ISERROR(SEARCH("NORMAL",I3)))</formula>
    </cfRule>
    <cfRule type="containsText" dxfId="99" priority="14" operator="containsText" text="COMPRA HORAS">
      <formula>NOT(ISERROR(SEARCH("COMPRA HORAS",I3)))</formula>
    </cfRule>
  </conditionalFormatting>
  <conditionalFormatting sqref="N3:N10">
    <cfRule type="containsText" dxfId="98" priority="7" operator="containsText" text="JORNAL">
      <formula>NOT(ISERROR(SEARCH("JORNAL",N3)))</formula>
    </cfRule>
    <cfRule type="containsText" dxfId="97" priority="9" operator="containsText" text="SUELDO">
      <formula>NOT(ISERROR(SEARCH("SUELDO",N3)))</formula>
    </cfRule>
  </conditionalFormatting>
  <conditionalFormatting sqref="S3:S9">
    <cfRule type="containsText" dxfId="96" priority="8" operator="containsText" text="NORMAL">
      <formula>NOT(ISERROR(SEARCH("NORMAL",S3)))</formula>
    </cfRule>
    <cfRule type="containsText" dxfId="95" priority="10" operator="containsText" text="COMPRA HORAS">
      <formula>NOT(ISERROR(SEARCH("COMPRA HORAS",S3)))</formula>
    </cfRule>
  </conditionalFormatting>
  <conditionalFormatting sqref="S10">
    <cfRule type="containsText" dxfId="94" priority="5" operator="containsText" text="NORMAL">
      <formula>NOT(ISERROR(SEARCH("NORMAL",S10)))</formula>
    </cfRule>
    <cfRule type="containsText" dxfId="93" priority="6" operator="containsText" text="COMPRA HORAS">
      <formula>NOT(ISERROR(SEARCH("COMPRA HORAS",S10)))</formula>
    </cfRule>
  </conditionalFormatting>
  <conditionalFormatting sqref="X3:X7">
    <cfRule type="containsText" dxfId="92" priority="1" operator="containsText" text="JORNAL">
      <formula>NOT(ISERROR(SEARCH("JORNAL",X3)))</formula>
    </cfRule>
    <cfRule type="containsText" dxfId="91" priority="3" operator="containsText" text="SUELDO">
      <formula>NOT(ISERROR(SEARCH("SUELDO",X3)))</formula>
    </cfRule>
  </conditionalFormatting>
  <conditionalFormatting sqref="AC3:AC7">
    <cfRule type="containsText" dxfId="90" priority="2" operator="containsText" text="NORMAL">
      <formula>NOT(ISERROR(SEARCH("NORMAL",AC3)))</formula>
    </cfRule>
    <cfRule type="containsText" dxfId="89" priority="4" operator="containsText" text="COMPRA HORAS">
      <formula>NOT(ISERROR(SEARCH("COMPRA HORAS",AC3)))</formula>
    </cfRule>
  </conditionalFormatting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43EF-0056-4A76-8633-68995F76A9EF}">
  <sheetPr codeName="Hoja8"/>
  <dimension ref="A1"/>
  <sheetViews>
    <sheetView workbookViewId="0">
      <selection activeCell="E23" sqref="E23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ED94-6F2A-45B9-9372-198ACD4058FB}">
  <sheetPr codeName="Hoja3"/>
  <dimension ref="A1"/>
  <sheetViews>
    <sheetView workbookViewId="0">
      <selection activeCell="F26" sqref="F26"/>
    </sheetView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4E1F-3A46-4BC5-B06D-55B1A81B95D4}">
  <sheetPr codeName="Hoja4">
    <tabColor rgb="FF92D050"/>
  </sheetPr>
  <dimension ref="A1:AF63"/>
  <sheetViews>
    <sheetView topLeftCell="S1" workbookViewId="0">
      <selection activeCell="T15" sqref="T15:AG18"/>
    </sheetView>
  </sheetViews>
  <sheetFormatPr baseColWidth="10" defaultRowHeight="14.4" x14ac:dyDescent="0.3"/>
  <cols>
    <col min="1" max="1" width="10.5546875" bestFit="1" customWidth="1"/>
    <col min="2" max="2" width="22.21875" bestFit="1" customWidth="1"/>
    <col min="3" max="3" width="11.109375" bestFit="1" customWidth="1"/>
    <col min="4" max="4" width="9.109375" bestFit="1" customWidth="1"/>
    <col min="5" max="5" width="13.21875" bestFit="1" customWidth="1"/>
    <col min="6" max="6" width="15" bestFit="1" customWidth="1"/>
    <col min="7" max="7" width="11.88671875" bestFit="1" customWidth="1"/>
    <col min="8" max="8" width="18.33203125" bestFit="1" customWidth="1"/>
    <col min="11" max="11" width="41.109375" bestFit="1" customWidth="1"/>
    <col min="12" max="12" width="16.44140625" bestFit="1" customWidth="1"/>
    <col min="13" max="13" width="18" bestFit="1" customWidth="1"/>
    <col min="14" max="14" width="15.109375" bestFit="1" customWidth="1"/>
    <col min="15" max="15" width="14.109375" bestFit="1" customWidth="1"/>
    <col min="16" max="16" width="14.44140625" bestFit="1" customWidth="1"/>
    <col min="17" max="17" width="15.33203125" bestFit="1" customWidth="1"/>
    <col min="18" max="18" width="16" bestFit="1" customWidth="1"/>
    <col min="19" max="19" width="16" customWidth="1"/>
    <col min="21" max="21" width="10.5546875" bestFit="1" customWidth="1"/>
    <col min="22" max="22" width="24.44140625" bestFit="1" customWidth="1"/>
    <col min="23" max="23" width="15.33203125" bestFit="1" customWidth="1"/>
    <col min="24" max="24" width="11.109375" bestFit="1" customWidth="1"/>
    <col min="25" max="25" width="9.109375" bestFit="1" customWidth="1"/>
    <col min="26" max="26" width="13.5546875" bestFit="1" customWidth="1"/>
    <col min="27" max="27" width="7.5546875" bestFit="1" customWidth="1"/>
    <col min="28" max="28" width="12.44140625" bestFit="1" customWidth="1"/>
    <col min="29" max="29" width="11.88671875" bestFit="1" customWidth="1"/>
    <col min="30" max="30" width="10.77734375" bestFit="1" customWidth="1"/>
    <col min="31" max="31" width="18.33203125" bestFit="1" customWidth="1"/>
  </cols>
  <sheetData>
    <row r="1" spans="1:32" ht="18" x14ac:dyDescent="0.3">
      <c r="A1" s="10" t="s">
        <v>0</v>
      </c>
      <c r="B1" t="s">
        <v>1</v>
      </c>
      <c r="C1" t="s">
        <v>3</v>
      </c>
      <c r="D1" t="s">
        <v>4</v>
      </c>
      <c r="E1" t="s">
        <v>18</v>
      </c>
      <c r="F1" t="s">
        <v>19</v>
      </c>
      <c r="G1" t="s">
        <v>8</v>
      </c>
      <c r="H1" t="s">
        <v>10</v>
      </c>
      <c r="K1" s="81" t="s">
        <v>124</v>
      </c>
      <c r="L1" s="81"/>
      <c r="M1" s="81"/>
      <c r="N1" s="81"/>
      <c r="O1" s="81"/>
      <c r="P1" s="81"/>
      <c r="Q1" s="81"/>
      <c r="R1" s="81"/>
      <c r="U1" s="1" t="s">
        <v>0</v>
      </c>
      <c r="V1" s="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126</v>
      </c>
      <c r="AC1" s="2" t="s">
        <v>7</v>
      </c>
      <c r="AD1" t="s">
        <v>8</v>
      </c>
      <c r="AE1" s="2" t="s">
        <v>9</v>
      </c>
      <c r="AF1" t="s">
        <v>10</v>
      </c>
    </row>
    <row r="2" spans="1:32" ht="15.6" x14ac:dyDescent="0.3">
      <c r="A2" s="9">
        <v>45017</v>
      </c>
      <c r="B2" s="11" t="s">
        <v>20</v>
      </c>
      <c r="C2" s="11" t="s">
        <v>13</v>
      </c>
      <c r="D2" s="12">
        <v>10</v>
      </c>
      <c r="E2" s="13">
        <f>(8/48)*MOVD_Jornal[[#This Row],[HORAS]]</f>
        <v>1.6666666666666665</v>
      </c>
      <c r="F2" s="13">
        <f>SUM(MOVD_Jornal[[#This Row],[HORAS]:[DOMINICAL]])</f>
        <v>11.666666666666666</v>
      </c>
      <c r="G2" s="14">
        <v>11.875</v>
      </c>
      <c r="H2" s="15">
        <f>MOVD_Jornal[[#This Row],[TOTAL HORAS]]*MOVD_Jornal[[#This Row],[COSTO HH]]</f>
        <v>138.54166666666666</v>
      </c>
      <c r="K2" s="65" t="s">
        <v>1</v>
      </c>
      <c r="L2" s="66" t="s">
        <v>119</v>
      </c>
      <c r="M2" s="66" t="s">
        <v>120</v>
      </c>
      <c r="N2" s="66" t="s">
        <v>121</v>
      </c>
      <c r="O2" s="66" t="s">
        <v>122</v>
      </c>
      <c r="P2" s="66" t="s">
        <v>123</v>
      </c>
      <c r="Q2" s="67" t="s">
        <v>8</v>
      </c>
      <c r="R2" s="66" t="s">
        <v>27</v>
      </c>
      <c r="U2" s="3">
        <v>45017</v>
      </c>
      <c r="V2" s="4" t="s">
        <v>11</v>
      </c>
      <c r="W2" s="5" t="s">
        <v>12</v>
      </c>
      <c r="X2" s="11" t="s">
        <v>13</v>
      </c>
      <c r="Y2" s="5">
        <v>5</v>
      </c>
      <c r="Z2" s="5">
        <f>IF(AND(WEEKDAY(U2,2)&lt;&gt; 7,W2="trabaja"),Y2-(10/COUNTIFS(MOVD_Sueldo[FECHA],MOVD_Sueldo[[#This Row],[FECHA]],MOVD_Sueldo[NOMBRE],MOVD_Sueldo[[#This Row],[NOMBRE]])),IF(WEEKDAY(U2,2)= 7,0,0))</f>
        <v>0</v>
      </c>
      <c r="AA2" s="5">
        <f t="shared" ref="AA2:AA63" si="0">IF(AND(W2="descanso forzado",WEEKDAY(U2,2)&lt;&gt;7),10,0)</f>
        <v>0</v>
      </c>
      <c r="AB2" s="5">
        <f t="shared" ref="AB2:AB63" si="1">IF(AND(W2="dia adicional",WEEKDAY(U2,2)&lt;&gt;7),10,0)</f>
        <v>0</v>
      </c>
      <c r="AC2" s="6">
        <f>VLOOKUP(MOVD_Sueldo[[#This Row],[NOMBRE]],BD_MOVD[],6,0)/COUNTIFS(MOVD_Sueldo[FECHA],MOVD_Sueldo[[#This Row],[FECHA]],MOVD_Sueldo[NOMBRE],MOVD_Sueldo[[#This Row],[NOMBRE]])</f>
        <v>47.5</v>
      </c>
      <c r="AD2" s="6">
        <f>(MOVD_Sueldo[[#This Row],[COSTO DIA]]*30)/240*COUNTIFS(MOVD_Sueldo[FECHA],MOVD_Sueldo[[#This Row],[FECHA]],MOVD_Sueldo[NOMBRE],MOVD_Sueldo[[#This Row],[NOMBRE]])</f>
        <v>11.875</v>
      </c>
      <c r="AE2" s="7">
        <f>(MOVD_Sueldo[[#This Row],[COSTO DIA]]*30)/DAY(EOMONTH(U2,0))</f>
        <v>47.5</v>
      </c>
      <c r="AF2" s="8">
        <f>IF(W2&lt;&gt; "descanso forzado",AE2+Z2*AD2,AE2)</f>
        <v>47.5</v>
      </c>
    </row>
    <row r="3" spans="1:32" x14ac:dyDescent="0.3">
      <c r="A3" s="9">
        <v>45018</v>
      </c>
      <c r="B3" s="11" t="s">
        <v>20</v>
      </c>
      <c r="C3" s="11" t="s">
        <v>14</v>
      </c>
      <c r="D3" s="12">
        <v>0</v>
      </c>
      <c r="E3" s="13">
        <f>(8/48)*MOVD_Jornal[[#This Row],[HORAS]]</f>
        <v>0</v>
      </c>
      <c r="F3" s="13">
        <f>SUM(MOVD_Jornal[[#This Row],[HORAS]:[DOMINICAL]])</f>
        <v>0</v>
      </c>
      <c r="G3" s="14">
        <v>11.875</v>
      </c>
      <c r="H3" s="15">
        <f>MOVD_Jornal[[#This Row],[TOTAL HORAS]]*MOVD_Jornal[[#This Row],[COSTO HH]]</f>
        <v>0</v>
      </c>
      <c r="K3" s="68" t="s">
        <v>64</v>
      </c>
      <c r="L3" s="69">
        <v>100</v>
      </c>
      <c r="M3" s="70">
        <v>44927</v>
      </c>
      <c r="N3" s="70">
        <v>45291</v>
      </c>
      <c r="O3" s="71">
        <f>MOVD_ControlJornal[[#This Row],[FECHA FIN]]-MOVD_ControlJornal[[#This Row],[FECHA INICIO]]+1</f>
        <v>365</v>
      </c>
      <c r="P3" s="72" t="str">
        <f>IF(MOVD_ControlJornal[[#This Row],[PERIODO]]&gt;=364,"ANUAL", IF(MOVD_ControlJornal[[#This Row],[PERIODO]]&gt;=1,"POR DIAS","PASADO"))</f>
        <v>ANUAL</v>
      </c>
      <c r="Q3" s="15">
        <f>MOVD_ControlJornal[[#This Row],[S/. POR DIA]]/8</f>
        <v>12.5</v>
      </c>
      <c r="R3" s="15" t="str">
        <f>VLOOKUP(MOVD_ControlJornal[[#This Row],[NOMBRE]],BD_MOVD[],9,0)</f>
        <v>NORMAL</v>
      </c>
      <c r="U3" s="3">
        <v>45017</v>
      </c>
      <c r="V3" s="4" t="s">
        <v>11</v>
      </c>
      <c r="W3" s="5" t="s">
        <v>12</v>
      </c>
      <c r="X3" s="11" t="s">
        <v>14</v>
      </c>
      <c r="Y3" s="5">
        <v>5</v>
      </c>
      <c r="Z3" s="5">
        <f>IF(AND(WEEKDAY(U3,2)&lt;&gt; 7,W3="trabaja"),Y3-(10/COUNTIFS(MOVD_Sueldo[FECHA],MOVD_Sueldo[[#This Row],[FECHA]],MOVD_Sueldo[NOMBRE],MOVD_Sueldo[[#This Row],[NOMBRE]])),IF(WEEKDAY(U3,2)= 7,0,0))</f>
        <v>0</v>
      </c>
      <c r="AA3" s="5">
        <f t="shared" si="0"/>
        <v>0</v>
      </c>
      <c r="AB3" s="5">
        <f t="shared" si="1"/>
        <v>0</v>
      </c>
      <c r="AC3" s="6">
        <f>VLOOKUP(MOVD_Sueldo[[#This Row],[NOMBRE]],BD_MOVD[],6,0)/COUNTIFS(MOVD_Sueldo[FECHA],MOVD_Sueldo[[#This Row],[FECHA]],MOVD_Sueldo[NOMBRE],MOVD_Sueldo[[#This Row],[NOMBRE]])</f>
        <v>47.5</v>
      </c>
      <c r="AD3" s="6">
        <f>(MOVD_Sueldo[[#This Row],[COSTO DIA]]*30)/240*COUNTIFS(MOVD_Sueldo[FECHA],MOVD_Sueldo[[#This Row],[FECHA]],MOVD_Sueldo[NOMBRE],MOVD_Sueldo[[#This Row],[NOMBRE]])</f>
        <v>11.875</v>
      </c>
      <c r="AE3" s="7">
        <f>(MOVD_Sueldo[[#This Row],[COSTO DIA]]*30)/DAY(EOMONTH(U3,0))</f>
        <v>47.5</v>
      </c>
      <c r="AF3" s="8">
        <f>IF(W3&lt;&gt; "descanso forzado",AE3+Z3*AD3,AE3)</f>
        <v>47.5</v>
      </c>
    </row>
    <row r="4" spans="1:32" x14ac:dyDescent="0.3">
      <c r="A4" s="9">
        <v>45019</v>
      </c>
      <c r="B4" s="11" t="s">
        <v>20</v>
      </c>
      <c r="C4" s="11" t="s">
        <v>14</v>
      </c>
      <c r="D4" s="12">
        <v>10</v>
      </c>
      <c r="E4" s="13">
        <f>(8/48)*MOVD_Jornal[[#This Row],[HORAS]]</f>
        <v>1.6666666666666665</v>
      </c>
      <c r="F4" s="13">
        <f>SUM(MOVD_Jornal[[#This Row],[HORAS]:[DOMINICAL]])</f>
        <v>11.666666666666666</v>
      </c>
      <c r="G4" s="14">
        <v>11.875</v>
      </c>
      <c r="H4" s="15">
        <f>MOVD_Jornal[[#This Row],[TOTAL HORAS]]*MOVD_Jornal[[#This Row],[COSTO HH]]</f>
        <v>138.54166666666666</v>
      </c>
      <c r="K4" s="68" t="s">
        <v>43</v>
      </c>
      <c r="L4" s="69">
        <v>90</v>
      </c>
      <c r="M4" s="70">
        <v>44927</v>
      </c>
      <c r="N4" s="70">
        <v>45291</v>
      </c>
      <c r="O4" s="71">
        <f>MOVD_ControlJornal[[#This Row],[FECHA FIN]]-MOVD_ControlJornal[[#This Row],[FECHA INICIO]]+1</f>
        <v>365</v>
      </c>
      <c r="P4" s="72" t="str">
        <f>IF(MOVD_ControlJornal[[#This Row],[PERIODO]]&gt;=364,"ANUAL", IF(MOVD_ControlJornal[[#This Row],[PERIODO]]&gt;=1,"POR DIAS","PASADO"))</f>
        <v>ANUAL</v>
      </c>
      <c r="Q4" s="15">
        <f>MOVD_ControlJornal[[#This Row],[S/. POR DIA]]/8</f>
        <v>11.25</v>
      </c>
      <c r="R4" s="15" t="str">
        <f>VLOOKUP(MOVD_ControlJornal[[#This Row],[NOMBRE]],BD_MOVD[],9,0)</f>
        <v>NORMAL</v>
      </c>
      <c r="U4" s="3">
        <v>45018</v>
      </c>
      <c r="V4" s="4" t="s">
        <v>11</v>
      </c>
      <c r="W4" s="5" t="s">
        <v>12</v>
      </c>
      <c r="X4" s="11" t="s">
        <v>14</v>
      </c>
      <c r="Y4" s="5">
        <v>0</v>
      </c>
      <c r="Z4" s="5">
        <f>IF(AND(WEEKDAY(U4,2)&lt;&gt; 7,W4="trabaja"),Y4-(10/COUNTIFS(MOVD_Sueldo[FECHA],MOVD_Sueldo[[#This Row],[FECHA]],MOVD_Sueldo[NOMBRE],MOVD_Sueldo[[#This Row],[NOMBRE]])),IF(WEEKDAY(U4,2)= 7,0,0))</f>
        <v>0</v>
      </c>
      <c r="AA4" s="5">
        <f t="shared" si="0"/>
        <v>0</v>
      </c>
      <c r="AB4" s="5">
        <f t="shared" si="1"/>
        <v>0</v>
      </c>
      <c r="AC4" s="6">
        <f>VLOOKUP(MOVD_Sueldo[[#This Row],[NOMBRE]],BD_MOVD[],6,0)/COUNTIFS(MOVD_Sueldo[FECHA],MOVD_Sueldo[[#This Row],[FECHA]],MOVD_Sueldo[NOMBRE],MOVD_Sueldo[[#This Row],[NOMBRE]])</f>
        <v>95</v>
      </c>
      <c r="AD4" s="6">
        <f>(MOVD_Sueldo[[#This Row],[COSTO DIA]]*30)/240*COUNTIFS(MOVD_Sueldo[FECHA],MOVD_Sueldo[[#This Row],[FECHA]],MOVD_Sueldo[NOMBRE],MOVD_Sueldo[[#This Row],[NOMBRE]])</f>
        <v>11.875</v>
      </c>
      <c r="AE4" s="7">
        <f>(MOVD_Sueldo[[#This Row],[COSTO DIA]]*30)/DAY(EOMONTH(U4,0))</f>
        <v>95</v>
      </c>
      <c r="AF4" s="8">
        <f>IF(W4&lt;&gt; "descanso forzado",AE4+Z4*AD4,AE4)</f>
        <v>95</v>
      </c>
    </row>
    <row r="5" spans="1:32" x14ac:dyDescent="0.3">
      <c r="A5" s="9">
        <v>45020</v>
      </c>
      <c r="B5" s="11" t="s">
        <v>20</v>
      </c>
      <c r="C5" s="11" t="s">
        <v>21</v>
      </c>
      <c r="D5" s="12">
        <v>10</v>
      </c>
      <c r="E5" s="13">
        <f>(8/48)*MOVD_Jornal[[#This Row],[HORAS]]</f>
        <v>1.6666666666666665</v>
      </c>
      <c r="F5" s="13">
        <f>SUM(MOVD_Jornal[[#This Row],[HORAS]:[DOMINICAL]])</f>
        <v>11.666666666666666</v>
      </c>
      <c r="G5" s="14">
        <v>11.875</v>
      </c>
      <c r="H5" s="15">
        <f>MOVD_Jornal[[#This Row],[TOTAL HORAS]]*MOVD_Jornal[[#This Row],[COSTO HH]]</f>
        <v>138.54166666666666</v>
      </c>
      <c r="K5" s="68" t="s">
        <v>20</v>
      </c>
      <c r="L5" s="69">
        <v>95</v>
      </c>
      <c r="M5" s="70">
        <v>44927</v>
      </c>
      <c r="N5" s="70">
        <v>45291</v>
      </c>
      <c r="O5" s="71">
        <f>MOVD_ControlJornal[[#This Row],[FECHA FIN]]-MOVD_ControlJornal[[#This Row],[FECHA INICIO]]+1</f>
        <v>365</v>
      </c>
      <c r="P5" s="72" t="str">
        <f>IF(MOVD_ControlJornal[[#This Row],[PERIODO]]&gt;=364,"ANUAL", IF(MOVD_ControlJornal[[#This Row],[PERIODO]]&gt;=1,"POR DIAS","PASADO"))</f>
        <v>ANUAL</v>
      </c>
      <c r="Q5" s="15">
        <f>MOVD_ControlJornal[[#This Row],[S/. POR DIA]]/8</f>
        <v>11.875</v>
      </c>
      <c r="R5" s="15" t="str">
        <f>VLOOKUP(MOVD_ControlJornal[[#This Row],[NOMBRE]],BD_MOVD[],9,0)</f>
        <v>NORMAL</v>
      </c>
      <c r="U5" s="3">
        <v>45019</v>
      </c>
      <c r="V5" s="4" t="s">
        <v>11</v>
      </c>
      <c r="W5" s="5" t="s">
        <v>12</v>
      </c>
      <c r="X5" s="11" t="s">
        <v>21</v>
      </c>
      <c r="Y5" s="5">
        <v>10</v>
      </c>
      <c r="Z5" s="5">
        <f>IF(AND(WEEKDAY(U5,2)&lt;&gt; 7,W5="trabaja"),Y5-(10/COUNTIFS(MOVD_Sueldo[FECHA],MOVD_Sueldo[[#This Row],[FECHA]],MOVD_Sueldo[NOMBRE],MOVD_Sueldo[[#This Row],[NOMBRE]])),IF(WEEKDAY(U5,2)= 7,0,0))</f>
        <v>0</v>
      </c>
      <c r="AA5" s="5">
        <f t="shared" si="0"/>
        <v>0</v>
      </c>
      <c r="AB5" s="5">
        <f t="shared" si="1"/>
        <v>0</v>
      </c>
      <c r="AC5" s="6">
        <f>VLOOKUP(MOVD_Sueldo[[#This Row],[NOMBRE]],BD_MOVD[],6,0)/COUNTIFS(MOVD_Sueldo[FECHA],MOVD_Sueldo[[#This Row],[FECHA]],MOVD_Sueldo[NOMBRE],MOVD_Sueldo[[#This Row],[NOMBRE]])</f>
        <v>95</v>
      </c>
      <c r="AD5" s="6">
        <f>(MOVD_Sueldo[[#This Row],[COSTO DIA]]*30)/240*COUNTIFS(MOVD_Sueldo[FECHA],MOVD_Sueldo[[#This Row],[FECHA]],MOVD_Sueldo[NOMBRE],MOVD_Sueldo[[#This Row],[NOMBRE]])</f>
        <v>11.875</v>
      </c>
      <c r="AE5" s="7">
        <f>(MOVD_Sueldo[[#This Row],[COSTO DIA]]*30)/DAY(EOMONTH(U5,0))</f>
        <v>95</v>
      </c>
      <c r="AF5" s="8">
        <f>IF(W5&lt;&gt; "descanso forzado",AE5+Z5*AD5,AE5)</f>
        <v>95</v>
      </c>
    </row>
    <row r="6" spans="1:32" x14ac:dyDescent="0.3">
      <c r="A6" s="9">
        <v>45021</v>
      </c>
      <c r="B6" s="11" t="s">
        <v>20</v>
      </c>
      <c r="C6" s="11" t="s">
        <v>14</v>
      </c>
      <c r="D6" s="12">
        <v>10</v>
      </c>
      <c r="E6" s="13">
        <f>(8/48)*MOVD_Jornal[[#This Row],[HORAS]]</f>
        <v>1.6666666666666665</v>
      </c>
      <c r="F6" s="13">
        <f>SUM(MOVD_Jornal[[#This Row],[HORAS]:[DOMINICAL]])</f>
        <v>11.666666666666666</v>
      </c>
      <c r="G6" s="14">
        <v>11.875</v>
      </c>
      <c r="H6" s="15">
        <f>MOVD_Jornal[[#This Row],[TOTAL HORAS]]*MOVD_Jornal[[#This Row],[COSTO HH]]</f>
        <v>138.54166666666666</v>
      </c>
      <c r="K6" s="68" t="s">
        <v>46</v>
      </c>
      <c r="L6" s="69">
        <v>95</v>
      </c>
      <c r="M6" s="70">
        <v>44927</v>
      </c>
      <c r="N6" s="70">
        <v>45291</v>
      </c>
      <c r="O6" s="71">
        <f>MOVD_ControlJornal[[#This Row],[FECHA FIN]]-MOVD_ControlJornal[[#This Row],[FECHA INICIO]]+1</f>
        <v>365</v>
      </c>
      <c r="P6" s="72" t="str">
        <f>IF(MOVD_ControlJornal[[#This Row],[PERIODO]]&gt;=364,"ANUAL", IF(MOVD_ControlJornal[[#This Row],[PERIODO]]&gt;=1,"POR DIAS","PASADO"))</f>
        <v>ANUAL</v>
      </c>
      <c r="Q6" s="15">
        <f>MOVD_ControlJornal[[#This Row],[S/. POR DIA]]/8</f>
        <v>11.875</v>
      </c>
      <c r="R6" s="15" t="str">
        <f>VLOOKUP(MOVD_ControlJornal[[#This Row],[NOMBRE]],BD_MOVD[],9,0)</f>
        <v>NORMAL</v>
      </c>
      <c r="U6" s="3">
        <v>45020</v>
      </c>
      <c r="V6" s="4" t="s">
        <v>11</v>
      </c>
      <c r="W6" s="5" t="s">
        <v>12</v>
      </c>
      <c r="X6" s="11" t="s">
        <v>14</v>
      </c>
      <c r="Y6" s="5">
        <v>10</v>
      </c>
      <c r="Z6" s="5">
        <f>IF(AND(WEEKDAY(U6,2)&lt;&gt; 7,W6="trabaja"),Y6-(10/COUNTIFS(MOVD_Sueldo[FECHA],MOVD_Sueldo[[#This Row],[FECHA]],MOVD_Sueldo[NOMBRE],MOVD_Sueldo[[#This Row],[NOMBRE]])),IF(WEEKDAY(U6,2)= 7,0,0))</f>
        <v>0</v>
      </c>
      <c r="AA6" s="5">
        <f t="shared" si="0"/>
        <v>0</v>
      </c>
      <c r="AB6" s="5">
        <f t="shared" si="1"/>
        <v>0</v>
      </c>
      <c r="AC6" s="6">
        <f>VLOOKUP(MOVD_Sueldo[[#This Row],[NOMBRE]],BD_MOVD[],6,0)/COUNTIFS(MOVD_Sueldo[FECHA],MOVD_Sueldo[[#This Row],[FECHA]],MOVD_Sueldo[NOMBRE],MOVD_Sueldo[[#This Row],[NOMBRE]])</f>
        <v>95</v>
      </c>
      <c r="AD6" s="6">
        <f>(MOVD_Sueldo[[#This Row],[COSTO DIA]]*30)/240*COUNTIFS(MOVD_Sueldo[FECHA],MOVD_Sueldo[[#This Row],[FECHA]],MOVD_Sueldo[NOMBRE],MOVD_Sueldo[[#This Row],[NOMBRE]])</f>
        <v>11.875</v>
      </c>
      <c r="AE6" s="7">
        <f>(MOVD_Sueldo[[#This Row],[COSTO DIA]]*30)/DAY(EOMONTH(U6,0))</f>
        <v>95</v>
      </c>
      <c r="AF6" s="8">
        <f>IF(W6&lt;&gt; "descanso forzado",AE6+Z6*AD6,AE6)</f>
        <v>95</v>
      </c>
    </row>
    <row r="7" spans="1:32" x14ac:dyDescent="0.3">
      <c r="A7" s="9">
        <v>45022</v>
      </c>
      <c r="B7" s="11" t="s">
        <v>20</v>
      </c>
      <c r="C7" s="11" t="s">
        <v>21</v>
      </c>
      <c r="D7" s="12">
        <v>10</v>
      </c>
      <c r="E7" s="13">
        <f>(8/48)*MOVD_Jornal[[#This Row],[HORAS]]</f>
        <v>1.6666666666666665</v>
      </c>
      <c r="F7" s="13">
        <f>SUM(MOVD_Jornal[[#This Row],[HORAS]:[DOMINICAL]])</f>
        <v>11.666666666666666</v>
      </c>
      <c r="G7" s="14">
        <v>11.875</v>
      </c>
      <c r="H7" s="15">
        <f>MOVD_Jornal[[#This Row],[TOTAL HORAS]]*MOVD_Jornal[[#This Row],[COSTO HH]]</f>
        <v>138.54166666666666</v>
      </c>
      <c r="K7" s="68" t="s">
        <v>53</v>
      </c>
      <c r="L7" s="69">
        <v>95</v>
      </c>
      <c r="M7" s="70">
        <v>44927</v>
      </c>
      <c r="N7" s="70">
        <v>45291</v>
      </c>
      <c r="O7" s="71">
        <f>MOVD_ControlJornal[[#This Row],[FECHA FIN]]-MOVD_ControlJornal[[#This Row],[FECHA INICIO]]+1</f>
        <v>365</v>
      </c>
      <c r="P7" s="72" t="str">
        <f>IF(MOVD_ControlJornal[[#This Row],[PERIODO]]&gt;=364,"ANUAL", IF(MOVD_ControlJornal[[#This Row],[PERIODO]]&gt;=1,"POR DIAS","PASADO"))</f>
        <v>ANUAL</v>
      </c>
      <c r="Q7" s="15">
        <f>MOVD_ControlJornal[[#This Row],[S/. POR DIA]]/8</f>
        <v>11.875</v>
      </c>
      <c r="R7" s="15" t="str">
        <f>VLOOKUP(MOVD_ControlJornal[[#This Row],[NOMBRE]],BD_MOVD[],9,0)</f>
        <v>NORMAL</v>
      </c>
      <c r="U7" s="3">
        <v>45021</v>
      </c>
      <c r="V7" s="4" t="s">
        <v>11</v>
      </c>
      <c r="W7" s="5" t="s">
        <v>12</v>
      </c>
      <c r="X7" s="11" t="s">
        <v>21</v>
      </c>
      <c r="Y7" s="5">
        <v>10</v>
      </c>
      <c r="Z7" s="5">
        <f>IF(AND(WEEKDAY(U7,2)&lt;&gt; 7,W7="trabaja"),Y7-(10/COUNTIFS(MOVD_Sueldo[FECHA],MOVD_Sueldo[[#This Row],[FECHA]],MOVD_Sueldo[NOMBRE],MOVD_Sueldo[[#This Row],[NOMBRE]])),IF(WEEKDAY(U7,2)= 7,0,0))</f>
        <v>0</v>
      </c>
      <c r="AA7" s="5">
        <f t="shared" si="0"/>
        <v>0</v>
      </c>
      <c r="AB7" s="5">
        <f t="shared" si="1"/>
        <v>0</v>
      </c>
      <c r="AC7" s="6">
        <f>VLOOKUP(MOVD_Sueldo[[#This Row],[NOMBRE]],BD_MOVD[],6,0)/COUNTIFS(MOVD_Sueldo[FECHA],MOVD_Sueldo[[#This Row],[FECHA]],MOVD_Sueldo[NOMBRE],MOVD_Sueldo[[#This Row],[NOMBRE]])</f>
        <v>95</v>
      </c>
      <c r="AD7" s="6">
        <f>(MOVD_Sueldo[[#This Row],[COSTO DIA]]*30)/240*COUNTIFS(MOVD_Sueldo[FECHA],MOVD_Sueldo[[#This Row],[FECHA]],MOVD_Sueldo[NOMBRE],MOVD_Sueldo[[#This Row],[NOMBRE]])</f>
        <v>11.875</v>
      </c>
      <c r="AE7" s="7">
        <f>(MOVD_Sueldo[[#This Row],[COSTO DIA]]*30)/DAY(EOMONTH(U7,0))</f>
        <v>95</v>
      </c>
      <c r="AF7" s="8">
        <f>IF(W7&lt;&gt; "descanso forzado",AE7+Z7*AD7,AE7)</f>
        <v>95</v>
      </c>
    </row>
    <row r="8" spans="1:32" x14ac:dyDescent="0.3">
      <c r="A8" s="9">
        <v>45023</v>
      </c>
      <c r="B8" s="11" t="s">
        <v>20</v>
      </c>
      <c r="C8" s="11" t="s">
        <v>14</v>
      </c>
      <c r="D8" s="12">
        <v>10</v>
      </c>
      <c r="E8" s="13">
        <f>(8/48)*MOVD_Jornal[[#This Row],[HORAS]]</f>
        <v>1.6666666666666665</v>
      </c>
      <c r="F8" s="13">
        <f>SUM(MOVD_Jornal[[#This Row],[HORAS]:[DOMINICAL]])</f>
        <v>11.666666666666666</v>
      </c>
      <c r="G8" s="14">
        <v>11.875</v>
      </c>
      <c r="H8" s="15">
        <f>MOVD_Jornal[[#This Row],[TOTAL HORAS]]*MOVD_Jornal[[#This Row],[COSTO HH]]</f>
        <v>138.54166666666666</v>
      </c>
      <c r="K8" s="68" t="s">
        <v>50</v>
      </c>
      <c r="L8" s="69">
        <v>95</v>
      </c>
      <c r="M8" s="70">
        <v>44927</v>
      </c>
      <c r="N8" s="70">
        <v>45291</v>
      </c>
      <c r="O8" s="71">
        <f>MOVD_ControlJornal[[#This Row],[FECHA FIN]]-MOVD_ControlJornal[[#This Row],[FECHA INICIO]]+1</f>
        <v>365</v>
      </c>
      <c r="P8" s="72" t="str">
        <f>IF(MOVD_ControlJornal[[#This Row],[PERIODO]]&gt;=364,"ANUAL", IF(MOVD_ControlJornal[[#This Row],[PERIODO]]&gt;=1,"POR DIAS","PASADO"))</f>
        <v>ANUAL</v>
      </c>
      <c r="Q8" s="15">
        <f>MOVD_ControlJornal[[#This Row],[S/. POR DIA]]/8</f>
        <v>11.875</v>
      </c>
      <c r="R8" s="15" t="str">
        <f>VLOOKUP(MOVD_ControlJornal[[#This Row],[NOMBRE]],BD_MOVD[],9,0)</f>
        <v>NORMAL</v>
      </c>
      <c r="U8" s="3">
        <v>45022</v>
      </c>
      <c r="V8" s="4" t="s">
        <v>11</v>
      </c>
      <c r="W8" s="5" t="s">
        <v>12</v>
      </c>
      <c r="X8" s="11" t="s">
        <v>14</v>
      </c>
      <c r="Y8" s="5">
        <v>10</v>
      </c>
      <c r="Z8" s="5">
        <f>IF(AND(WEEKDAY(U8,2)&lt;&gt; 7,W8="trabaja"),Y8-(10/COUNTIFS(MOVD_Sueldo[FECHA],MOVD_Sueldo[[#This Row],[FECHA]],MOVD_Sueldo[NOMBRE],MOVD_Sueldo[[#This Row],[NOMBRE]])),IF(WEEKDAY(U8,2)= 7,0,0))</f>
        <v>0</v>
      </c>
      <c r="AA8" s="5">
        <f t="shared" si="0"/>
        <v>0</v>
      </c>
      <c r="AB8" s="5">
        <f t="shared" si="1"/>
        <v>0</v>
      </c>
      <c r="AC8" s="6">
        <f>VLOOKUP(MOVD_Sueldo[[#This Row],[NOMBRE]],BD_MOVD[],6,0)/COUNTIFS(MOVD_Sueldo[FECHA],MOVD_Sueldo[[#This Row],[FECHA]],MOVD_Sueldo[NOMBRE],MOVD_Sueldo[[#This Row],[NOMBRE]])</f>
        <v>95</v>
      </c>
      <c r="AD8" s="6">
        <f>(MOVD_Sueldo[[#This Row],[COSTO DIA]]*30)/240*COUNTIFS(MOVD_Sueldo[FECHA],MOVD_Sueldo[[#This Row],[FECHA]],MOVD_Sueldo[NOMBRE],MOVD_Sueldo[[#This Row],[NOMBRE]])</f>
        <v>11.875</v>
      </c>
      <c r="AE8" s="7">
        <f>(MOVD_Sueldo[[#This Row],[COSTO DIA]]*30)/DAY(EOMONTH(U8,0))</f>
        <v>95</v>
      </c>
      <c r="AF8" s="8">
        <f>IF(W8&lt;&gt; "descanso forzado",AE8+Z8*AD8,AE8)</f>
        <v>95</v>
      </c>
    </row>
    <row r="9" spans="1:32" x14ac:dyDescent="0.3">
      <c r="A9" s="9">
        <v>45024</v>
      </c>
      <c r="B9" s="11" t="s">
        <v>20</v>
      </c>
      <c r="C9" s="11" t="s">
        <v>14</v>
      </c>
      <c r="D9" s="12">
        <v>10</v>
      </c>
      <c r="E9" s="13">
        <f>(8/48)*MOVD_Jornal[[#This Row],[HORAS]]</f>
        <v>1.6666666666666665</v>
      </c>
      <c r="F9" s="13">
        <f>SUM(MOVD_Jornal[[#This Row],[HORAS]:[DOMINICAL]])</f>
        <v>11.666666666666666</v>
      </c>
      <c r="G9" s="14">
        <v>11.875</v>
      </c>
      <c r="H9" s="15">
        <f>MOVD_Jornal[[#This Row],[TOTAL HORAS]]*MOVD_Jornal[[#This Row],[COSTO HH]]</f>
        <v>138.54166666666666</v>
      </c>
      <c r="K9" s="68" t="s">
        <v>56</v>
      </c>
      <c r="L9" s="69">
        <v>100</v>
      </c>
      <c r="M9" s="70">
        <v>44927</v>
      </c>
      <c r="N9" s="70">
        <v>45291</v>
      </c>
      <c r="O9" s="71">
        <f>MOVD_ControlJornal[[#This Row],[FECHA FIN]]-MOVD_ControlJornal[[#This Row],[FECHA INICIO]]+1</f>
        <v>365</v>
      </c>
      <c r="P9" s="72" t="str">
        <f>IF(MOVD_ControlJornal[[#This Row],[PERIODO]]&gt;=364,"ANUAL", IF(MOVD_ControlJornal[[#This Row],[PERIODO]]&gt;=1,"POR DIAS","PASADO"))</f>
        <v>ANUAL</v>
      </c>
      <c r="Q9" s="15">
        <f>MOVD_ControlJornal[[#This Row],[S/. POR DIA]]/8</f>
        <v>12.5</v>
      </c>
      <c r="R9" s="15" t="str">
        <f>VLOOKUP(MOVD_ControlJornal[[#This Row],[NOMBRE]],BD_MOVD[],9,0)</f>
        <v>NORMAL</v>
      </c>
      <c r="U9" s="3">
        <v>45023</v>
      </c>
      <c r="V9" s="4" t="s">
        <v>11</v>
      </c>
      <c r="W9" s="5" t="s">
        <v>12</v>
      </c>
      <c r="X9" s="11" t="s">
        <v>14</v>
      </c>
      <c r="Y9" s="5">
        <v>10</v>
      </c>
      <c r="Z9" s="5">
        <f>IF(AND(WEEKDAY(U9,2)&lt;&gt; 7,W9="trabaja"),Y9-(10/COUNTIFS(MOVD_Sueldo[FECHA],MOVD_Sueldo[[#This Row],[FECHA]],MOVD_Sueldo[NOMBRE],MOVD_Sueldo[[#This Row],[NOMBRE]])),IF(WEEKDAY(U9,2)= 7,0,0))</f>
        <v>0</v>
      </c>
      <c r="AA9" s="5">
        <f t="shared" si="0"/>
        <v>0</v>
      </c>
      <c r="AB9" s="5">
        <f t="shared" si="1"/>
        <v>0</v>
      </c>
      <c r="AC9" s="6">
        <f>VLOOKUP(MOVD_Sueldo[[#This Row],[NOMBRE]],BD_MOVD[],6,0)/COUNTIFS(MOVD_Sueldo[FECHA],MOVD_Sueldo[[#This Row],[FECHA]],MOVD_Sueldo[NOMBRE],MOVD_Sueldo[[#This Row],[NOMBRE]])</f>
        <v>95</v>
      </c>
      <c r="AD9" s="6">
        <f>(MOVD_Sueldo[[#This Row],[COSTO DIA]]*30)/240*COUNTIFS(MOVD_Sueldo[FECHA],MOVD_Sueldo[[#This Row],[FECHA]],MOVD_Sueldo[NOMBRE],MOVD_Sueldo[[#This Row],[NOMBRE]])</f>
        <v>11.875</v>
      </c>
      <c r="AE9" s="7">
        <f>(MOVD_Sueldo[[#This Row],[COSTO DIA]]*30)/DAY(EOMONTH(U9,0))</f>
        <v>95</v>
      </c>
      <c r="AF9" s="8">
        <f>IF(W9&lt;&gt; "descanso forzado",AE9+Z9*AD9,AE9)</f>
        <v>95</v>
      </c>
    </row>
    <row r="10" spans="1:32" x14ac:dyDescent="0.3">
      <c r="A10" s="9">
        <v>45025</v>
      </c>
      <c r="B10" s="11" t="s">
        <v>20</v>
      </c>
      <c r="C10" s="11" t="s">
        <v>14</v>
      </c>
      <c r="D10" s="12">
        <v>0</v>
      </c>
      <c r="E10" s="13">
        <f>(8/48)*MOVD_Jornal[[#This Row],[HORAS]]</f>
        <v>0</v>
      </c>
      <c r="F10" s="13">
        <f>SUM(MOVD_Jornal[[#This Row],[HORAS]:[DOMINICAL]])</f>
        <v>0</v>
      </c>
      <c r="G10" s="14">
        <v>11.875</v>
      </c>
      <c r="H10" s="15">
        <f>MOVD_Jornal[[#This Row],[TOTAL HORAS]]*MOVD_Jornal[[#This Row],[COSTO HH]]</f>
        <v>0</v>
      </c>
      <c r="K10" s="68" t="s">
        <v>40</v>
      </c>
      <c r="L10" s="69">
        <v>90</v>
      </c>
      <c r="M10" s="70">
        <v>44927</v>
      </c>
      <c r="N10" s="70">
        <v>45291</v>
      </c>
      <c r="O10" s="71">
        <f>MOVD_ControlJornal[[#This Row],[FECHA FIN]]-MOVD_ControlJornal[[#This Row],[FECHA INICIO]]+1</f>
        <v>365</v>
      </c>
      <c r="P10" s="72" t="str">
        <f>IF(MOVD_ControlJornal[[#This Row],[PERIODO]]&gt;=364,"ANUAL", IF(MOVD_ControlJornal[[#This Row],[PERIODO]]&gt;=1,"POR DIAS","PASADO"))</f>
        <v>ANUAL</v>
      </c>
      <c r="Q10" s="15">
        <f>MOVD_ControlJornal[[#This Row],[S/. POR DIA]]/8</f>
        <v>11.25</v>
      </c>
      <c r="R10" s="15" t="str">
        <f>VLOOKUP(MOVD_ControlJornal[[#This Row],[NOMBRE]],BD_MOVD[],9,0)</f>
        <v>NORMAL</v>
      </c>
      <c r="U10" s="3">
        <v>45024</v>
      </c>
      <c r="V10" s="4" t="s">
        <v>11</v>
      </c>
      <c r="W10" s="5" t="s">
        <v>12</v>
      </c>
      <c r="X10" s="11" t="s">
        <v>14</v>
      </c>
      <c r="Y10" s="5">
        <v>8</v>
      </c>
      <c r="Z10" s="5">
        <f>IF(AND(WEEKDAY(U10,2)&lt;&gt; 7,W10="trabaja"),Y10-(10/COUNTIFS(MOVD_Sueldo[FECHA],MOVD_Sueldo[[#This Row],[FECHA]],MOVD_Sueldo[NOMBRE],MOVD_Sueldo[[#This Row],[NOMBRE]])),IF(WEEKDAY(U10,2)= 7,0,0))</f>
        <v>-2</v>
      </c>
      <c r="AA10" s="5">
        <f t="shared" si="0"/>
        <v>0</v>
      </c>
      <c r="AB10" s="5">
        <f t="shared" si="1"/>
        <v>0</v>
      </c>
      <c r="AC10" s="6">
        <f>VLOOKUP(MOVD_Sueldo[[#This Row],[NOMBRE]],BD_MOVD[],6,0)/COUNTIFS(MOVD_Sueldo[FECHA],MOVD_Sueldo[[#This Row],[FECHA]],MOVD_Sueldo[NOMBRE],MOVD_Sueldo[[#This Row],[NOMBRE]])</f>
        <v>95</v>
      </c>
      <c r="AD10" s="6">
        <f>(MOVD_Sueldo[[#This Row],[COSTO DIA]]*30)/240*COUNTIFS(MOVD_Sueldo[FECHA],MOVD_Sueldo[[#This Row],[FECHA]],MOVD_Sueldo[NOMBRE],MOVD_Sueldo[[#This Row],[NOMBRE]])</f>
        <v>11.875</v>
      </c>
      <c r="AE10" s="7">
        <f>(MOVD_Sueldo[[#This Row],[COSTO DIA]]*30)/DAY(EOMONTH(U10,0))</f>
        <v>95</v>
      </c>
      <c r="AF10" s="8">
        <f>IF(W10&lt;&gt; "descanso forzado",AE10+Z10*AD10,AE10)</f>
        <v>71.25</v>
      </c>
    </row>
    <row r="11" spans="1:32" x14ac:dyDescent="0.3">
      <c r="A11" s="9">
        <v>45026</v>
      </c>
      <c r="B11" s="11" t="s">
        <v>20</v>
      </c>
      <c r="C11" s="11" t="s">
        <v>14</v>
      </c>
      <c r="D11" s="12">
        <v>10</v>
      </c>
      <c r="E11" s="13">
        <f>(8/48)*MOVD_Jornal[[#This Row],[HORAS]]</f>
        <v>1.6666666666666665</v>
      </c>
      <c r="F11" s="13">
        <f>SUM(MOVD_Jornal[[#This Row],[HORAS]:[DOMINICAL]])</f>
        <v>11.666666666666666</v>
      </c>
      <c r="G11" s="16">
        <v>15</v>
      </c>
      <c r="H11" s="15">
        <f>MOVD_Jornal[[#This Row],[TOTAL HORAS]]*MOVD_Jornal[[#This Row],[COSTO HH]]</f>
        <v>175</v>
      </c>
      <c r="K11" s="68" t="s">
        <v>61</v>
      </c>
      <c r="L11" s="69">
        <v>100</v>
      </c>
      <c r="M11" s="70">
        <v>44927</v>
      </c>
      <c r="N11" s="70">
        <v>45291</v>
      </c>
      <c r="O11" s="71">
        <f>MOVD_ControlJornal[[#This Row],[FECHA FIN]]-MOVD_ControlJornal[[#This Row],[FECHA INICIO]]+1</f>
        <v>365</v>
      </c>
      <c r="P11" s="72" t="str">
        <f>IF(MOVD_ControlJornal[[#This Row],[PERIODO]]&gt;=364,"ANUAL", IF(MOVD_ControlJornal[[#This Row],[PERIODO]]&gt;=1,"POR DIAS","PASADO"))</f>
        <v>ANUAL</v>
      </c>
      <c r="Q11" s="15">
        <f>MOVD_ControlJornal[[#This Row],[S/. POR DIA]]/8</f>
        <v>12.5</v>
      </c>
      <c r="R11" s="15" t="str">
        <f>VLOOKUP(MOVD_ControlJornal[[#This Row],[NOMBRE]],BD_MOVD[],9,0)</f>
        <v>NORMAL</v>
      </c>
      <c r="U11" s="3">
        <v>45025</v>
      </c>
      <c r="V11" s="4" t="s">
        <v>11</v>
      </c>
      <c r="W11" s="5" t="s">
        <v>12</v>
      </c>
      <c r="X11" s="11" t="s">
        <v>14</v>
      </c>
      <c r="Y11" s="5">
        <v>0</v>
      </c>
      <c r="Z11" s="5">
        <f>IF(AND(WEEKDAY(U11,2)&lt;&gt; 7,W11="trabaja"),Y11-(10/COUNTIFS(MOVD_Sueldo[FECHA],MOVD_Sueldo[[#This Row],[FECHA]],MOVD_Sueldo[NOMBRE],MOVD_Sueldo[[#This Row],[NOMBRE]])),IF(WEEKDAY(U11,2)= 7,0,0))</f>
        <v>0</v>
      </c>
      <c r="AA11" s="5">
        <f t="shared" si="0"/>
        <v>0</v>
      </c>
      <c r="AB11" s="5">
        <f t="shared" si="1"/>
        <v>0</v>
      </c>
      <c r="AC11" s="6">
        <f>VLOOKUP(MOVD_Sueldo[[#This Row],[NOMBRE]],BD_MOVD[],6,0)/COUNTIFS(MOVD_Sueldo[FECHA],MOVD_Sueldo[[#This Row],[FECHA]],MOVD_Sueldo[NOMBRE],MOVD_Sueldo[[#This Row],[NOMBRE]])</f>
        <v>95</v>
      </c>
      <c r="AD11" s="6">
        <f>(MOVD_Sueldo[[#This Row],[COSTO DIA]]*30)/240*COUNTIFS(MOVD_Sueldo[FECHA],MOVD_Sueldo[[#This Row],[FECHA]],MOVD_Sueldo[NOMBRE],MOVD_Sueldo[[#This Row],[NOMBRE]])</f>
        <v>11.875</v>
      </c>
      <c r="AE11" s="7">
        <f>(MOVD_Sueldo[[#This Row],[COSTO DIA]]*30)/DAY(EOMONTH(U11,0))</f>
        <v>95</v>
      </c>
      <c r="AF11" s="8">
        <f>IF(W11&lt;&gt; "descanso forzado",AE11+Z11*AD11,AE11)</f>
        <v>95</v>
      </c>
    </row>
    <row r="12" spans="1:32" x14ac:dyDescent="0.3">
      <c r="A12" s="9">
        <v>45027</v>
      </c>
      <c r="B12" s="11" t="s">
        <v>20</v>
      </c>
      <c r="C12" s="11" t="s">
        <v>13</v>
      </c>
      <c r="D12" s="12">
        <v>60</v>
      </c>
      <c r="E12" s="13">
        <f>(8/48)*MOVD_Jornal[[#This Row],[HORAS]]</f>
        <v>10</v>
      </c>
      <c r="F12" s="13">
        <f>SUM(MOVD_Jornal[[#This Row],[HORAS]:[DOMINICAL]])</f>
        <v>70</v>
      </c>
      <c r="G12" s="16">
        <v>15</v>
      </c>
      <c r="H12" s="15">
        <f>MOVD_Jornal[[#This Row],[TOTAL HORAS]]*MOVD_Jornal[[#This Row],[COSTO HH]]</f>
        <v>1050</v>
      </c>
      <c r="K12" s="68" t="s">
        <v>39</v>
      </c>
      <c r="L12" s="69">
        <v>70</v>
      </c>
      <c r="M12" s="70">
        <v>44927</v>
      </c>
      <c r="N12" s="70">
        <v>45291</v>
      </c>
      <c r="O12" s="71">
        <f>MOVD_ControlJornal[[#This Row],[FECHA FIN]]-MOVD_ControlJornal[[#This Row],[FECHA INICIO]]+1</f>
        <v>365</v>
      </c>
      <c r="P12" s="72" t="str">
        <f>IF(MOVD_ControlJornal[[#This Row],[PERIODO]]&gt;=364,"ANUAL", IF(MOVD_ControlJornal[[#This Row],[PERIODO]]&gt;=1,"POR DIAS","PASADO"))</f>
        <v>ANUAL</v>
      </c>
      <c r="Q12" s="15">
        <f>MOVD_ControlJornal[[#This Row],[S/. POR DIA]]/8</f>
        <v>8.75</v>
      </c>
      <c r="R12" s="15" t="str">
        <f>VLOOKUP(MOVD_ControlJornal[[#This Row],[NOMBRE]],BD_MOVD[],9,0)</f>
        <v>NORMAL</v>
      </c>
      <c r="U12" s="3">
        <v>45026</v>
      </c>
      <c r="V12" s="4" t="s">
        <v>11</v>
      </c>
      <c r="W12" s="5" t="s">
        <v>12</v>
      </c>
      <c r="X12" s="11" t="s">
        <v>13</v>
      </c>
      <c r="Y12" s="5">
        <v>10</v>
      </c>
      <c r="Z12" s="5">
        <f>IF(AND(WEEKDAY(U12,2)&lt;&gt; 7,W12="trabaja"),Y12-(10/COUNTIFS(MOVD_Sueldo[FECHA],MOVD_Sueldo[[#This Row],[FECHA]],MOVD_Sueldo[NOMBRE],MOVD_Sueldo[[#This Row],[NOMBRE]])),IF(WEEKDAY(U12,2)= 7,0,0))</f>
        <v>0</v>
      </c>
      <c r="AA12" s="5">
        <f t="shared" si="0"/>
        <v>0</v>
      </c>
      <c r="AB12" s="5">
        <f t="shared" si="1"/>
        <v>0</v>
      </c>
      <c r="AC12" s="6">
        <f>VLOOKUP(MOVD_Sueldo[[#This Row],[NOMBRE]],BD_MOVD[],6,0)/COUNTIFS(MOVD_Sueldo[FECHA],MOVD_Sueldo[[#This Row],[FECHA]],MOVD_Sueldo[NOMBRE],MOVD_Sueldo[[#This Row],[NOMBRE]])</f>
        <v>95</v>
      </c>
      <c r="AD12" s="6">
        <f>(MOVD_Sueldo[[#This Row],[COSTO DIA]]*30)/240*COUNTIFS(MOVD_Sueldo[FECHA],MOVD_Sueldo[[#This Row],[FECHA]],MOVD_Sueldo[NOMBRE],MOVD_Sueldo[[#This Row],[NOMBRE]])</f>
        <v>11.875</v>
      </c>
      <c r="AE12" s="7">
        <f>(MOVD_Sueldo[[#This Row],[COSTO DIA]]*30)/DAY(EOMONTH(U12,0))</f>
        <v>95</v>
      </c>
      <c r="AF12" s="8">
        <f>IF(W12&lt;&gt; "descanso forzado",AE12+Z12*AD12,AE12)</f>
        <v>95</v>
      </c>
    </row>
    <row r="13" spans="1:32" x14ac:dyDescent="0.3">
      <c r="A13" s="9">
        <v>45028</v>
      </c>
      <c r="B13" s="11" t="s">
        <v>20</v>
      </c>
      <c r="C13" s="11" t="s">
        <v>14</v>
      </c>
      <c r="D13" s="12">
        <v>10</v>
      </c>
      <c r="E13" s="13">
        <f>(8/48)*MOVD_Jornal[[#This Row],[HORAS]]</f>
        <v>1.6666666666666665</v>
      </c>
      <c r="F13" s="13">
        <f>SUM(MOVD_Jornal[[#This Row],[HORAS]:[DOMINICAL]])</f>
        <v>11.666666666666666</v>
      </c>
      <c r="G13" s="16">
        <v>15</v>
      </c>
      <c r="H13" s="15">
        <f>MOVD_Jornal[[#This Row],[TOTAL HORAS]]*MOVD_Jornal[[#This Row],[COSTO HH]]</f>
        <v>175</v>
      </c>
      <c r="K13" s="68" t="s">
        <v>42</v>
      </c>
      <c r="L13" s="69">
        <v>90</v>
      </c>
      <c r="M13" s="70">
        <v>44927</v>
      </c>
      <c r="N13" s="70">
        <v>45291</v>
      </c>
      <c r="O13" s="71">
        <f>MOVD_ControlJornal[[#This Row],[FECHA FIN]]-MOVD_ControlJornal[[#This Row],[FECHA INICIO]]+1</f>
        <v>365</v>
      </c>
      <c r="P13" s="72" t="str">
        <f>IF(MOVD_ControlJornal[[#This Row],[PERIODO]]&gt;=364,"ANUAL", IF(MOVD_ControlJornal[[#This Row],[PERIODO]]&gt;=1,"POR DIAS","PASADO"))</f>
        <v>ANUAL</v>
      </c>
      <c r="Q13" s="15">
        <f>MOVD_ControlJornal[[#This Row],[S/. POR DIA]]/8</f>
        <v>11.25</v>
      </c>
      <c r="R13" s="15" t="str">
        <f>VLOOKUP(MOVD_ControlJornal[[#This Row],[NOMBRE]],BD_MOVD[],9,0)</f>
        <v>NORMAL</v>
      </c>
      <c r="U13" s="3">
        <v>45027</v>
      </c>
      <c r="V13" s="4" t="s">
        <v>11</v>
      </c>
      <c r="W13" s="5" t="s">
        <v>12</v>
      </c>
      <c r="X13" s="11" t="s">
        <v>13</v>
      </c>
      <c r="Y13" s="5">
        <v>10</v>
      </c>
      <c r="Z13" s="5">
        <f>IF(AND(WEEKDAY(U13,2)&lt;&gt; 7,W13="trabaja"),Y13-(10/COUNTIFS(MOVD_Sueldo[FECHA],MOVD_Sueldo[[#This Row],[FECHA]],MOVD_Sueldo[NOMBRE],MOVD_Sueldo[[#This Row],[NOMBRE]])),IF(WEEKDAY(U13,2)= 7,0,0))</f>
        <v>0</v>
      </c>
      <c r="AA13" s="5">
        <f t="shared" si="0"/>
        <v>0</v>
      </c>
      <c r="AB13" s="5">
        <f t="shared" si="1"/>
        <v>0</v>
      </c>
      <c r="AC13" s="6">
        <f>VLOOKUP(MOVD_Sueldo[[#This Row],[NOMBRE]],BD_MOVD[],6,0)/COUNTIFS(MOVD_Sueldo[FECHA],MOVD_Sueldo[[#This Row],[FECHA]],MOVD_Sueldo[NOMBRE],MOVD_Sueldo[[#This Row],[NOMBRE]])</f>
        <v>95</v>
      </c>
      <c r="AD13" s="6">
        <f>(MOVD_Sueldo[[#This Row],[COSTO DIA]]*30)/240*COUNTIFS(MOVD_Sueldo[FECHA],MOVD_Sueldo[[#This Row],[FECHA]],MOVD_Sueldo[NOMBRE],MOVD_Sueldo[[#This Row],[NOMBRE]])</f>
        <v>11.875</v>
      </c>
      <c r="AE13" s="7">
        <f>(MOVD_Sueldo[[#This Row],[COSTO DIA]]*30)/DAY(EOMONTH(U13,0))</f>
        <v>95</v>
      </c>
      <c r="AF13" s="8">
        <f>IF(W13&lt;&gt; "descanso forzado",AE13+Z13*AD13,AE13)</f>
        <v>95</v>
      </c>
    </row>
    <row r="14" spans="1:32" x14ac:dyDescent="0.3">
      <c r="A14" s="9">
        <v>45029</v>
      </c>
      <c r="B14" s="11" t="s">
        <v>20</v>
      </c>
      <c r="C14" s="11" t="s">
        <v>21</v>
      </c>
      <c r="D14" s="12">
        <v>9</v>
      </c>
      <c r="E14" s="13">
        <f>(8/48)*MOVD_Jornal[[#This Row],[HORAS]]</f>
        <v>1.5</v>
      </c>
      <c r="F14" s="13">
        <f>SUM(MOVD_Jornal[[#This Row],[HORAS]:[DOMINICAL]])</f>
        <v>10.5</v>
      </c>
      <c r="G14" s="16">
        <v>15</v>
      </c>
      <c r="H14" s="15">
        <f>MOVD_Jornal[[#This Row],[TOTAL HORAS]]*MOVD_Jornal[[#This Row],[COSTO HH]]</f>
        <v>157.5</v>
      </c>
      <c r="K14" s="68" t="s">
        <v>70</v>
      </c>
      <c r="L14" s="69">
        <v>100</v>
      </c>
      <c r="M14" s="70">
        <v>44927</v>
      </c>
      <c r="N14" s="70">
        <v>45291</v>
      </c>
      <c r="O14" s="71">
        <f>MOVD_ControlJornal[[#This Row],[FECHA FIN]]-MOVD_ControlJornal[[#This Row],[FECHA INICIO]]+1</f>
        <v>365</v>
      </c>
      <c r="P14" s="72" t="str">
        <f>IF(MOVD_ControlJornal[[#This Row],[PERIODO]]&gt;=364,"ANUAL", IF(MOVD_ControlJornal[[#This Row],[PERIODO]]&gt;=1,"POR DIAS","PASADO"))</f>
        <v>ANUAL</v>
      </c>
      <c r="Q14" s="15">
        <f>MOVD_ControlJornal[[#This Row],[S/. POR DIA]]/8</f>
        <v>12.5</v>
      </c>
      <c r="R14" s="15" t="str">
        <f>VLOOKUP(MOVD_ControlJornal[[#This Row],[NOMBRE]],BD_MOVD[],9,0)</f>
        <v>NORMAL</v>
      </c>
      <c r="U14" s="3">
        <v>45028</v>
      </c>
      <c r="V14" s="4" t="s">
        <v>11</v>
      </c>
      <c r="W14" s="5" t="s">
        <v>12</v>
      </c>
      <c r="X14" s="11" t="s">
        <v>14</v>
      </c>
      <c r="Y14" s="5">
        <v>10</v>
      </c>
      <c r="Z14" s="5">
        <f>IF(AND(WEEKDAY(U14,2)&lt;&gt; 7,W14="trabaja"),Y14-(10/COUNTIFS(MOVD_Sueldo[FECHA],MOVD_Sueldo[[#This Row],[FECHA]],MOVD_Sueldo[NOMBRE],MOVD_Sueldo[[#This Row],[NOMBRE]])),IF(WEEKDAY(U14,2)= 7,0,0))</f>
        <v>0</v>
      </c>
      <c r="AA14" s="5">
        <f t="shared" si="0"/>
        <v>0</v>
      </c>
      <c r="AB14" s="5">
        <f t="shared" si="1"/>
        <v>0</v>
      </c>
      <c r="AC14" s="6">
        <f>VLOOKUP(MOVD_Sueldo[[#This Row],[NOMBRE]],BD_MOVD[],6,0)/COUNTIFS(MOVD_Sueldo[FECHA],MOVD_Sueldo[[#This Row],[FECHA]],MOVD_Sueldo[NOMBRE],MOVD_Sueldo[[#This Row],[NOMBRE]])</f>
        <v>95</v>
      </c>
      <c r="AD14" s="6">
        <f>(MOVD_Sueldo[[#This Row],[COSTO DIA]]*30)/240*COUNTIFS(MOVD_Sueldo[FECHA],MOVD_Sueldo[[#This Row],[FECHA]],MOVD_Sueldo[NOMBRE],MOVD_Sueldo[[#This Row],[NOMBRE]])</f>
        <v>11.875</v>
      </c>
      <c r="AE14" s="7">
        <f>(MOVD_Sueldo[[#This Row],[COSTO DIA]]*30)/DAY(EOMONTH(U14,0))</f>
        <v>95</v>
      </c>
      <c r="AF14" s="8">
        <f>IF(W14&lt;&gt; "descanso forzado",AE14+Z14*AD14,AE14)</f>
        <v>95</v>
      </c>
    </row>
    <row r="15" spans="1:32" x14ac:dyDescent="0.3">
      <c r="A15" s="9">
        <v>45030</v>
      </c>
      <c r="B15" s="11" t="s">
        <v>20</v>
      </c>
      <c r="C15" s="11" t="s">
        <v>13</v>
      </c>
      <c r="D15" s="12">
        <v>10</v>
      </c>
      <c r="E15" s="13">
        <f>(8/48)*MOVD_Jornal[[#This Row],[HORAS]]</f>
        <v>1.6666666666666665</v>
      </c>
      <c r="F15" s="13">
        <f>SUM(MOVD_Jornal[[#This Row],[HORAS]:[DOMINICAL]])</f>
        <v>11.666666666666666</v>
      </c>
      <c r="G15" s="16">
        <v>15</v>
      </c>
      <c r="H15" s="15">
        <f>MOVD_Jornal[[#This Row],[TOTAL HORAS]]*MOVD_Jornal[[#This Row],[COSTO HH]]</f>
        <v>175</v>
      </c>
      <c r="K15" s="68" t="s">
        <v>38</v>
      </c>
      <c r="L15" s="69">
        <v>60</v>
      </c>
      <c r="M15" s="70">
        <v>44927</v>
      </c>
      <c r="N15" s="70">
        <v>45291</v>
      </c>
      <c r="O15" s="71">
        <f>MOVD_ControlJornal[[#This Row],[FECHA FIN]]-MOVD_ControlJornal[[#This Row],[FECHA INICIO]]+1</f>
        <v>365</v>
      </c>
      <c r="P15" s="72" t="str">
        <f>IF(MOVD_ControlJornal[[#This Row],[PERIODO]]&gt;=364,"ANUAL", IF(MOVD_ControlJornal[[#This Row],[PERIODO]]&gt;=1,"POR DIAS","PASADO"))</f>
        <v>ANUAL</v>
      </c>
      <c r="Q15" s="15">
        <f>MOVD_ControlJornal[[#This Row],[S/. POR DIA]]/8</f>
        <v>7.5</v>
      </c>
      <c r="R15" s="15" t="str">
        <f>VLOOKUP(MOVD_ControlJornal[[#This Row],[NOMBRE]],BD_MOVD[],9,0)</f>
        <v>NORMAL</v>
      </c>
      <c r="U15" s="3">
        <v>45029</v>
      </c>
      <c r="V15" s="4" t="s">
        <v>11</v>
      </c>
      <c r="W15" s="5" t="s">
        <v>12</v>
      </c>
      <c r="X15" s="11" t="s">
        <v>14</v>
      </c>
      <c r="Y15" s="5">
        <v>10</v>
      </c>
      <c r="Z15" s="5">
        <f>IF(AND(WEEKDAY(U15,2)&lt;&gt; 7,W15="trabaja"),Y15-(10/COUNTIFS(MOVD_Sueldo[FECHA],MOVD_Sueldo[[#This Row],[FECHA]],MOVD_Sueldo[NOMBRE],MOVD_Sueldo[[#This Row],[NOMBRE]])),IF(WEEKDAY(U15,2)= 7,0,0))</f>
        <v>0</v>
      </c>
      <c r="AA15" s="5">
        <f t="shared" si="0"/>
        <v>0</v>
      </c>
      <c r="AB15" s="5">
        <f t="shared" si="1"/>
        <v>0</v>
      </c>
      <c r="AC15" s="6">
        <f>VLOOKUP(MOVD_Sueldo[[#This Row],[NOMBRE]],BD_MOVD[],6,0)/COUNTIFS(MOVD_Sueldo[FECHA],MOVD_Sueldo[[#This Row],[FECHA]],MOVD_Sueldo[NOMBRE],MOVD_Sueldo[[#This Row],[NOMBRE]])</f>
        <v>95</v>
      </c>
      <c r="AD15" s="6">
        <f>(MOVD_Sueldo[[#This Row],[COSTO DIA]]*30)/240*COUNTIFS(MOVD_Sueldo[FECHA],MOVD_Sueldo[[#This Row],[FECHA]],MOVD_Sueldo[NOMBRE],MOVD_Sueldo[[#This Row],[NOMBRE]])</f>
        <v>11.875</v>
      </c>
      <c r="AE15" s="7">
        <f>(MOVD_Sueldo[[#This Row],[COSTO DIA]]*30)/DAY(EOMONTH(U15,0))</f>
        <v>95</v>
      </c>
      <c r="AF15" s="8">
        <f>IF(W15&lt;&gt; "descanso forzado",AE15+Z15*AD15,AE15)</f>
        <v>95</v>
      </c>
    </row>
    <row r="16" spans="1:32" x14ac:dyDescent="0.3">
      <c r="A16" s="9">
        <v>45031</v>
      </c>
      <c r="B16" s="11" t="s">
        <v>20</v>
      </c>
      <c r="C16" s="11" t="s">
        <v>13</v>
      </c>
      <c r="D16" s="12">
        <v>8</v>
      </c>
      <c r="E16" s="13">
        <f>(8/48)*MOVD_Jornal[[#This Row],[HORAS]]</f>
        <v>1.3333333333333333</v>
      </c>
      <c r="F16" s="13">
        <f>SUM(MOVD_Jornal[[#This Row],[HORAS]:[DOMINICAL]])</f>
        <v>9.3333333333333339</v>
      </c>
      <c r="G16" s="16">
        <v>15</v>
      </c>
      <c r="H16" s="15">
        <f>MOVD_Jornal[[#This Row],[TOTAL HORAS]]*MOVD_Jornal[[#This Row],[COSTO HH]]</f>
        <v>140</v>
      </c>
      <c r="K16" s="68" t="s">
        <v>58</v>
      </c>
      <c r="L16" s="69">
        <v>100</v>
      </c>
      <c r="M16" s="70">
        <v>44927</v>
      </c>
      <c r="N16" s="70">
        <v>45291</v>
      </c>
      <c r="O16" s="71">
        <f>MOVD_ControlJornal[[#This Row],[FECHA FIN]]-MOVD_ControlJornal[[#This Row],[FECHA INICIO]]+1</f>
        <v>365</v>
      </c>
      <c r="P16" s="72" t="str">
        <f>IF(MOVD_ControlJornal[[#This Row],[PERIODO]]&gt;=364,"ANUAL", IF(MOVD_ControlJornal[[#This Row],[PERIODO]]&gt;=1,"POR DIAS","PASADO"))</f>
        <v>ANUAL</v>
      </c>
      <c r="Q16" s="15">
        <f>MOVD_ControlJornal[[#This Row],[S/. POR DIA]]/8</f>
        <v>12.5</v>
      </c>
      <c r="R16" s="15" t="str">
        <f>VLOOKUP(MOVD_ControlJornal[[#This Row],[NOMBRE]],BD_MOVD[],9,0)</f>
        <v>NORMAL</v>
      </c>
      <c r="U16" s="3">
        <v>45030</v>
      </c>
      <c r="V16" s="4" t="s">
        <v>11</v>
      </c>
      <c r="W16" s="5" t="s">
        <v>12</v>
      </c>
      <c r="X16" s="11" t="s">
        <v>21</v>
      </c>
      <c r="Y16" s="5">
        <v>10</v>
      </c>
      <c r="Z16" s="5">
        <f>IF(AND(WEEKDAY(U16,2)&lt;&gt; 7,W16="trabaja"),Y16-(10/COUNTIFS(MOVD_Sueldo[FECHA],MOVD_Sueldo[[#This Row],[FECHA]],MOVD_Sueldo[NOMBRE],MOVD_Sueldo[[#This Row],[NOMBRE]])),IF(WEEKDAY(U16,2)= 7,0,0))</f>
        <v>0</v>
      </c>
      <c r="AA16" s="5">
        <f t="shared" si="0"/>
        <v>0</v>
      </c>
      <c r="AB16" s="5">
        <f t="shared" si="1"/>
        <v>0</v>
      </c>
      <c r="AC16" s="6">
        <f>VLOOKUP(MOVD_Sueldo[[#This Row],[NOMBRE]],BD_MOVD[],6,0)/COUNTIFS(MOVD_Sueldo[FECHA],MOVD_Sueldo[[#This Row],[FECHA]],MOVD_Sueldo[NOMBRE],MOVD_Sueldo[[#This Row],[NOMBRE]])</f>
        <v>95</v>
      </c>
      <c r="AD16" s="6">
        <f>(MOVD_Sueldo[[#This Row],[COSTO DIA]]*30)/240*COUNTIFS(MOVD_Sueldo[FECHA],MOVD_Sueldo[[#This Row],[FECHA]],MOVD_Sueldo[NOMBRE],MOVD_Sueldo[[#This Row],[NOMBRE]])</f>
        <v>11.875</v>
      </c>
      <c r="AE16" s="7">
        <f>(MOVD_Sueldo[[#This Row],[COSTO DIA]]*30)/DAY(EOMONTH(U16,0))</f>
        <v>95</v>
      </c>
      <c r="AF16" s="8">
        <f>IF(W16&lt;&gt; "descanso forzado",AE16+Z16*AD16,AE16)</f>
        <v>95</v>
      </c>
    </row>
    <row r="17" spans="1:32" x14ac:dyDescent="0.3">
      <c r="A17" s="9">
        <v>45032</v>
      </c>
      <c r="B17" s="11" t="s">
        <v>20</v>
      </c>
      <c r="C17" s="11" t="s">
        <v>14</v>
      </c>
      <c r="D17" s="12">
        <v>0</v>
      </c>
      <c r="E17" s="13">
        <f>(8/48)*MOVD_Jornal[[#This Row],[HORAS]]</f>
        <v>0</v>
      </c>
      <c r="F17" s="13">
        <f>SUM(MOVD_Jornal[[#This Row],[HORAS]:[DOMINICAL]])</f>
        <v>0</v>
      </c>
      <c r="G17" s="14">
        <v>11.875</v>
      </c>
      <c r="H17" s="15">
        <f>MOVD_Jornal[[#This Row],[TOTAL HORAS]]*MOVD_Jornal[[#This Row],[COSTO HH]]</f>
        <v>0</v>
      </c>
      <c r="K17" s="68" t="s">
        <v>34</v>
      </c>
      <c r="L17" s="69">
        <v>60</v>
      </c>
      <c r="M17" s="70">
        <v>44927</v>
      </c>
      <c r="N17" s="70">
        <v>45291</v>
      </c>
      <c r="O17" s="71">
        <f>MOVD_ControlJornal[[#This Row],[FECHA FIN]]-MOVD_ControlJornal[[#This Row],[FECHA INICIO]]+1</f>
        <v>365</v>
      </c>
      <c r="P17" s="72" t="str">
        <f>IF(MOVD_ControlJornal[[#This Row],[PERIODO]]&gt;=364,"ANUAL", IF(MOVD_ControlJornal[[#This Row],[PERIODO]]&gt;=1,"POR DIAS","PASADO"))</f>
        <v>ANUAL</v>
      </c>
      <c r="Q17" s="15">
        <f>MOVD_ControlJornal[[#This Row],[S/. POR DIA]]/8</f>
        <v>7.5</v>
      </c>
      <c r="R17" s="15" t="str">
        <f>VLOOKUP(MOVD_ControlJornal[[#This Row],[NOMBRE]],BD_MOVD[],9,0)</f>
        <v>NORMAL</v>
      </c>
      <c r="U17" s="3">
        <v>45031</v>
      </c>
      <c r="V17" s="4" t="s">
        <v>11</v>
      </c>
      <c r="W17" s="5" t="s">
        <v>12</v>
      </c>
      <c r="X17" s="11" t="s">
        <v>14</v>
      </c>
      <c r="Y17" s="5">
        <v>8</v>
      </c>
      <c r="Z17" s="5">
        <f>IF(AND(WEEKDAY(U17,2)&lt;&gt; 7,W17="trabaja"),Y17-(10/COUNTIFS(MOVD_Sueldo[FECHA],MOVD_Sueldo[[#This Row],[FECHA]],MOVD_Sueldo[NOMBRE],MOVD_Sueldo[[#This Row],[NOMBRE]])),IF(WEEKDAY(U17,2)= 7,0,0))</f>
        <v>-2</v>
      </c>
      <c r="AA17" s="5">
        <f t="shared" si="0"/>
        <v>0</v>
      </c>
      <c r="AB17" s="5">
        <f t="shared" si="1"/>
        <v>0</v>
      </c>
      <c r="AC17" s="6">
        <f>VLOOKUP(MOVD_Sueldo[[#This Row],[NOMBRE]],BD_MOVD[],6,0)/COUNTIFS(MOVD_Sueldo[FECHA],MOVD_Sueldo[[#This Row],[FECHA]],MOVD_Sueldo[NOMBRE],MOVD_Sueldo[[#This Row],[NOMBRE]])</f>
        <v>95</v>
      </c>
      <c r="AD17" s="6">
        <f>(MOVD_Sueldo[[#This Row],[COSTO DIA]]*30)/240*COUNTIFS(MOVD_Sueldo[FECHA],MOVD_Sueldo[[#This Row],[FECHA]],MOVD_Sueldo[NOMBRE],MOVD_Sueldo[[#This Row],[NOMBRE]])</f>
        <v>11.875</v>
      </c>
      <c r="AE17" s="7">
        <f>(MOVD_Sueldo[[#This Row],[COSTO DIA]]*30)/DAY(EOMONTH(U17,0))</f>
        <v>95</v>
      </c>
      <c r="AF17" s="8">
        <f>IF(W17&lt;&gt; "descanso forzado",AE17+Z17*AD17,AE17)</f>
        <v>71.25</v>
      </c>
    </row>
    <row r="18" spans="1:32" x14ac:dyDescent="0.3">
      <c r="A18" s="9">
        <v>45033</v>
      </c>
      <c r="B18" s="11" t="s">
        <v>20</v>
      </c>
      <c r="C18" s="11" t="s">
        <v>14</v>
      </c>
      <c r="D18" s="12">
        <v>1</v>
      </c>
      <c r="E18" s="13">
        <f>(8/48)*MOVD_Jornal[[#This Row],[HORAS]]</f>
        <v>0.16666666666666666</v>
      </c>
      <c r="F18" s="13">
        <f>SUM(MOVD_Jornal[[#This Row],[HORAS]:[DOMINICAL]])</f>
        <v>1.1666666666666667</v>
      </c>
      <c r="G18" s="14">
        <v>11.875</v>
      </c>
      <c r="H18" s="15">
        <f>MOVD_Jornal[[#This Row],[TOTAL HORAS]]*MOVD_Jornal[[#This Row],[COSTO HH]]</f>
        <v>13.854166666666668</v>
      </c>
      <c r="K18" s="68" t="s">
        <v>33</v>
      </c>
      <c r="L18" s="69">
        <v>50</v>
      </c>
      <c r="M18" s="70">
        <v>44927</v>
      </c>
      <c r="N18" s="70">
        <v>45291</v>
      </c>
      <c r="O18" s="71">
        <f>MOVD_ControlJornal[[#This Row],[FECHA FIN]]-MOVD_ControlJornal[[#This Row],[FECHA INICIO]]+1</f>
        <v>365</v>
      </c>
      <c r="P18" s="72" t="str">
        <f>IF(MOVD_ControlJornal[[#This Row],[PERIODO]]&gt;=364,"ANUAL", IF(MOVD_ControlJornal[[#This Row],[PERIODO]]&gt;=1,"POR DIAS","PASADO"))</f>
        <v>ANUAL</v>
      </c>
      <c r="Q18" s="15">
        <f>MOVD_ControlJornal[[#This Row],[S/. POR DIA]]/8</f>
        <v>6.25</v>
      </c>
      <c r="R18" s="15" t="str">
        <f>VLOOKUP(MOVD_ControlJornal[[#This Row],[NOMBRE]],BD_MOVD[],9,0)</f>
        <v>NORMAL</v>
      </c>
      <c r="U18" s="3">
        <v>45032</v>
      </c>
      <c r="V18" s="4" t="s">
        <v>11</v>
      </c>
      <c r="W18" s="5" t="s">
        <v>12</v>
      </c>
      <c r="X18" s="11" t="s">
        <v>21</v>
      </c>
      <c r="Y18" s="5">
        <v>0</v>
      </c>
      <c r="Z18" s="5">
        <f>IF(AND(WEEKDAY(U18,2)&lt;&gt; 7,W18="trabaja"),Y18-(10/COUNTIFS(MOVD_Sueldo[FECHA],MOVD_Sueldo[[#This Row],[FECHA]],MOVD_Sueldo[NOMBRE],MOVD_Sueldo[[#This Row],[NOMBRE]])),IF(WEEKDAY(U18,2)= 7,0,0))</f>
        <v>0</v>
      </c>
      <c r="AA18" s="5">
        <f t="shared" si="0"/>
        <v>0</v>
      </c>
      <c r="AB18" s="5">
        <f t="shared" si="1"/>
        <v>0</v>
      </c>
      <c r="AC18" s="6">
        <f>VLOOKUP(MOVD_Sueldo[[#This Row],[NOMBRE]],BD_MOVD[],6,0)/COUNTIFS(MOVD_Sueldo[FECHA],MOVD_Sueldo[[#This Row],[FECHA]],MOVD_Sueldo[NOMBRE],MOVD_Sueldo[[#This Row],[NOMBRE]])</f>
        <v>95</v>
      </c>
      <c r="AD18" s="6">
        <f>(MOVD_Sueldo[[#This Row],[COSTO DIA]]*30)/240*COUNTIFS(MOVD_Sueldo[FECHA],MOVD_Sueldo[[#This Row],[FECHA]],MOVD_Sueldo[NOMBRE],MOVD_Sueldo[[#This Row],[NOMBRE]])</f>
        <v>11.875</v>
      </c>
      <c r="AE18" s="7">
        <f>(MOVD_Sueldo[[#This Row],[COSTO DIA]]*30)/DAY(EOMONTH(U18,0))</f>
        <v>95</v>
      </c>
      <c r="AF18" s="8">
        <f>IF(W18&lt;&gt; "descanso forzado",AE18+Z18*AD18,AE18)</f>
        <v>95</v>
      </c>
    </row>
    <row r="19" spans="1:32" x14ac:dyDescent="0.3">
      <c r="A19" s="9">
        <v>45034</v>
      </c>
      <c r="B19" s="11" t="s">
        <v>20</v>
      </c>
      <c r="C19" s="11" t="s">
        <v>21</v>
      </c>
      <c r="D19" s="12">
        <v>9</v>
      </c>
      <c r="E19" s="13">
        <f>(8/48)*MOVD_Jornal[[#This Row],[HORAS]]</f>
        <v>1.5</v>
      </c>
      <c r="F19" s="13">
        <f>SUM(MOVD_Jornal[[#This Row],[HORAS]:[DOMINICAL]])</f>
        <v>10.5</v>
      </c>
      <c r="G19" s="14">
        <v>11.875</v>
      </c>
      <c r="H19" s="15">
        <f>MOVD_Jornal[[#This Row],[TOTAL HORAS]]*MOVD_Jornal[[#This Row],[COSTO HH]]</f>
        <v>124.6875</v>
      </c>
      <c r="K19" s="68" t="s">
        <v>67</v>
      </c>
      <c r="L19" s="69">
        <v>100</v>
      </c>
      <c r="M19" s="70">
        <v>44927</v>
      </c>
      <c r="N19" s="70">
        <v>45291</v>
      </c>
      <c r="O19" s="71">
        <f>MOVD_ControlJornal[[#This Row],[FECHA FIN]]-MOVD_ControlJornal[[#This Row],[FECHA INICIO]]+1</f>
        <v>365</v>
      </c>
      <c r="P19" s="72" t="str">
        <f>IF(MOVD_ControlJornal[[#This Row],[PERIODO]]&gt;=364,"ANUAL", IF(MOVD_ControlJornal[[#This Row],[PERIODO]]&gt;=1,"POR DIAS","PASADO"))</f>
        <v>ANUAL</v>
      </c>
      <c r="Q19" s="15">
        <f>MOVD_ControlJornal[[#This Row],[S/. POR DIA]]/8</f>
        <v>12.5</v>
      </c>
      <c r="R19" s="15" t="str">
        <f>VLOOKUP(MOVD_ControlJornal[[#This Row],[NOMBRE]],BD_MOVD[],9,0)</f>
        <v>NORMAL</v>
      </c>
      <c r="U19" s="3">
        <v>45033</v>
      </c>
      <c r="V19" s="4" t="s">
        <v>11</v>
      </c>
      <c r="W19" s="5" t="s">
        <v>12</v>
      </c>
      <c r="X19" s="11" t="s">
        <v>14</v>
      </c>
      <c r="Y19" s="5">
        <v>10</v>
      </c>
      <c r="Z19" s="5">
        <f>IF(AND(WEEKDAY(U19,2)&lt;&gt; 7,W19="trabaja"),Y19-(10/COUNTIFS(MOVD_Sueldo[FECHA],MOVD_Sueldo[[#This Row],[FECHA]],MOVD_Sueldo[NOMBRE],MOVD_Sueldo[[#This Row],[NOMBRE]])),IF(WEEKDAY(U19,2)= 7,0,0))</f>
        <v>0</v>
      </c>
      <c r="AA19" s="5">
        <f t="shared" si="0"/>
        <v>0</v>
      </c>
      <c r="AB19" s="5">
        <f t="shared" si="1"/>
        <v>0</v>
      </c>
      <c r="AC19" s="6">
        <f>VLOOKUP(MOVD_Sueldo[[#This Row],[NOMBRE]],BD_MOVD[],6,0)/COUNTIFS(MOVD_Sueldo[FECHA],MOVD_Sueldo[[#This Row],[FECHA]],MOVD_Sueldo[NOMBRE],MOVD_Sueldo[[#This Row],[NOMBRE]])</f>
        <v>95</v>
      </c>
      <c r="AD19" s="6">
        <f>(MOVD_Sueldo[[#This Row],[COSTO DIA]]*30)/240*COUNTIFS(MOVD_Sueldo[FECHA],MOVD_Sueldo[[#This Row],[FECHA]],MOVD_Sueldo[NOMBRE],MOVD_Sueldo[[#This Row],[NOMBRE]])</f>
        <v>11.875</v>
      </c>
      <c r="AE19" s="7">
        <f>(MOVD_Sueldo[[#This Row],[COSTO DIA]]*30)/DAY(EOMONTH(U19,0))</f>
        <v>95</v>
      </c>
      <c r="AF19" s="8">
        <f>IF(W19&lt;&gt; "descanso forzado",AE19+Z19*AD19,AE19)</f>
        <v>95</v>
      </c>
    </row>
    <row r="20" spans="1:32" x14ac:dyDescent="0.3">
      <c r="A20" s="9">
        <v>45035</v>
      </c>
      <c r="B20" s="11" t="s">
        <v>20</v>
      </c>
      <c r="C20" s="11" t="s">
        <v>14</v>
      </c>
      <c r="D20" s="12">
        <v>10</v>
      </c>
      <c r="E20" s="13">
        <f>(8/48)*MOVD_Jornal[[#This Row],[HORAS]]</f>
        <v>1.6666666666666665</v>
      </c>
      <c r="F20" s="13">
        <f>SUM(MOVD_Jornal[[#This Row],[HORAS]:[DOMINICAL]])</f>
        <v>11.666666666666666</v>
      </c>
      <c r="G20" s="14">
        <v>11.875</v>
      </c>
      <c r="H20" s="15">
        <f>MOVD_Jornal[[#This Row],[TOTAL HORAS]]*MOVD_Jornal[[#This Row],[COSTO HH]]</f>
        <v>138.54166666666666</v>
      </c>
      <c r="K20" s="68" t="s">
        <v>71</v>
      </c>
      <c r="L20" s="69">
        <v>100</v>
      </c>
      <c r="M20" s="70">
        <v>44927</v>
      </c>
      <c r="N20" s="70">
        <v>45291</v>
      </c>
      <c r="O20" s="71">
        <f>MOVD_ControlJornal[[#This Row],[FECHA FIN]]-MOVD_ControlJornal[[#This Row],[FECHA INICIO]]+1</f>
        <v>365</v>
      </c>
      <c r="P20" s="72" t="str">
        <f>IF(MOVD_ControlJornal[[#This Row],[PERIODO]]&gt;=364,"ANUAL", IF(MOVD_ControlJornal[[#This Row],[PERIODO]]&gt;=1,"POR DIAS","PASADO"))</f>
        <v>ANUAL</v>
      </c>
      <c r="Q20" s="15">
        <f>MOVD_ControlJornal[[#This Row],[S/. POR DIA]]/8</f>
        <v>12.5</v>
      </c>
      <c r="R20" s="15" t="str">
        <f>VLOOKUP(MOVD_ControlJornal[[#This Row],[NOMBRE]],BD_MOVD[],9,0)</f>
        <v>NORMAL</v>
      </c>
      <c r="U20" s="3">
        <v>45034</v>
      </c>
      <c r="V20" s="4" t="s">
        <v>11</v>
      </c>
      <c r="W20" s="5" t="s">
        <v>12</v>
      </c>
      <c r="X20" s="11" t="s">
        <v>14</v>
      </c>
      <c r="Y20" s="5">
        <v>10</v>
      </c>
      <c r="Z20" s="5">
        <f>IF(AND(WEEKDAY(U20,2)&lt;&gt; 7,W20="trabaja"),Y20-(10/COUNTIFS(MOVD_Sueldo[FECHA],MOVD_Sueldo[[#This Row],[FECHA]],MOVD_Sueldo[NOMBRE],MOVD_Sueldo[[#This Row],[NOMBRE]])),IF(WEEKDAY(U20,2)= 7,0,0))</f>
        <v>0</v>
      </c>
      <c r="AA20" s="5">
        <f t="shared" si="0"/>
        <v>0</v>
      </c>
      <c r="AB20" s="5">
        <f t="shared" si="1"/>
        <v>0</v>
      </c>
      <c r="AC20" s="6">
        <f>VLOOKUP(MOVD_Sueldo[[#This Row],[NOMBRE]],BD_MOVD[],6,0)/COUNTIFS(MOVD_Sueldo[FECHA],MOVD_Sueldo[[#This Row],[FECHA]],MOVD_Sueldo[NOMBRE],MOVD_Sueldo[[#This Row],[NOMBRE]])</f>
        <v>95</v>
      </c>
      <c r="AD20" s="6">
        <f>(MOVD_Sueldo[[#This Row],[COSTO DIA]]*30)/240*COUNTIFS(MOVD_Sueldo[FECHA],MOVD_Sueldo[[#This Row],[FECHA]],MOVD_Sueldo[NOMBRE],MOVD_Sueldo[[#This Row],[NOMBRE]])</f>
        <v>11.875</v>
      </c>
      <c r="AE20" s="7">
        <f>(MOVD_Sueldo[[#This Row],[COSTO DIA]]*30)/DAY(EOMONTH(U20,0))</f>
        <v>95</v>
      </c>
      <c r="AF20" s="8">
        <f>IF(W20&lt;&gt; "descanso forzado",AE20+Z20*AD20,AE20)</f>
        <v>95</v>
      </c>
    </row>
    <row r="21" spans="1:32" x14ac:dyDescent="0.3">
      <c r="A21" s="9">
        <v>45036</v>
      </c>
      <c r="B21" s="11" t="s">
        <v>20</v>
      </c>
      <c r="C21" s="11" t="s">
        <v>21</v>
      </c>
      <c r="D21" s="12">
        <v>12</v>
      </c>
      <c r="E21" s="13">
        <f>(8/48)*MOVD_Jornal[[#This Row],[HORAS]]</f>
        <v>2</v>
      </c>
      <c r="F21" s="13">
        <f>SUM(MOVD_Jornal[[#This Row],[HORAS]:[DOMINICAL]])</f>
        <v>14</v>
      </c>
      <c r="G21" s="14">
        <v>11.875</v>
      </c>
      <c r="H21" s="15">
        <f>MOVD_Jornal[[#This Row],[TOTAL HORAS]]*MOVD_Jornal[[#This Row],[COSTO HH]]</f>
        <v>166.25</v>
      </c>
      <c r="K21" s="68" t="s">
        <v>36</v>
      </c>
      <c r="L21" s="69">
        <v>60</v>
      </c>
      <c r="M21" s="70">
        <v>44927</v>
      </c>
      <c r="N21" s="70">
        <v>45291</v>
      </c>
      <c r="O21" s="71">
        <f>MOVD_ControlJornal[[#This Row],[FECHA FIN]]-MOVD_ControlJornal[[#This Row],[FECHA INICIO]]+1</f>
        <v>365</v>
      </c>
      <c r="P21" s="72" t="str">
        <f>IF(MOVD_ControlJornal[[#This Row],[PERIODO]]&gt;=364,"ANUAL", IF(MOVD_ControlJornal[[#This Row],[PERIODO]]&gt;=1,"POR DIAS","PASADO"))</f>
        <v>ANUAL</v>
      </c>
      <c r="Q21" s="15">
        <f>MOVD_ControlJornal[[#This Row],[S/. POR DIA]]/8</f>
        <v>7.5</v>
      </c>
      <c r="R21" s="15" t="str">
        <f>VLOOKUP(MOVD_ControlJornal[[#This Row],[NOMBRE]],BD_MOVD[],9,0)</f>
        <v>NORMAL</v>
      </c>
      <c r="U21" s="3">
        <v>45035</v>
      </c>
      <c r="V21" s="4" t="s">
        <v>11</v>
      </c>
      <c r="W21" s="5" t="s">
        <v>12</v>
      </c>
      <c r="X21" s="11" t="s">
        <v>14</v>
      </c>
      <c r="Y21" s="5">
        <v>10</v>
      </c>
      <c r="Z21" s="5">
        <f>IF(AND(WEEKDAY(U21,2)&lt;&gt; 7,W21="trabaja"),Y21-(10/COUNTIFS(MOVD_Sueldo[FECHA],MOVD_Sueldo[[#This Row],[FECHA]],MOVD_Sueldo[NOMBRE],MOVD_Sueldo[[#This Row],[NOMBRE]])),IF(WEEKDAY(U21,2)= 7,0,0))</f>
        <v>0</v>
      </c>
      <c r="AA21" s="5">
        <f t="shared" si="0"/>
        <v>0</v>
      </c>
      <c r="AB21" s="5">
        <f t="shared" si="1"/>
        <v>0</v>
      </c>
      <c r="AC21" s="6">
        <f>VLOOKUP(MOVD_Sueldo[[#This Row],[NOMBRE]],BD_MOVD[],6,0)/COUNTIFS(MOVD_Sueldo[FECHA],MOVD_Sueldo[[#This Row],[FECHA]],MOVD_Sueldo[NOMBRE],MOVD_Sueldo[[#This Row],[NOMBRE]])</f>
        <v>95</v>
      </c>
      <c r="AD21" s="6">
        <f>(MOVD_Sueldo[[#This Row],[COSTO DIA]]*30)/240*COUNTIFS(MOVD_Sueldo[FECHA],MOVD_Sueldo[[#This Row],[FECHA]],MOVD_Sueldo[NOMBRE],MOVD_Sueldo[[#This Row],[NOMBRE]])</f>
        <v>11.875</v>
      </c>
      <c r="AE21" s="7">
        <f>(MOVD_Sueldo[[#This Row],[COSTO DIA]]*30)/DAY(EOMONTH(U21,0))</f>
        <v>95</v>
      </c>
      <c r="AF21" s="8">
        <f>IF(W21&lt;&gt; "descanso forzado",AE21+Z21*AD21,AE21)</f>
        <v>95</v>
      </c>
    </row>
    <row r="22" spans="1:32" x14ac:dyDescent="0.3">
      <c r="A22" s="9">
        <v>45037</v>
      </c>
      <c r="B22" s="11" t="s">
        <v>20</v>
      </c>
      <c r="C22" s="11" t="s">
        <v>14</v>
      </c>
      <c r="D22" s="12">
        <v>12</v>
      </c>
      <c r="E22" s="13">
        <f>(8/48)*MOVD_Jornal[[#This Row],[HORAS]]</f>
        <v>2</v>
      </c>
      <c r="F22" s="13">
        <f>SUM(MOVD_Jornal[[#This Row],[HORAS]:[DOMINICAL]])</f>
        <v>14</v>
      </c>
      <c r="G22" s="14">
        <v>11.875</v>
      </c>
      <c r="H22" s="15">
        <f>MOVD_Jornal[[#This Row],[TOTAL HORAS]]*MOVD_Jornal[[#This Row],[COSTO HH]]</f>
        <v>166.25</v>
      </c>
      <c r="K22" s="68" t="s">
        <v>52</v>
      </c>
      <c r="L22" s="69">
        <v>95</v>
      </c>
      <c r="M22" s="70">
        <v>44927</v>
      </c>
      <c r="N22" s="70">
        <v>45291</v>
      </c>
      <c r="O22" s="71">
        <f>MOVD_ControlJornal[[#This Row],[FECHA FIN]]-MOVD_ControlJornal[[#This Row],[FECHA INICIO]]+1</f>
        <v>365</v>
      </c>
      <c r="P22" s="72" t="str">
        <f>IF(MOVD_ControlJornal[[#This Row],[PERIODO]]&gt;=364,"ANUAL", IF(MOVD_ControlJornal[[#This Row],[PERIODO]]&gt;=1,"POR DIAS","PASADO"))</f>
        <v>ANUAL</v>
      </c>
      <c r="Q22" s="15">
        <f>MOVD_ControlJornal[[#This Row],[S/. POR DIA]]/8</f>
        <v>11.875</v>
      </c>
      <c r="R22" s="15" t="str">
        <f>VLOOKUP(MOVD_ControlJornal[[#This Row],[NOMBRE]],BD_MOVD[],9,0)</f>
        <v>NORMAL</v>
      </c>
      <c r="U22" s="3">
        <v>45036</v>
      </c>
      <c r="V22" s="4" t="s">
        <v>11</v>
      </c>
      <c r="W22" s="5" t="s">
        <v>12</v>
      </c>
      <c r="X22" s="11" t="s">
        <v>14</v>
      </c>
      <c r="Y22" s="5">
        <v>10</v>
      </c>
      <c r="Z22" s="5">
        <f>IF(AND(WEEKDAY(U22,2)&lt;&gt; 7,W22="trabaja"),Y22-(10/COUNTIFS(MOVD_Sueldo[FECHA],MOVD_Sueldo[[#This Row],[FECHA]],MOVD_Sueldo[NOMBRE],MOVD_Sueldo[[#This Row],[NOMBRE]])),IF(WEEKDAY(U22,2)= 7,0,0))</f>
        <v>0</v>
      </c>
      <c r="AA22" s="5">
        <f t="shared" si="0"/>
        <v>0</v>
      </c>
      <c r="AB22" s="5">
        <f t="shared" si="1"/>
        <v>0</v>
      </c>
      <c r="AC22" s="6">
        <f>VLOOKUP(MOVD_Sueldo[[#This Row],[NOMBRE]],BD_MOVD[],6,0)/COUNTIFS(MOVD_Sueldo[FECHA],MOVD_Sueldo[[#This Row],[FECHA]],MOVD_Sueldo[NOMBRE],MOVD_Sueldo[[#This Row],[NOMBRE]])</f>
        <v>95</v>
      </c>
      <c r="AD22" s="6">
        <f>(MOVD_Sueldo[[#This Row],[COSTO DIA]]*30)/240*COUNTIFS(MOVD_Sueldo[FECHA],MOVD_Sueldo[[#This Row],[FECHA]],MOVD_Sueldo[NOMBRE],MOVD_Sueldo[[#This Row],[NOMBRE]])</f>
        <v>11.875</v>
      </c>
      <c r="AE22" s="7">
        <f>(MOVD_Sueldo[[#This Row],[COSTO DIA]]*30)/DAY(EOMONTH(U22,0))</f>
        <v>95</v>
      </c>
      <c r="AF22" s="8">
        <f>IF(W22&lt;&gt; "descanso forzado",AE22+Z22*AD22,AE22)</f>
        <v>95</v>
      </c>
    </row>
    <row r="23" spans="1:32" x14ac:dyDescent="0.3">
      <c r="A23" s="9">
        <v>45038</v>
      </c>
      <c r="B23" s="11" t="s">
        <v>20</v>
      </c>
      <c r="C23" s="11" t="s">
        <v>21</v>
      </c>
      <c r="D23" s="12">
        <v>8</v>
      </c>
      <c r="E23" s="13">
        <f>(8/48)*MOVD_Jornal[[#This Row],[HORAS]]</f>
        <v>1.3333333333333333</v>
      </c>
      <c r="F23" s="13">
        <f>SUM(MOVD_Jornal[[#This Row],[HORAS]:[DOMINICAL]])</f>
        <v>9.3333333333333339</v>
      </c>
      <c r="G23" s="14">
        <v>11.875</v>
      </c>
      <c r="H23" s="15">
        <f>MOVD_Jornal[[#This Row],[TOTAL HORAS]]*MOVD_Jornal[[#This Row],[COSTO HH]]</f>
        <v>110.83333333333334</v>
      </c>
      <c r="K23" s="68" t="s">
        <v>59</v>
      </c>
      <c r="L23" s="69">
        <v>100</v>
      </c>
      <c r="M23" s="70">
        <v>44927</v>
      </c>
      <c r="N23" s="70">
        <v>45291</v>
      </c>
      <c r="O23" s="71">
        <f>MOVD_ControlJornal[[#This Row],[FECHA FIN]]-MOVD_ControlJornal[[#This Row],[FECHA INICIO]]+1</f>
        <v>365</v>
      </c>
      <c r="P23" s="72" t="str">
        <f>IF(MOVD_ControlJornal[[#This Row],[PERIODO]]&gt;=364,"ANUAL", IF(MOVD_ControlJornal[[#This Row],[PERIODO]]&gt;=1,"POR DIAS","PASADO"))</f>
        <v>ANUAL</v>
      </c>
      <c r="Q23" s="15">
        <f>MOVD_ControlJornal[[#This Row],[S/. POR DIA]]/8</f>
        <v>12.5</v>
      </c>
      <c r="R23" s="15" t="str">
        <f>VLOOKUP(MOVD_ControlJornal[[#This Row],[NOMBRE]],BD_MOVD[],9,0)</f>
        <v>NORMAL</v>
      </c>
      <c r="U23" s="3">
        <v>45037</v>
      </c>
      <c r="V23" s="4" t="s">
        <v>11</v>
      </c>
      <c r="W23" s="5" t="s">
        <v>12</v>
      </c>
      <c r="X23" s="11" t="s">
        <v>13</v>
      </c>
      <c r="Y23" s="5">
        <v>10</v>
      </c>
      <c r="Z23" s="5">
        <f>IF(AND(WEEKDAY(U23,2)&lt;&gt; 7,W23="trabaja"),Y23-(10/COUNTIFS(MOVD_Sueldo[FECHA],MOVD_Sueldo[[#This Row],[FECHA]],MOVD_Sueldo[NOMBRE],MOVD_Sueldo[[#This Row],[NOMBRE]])),IF(WEEKDAY(U23,2)= 7,0,0))</f>
        <v>0</v>
      </c>
      <c r="AA23" s="5">
        <f t="shared" si="0"/>
        <v>0</v>
      </c>
      <c r="AB23" s="5">
        <f t="shared" si="1"/>
        <v>0</v>
      </c>
      <c r="AC23" s="6">
        <f>VLOOKUP(MOVD_Sueldo[[#This Row],[NOMBRE]],BD_MOVD[],6,0)/COUNTIFS(MOVD_Sueldo[FECHA],MOVD_Sueldo[[#This Row],[FECHA]],MOVD_Sueldo[NOMBRE],MOVD_Sueldo[[#This Row],[NOMBRE]])</f>
        <v>95</v>
      </c>
      <c r="AD23" s="6">
        <f>(MOVD_Sueldo[[#This Row],[COSTO DIA]]*30)/240*COUNTIFS(MOVD_Sueldo[FECHA],MOVD_Sueldo[[#This Row],[FECHA]],MOVD_Sueldo[NOMBRE],MOVD_Sueldo[[#This Row],[NOMBRE]])</f>
        <v>11.875</v>
      </c>
      <c r="AE23" s="7">
        <f>(MOVD_Sueldo[[#This Row],[COSTO DIA]]*30)/DAY(EOMONTH(U23,0))</f>
        <v>95</v>
      </c>
      <c r="AF23" s="8">
        <f>IF(W23&lt;&gt; "descanso forzado",AE23+Z23*AD23,AE23)</f>
        <v>95</v>
      </c>
    </row>
    <row r="24" spans="1:32" x14ac:dyDescent="0.3">
      <c r="A24" s="9">
        <v>45040</v>
      </c>
      <c r="B24" s="11" t="s">
        <v>20</v>
      </c>
      <c r="C24" s="11" t="s">
        <v>21</v>
      </c>
      <c r="D24" s="12">
        <v>10</v>
      </c>
      <c r="E24" s="13">
        <f>(8/48)*MOVD_Jornal[[#This Row],[HORAS]]</f>
        <v>1.6666666666666665</v>
      </c>
      <c r="F24" s="13">
        <f>SUM(MOVD_Jornal[[#This Row],[HORAS]:[DOMINICAL]])</f>
        <v>11.666666666666666</v>
      </c>
      <c r="G24" s="14">
        <v>11.875</v>
      </c>
      <c r="H24" s="15">
        <f>MOVD_Jornal[[#This Row],[TOTAL HORAS]]*MOVD_Jornal[[#This Row],[COSTO HH]]</f>
        <v>138.54166666666666</v>
      </c>
      <c r="K24" s="68" t="s">
        <v>28</v>
      </c>
      <c r="L24" s="69">
        <v>40</v>
      </c>
      <c r="M24" s="70">
        <v>44927</v>
      </c>
      <c r="N24" s="70">
        <v>45291</v>
      </c>
      <c r="O24" s="71">
        <f>MOVD_ControlJornal[[#This Row],[FECHA FIN]]-MOVD_ControlJornal[[#This Row],[FECHA INICIO]]+1</f>
        <v>365</v>
      </c>
      <c r="P24" s="72" t="str">
        <f>IF(MOVD_ControlJornal[[#This Row],[PERIODO]]&gt;=364,"ANUAL", IF(MOVD_ControlJornal[[#This Row],[PERIODO]]&gt;=1,"POR DIAS","PASADO"))</f>
        <v>ANUAL</v>
      </c>
      <c r="Q24" s="15">
        <f>MOVD_ControlJornal[[#This Row],[S/. POR DIA]]/8</f>
        <v>5</v>
      </c>
      <c r="R24" s="15" t="str">
        <f>VLOOKUP(MOVD_ControlJornal[[#This Row],[NOMBRE]],BD_MOVD[],9,0)</f>
        <v>NORMAL</v>
      </c>
      <c r="U24" s="9">
        <v>45038</v>
      </c>
      <c r="V24" s="4" t="s">
        <v>11</v>
      </c>
      <c r="W24" s="5" t="s">
        <v>15</v>
      </c>
      <c r="X24" s="11" t="s">
        <v>13</v>
      </c>
      <c r="Y24" s="5">
        <v>0</v>
      </c>
      <c r="Z24" s="5">
        <f>IF(AND(WEEKDAY(U24,2)&lt;&gt; 7,W24="trabaja"),Y24-(10/COUNTIFS(MOVD_Sueldo[FECHA],MOVD_Sueldo[[#This Row],[FECHA]],MOVD_Sueldo[NOMBRE],MOVD_Sueldo[[#This Row],[NOMBRE]])),IF(WEEKDAY(U24,2)= 7,0,0))</f>
        <v>0</v>
      </c>
      <c r="AA24" s="5">
        <f t="shared" si="0"/>
        <v>0</v>
      </c>
      <c r="AB24" s="5">
        <f t="shared" si="1"/>
        <v>0</v>
      </c>
      <c r="AC24" s="6">
        <f>VLOOKUP(MOVD_Sueldo[[#This Row],[NOMBRE]],BD_MOVD[],6,0)/COUNTIFS(MOVD_Sueldo[FECHA],MOVD_Sueldo[[#This Row],[FECHA]],MOVD_Sueldo[NOMBRE],MOVD_Sueldo[[#This Row],[NOMBRE]])</f>
        <v>95</v>
      </c>
      <c r="AD24" s="6">
        <f>(MOVD_Sueldo[[#This Row],[COSTO DIA]]*30)/240*COUNTIFS(MOVD_Sueldo[FECHA],MOVD_Sueldo[[#This Row],[FECHA]],MOVD_Sueldo[NOMBRE],MOVD_Sueldo[[#This Row],[NOMBRE]])</f>
        <v>11.875</v>
      </c>
      <c r="AE24" s="7">
        <f>(MOVD_Sueldo[[#This Row],[COSTO DIA]]*30)/DAY(EOMONTH(U24,0))</f>
        <v>95</v>
      </c>
      <c r="AF24" s="8">
        <f>IF(W24&lt;&gt; "descanso forzado",AE24+Z24*AD24,AE24)</f>
        <v>95</v>
      </c>
    </row>
    <row r="25" spans="1:32" x14ac:dyDescent="0.3">
      <c r="A25" s="9">
        <v>45041</v>
      </c>
      <c r="B25" s="11" t="s">
        <v>20</v>
      </c>
      <c r="C25" s="11" t="s">
        <v>14</v>
      </c>
      <c r="D25" s="12">
        <v>10</v>
      </c>
      <c r="E25" s="13">
        <f>(8/48)*MOVD_Jornal[[#This Row],[HORAS]]</f>
        <v>1.6666666666666665</v>
      </c>
      <c r="F25" s="13">
        <f>SUM(MOVD_Jornal[[#This Row],[HORAS]:[DOMINICAL]])</f>
        <v>11.666666666666666</v>
      </c>
      <c r="G25" s="14">
        <v>11.875</v>
      </c>
      <c r="H25" s="15">
        <f>MOVD_Jornal[[#This Row],[TOTAL HORAS]]*MOVD_Jornal[[#This Row],[COSTO HH]]</f>
        <v>138.54166666666666</v>
      </c>
      <c r="K25" s="68" t="s">
        <v>45</v>
      </c>
      <c r="L25" s="69">
        <v>90</v>
      </c>
      <c r="M25" s="70">
        <v>44927</v>
      </c>
      <c r="N25" s="70">
        <v>45291</v>
      </c>
      <c r="O25" s="71">
        <f>MOVD_ControlJornal[[#This Row],[FECHA FIN]]-MOVD_ControlJornal[[#This Row],[FECHA INICIO]]+1</f>
        <v>365</v>
      </c>
      <c r="P25" s="72" t="str">
        <f>IF(MOVD_ControlJornal[[#This Row],[PERIODO]]&gt;=364,"ANUAL", IF(MOVD_ControlJornal[[#This Row],[PERIODO]]&gt;=1,"POR DIAS","PASADO"))</f>
        <v>ANUAL</v>
      </c>
      <c r="Q25" s="15">
        <f>MOVD_ControlJornal[[#This Row],[S/. POR DIA]]/8</f>
        <v>11.25</v>
      </c>
      <c r="R25" s="15" t="str">
        <f>VLOOKUP(MOVD_ControlJornal[[#This Row],[NOMBRE]],BD_MOVD[],9,0)</f>
        <v>NORMAL</v>
      </c>
      <c r="U25" s="9">
        <v>45039</v>
      </c>
      <c r="V25" s="4" t="s">
        <v>11</v>
      </c>
      <c r="W25" s="5" t="s">
        <v>15</v>
      </c>
      <c r="X25" s="11" t="s">
        <v>14</v>
      </c>
      <c r="Y25" s="5">
        <v>0</v>
      </c>
      <c r="Z25" s="5">
        <f>IF(AND(WEEKDAY(U25,2)&lt;&gt; 7,W25="trabaja"),Y25-(10/COUNTIFS(MOVD_Sueldo[FECHA],MOVD_Sueldo[[#This Row],[FECHA]],MOVD_Sueldo[NOMBRE],MOVD_Sueldo[[#This Row],[NOMBRE]])),IF(WEEKDAY(U25,2)= 7,0,0))</f>
        <v>0</v>
      </c>
      <c r="AA25" s="5">
        <f t="shared" si="0"/>
        <v>0</v>
      </c>
      <c r="AB25" s="5">
        <f t="shared" si="1"/>
        <v>0</v>
      </c>
      <c r="AC25" s="6">
        <f>VLOOKUP(MOVD_Sueldo[[#This Row],[NOMBRE]],BD_MOVD[],6,0)/COUNTIFS(MOVD_Sueldo[FECHA],MOVD_Sueldo[[#This Row],[FECHA]],MOVD_Sueldo[NOMBRE],MOVD_Sueldo[[#This Row],[NOMBRE]])</f>
        <v>95</v>
      </c>
      <c r="AD25" s="6">
        <f>(MOVD_Sueldo[[#This Row],[COSTO DIA]]*30)/240*COUNTIFS(MOVD_Sueldo[FECHA],MOVD_Sueldo[[#This Row],[FECHA]],MOVD_Sueldo[NOMBRE],MOVD_Sueldo[[#This Row],[NOMBRE]])</f>
        <v>11.875</v>
      </c>
      <c r="AE25" s="7">
        <f>(MOVD_Sueldo[[#This Row],[COSTO DIA]]*30)/DAY(EOMONTH(U25,0))</f>
        <v>95</v>
      </c>
      <c r="AF25" s="8">
        <f>IF(W25&lt;&gt; "descanso forzado",AE25+Z25*AD25,AE25)</f>
        <v>95</v>
      </c>
    </row>
    <row r="26" spans="1:32" x14ac:dyDescent="0.3">
      <c r="A26" s="9">
        <v>45042</v>
      </c>
      <c r="B26" s="11" t="s">
        <v>20</v>
      </c>
      <c r="C26" s="11" t="s">
        <v>21</v>
      </c>
      <c r="D26" s="12">
        <v>9</v>
      </c>
      <c r="E26" s="13">
        <f>(8/48)*MOVD_Jornal[[#This Row],[HORAS]]</f>
        <v>1.5</v>
      </c>
      <c r="F26" s="13">
        <f>SUM(MOVD_Jornal[[#This Row],[HORAS]:[DOMINICAL]])</f>
        <v>10.5</v>
      </c>
      <c r="G26" s="14">
        <v>11.875</v>
      </c>
      <c r="H26" s="15">
        <f>MOVD_Jornal[[#This Row],[TOTAL HORAS]]*MOVD_Jornal[[#This Row],[COSTO HH]]</f>
        <v>124.6875</v>
      </c>
      <c r="K26" s="68" t="s">
        <v>51</v>
      </c>
      <c r="L26" s="69">
        <v>95</v>
      </c>
      <c r="M26" s="70">
        <v>44927</v>
      </c>
      <c r="N26" s="70">
        <v>45291</v>
      </c>
      <c r="O26" s="71">
        <f>MOVD_ControlJornal[[#This Row],[FECHA FIN]]-MOVD_ControlJornal[[#This Row],[FECHA INICIO]]+1</f>
        <v>365</v>
      </c>
      <c r="P26" s="72" t="str">
        <f>IF(MOVD_ControlJornal[[#This Row],[PERIODO]]&gt;=364,"ANUAL", IF(MOVD_ControlJornal[[#This Row],[PERIODO]]&gt;=1,"POR DIAS","PASADO"))</f>
        <v>ANUAL</v>
      </c>
      <c r="Q26" s="15">
        <f>MOVD_ControlJornal[[#This Row],[S/. POR DIA]]/8</f>
        <v>11.875</v>
      </c>
      <c r="R26" s="15" t="str">
        <f>VLOOKUP(MOVD_ControlJornal[[#This Row],[NOMBRE]],BD_MOVD[],9,0)</f>
        <v>NORMAL</v>
      </c>
      <c r="U26" s="9">
        <v>45040</v>
      </c>
      <c r="V26" s="4" t="s">
        <v>11</v>
      </c>
      <c r="W26" s="5" t="s">
        <v>15</v>
      </c>
      <c r="X26" s="11" t="s">
        <v>14</v>
      </c>
      <c r="Y26" s="5">
        <v>0</v>
      </c>
      <c r="Z26" s="5">
        <f>IF(AND(WEEKDAY(U26,2)&lt;&gt; 7,W26="trabaja"),Y26-(10/COUNTIFS(MOVD_Sueldo[FECHA],MOVD_Sueldo[[#This Row],[FECHA]],MOVD_Sueldo[NOMBRE],MOVD_Sueldo[[#This Row],[NOMBRE]])),IF(WEEKDAY(U26,2)= 7,0,0))</f>
        <v>0</v>
      </c>
      <c r="AA26" s="5">
        <f t="shared" si="0"/>
        <v>0</v>
      </c>
      <c r="AB26" s="5">
        <f t="shared" si="1"/>
        <v>0</v>
      </c>
      <c r="AC26" s="6">
        <f>VLOOKUP(MOVD_Sueldo[[#This Row],[NOMBRE]],BD_MOVD[],6,0)/COUNTIFS(MOVD_Sueldo[FECHA],MOVD_Sueldo[[#This Row],[FECHA]],MOVD_Sueldo[NOMBRE],MOVD_Sueldo[[#This Row],[NOMBRE]])</f>
        <v>95</v>
      </c>
      <c r="AD26" s="6">
        <f>(MOVD_Sueldo[[#This Row],[COSTO DIA]]*30)/240*COUNTIFS(MOVD_Sueldo[FECHA],MOVD_Sueldo[[#This Row],[FECHA]],MOVD_Sueldo[NOMBRE],MOVD_Sueldo[[#This Row],[NOMBRE]])</f>
        <v>11.875</v>
      </c>
      <c r="AE26" s="7">
        <f>(MOVD_Sueldo[[#This Row],[COSTO DIA]]*30)/DAY(EOMONTH(U26,0))</f>
        <v>95</v>
      </c>
      <c r="AF26" s="8">
        <f>IF(W26&lt;&gt; "descanso forzado",AE26+Z26*AD26,AE26)</f>
        <v>95</v>
      </c>
    </row>
    <row r="27" spans="1:32" x14ac:dyDescent="0.3">
      <c r="A27" s="9">
        <v>45043</v>
      </c>
      <c r="B27" s="11" t="s">
        <v>20</v>
      </c>
      <c r="C27" s="11" t="s">
        <v>14</v>
      </c>
      <c r="D27" s="12">
        <v>10</v>
      </c>
      <c r="E27" s="13">
        <f>(8/48)*MOVD_Jornal[[#This Row],[HORAS]]</f>
        <v>1.6666666666666665</v>
      </c>
      <c r="F27" s="13">
        <f>SUM(MOVD_Jornal[[#This Row],[HORAS]:[DOMINICAL]])</f>
        <v>11.666666666666666</v>
      </c>
      <c r="G27" s="14">
        <v>11.875</v>
      </c>
      <c r="H27" s="15">
        <f>MOVD_Jornal[[#This Row],[TOTAL HORAS]]*MOVD_Jornal[[#This Row],[COSTO HH]]</f>
        <v>138.54166666666666</v>
      </c>
      <c r="K27" s="68" t="s">
        <v>73</v>
      </c>
      <c r="L27" s="69">
        <v>130</v>
      </c>
      <c r="M27" s="70">
        <v>44927</v>
      </c>
      <c r="N27" s="70">
        <v>45291</v>
      </c>
      <c r="O27" s="71">
        <f>MOVD_ControlJornal[[#This Row],[FECHA FIN]]-MOVD_ControlJornal[[#This Row],[FECHA INICIO]]+1</f>
        <v>365</v>
      </c>
      <c r="P27" s="72" t="str">
        <f>IF(MOVD_ControlJornal[[#This Row],[PERIODO]]&gt;=364,"ANUAL", IF(MOVD_ControlJornal[[#This Row],[PERIODO]]&gt;=1,"POR DIAS","PASADO"))</f>
        <v>ANUAL</v>
      </c>
      <c r="Q27" s="15">
        <f>MOVD_ControlJornal[[#This Row],[S/. POR DIA]]/8</f>
        <v>16.25</v>
      </c>
      <c r="R27" s="15" t="str">
        <f>VLOOKUP(MOVD_ControlJornal[[#This Row],[NOMBRE]],BD_MOVD[],9,0)</f>
        <v>NORMAL</v>
      </c>
      <c r="U27" s="9">
        <v>45041</v>
      </c>
      <c r="V27" s="4" t="s">
        <v>11</v>
      </c>
      <c r="W27" s="5" t="s">
        <v>15</v>
      </c>
      <c r="X27" s="11" t="s">
        <v>21</v>
      </c>
      <c r="Y27" s="5">
        <v>0</v>
      </c>
      <c r="Z27" s="5">
        <f>IF(AND(WEEKDAY(U27,2)&lt;&gt; 7,W27="trabaja"),Y27-(10/COUNTIFS(MOVD_Sueldo[FECHA],MOVD_Sueldo[[#This Row],[FECHA]],MOVD_Sueldo[NOMBRE],MOVD_Sueldo[[#This Row],[NOMBRE]])),IF(WEEKDAY(U27,2)= 7,0,0))</f>
        <v>0</v>
      </c>
      <c r="AA27" s="5">
        <f t="shared" si="0"/>
        <v>0</v>
      </c>
      <c r="AB27" s="5">
        <f t="shared" si="1"/>
        <v>0</v>
      </c>
      <c r="AC27" s="6">
        <f>VLOOKUP(MOVD_Sueldo[[#This Row],[NOMBRE]],BD_MOVD[],6,0)/COUNTIFS(MOVD_Sueldo[FECHA],MOVD_Sueldo[[#This Row],[FECHA]],MOVD_Sueldo[NOMBRE],MOVD_Sueldo[[#This Row],[NOMBRE]])</f>
        <v>95</v>
      </c>
      <c r="AD27" s="6">
        <f>(MOVD_Sueldo[[#This Row],[COSTO DIA]]*30)/240*COUNTIFS(MOVD_Sueldo[FECHA],MOVD_Sueldo[[#This Row],[FECHA]],MOVD_Sueldo[NOMBRE],MOVD_Sueldo[[#This Row],[NOMBRE]])</f>
        <v>11.875</v>
      </c>
      <c r="AE27" s="7">
        <f>(MOVD_Sueldo[[#This Row],[COSTO DIA]]*30)/DAY(EOMONTH(U27,0))</f>
        <v>95</v>
      </c>
      <c r="AF27" s="8">
        <f>IF(W27&lt;&gt; "descanso forzado",AE27+Z27*AD27,AE27)</f>
        <v>95</v>
      </c>
    </row>
    <row r="28" spans="1:32" x14ac:dyDescent="0.3">
      <c r="A28" s="9">
        <v>45044</v>
      </c>
      <c r="B28" s="11" t="s">
        <v>20</v>
      </c>
      <c r="C28" s="11" t="s">
        <v>21</v>
      </c>
      <c r="D28" s="12">
        <v>8</v>
      </c>
      <c r="E28" s="13">
        <f>(8/48)*MOVD_Jornal[[#This Row],[HORAS]]</f>
        <v>1.3333333333333333</v>
      </c>
      <c r="F28" s="13">
        <f>SUM(MOVD_Jornal[[#This Row],[HORAS]:[DOMINICAL]])</f>
        <v>9.3333333333333339</v>
      </c>
      <c r="G28" s="14">
        <v>11.875</v>
      </c>
      <c r="H28" s="15">
        <f>MOVD_Jornal[[#This Row],[TOTAL HORAS]]*MOVD_Jornal[[#This Row],[COSTO HH]]</f>
        <v>110.83333333333334</v>
      </c>
      <c r="K28" s="68" t="s">
        <v>65</v>
      </c>
      <c r="L28" s="69">
        <v>100</v>
      </c>
      <c r="M28" s="70">
        <v>44927</v>
      </c>
      <c r="N28" s="70">
        <v>45291</v>
      </c>
      <c r="O28" s="71">
        <f>MOVD_ControlJornal[[#This Row],[FECHA FIN]]-MOVD_ControlJornal[[#This Row],[FECHA INICIO]]+1</f>
        <v>365</v>
      </c>
      <c r="P28" s="72" t="str">
        <f>IF(MOVD_ControlJornal[[#This Row],[PERIODO]]&gt;=364,"ANUAL", IF(MOVD_ControlJornal[[#This Row],[PERIODO]]&gt;=1,"POR DIAS","PASADO"))</f>
        <v>ANUAL</v>
      </c>
      <c r="Q28" s="15">
        <f>MOVD_ControlJornal[[#This Row],[S/. POR DIA]]/8</f>
        <v>12.5</v>
      </c>
      <c r="R28" s="15" t="str">
        <f>VLOOKUP(MOVD_ControlJornal[[#This Row],[NOMBRE]],BD_MOVD[],9,0)</f>
        <v>NORMAL</v>
      </c>
      <c r="U28" s="9">
        <v>45042</v>
      </c>
      <c r="V28" s="4" t="s">
        <v>11</v>
      </c>
      <c r="W28" s="5" t="s">
        <v>15</v>
      </c>
      <c r="X28" s="11" t="s">
        <v>14</v>
      </c>
      <c r="Y28" s="5">
        <v>0</v>
      </c>
      <c r="Z28" s="5">
        <f>IF(AND(WEEKDAY(U28,2)&lt;&gt; 7,W28="trabaja"),Y28-(10/COUNTIFS(MOVD_Sueldo[FECHA],MOVD_Sueldo[[#This Row],[FECHA]],MOVD_Sueldo[NOMBRE],MOVD_Sueldo[[#This Row],[NOMBRE]])),IF(WEEKDAY(U28,2)= 7,0,0))</f>
        <v>0</v>
      </c>
      <c r="AA28" s="5">
        <f t="shared" si="0"/>
        <v>0</v>
      </c>
      <c r="AB28" s="5">
        <f t="shared" si="1"/>
        <v>0</v>
      </c>
      <c r="AC28" s="6">
        <f>VLOOKUP(MOVD_Sueldo[[#This Row],[NOMBRE]],BD_MOVD[],6,0)/COUNTIFS(MOVD_Sueldo[FECHA],MOVD_Sueldo[[#This Row],[FECHA]],MOVD_Sueldo[NOMBRE],MOVD_Sueldo[[#This Row],[NOMBRE]])</f>
        <v>95</v>
      </c>
      <c r="AD28" s="6">
        <f>(MOVD_Sueldo[[#This Row],[COSTO DIA]]*30)/240*COUNTIFS(MOVD_Sueldo[FECHA],MOVD_Sueldo[[#This Row],[FECHA]],MOVD_Sueldo[NOMBRE],MOVD_Sueldo[[#This Row],[NOMBRE]])</f>
        <v>11.875</v>
      </c>
      <c r="AE28" s="7">
        <f>(MOVD_Sueldo[[#This Row],[COSTO DIA]]*30)/DAY(EOMONTH(U28,0))</f>
        <v>95</v>
      </c>
      <c r="AF28" s="8">
        <f>IF(W28&lt;&gt; "descanso forzado",AE28+Z28*AD28,AE28)</f>
        <v>95</v>
      </c>
    </row>
    <row r="29" spans="1:32" x14ac:dyDescent="0.3">
      <c r="A29" s="9">
        <v>45045</v>
      </c>
      <c r="B29" s="11" t="s">
        <v>20</v>
      </c>
      <c r="C29" s="11" t="s">
        <v>14</v>
      </c>
      <c r="D29" s="12">
        <v>8</v>
      </c>
      <c r="E29" s="13">
        <f>(8/48)*MOVD_Jornal[[#This Row],[HORAS]]</f>
        <v>1.3333333333333333</v>
      </c>
      <c r="F29" s="13">
        <f>SUM(MOVD_Jornal[[#This Row],[HORAS]:[DOMINICAL]])</f>
        <v>9.3333333333333339</v>
      </c>
      <c r="G29" s="14">
        <v>11.875</v>
      </c>
      <c r="H29" s="15">
        <f>MOVD_Jornal[[#This Row],[TOTAL HORAS]]*MOVD_Jornal[[#This Row],[COSTO HH]]</f>
        <v>110.83333333333334</v>
      </c>
      <c r="K29" s="68" t="s">
        <v>69</v>
      </c>
      <c r="L29" s="69">
        <v>100</v>
      </c>
      <c r="M29" s="70">
        <v>44927</v>
      </c>
      <c r="N29" s="70">
        <v>45291</v>
      </c>
      <c r="O29" s="71">
        <f>MOVD_ControlJornal[[#This Row],[FECHA FIN]]-MOVD_ControlJornal[[#This Row],[FECHA INICIO]]+1</f>
        <v>365</v>
      </c>
      <c r="P29" s="72" t="str">
        <f>IF(MOVD_ControlJornal[[#This Row],[PERIODO]]&gt;=364,"ANUAL", IF(MOVD_ControlJornal[[#This Row],[PERIODO]]&gt;=1,"POR DIAS","PASADO"))</f>
        <v>ANUAL</v>
      </c>
      <c r="Q29" s="15">
        <f>MOVD_ControlJornal[[#This Row],[S/. POR DIA]]/8</f>
        <v>12.5</v>
      </c>
      <c r="R29" s="15" t="str">
        <f>VLOOKUP(MOVD_ControlJornal[[#This Row],[NOMBRE]],BD_MOVD[],9,0)</f>
        <v>NORMAL</v>
      </c>
      <c r="U29" s="9">
        <v>45043</v>
      </c>
      <c r="V29" s="4" t="s">
        <v>11</v>
      </c>
      <c r="W29" s="5" t="s">
        <v>15</v>
      </c>
      <c r="X29" s="11" t="s">
        <v>21</v>
      </c>
      <c r="Y29" s="5">
        <v>0</v>
      </c>
      <c r="Z29" s="5">
        <f>IF(AND(WEEKDAY(U29,2)&lt;&gt; 7,W29="trabaja"),Y29-(10/COUNTIFS(MOVD_Sueldo[FECHA],MOVD_Sueldo[[#This Row],[FECHA]],MOVD_Sueldo[NOMBRE],MOVD_Sueldo[[#This Row],[NOMBRE]])),IF(WEEKDAY(U29,2)= 7,0,0))</f>
        <v>0</v>
      </c>
      <c r="AA29" s="5">
        <f t="shared" si="0"/>
        <v>0</v>
      </c>
      <c r="AB29" s="5">
        <f t="shared" si="1"/>
        <v>0</v>
      </c>
      <c r="AC29" s="6">
        <f>VLOOKUP(MOVD_Sueldo[[#This Row],[NOMBRE]],BD_MOVD[],6,0)/COUNTIFS(MOVD_Sueldo[FECHA],MOVD_Sueldo[[#This Row],[FECHA]],MOVD_Sueldo[NOMBRE],MOVD_Sueldo[[#This Row],[NOMBRE]])</f>
        <v>95</v>
      </c>
      <c r="AD29" s="6">
        <f>(MOVD_Sueldo[[#This Row],[COSTO DIA]]*30)/240*COUNTIFS(MOVD_Sueldo[FECHA],MOVD_Sueldo[[#This Row],[FECHA]],MOVD_Sueldo[NOMBRE],MOVD_Sueldo[[#This Row],[NOMBRE]])</f>
        <v>11.875</v>
      </c>
      <c r="AE29" s="7">
        <f>(MOVD_Sueldo[[#This Row],[COSTO DIA]]*30)/DAY(EOMONTH(U29,0))</f>
        <v>95</v>
      </c>
      <c r="AF29" s="8">
        <f>IF(W29&lt;&gt; "descanso forzado",AE29+Z29*AD29,AE29)</f>
        <v>95</v>
      </c>
    </row>
    <row r="30" spans="1:32" x14ac:dyDescent="0.3">
      <c r="A30" s="9">
        <v>45046</v>
      </c>
      <c r="B30" s="11" t="s">
        <v>20</v>
      </c>
      <c r="C30" s="11" t="s">
        <v>21</v>
      </c>
      <c r="D30" s="12">
        <v>10</v>
      </c>
      <c r="E30" s="13">
        <f>(8/48)*MOVD_Jornal[[#This Row],[HORAS]]</f>
        <v>1.6666666666666665</v>
      </c>
      <c r="F30" s="13">
        <f>SUM(MOVD_Jornal[[#This Row],[HORAS]:[DOMINICAL]])</f>
        <v>11.666666666666666</v>
      </c>
      <c r="G30" s="14">
        <v>11.875</v>
      </c>
      <c r="H30" s="15">
        <f>MOVD_Jornal[[#This Row],[TOTAL HORAS]]*MOVD_Jornal[[#This Row],[COSTO HH]]</f>
        <v>138.54166666666666</v>
      </c>
      <c r="K30" s="68" t="s">
        <v>62</v>
      </c>
      <c r="L30" s="69">
        <v>100</v>
      </c>
      <c r="M30" s="70">
        <v>44927</v>
      </c>
      <c r="N30" s="70">
        <v>45291</v>
      </c>
      <c r="O30" s="71">
        <f>MOVD_ControlJornal[[#This Row],[FECHA FIN]]-MOVD_ControlJornal[[#This Row],[FECHA INICIO]]+1</f>
        <v>365</v>
      </c>
      <c r="P30" s="72" t="str">
        <f>IF(MOVD_ControlJornal[[#This Row],[PERIODO]]&gt;=364,"ANUAL", IF(MOVD_ControlJornal[[#This Row],[PERIODO]]&gt;=1,"POR DIAS","PASADO"))</f>
        <v>ANUAL</v>
      </c>
      <c r="Q30" s="15">
        <f>MOVD_ControlJornal[[#This Row],[S/. POR DIA]]/8</f>
        <v>12.5</v>
      </c>
      <c r="R30" s="15" t="str">
        <f>VLOOKUP(MOVD_ControlJornal[[#This Row],[NOMBRE]],BD_MOVD[],9,0)</f>
        <v>NORMAL</v>
      </c>
      <c r="U30" s="9">
        <v>45044</v>
      </c>
      <c r="V30" s="4" t="s">
        <v>11</v>
      </c>
      <c r="W30" s="5" t="s">
        <v>15</v>
      </c>
      <c r="X30" s="11" t="s">
        <v>14</v>
      </c>
      <c r="Y30" s="5">
        <v>0</v>
      </c>
      <c r="Z30" s="5">
        <f>IF(AND(WEEKDAY(U30,2)&lt;&gt; 7,W30="trabaja"),Y30-(10/COUNTIFS(MOVD_Sueldo[FECHA],MOVD_Sueldo[[#This Row],[FECHA]],MOVD_Sueldo[NOMBRE],MOVD_Sueldo[[#This Row],[NOMBRE]])),IF(WEEKDAY(U30,2)= 7,0,0))</f>
        <v>0</v>
      </c>
      <c r="AA30" s="5">
        <f t="shared" si="0"/>
        <v>0</v>
      </c>
      <c r="AB30" s="5">
        <f t="shared" si="1"/>
        <v>0</v>
      </c>
      <c r="AC30" s="6">
        <f>VLOOKUP(MOVD_Sueldo[[#This Row],[NOMBRE]],BD_MOVD[],6,0)/COUNTIFS(MOVD_Sueldo[FECHA],MOVD_Sueldo[[#This Row],[FECHA]],MOVD_Sueldo[NOMBRE],MOVD_Sueldo[[#This Row],[NOMBRE]])</f>
        <v>95</v>
      </c>
      <c r="AD30" s="6">
        <f>(MOVD_Sueldo[[#This Row],[COSTO DIA]]*30)/240*COUNTIFS(MOVD_Sueldo[FECHA],MOVD_Sueldo[[#This Row],[FECHA]],MOVD_Sueldo[NOMBRE],MOVD_Sueldo[[#This Row],[NOMBRE]])</f>
        <v>11.875</v>
      </c>
      <c r="AE30" s="7">
        <f>(MOVD_Sueldo[[#This Row],[COSTO DIA]]*30)/DAY(EOMONTH(U30,0))</f>
        <v>95</v>
      </c>
      <c r="AF30" s="8">
        <f>IF(W30&lt;&gt; "descanso forzado",AE30+Z30*AD30,AE30)</f>
        <v>95</v>
      </c>
    </row>
    <row r="31" spans="1:32" x14ac:dyDescent="0.3">
      <c r="A31" s="9">
        <v>45047</v>
      </c>
      <c r="B31" s="11" t="s">
        <v>20</v>
      </c>
      <c r="C31" s="11" t="s">
        <v>21</v>
      </c>
      <c r="D31" s="12"/>
      <c r="E31" s="13">
        <f>(8/48)*MOVD_Jornal[[#This Row],[HORAS]]</f>
        <v>0</v>
      </c>
      <c r="F31" s="13">
        <f>SUM(MOVD_Jornal[[#This Row],[HORAS]:[DOMINICAL]])</f>
        <v>0</v>
      </c>
      <c r="G31" s="14">
        <v>11.875</v>
      </c>
      <c r="H31" s="15">
        <f>MOVD_Jornal[[#This Row],[TOTAL HORAS]]*MOVD_Jornal[[#This Row],[COSTO HH]]</f>
        <v>0</v>
      </c>
      <c r="K31" s="68" t="s">
        <v>32</v>
      </c>
      <c r="L31" s="69">
        <v>50</v>
      </c>
      <c r="M31" s="70">
        <v>44927</v>
      </c>
      <c r="N31" s="70">
        <v>45291</v>
      </c>
      <c r="O31" s="71">
        <f>MOVD_ControlJornal[[#This Row],[FECHA FIN]]-MOVD_ControlJornal[[#This Row],[FECHA INICIO]]+1</f>
        <v>365</v>
      </c>
      <c r="P31" s="72" t="str">
        <f>IF(MOVD_ControlJornal[[#This Row],[PERIODO]]&gt;=364,"ANUAL", IF(MOVD_ControlJornal[[#This Row],[PERIODO]]&gt;=1,"POR DIAS","PASADO"))</f>
        <v>ANUAL</v>
      </c>
      <c r="Q31" s="15">
        <f>MOVD_ControlJornal[[#This Row],[S/. POR DIA]]/8</f>
        <v>6.25</v>
      </c>
      <c r="R31" s="15" t="str">
        <f>VLOOKUP(MOVD_ControlJornal[[#This Row],[NOMBRE]],BD_MOVD[],9,0)</f>
        <v>NORMAL</v>
      </c>
      <c r="U31" s="9">
        <v>45045</v>
      </c>
      <c r="V31" s="4" t="s">
        <v>11</v>
      </c>
      <c r="W31" s="5" t="s">
        <v>12</v>
      </c>
      <c r="X31" s="11" t="s">
        <v>14</v>
      </c>
      <c r="Y31" s="5">
        <v>8</v>
      </c>
      <c r="Z31" s="5">
        <f>IF(AND(WEEKDAY(U31,2)&lt;&gt; 7,W31="trabaja"),Y31-(10/COUNTIFS(MOVD_Sueldo[FECHA],MOVD_Sueldo[[#This Row],[FECHA]],MOVD_Sueldo[NOMBRE],MOVD_Sueldo[[#This Row],[NOMBRE]])),IF(WEEKDAY(U31,2)= 7,0,0))</f>
        <v>-2</v>
      </c>
      <c r="AA31" s="5">
        <f t="shared" si="0"/>
        <v>0</v>
      </c>
      <c r="AB31" s="5">
        <f t="shared" si="1"/>
        <v>0</v>
      </c>
      <c r="AC31" s="6">
        <f>VLOOKUP(MOVD_Sueldo[[#This Row],[NOMBRE]],BD_MOVD[],6,0)/COUNTIFS(MOVD_Sueldo[FECHA],MOVD_Sueldo[[#This Row],[FECHA]],MOVD_Sueldo[NOMBRE],MOVD_Sueldo[[#This Row],[NOMBRE]])</f>
        <v>95</v>
      </c>
      <c r="AD31" s="6">
        <f>(MOVD_Sueldo[[#This Row],[COSTO DIA]]*30)/240*COUNTIFS(MOVD_Sueldo[FECHA],MOVD_Sueldo[[#This Row],[FECHA]],MOVD_Sueldo[NOMBRE],MOVD_Sueldo[[#This Row],[NOMBRE]])</f>
        <v>11.875</v>
      </c>
      <c r="AE31" s="7">
        <f>(MOVD_Sueldo[[#This Row],[COSTO DIA]]*30)/DAY(EOMONTH(U31,0))</f>
        <v>95</v>
      </c>
      <c r="AF31" s="8">
        <f>IF(W31&lt;&gt; "descanso forzado",AE31+Z31*AD31,AE31)</f>
        <v>71.25</v>
      </c>
    </row>
    <row r="32" spans="1:32" x14ac:dyDescent="0.3">
      <c r="A32" s="9">
        <v>45048</v>
      </c>
      <c r="B32" s="11" t="s">
        <v>20</v>
      </c>
      <c r="C32" s="11" t="s">
        <v>21</v>
      </c>
      <c r="D32" s="12"/>
      <c r="E32" s="13">
        <f>(8/48)*MOVD_Jornal[[#This Row],[HORAS]]</f>
        <v>0</v>
      </c>
      <c r="F32" s="13">
        <f>SUM(MOVD_Jornal[[#This Row],[HORAS]:[DOMINICAL]])</f>
        <v>0</v>
      </c>
      <c r="G32" s="14">
        <v>11.875</v>
      </c>
      <c r="H32" s="15">
        <f>MOVD_Jornal[[#This Row],[TOTAL HORAS]]*MOVD_Jornal[[#This Row],[COSTO HH]]</f>
        <v>0</v>
      </c>
      <c r="K32" s="68" t="s">
        <v>68</v>
      </c>
      <c r="L32" s="69">
        <v>100</v>
      </c>
      <c r="M32" s="70">
        <v>44927</v>
      </c>
      <c r="N32" s="70">
        <v>45291</v>
      </c>
      <c r="O32" s="71">
        <f>MOVD_ControlJornal[[#This Row],[FECHA FIN]]-MOVD_ControlJornal[[#This Row],[FECHA INICIO]]+1</f>
        <v>365</v>
      </c>
      <c r="P32" s="72" t="str">
        <f>IF(MOVD_ControlJornal[[#This Row],[PERIODO]]&gt;=364,"ANUAL", IF(MOVD_ControlJornal[[#This Row],[PERIODO]]&gt;=1,"POR DIAS","PASADO"))</f>
        <v>ANUAL</v>
      </c>
      <c r="Q32" s="15">
        <f>MOVD_ControlJornal[[#This Row],[S/. POR DIA]]/8</f>
        <v>12.5</v>
      </c>
      <c r="R32" s="15" t="str">
        <f>VLOOKUP(MOVD_ControlJornal[[#This Row],[NOMBRE]],BD_MOVD[],9,0)</f>
        <v>NORMAL</v>
      </c>
      <c r="U32" s="9">
        <v>45046</v>
      </c>
      <c r="V32" s="4" t="s">
        <v>11</v>
      </c>
      <c r="W32" s="5" t="s">
        <v>12</v>
      </c>
      <c r="X32" s="11" t="s">
        <v>14</v>
      </c>
      <c r="Y32" s="5">
        <v>0</v>
      </c>
      <c r="Z32" s="5">
        <f>IF(AND(WEEKDAY(U32,2)&lt;&gt; 7,W32="trabaja"),Y32-(10/COUNTIFS(MOVD_Sueldo[FECHA],MOVD_Sueldo[[#This Row],[FECHA]],MOVD_Sueldo[NOMBRE],MOVD_Sueldo[[#This Row],[NOMBRE]])),IF(WEEKDAY(U32,2)= 7,0,0))</f>
        <v>0</v>
      </c>
      <c r="AA32" s="5">
        <f t="shared" si="0"/>
        <v>0</v>
      </c>
      <c r="AB32" s="5">
        <f t="shared" si="1"/>
        <v>0</v>
      </c>
      <c r="AC32" s="6">
        <f>VLOOKUP(MOVD_Sueldo[[#This Row],[NOMBRE]],BD_MOVD[],6,0)/COUNTIFS(MOVD_Sueldo[FECHA],MOVD_Sueldo[[#This Row],[FECHA]],MOVD_Sueldo[NOMBRE],MOVD_Sueldo[[#This Row],[NOMBRE]])</f>
        <v>95</v>
      </c>
      <c r="AD32" s="6">
        <f>(MOVD_Sueldo[[#This Row],[COSTO DIA]]*30)/240*COUNTIFS(MOVD_Sueldo[FECHA],MOVD_Sueldo[[#This Row],[FECHA]],MOVD_Sueldo[NOMBRE],MOVD_Sueldo[[#This Row],[NOMBRE]])</f>
        <v>11.875</v>
      </c>
      <c r="AE32" s="7">
        <f>(MOVD_Sueldo[[#This Row],[COSTO DIA]]*30)/DAY(EOMONTH(U32,0))</f>
        <v>95</v>
      </c>
      <c r="AF32" s="8">
        <f>IF(W32&lt;&gt; "descanso forzado",AE32+Z32*AD32,AE32)</f>
        <v>95</v>
      </c>
    </row>
    <row r="33" spans="1:32" x14ac:dyDescent="0.3">
      <c r="A33" s="9">
        <v>45049</v>
      </c>
      <c r="B33" s="11" t="s">
        <v>20</v>
      </c>
      <c r="C33" s="11" t="s">
        <v>21</v>
      </c>
      <c r="D33" s="12"/>
      <c r="E33" s="13">
        <f>(8/48)*MOVD_Jornal[[#This Row],[HORAS]]</f>
        <v>0</v>
      </c>
      <c r="F33" s="13">
        <f>SUM(MOVD_Jornal[[#This Row],[HORAS]:[DOMINICAL]])</f>
        <v>0</v>
      </c>
      <c r="G33" s="14">
        <v>11.875</v>
      </c>
      <c r="H33" s="15">
        <f>MOVD_Jornal[[#This Row],[TOTAL HORAS]]*MOVD_Jornal[[#This Row],[COSTO HH]]</f>
        <v>0</v>
      </c>
      <c r="K33" s="68" t="s">
        <v>49</v>
      </c>
      <c r="L33" s="69">
        <v>95</v>
      </c>
      <c r="M33" s="70">
        <v>44927</v>
      </c>
      <c r="N33" s="70">
        <v>45291</v>
      </c>
      <c r="O33" s="71">
        <f>MOVD_ControlJornal[[#This Row],[FECHA FIN]]-MOVD_ControlJornal[[#This Row],[FECHA INICIO]]+1</f>
        <v>365</v>
      </c>
      <c r="P33" s="72" t="str">
        <f>IF(MOVD_ControlJornal[[#This Row],[PERIODO]]&gt;=364,"ANUAL", IF(MOVD_ControlJornal[[#This Row],[PERIODO]]&gt;=1,"POR DIAS","PASADO"))</f>
        <v>ANUAL</v>
      </c>
      <c r="Q33" s="15">
        <f>MOVD_ControlJornal[[#This Row],[S/. POR DIA]]/8</f>
        <v>11.875</v>
      </c>
      <c r="R33" s="15" t="str">
        <f>VLOOKUP(MOVD_ControlJornal[[#This Row],[NOMBRE]],BD_MOVD[],9,0)</f>
        <v>NORMAL</v>
      </c>
      <c r="U33" s="9">
        <v>45047</v>
      </c>
      <c r="V33" s="4" t="s">
        <v>11</v>
      </c>
      <c r="W33" s="5" t="s">
        <v>12</v>
      </c>
      <c r="X33" s="11" t="s">
        <v>14</v>
      </c>
      <c r="Y33" s="5">
        <v>10</v>
      </c>
      <c r="Z33" s="5">
        <f>IF(AND(WEEKDAY(U33,2)&lt;&gt; 7,W33="trabaja"),Y33-(10/COUNTIFS(MOVD_Sueldo[FECHA],MOVD_Sueldo[[#This Row],[FECHA]],MOVD_Sueldo[NOMBRE],MOVD_Sueldo[[#This Row],[NOMBRE]])),IF(WEEKDAY(U33,2)= 7,0,0))</f>
        <v>0</v>
      </c>
      <c r="AA33" s="5">
        <f t="shared" si="0"/>
        <v>0</v>
      </c>
      <c r="AB33" s="5">
        <f t="shared" si="1"/>
        <v>0</v>
      </c>
      <c r="AC33" s="6">
        <f>VLOOKUP(MOVD_Sueldo[[#This Row],[NOMBRE]],BD_MOVD[],6,0)/COUNTIFS(MOVD_Sueldo[FECHA],MOVD_Sueldo[[#This Row],[FECHA]],MOVD_Sueldo[NOMBRE],MOVD_Sueldo[[#This Row],[NOMBRE]])</f>
        <v>95</v>
      </c>
      <c r="AD33" s="6">
        <f>(MOVD_Sueldo[[#This Row],[COSTO DIA]]*30)/240*COUNTIFS(MOVD_Sueldo[FECHA],MOVD_Sueldo[[#This Row],[FECHA]],MOVD_Sueldo[NOMBRE],MOVD_Sueldo[[#This Row],[NOMBRE]])</f>
        <v>11.875</v>
      </c>
      <c r="AE33" s="7">
        <f>(MOVD_Sueldo[[#This Row],[COSTO DIA]]*30)/DAY(EOMONTH(U33,0))</f>
        <v>91.935483870967744</v>
      </c>
      <c r="AF33" s="8">
        <f>IF(W33&lt;&gt; "descanso forzado",AE33+Z33*AD33,AE33)</f>
        <v>91.935483870967744</v>
      </c>
    </row>
    <row r="34" spans="1:32" x14ac:dyDescent="0.3">
      <c r="A34" s="9">
        <v>45050</v>
      </c>
      <c r="B34" s="11" t="s">
        <v>20</v>
      </c>
      <c r="C34" s="11" t="s">
        <v>21</v>
      </c>
      <c r="D34" s="12"/>
      <c r="E34" s="13">
        <f>(8/48)*MOVD_Jornal[[#This Row],[HORAS]]</f>
        <v>0</v>
      </c>
      <c r="F34" s="13">
        <f>SUM(MOVD_Jornal[[#This Row],[HORAS]:[DOMINICAL]])</f>
        <v>0</v>
      </c>
      <c r="G34" s="14">
        <v>11.875</v>
      </c>
      <c r="H34" s="15">
        <f>MOVD_Jornal[[#This Row],[TOTAL HORAS]]*MOVD_Jornal[[#This Row],[COSTO HH]]</f>
        <v>0</v>
      </c>
      <c r="K34" s="68" t="s">
        <v>63</v>
      </c>
      <c r="L34" s="69">
        <v>100</v>
      </c>
      <c r="M34" s="70">
        <v>44927</v>
      </c>
      <c r="N34" s="70">
        <v>45291</v>
      </c>
      <c r="O34" s="71">
        <f>MOVD_ControlJornal[[#This Row],[FECHA FIN]]-MOVD_ControlJornal[[#This Row],[FECHA INICIO]]+1</f>
        <v>365</v>
      </c>
      <c r="P34" s="72" t="str">
        <f>IF(MOVD_ControlJornal[[#This Row],[PERIODO]]&gt;=364,"ANUAL", IF(MOVD_ControlJornal[[#This Row],[PERIODO]]&gt;=1,"POR DIAS","PASADO"))</f>
        <v>ANUAL</v>
      </c>
      <c r="Q34" s="15">
        <f>MOVD_ControlJornal[[#This Row],[S/. POR DIA]]/8</f>
        <v>12.5</v>
      </c>
      <c r="R34" s="15" t="str">
        <f>VLOOKUP(MOVD_ControlJornal[[#This Row],[NOMBRE]],BD_MOVD[],9,0)</f>
        <v>NORMAL</v>
      </c>
      <c r="U34" s="9">
        <v>45048</v>
      </c>
      <c r="V34" s="4" t="s">
        <v>11</v>
      </c>
      <c r="W34" s="5" t="s">
        <v>12</v>
      </c>
      <c r="X34" s="11" t="s">
        <v>13</v>
      </c>
      <c r="Y34" s="5">
        <v>10</v>
      </c>
      <c r="Z34" s="5">
        <f>IF(AND(WEEKDAY(U34,2)&lt;&gt; 7,W34="trabaja"),Y34-(10/COUNTIFS(MOVD_Sueldo[FECHA],MOVD_Sueldo[[#This Row],[FECHA]],MOVD_Sueldo[NOMBRE],MOVD_Sueldo[[#This Row],[NOMBRE]])),IF(WEEKDAY(U34,2)= 7,0,0))</f>
        <v>0</v>
      </c>
      <c r="AA34" s="5">
        <f t="shared" si="0"/>
        <v>0</v>
      </c>
      <c r="AB34" s="5">
        <f t="shared" si="1"/>
        <v>0</v>
      </c>
      <c r="AC34" s="6">
        <f>VLOOKUP(MOVD_Sueldo[[#This Row],[NOMBRE]],BD_MOVD[],6,0)/COUNTIFS(MOVD_Sueldo[FECHA],MOVD_Sueldo[[#This Row],[FECHA]],MOVD_Sueldo[NOMBRE],MOVD_Sueldo[[#This Row],[NOMBRE]])</f>
        <v>95</v>
      </c>
      <c r="AD34" s="6">
        <f>(MOVD_Sueldo[[#This Row],[COSTO DIA]]*30)/240*COUNTIFS(MOVD_Sueldo[FECHA],MOVD_Sueldo[[#This Row],[FECHA]],MOVD_Sueldo[NOMBRE],MOVD_Sueldo[[#This Row],[NOMBRE]])</f>
        <v>11.875</v>
      </c>
      <c r="AE34" s="7">
        <f>(MOVD_Sueldo[[#This Row],[COSTO DIA]]*30)/DAY(EOMONTH(U34,0))</f>
        <v>91.935483870967744</v>
      </c>
      <c r="AF34" s="8">
        <f>IF(W34&lt;&gt; "descanso forzado",AE34+Z34*AD34,AE34)</f>
        <v>91.935483870967744</v>
      </c>
    </row>
    <row r="35" spans="1:32" x14ac:dyDescent="0.3">
      <c r="A35" s="9">
        <v>45051</v>
      </c>
      <c r="B35" s="11" t="s">
        <v>20</v>
      </c>
      <c r="C35" s="11" t="s">
        <v>21</v>
      </c>
      <c r="D35" s="12">
        <v>8</v>
      </c>
      <c r="E35" s="13">
        <f>(8/48)*MOVD_Jornal[[#This Row],[HORAS]]</f>
        <v>1.3333333333333333</v>
      </c>
      <c r="F35" s="13">
        <f>SUM(MOVD_Jornal[[#This Row],[HORAS]:[DOMINICAL]])</f>
        <v>9.3333333333333339</v>
      </c>
      <c r="G35" s="14">
        <v>11.875</v>
      </c>
      <c r="H35" s="15">
        <f>MOVD_Jornal[[#This Row],[TOTAL HORAS]]*MOVD_Jornal[[#This Row],[COSTO HH]]</f>
        <v>110.83333333333334</v>
      </c>
      <c r="K35" s="68" t="s">
        <v>57</v>
      </c>
      <c r="L35" s="69">
        <v>100</v>
      </c>
      <c r="M35" s="70">
        <v>44927</v>
      </c>
      <c r="N35" s="70">
        <v>45291</v>
      </c>
      <c r="O35" s="71">
        <f>MOVD_ControlJornal[[#This Row],[FECHA FIN]]-MOVD_ControlJornal[[#This Row],[FECHA INICIO]]+1</f>
        <v>365</v>
      </c>
      <c r="P35" s="72" t="str">
        <f>IF(MOVD_ControlJornal[[#This Row],[PERIODO]]&gt;=364,"ANUAL", IF(MOVD_ControlJornal[[#This Row],[PERIODO]]&gt;=1,"POR DIAS","PASADO"))</f>
        <v>ANUAL</v>
      </c>
      <c r="Q35" s="15">
        <f>MOVD_ControlJornal[[#This Row],[S/. POR DIA]]/8</f>
        <v>12.5</v>
      </c>
      <c r="R35" s="15" t="str">
        <f>VLOOKUP(MOVD_ControlJornal[[#This Row],[NOMBRE]],BD_MOVD[],9,0)</f>
        <v>NORMAL</v>
      </c>
      <c r="U35" s="9">
        <v>45049</v>
      </c>
      <c r="V35" s="4" t="s">
        <v>11</v>
      </c>
      <c r="W35" s="5" t="s">
        <v>12</v>
      </c>
      <c r="X35" s="11" t="s">
        <v>13</v>
      </c>
      <c r="Y35" s="5">
        <v>10</v>
      </c>
      <c r="Z35" s="5">
        <f>IF(AND(WEEKDAY(U35,2)&lt;&gt; 7,W35="trabaja"),Y35-(10/COUNTIFS(MOVD_Sueldo[FECHA],MOVD_Sueldo[[#This Row],[FECHA]],MOVD_Sueldo[NOMBRE],MOVD_Sueldo[[#This Row],[NOMBRE]])),IF(WEEKDAY(U35,2)= 7,0,0))</f>
        <v>0</v>
      </c>
      <c r="AA35" s="5">
        <f t="shared" si="0"/>
        <v>0</v>
      </c>
      <c r="AB35" s="5">
        <f t="shared" si="1"/>
        <v>0</v>
      </c>
      <c r="AC35" s="6">
        <f>VLOOKUP(MOVD_Sueldo[[#This Row],[NOMBRE]],BD_MOVD[],6,0)/COUNTIFS(MOVD_Sueldo[FECHA],MOVD_Sueldo[[#This Row],[FECHA]],MOVD_Sueldo[NOMBRE],MOVD_Sueldo[[#This Row],[NOMBRE]])</f>
        <v>95</v>
      </c>
      <c r="AD35" s="6">
        <f>(MOVD_Sueldo[[#This Row],[COSTO DIA]]*30)/240*COUNTIFS(MOVD_Sueldo[FECHA],MOVD_Sueldo[[#This Row],[FECHA]],MOVD_Sueldo[NOMBRE],MOVD_Sueldo[[#This Row],[NOMBRE]])</f>
        <v>11.875</v>
      </c>
      <c r="AE35" s="7">
        <f>(MOVD_Sueldo[[#This Row],[COSTO DIA]]*30)/DAY(EOMONTH(U35,0))</f>
        <v>91.935483870967744</v>
      </c>
      <c r="AF35" s="8">
        <f>IF(W35&lt;&gt; "descanso forzado",AE35+Z35*AD35,AE35)</f>
        <v>91.935483870967744</v>
      </c>
    </row>
    <row r="36" spans="1:32" x14ac:dyDescent="0.3">
      <c r="A36" s="9">
        <v>45052</v>
      </c>
      <c r="B36" s="11" t="s">
        <v>20</v>
      </c>
      <c r="C36" s="11" t="s">
        <v>21</v>
      </c>
      <c r="D36" s="12">
        <v>10</v>
      </c>
      <c r="E36" s="13">
        <f>(8/48)*MOVD_Jornal[[#This Row],[HORAS]]</f>
        <v>1.6666666666666665</v>
      </c>
      <c r="F36" s="13">
        <f>SUM(MOVD_Jornal[[#This Row],[HORAS]:[DOMINICAL]])</f>
        <v>11.666666666666666</v>
      </c>
      <c r="G36" s="14">
        <v>11.875</v>
      </c>
      <c r="H36" s="15">
        <f>MOVD_Jornal[[#This Row],[TOTAL HORAS]]*MOVD_Jornal[[#This Row],[COSTO HH]]</f>
        <v>138.54166666666666</v>
      </c>
      <c r="K36" s="68" t="s">
        <v>55</v>
      </c>
      <c r="L36" s="69">
        <v>95</v>
      </c>
      <c r="M36" s="70">
        <v>44927</v>
      </c>
      <c r="N36" s="70">
        <v>45291</v>
      </c>
      <c r="O36" s="71">
        <f>MOVD_ControlJornal[[#This Row],[FECHA FIN]]-MOVD_ControlJornal[[#This Row],[FECHA INICIO]]+1</f>
        <v>365</v>
      </c>
      <c r="P36" s="72" t="str">
        <f>IF(MOVD_ControlJornal[[#This Row],[PERIODO]]&gt;=364,"ANUAL", IF(MOVD_ControlJornal[[#This Row],[PERIODO]]&gt;=1,"POR DIAS","PASADO"))</f>
        <v>ANUAL</v>
      </c>
      <c r="Q36" s="15">
        <f>MOVD_ControlJornal[[#This Row],[S/. POR DIA]]/8</f>
        <v>11.875</v>
      </c>
      <c r="R36" s="15" t="str">
        <f>VLOOKUP(MOVD_ControlJornal[[#This Row],[NOMBRE]],BD_MOVD[],9,0)</f>
        <v>NORMAL</v>
      </c>
      <c r="U36" s="9">
        <v>45050</v>
      </c>
      <c r="V36" s="4" t="s">
        <v>11</v>
      </c>
      <c r="W36" s="5" t="s">
        <v>12</v>
      </c>
      <c r="X36" s="11" t="s">
        <v>14</v>
      </c>
      <c r="Y36" s="5">
        <v>9</v>
      </c>
      <c r="Z36" s="5">
        <f>IF(AND(WEEKDAY(U36,2)&lt;&gt; 7,W36="trabaja"),Y36-(10/COUNTIFS(MOVD_Sueldo[FECHA],MOVD_Sueldo[[#This Row],[FECHA]],MOVD_Sueldo[NOMBRE],MOVD_Sueldo[[#This Row],[NOMBRE]])),IF(WEEKDAY(U36,2)= 7,0,0))</f>
        <v>-1</v>
      </c>
      <c r="AA36" s="5">
        <f t="shared" si="0"/>
        <v>0</v>
      </c>
      <c r="AB36" s="5">
        <f t="shared" si="1"/>
        <v>0</v>
      </c>
      <c r="AC36" s="6">
        <f>VLOOKUP(MOVD_Sueldo[[#This Row],[NOMBRE]],BD_MOVD[],6,0)/COUNTIFS(MOVD_Sueldo[FECHA],MOVD_Sueldo[[#This Row],[FECHA]],MOVD_Sueldo[NOMBRE],MOVD_Sueldo[[#This Row],[NOMBRE]])</f>
        <v>95</v>
      </c>
      <c r="AD36" s="6">
        <f>(MOVD_Sueldo[[#This Row],[COSTO DIA]]*30)/240*COUNTIFS(MOVD_Sueldo[FECHA],MOVD_Sueldo[[#This Row],[FECHA]],MOVD_Sueldo[NOMBRE],MOVD_Sueldo[[#This Row],[NOMBRE]])</f>
        <v>11.875</v>
      </c>
      <c r="AE36" s="7">
        <f>(MOVD_Sueldo[[#This Row],[COSTO DIA]]*30)/DAY(EOMONTH(U36,0))</f>
        <v>91.935483870967744</v>
      </c>
      <c r="AF36" s="8">
        <f>IF(W36&lt;&gt; "descanso forzado",AE36+Z36*AD36,AE36)</f>
        <v>80.060483870967744</v>
      </c>
    </row>
    <row r="37" spans="1:32" x14ac:dyDescent="0.3">
      <c r="A37" s="9">
        <v>45053</v>
      </c>
      <c r="B37" s="11" t="s">
        <v>20</v>
      </c>
      <c r="C37" s="11" t="s">
        <v>21</v>
      </c>
      <c r="D37" s="12">
        <v>9.5</v>
      </c>
      <c r="E37" s="13">
        <f>(8/48)*MOVD_Jornal[[#This Row],[HORAS]]</f>
        <v>1.5833333333333333</v>
      </c>
      <c r="F37" s="13">
        <f>SUM(MOVD_Jornal[[#This Row],[HORAS]:[DOMINICAL]])</f>
        <v>11.083333333333334</v>
      </c>
      <c r="G37" s="14">
        <v>11.875</v>
      </c>
      <c r="H37" s="15">
        <f>MOVD_Jornal[[#This Row],[TOTAL HORAS]]*MOVD_Jornal[[#This Row],[COSTO HH]]</f>
        <v>131.61458333333334</v>
      </c>
      <c r="K37" s="68" t="s">
        <v>54</v>
      </c>
      <c r="L37" s="69">
        <v>95</v>
      </c>
      <c r="M37" s="70">
        <v>44927</v>
      </c>
      <c r="N37" s="70">
        <v>45291</v>
      </c>
      <c r="O37" s="71">
        <f>MOVD_ControlJornal[[#This Row],[FECHA FIN]]-MOVD_ControlJornal[[#This Row],[FECHA INICIO]]+1</f>
        <v>365</v>
      </c>
      <c r="P37" s="72" t="str">
        <f>IF(MOVD_ControlJornal[[#This Row],[PERIODO]]&gt;=364,"ANUAL", IF(MOVD_ControlJornal[[#This Row],[PERIODO]]&gt;=1,"POR DIAS","PASADO"))</f>
        <v>ANUAL</v>
      </c>
      <c r="Q37" s="15">
        <f>MOVD_ControlJornal[[#This Row],[S/. POR DIA]]/8</f>
        <v>11.875</v>
      </c>
      <c r="R37" s="15" t="str">
        <f>VLOOKUP(MOVD_ControlJornal[[#This Row],[NOMBRE]],BD_MOVD[],9,0)</f>
        <v>NORMAL</v>
      </c>
      <c r="U37" s="9">
        <v>45051</v>
      </c>
      <c r="V37" s="4" t="s">
        <v>11</v>
      </c>
      <c r="W37" s="5" t="s">
        <v>12</v>
      </c>
      <c r="X37" s="11" t="s">
        <v>14</v>
      </c>
      <c r="Y37" s="5">
        <v>8</v>
      </c>
      <c r="Z37" s="5">
        <f>IF(AND(WEEKDAY(U37,2)&lt;&gt; 7,W37="trabaja"),Y37-(10/COUNTIFS(MOVD_Sueldo[FECHA],MOVD_Sueldo[[#This Row],[FECHA]],MOVD_Sueldo[NOMBRE],MOVD_Sueldo[[#This Row],[NOMBRE]])),IF(WEEKDAY(U37,2)= 7,0,0))</f>
        <v>-2</v>
      </c>
      <c r="AA37" s="5">
        <f t="shared" si="0"/>
        <v>0</v>
      </c>
      <c r="AB37" s="5">
        <f t="shared" si="1"/>
        <v>0</v>
      </c>
      <c r="AC37" s="6">
        <f>VLOOKUP(MOVD_Sueldo[[#This Row],[NOMBRE]],BD_MOVD[],6,0)/COUNTIFS(MOVD_Sueldo[FECHA],MOVD_Sueldo[[#This Row],[FECHA]],MOVD_Sueldo[NOMBRE],MOVD_Sueldo[[#This Row],[NOMBRE]])</f>
        <v>95</v>
      </c>
      <c r="AD37" s="6">
        <f>(MOVD_Sueldo[[#This Row],[COSTO DIA]]*30)/240*COUNTIFS(MOVD_Sueldo[FECHA],MOVD_Sueldo[[#This Row],[FECHA]],MOVD_Sueldo[NOMBRE],MOVD_Sueldo[[#This Row],[NOMBRE]])</f>
        <v>11.875</v>
      </c>
      <c r="AE37" s="7">
        <f>(MOVD_Sueldo[[#This Row],[COSTO DIA]]*30)/DAY(EOMONTH(U37,0))</f>
        <v>91.935483870967744</v>
      </c>
      <c r="AF37" s="8">
        <f>IF(W37&lt;&gt; "descanso forzado",AE37+Z37*AD37,AE37)</f>
        <v>68.185483870967744</v>
      </c>
    </row>
    <row r="38" spans="1:32" x14ac:dyDescent="0.3">
      <c r="A38" s="9">
        <v>45054</v>
      </c>
      <c r="B38" s="11" t="s">
        <v>20</v>
      </c>
      <c r="C38" s="11" t="s">
        <v>21</v>
      </c>
      <c r="D38" s="12">
        <v>7</v>
      </c>
      <c r="E38" s="13">
        <f>(8/48)*MOVD_Jornal[[#This Row],[HORAS]]</f>
        <v>1.1666666666666665</v>
      </c>
      <c r="F38" s="13">
        <f>SUM(MOVD_Jornal[[#This Row],[HORAS]:[DOMINICAL]])</f>
        <v>8.1666666666666661</v>
      </c>
      <c r="G38" s="14">
        <v>11.875</v>
      </c>
      <c r="H38" s="15">
        <f>MOVD_Jornal[[#This Row],[TOTAL HORAS]]*MOVD_Jornal[[#This Row],[COSTO HH]]</f>
        <v>96.979166666666657</v>
      </c>
      <c r="K38" s="68" t="s">
        <v>60</v>
      </c>
      <c r="L38" s="69">
        <v>100</v>
      </c>
      <c r="M38" s="70">
        <v>44927</v>
      </c>
      <c r="N38" s="70">
        <v>45291</v>
      </c>
      <c r="O38" s="71">
        <f>MOVD_ControlJornal[[#This Row],[FECHA FIN]]-MOVD_ControlJornal[[#This Row],[FECHA INICIO]]+1</f>
        <v>365</v>
      </c>
      <c r="P38" s="72" t="str">
        <f>IF(MOVD_ControlJornal[[#This Row],[PERIODO]]&gt;=364,"ANUAL", IF(MOVD_ControlJornal[[#This Row],[PERIODO]]&gt;=1,"POR DIAS","PASADO"))</f>
        <v>ANUAL</v>
      </c>
      <c r="Q38" s="15">
        <f>MOVD_ControlJornal[[#This Row],[S/. POR DIA]]/8</f>
        <v>12.5</v>
      </c>
      <c r="R38" s="15" t="str">
        <f>VLOOKUP(MOVD_ControlJornal[[#This Row],[NOMBRE]],BD_MOVD[],9,0)</f>
        <v>NORMAL</v>
      </c>
      <c r="U38" s="9">
        <v>45052</v>
      </c>
      <c r="V38" s="4" t="s">
        <v>11</v>
      </c>
      <c r="W38" s="5" t="s">
        <v>12</v>
      </c>
      <c r="X38" s="11" t="s">
        <v>21</v>
      </c>
      <c r="Y38" s="5">
        <v>8</v>
      </c>
      <c r="Z38" s="5">
        <f>IF(AND(WEEKDAY(U38,2)&lt;&gt; 7,W38="trabaja"),Y38-(10/COUNTIFS(MOVD_Sueldo[FECHA],MOVD_Sueldo[[#This Row],[FECHA]],MOVD_Sueldo[NOMBRE],MOVD_Sueldo[[#This Row],[NOMBRE]])),IF(WEEKDAY(U38,2)= 7,0,0))</f>
        <v>-2</v>
      </c>
      <c r="AA38" s="5">
        <f t="shared" si="0"/>
        <v>0</v>
      </c>
      <c r="AB38" s="5">
        <f t="shared" si="1"/>
        <v>0</v>
      </c>
      <c r="AC38" s="6">
        <f>VLOOKUP(MOVD_Sueldo[[#This Row],[NOMBRE]],BD_MOVD[],6,0)/COUNTIFS(MOVD_Sueldo[FECHA],MOVD_Sueldo[[#This Row],[FECHA]],MOVD_Sueldo[NOMBRE],MOVD_Sueldo[[#This Row],[NOMBRE]])</f>
        <v>95</v>
      </c>
      <c r="AD38" s="6">
        <f>(MOVD_Sueldo[[#This Row],[COSTO DIA]]*30)/240*COUNTIFS(MOVD_Sueldo[FECHA],MOVD_Sueldo[[#This Row],[FECHA]],MOVD_Sueldo[NOMBRE],MOVD_Sueldo[[#This Row],[NOMBRE]])</f>
        <v>11.875</v>
      </c>
      <c r="AE38" s="7">
        <f>(MOVD_Sueldo[[#This Row],[COSTO DIA]]*30)/DAY(EOMONTH(U38,0))</f>
        <v>91.935483870967744</v>
      </c>
      <c r="AF38" s="8">
        <f>IF(W38&lt;&gt; "descanso forzado",AE38+Z38*AD38,AE38)</f>
        <v>68.185483870967744</v>
      </c>
    </row>
    <row r="39" spans="1:32" x14ac:dyDescent="0.3">
      <c r="A39" s="9">
        <v>45055</v>
      </c>
      <c r="B39" s="11" t="s">
        <v>20</v>
      </c>
      <c r="C39" s="11" t="s">
        <v>21</v>
      </c>
      <c r="D39" s="12">
        <v>10</v>
      </c>
      <c r="E39" s="13">
        <f>(8/48)*MOVD_Jornal[[#This Row],[HORAS]]</f>
        <v>1.6666666666666665</v>
      </c>
      <c r="F39" s="13">
        <f>SUM(MOVD_Jornal[[#This Row],[HORAS]:[DOMINICAL]])</f>
        <v>11.666666666666666</v>
      </c>
      <c r="G39" s="14">
        <v>11.875</v>
      </c>
      <c r="H39" s="15">
        <f>MOVD_Jornal[[#This Row],[TOTAL HORAS]]*MOVD_Jornal[[#This Row],[COSTO HH]]</f>
        <v>138.54166666666666</v>
      </c>
      <c r="K39" s="68" t="s">
        <v>44</v>
      </c>
      <c r="L39" s="69">
        <v>90</v>
      </c>
      <c r="M39" s="70">
        <v>44927</v>
      </c>
      <c r="N39" s="70">
        <v>45291</v>
      </c>
      <c r="O39" s="71">
        <f>MOVD_ControlJornal[[#This Row],[FECHA FIN]]-MOVD_ControlJornal[[#This Row],[FECHA INICIO]]+1</f>
        <v>365</v>
      </c>
      <c r="P39" s="72" t="str">
        <f>IF(MOVD_ControlJornal[[#This Row],[PERIODO]]&gt;=364,"ANUAL", IF(MOVD_ControlJornal[[#This Row],[PERIODO]]&gt;=1,"POR DIAS","PASADO"))</f>
        <v>ANUAL</v>
      </c>
      <c r="Q39" s="15">
        <f>MOVD_ControlJornal[[#This Row],[S/. POR DIA]]/8</f>
        <v>11.25</v>
      </c>
      <c r="R39" s="15" t="str">
        <f>VLOOKUP(MOVD_ControlJornal[[#This Row],[NOMBRE]],BD_MOVD[],9,0)</f>
        <v>NORMAL</v>
      </c>
      <c r="U39" s="9">
        <v>45053</v>
      </c>
      <c r="V39" s="4" t="s">
        <v>11</v>
      </c>
      <c r="W39" s="5" t="s">
        <v>12</v>
      </c>
      <c r="X39" s="11" t="s">
        <v>14</v>
      </c>
      <c r="Y39" s="5">
        <v>0</v>
      </c>
      <c r="Z39" s="5">
        <f>IF(AND(WEEKDAY(U39,2)&lt;&gt; 7,W39="trabaja"),Y39-(10/COUNTIFS(MOVD_Sueldo[FECHA],MOVD_Sueldo[[#This Row],[FECHA]],MOVD_Sueldo[NOMBRE],MOVD_Sueldo[[#This Row],[NOMBRE]])),IF(WEEKDAY(U39,2)= 7,0,0))</f>
        <v>0</v>
      </c>
      <c r="AA39" s="5">
        <f t="shared" si="0"/>
        <v>0</v>
      </c>
      <c r="AB39" s="5">
        <f t="shared" si="1"/>
        <v>0</v>
      </c>
      <c r="AC39" s="6">
        <f>VLOOKUP(MOVD_Sueldo[[#This Row],[NOMBRE]],BD_MOVD[],6,0)/COUNTIFS(MOVD_Sueldo[FECHA],MOVD_Sueldo[[#This Row],[FECHA]],MOVD_Sueldo[NOMBRE],MOVD_Sueldo[[#This Row],[NOMBRE]])</f>
        <v>95</v>
      </c>
      <c r="AD39" s="6">
        <f>(MOVD_Sueldo[[#This Row],[COSTO DIA]]*30)/240*COUNTIFS(MOVD_Sueldo[FECHA],MOVD_Sueldo[[#This Row],[FECHA]],MOVD_Sueldo[NOMBRE],MOVD_Sueldo[[#This Row],[NOMBRE]])</f>
        <v>11.875</v>
      </c>
      <c r="AE39" s="7">
        <f>(MOVD_Sueldo[[#This Row],[COSTO DIA]]*30)/DAY(EOMONTH(U39,0))</f>
        <v>91.935483870967744</v>
      </c>
      <c r="AF39" s="8">
        <f>IF(W39&lt;&gt; "descanso forzado",AE39+Z39*AD39,AE39)</f>
        <v>91.935483870967744</v>
      </c>
    </row>
    <row r="40" spans="1:32" x14ac:dyDescent="0.3">
      <c r="A40" s="9">
        <v>45056</v>
      </c>
      <c r="B40" s="11" t="s">
        <v>20</v>
      </c>
      <c r="C40" s="11" t="s">
        <v>21</v>
      </c>
      <c r="D40" s="12"/>
      <c r="E40" s="13">
        <f>(8/48)*MOVD_Jornal[[#This Row],[HORAS]]</f>
        <v>0</v>
      </c>
      <c r="F40" s="13">
        <f>SUM(MOVD_Jornal[[#This Row],[HORAS]:[DOMINICAL]])</f>
        <v>0</v>
      </c>
      <c r="G40" s="14">
        <v>11.875</v>
      </c>
      <c r="H40" s="15">
        <f>MOVD_Jornal[[#This Row],[TOTAL HORAS]]*MOVD_Jornal[[#This Row],[COSTO HH]]</f>
        <v>0</v>
      </c>
      <c r="K40" s="68" t="s">
        <v>72</v>
      </c>
      <c r="L40" s="69">
        <v>120</v>
      </c>
      <c r="M40" s="70">
        <v>44927</v>
      </c>
      <c r="N40" s="70">
        <v>45291</v>
      </c>
      <c r="O40" s="71">
        <f>MOVD_ControlJornal[[#This Row],[FECHA FIN]]-MOVD_ControlJornal[[#This Row],[FECHA INICIO]]+1</f>
        <v>365</v>
      </c>
      <c r="P40" s="72" t="str">
        <f>IF(MOVD_ControlJornal[[#This Row],[PERIODO]]&gt;=364,"ANUAL", IF(MOVD_ControlJornal[[#This Row],[PERIODO]]&gt;=1,"POR DIAS","PASADO"))</f>
        <v>ANUAL</v>
      </c>
      <c r="Q40" s="15">
        <f>MOVD_ControlJornal[[#This Row],[S/. POR DIA]]/8</f>
        <v>15</v>
      </c>
      <c r="R40" s="15" t="str">
        <f>VLOOKUP(MOVD_ControlJornal[[#This Row],[NOMBRE]],BD_MOVD[],9,0)</f>
        <v>NORMAL</v>
      </c>
      <c r="U40" s="9">
        <v>45054</v>
      </c>
      <c r="V40" s="4" t="s">
        <v>11</v>
      </c>
      <c r="W40" s="5" t="s">
        <v>12</v>
      </c>
      <c r="X40" s="11" t="s">
        <v>21</v>
      </c>
      <c r="Y40" s="5">
        <v>10</v>
      </c>
      <c r="Z40" s="5">
        <f>IF(AND(WEEKDAY(U40,2)&lt;&gt; 7,W40="trabaja"),Y40-(10/COUNTIFS(MOVD_Sueldo[FECHA],MOVD_Sueldo[[#This Row],[FECHA]],MOVD_Sueldo[NOMBRE],MOVD_Sueldo[[#This Row],[NOMBRE]])),IF(WEEKDAY(U40,2)= 7,0,0))</f>
        <v>0</v>
      </c>
      <c r="AA40" s="5">
        <f t="shared" si="0"/>
        <v>0</v>
      </c>
      <c r="AB40" s="5">
        <f t="shared" si="1"/>
        <v>0</v>
      </c>
      <c r="AC40" s="6">
        <f>VLOOKUP(MOVD_Sueldo[[#This Row],[NOMBRE]],BD_MOVD[],6,0)/COUNTIFS(MOVD_Sueldo[FECHA],MOVD_Sueldo[[#This Row],[FECHA]],MOVD_Sueldo[NOMBRE],MOVD_Sueldo[[#This Row],[NOMBRE]])</f>
        <v>95</v>
      </c>
      <c r="AD40" s="6">
        <f>(MOVD_Sueldo[[#This Row],[COSTO DIA]]*30)/240*COUNTIFS(MOVD_Sueldo[FECHA],MOVD_Sueldo[[#This Row],[FECHA]],MOVD_Sueldo[NOMBRE],MOVD_Sueldo[[#This Row],[NOMBRE]])</f>
        <v>11.875</v>
      </c>
      <c r="AE40" s="7">
        <f>(MOVD_Sueldo[[#This Row],[COSTO DIA]]*30)/DAY(EOMONTH(U40,0))</f>
        <v>91.935483870967744</v>
      </c>
      <c r="AF40" s="8">
        <f>IF(W40&lt;&gt; "descanso forzado",AE40+Z40*AD40,AE40)</f>
        <v>91.935483870967744</v>
      </c>
    </row>
    <row r="41" spans="1:32" x14ac:dyDescent="0.3">
      <c r="A41" s="9">
        <v>45057</v>
      </c>
      <c r="B41" s="11" t="s">
        <v>20</v>
      </c>
      <c r="C41" s="11" t="s">
        <v>21</v>
      </c>
      <c r="D41" s="12"/>
      <c r="E41" s="13">
        <f>(8/48)*MOVD_Jornal[[#This Row],[HORAS]]</f>
        <v>0</v>
      </c>
      <c r="F41" s="13">
        <f>SUM(MOVD_Jornal[[#This Row],[HORAS]:[DOMINICAL]])</f>
        <v>0</v>
      </c>
      <c r="G41" s="14">
        <v>11.875</v>
      </c>
      <c r="H41" s="15">
        <f>MOVD_Jornal[[#This Row],[TOTAL HORAS]]*MOVD_Jornal[[#This Row],[COSTO HH]]</f>
        <v>0</v>
      </c>
      <c r="K41" s="73" t="s">
        <v>20</v>
      </c>
      <c r="L41" s="74">
        <v>120</v>
      </c>
      <c r="M41" s="75">
        <v>45026</v>
      </c>
      <c r="N41" s="75">
        <v>45031</v>
      </c>
      <c r="O41" s="76">
        <f>MOVD_ControlJornal[[#This Row],[FECHA FIN]]-MOVD_ControlJornal[[#This Row],[FECHA INICIO]]+1</f>
        <v>6</v>
      </c>
      <c r="P41" s="77" t="str">
        <f>IF(MOVD_ControlJornal[[#This Row],[PERIODO]]&gt;=364,"ANUAL", IF(MOVD_ControlJornal[[#This Row],[PERIODO]]&gt;=1,"POR DIAS","PASADO"))</f>
        <v>POR DIAS</v>
      </c>
      <c r="Q41" s="21">
        <f>MOVD_ControlJornal[[#This Row],[S/. POR DIA]]/8</f>
        <v>15</v>
      </c>
      <c r="R41" s="21" t="str">
        <f>VLOOKUP(MOVD_ControlJornal[[#This Row],[NOMBRE]],BD_MOVD[],9,0)</f>
        <v>NORMAL</v>
      </c>
      <c r="U41" s="9">
        <v>45055</v>
      </c>
      <c r="V41" s="4" t="s">
        <v>11</v>
      </c>
      <c r="W41" s="5" t="s">
        <v>12</v>
      </c>
      <c r="X41" s="11" t="s">
        <v>14</v>
      </c>
      <c r="Y41" s="5">
        <v>11</v>
      </c>
      <c r="Z41" s="5">
        <f>IF(AND(WEEKDAY(U41,2)&lt;&gt; 7,W41="trabaja"),Y41-(10/COUNTIFS(MOVD_Sueldo[FECHA],MOVD_Sueldo[[#This Row],[FECHA]],MOVD_Sueldo[NOMBRE],MOVD_Sueldo[[#This Row],[NOMBRE]])),IF(WEEKDAY(U41,2)= 7,0,0))</f>
        <v>1</v>
      </c>
      <c r="AA41" s="5">
        <f t="shared" si="0"/>
        <v>0</v>
      </c>
      <c r="AB41" s="5">
        <f t="shared" si="1"/>
        <v>0</v>
      </c>
      <c r="AC41" s="6">
        <f>VLOOKUP(MOVD_Sueldo[[#This Row],[NOMBRE]],BD_MOVD[],6,0)/COUNTIFS(MOVD_Sueldo[FECHA],MOVD_Sueldo[[#This Row],[FECHA]],MOVD_Sueldo[NOMBRE],MOVD_Sueldo[[#This Row],[NOMBRE]])</f>
        <v>95</v>
      </c>
      <c r="AD41" s="6">
        <f>(MOVD_Sueldo[[#This Row],[COSTO DIA]]*30)/240*COUNTIFS(MOVD_Sueldo[FECHA],MOVD_Sueldo[[#This Row],[FECHA]],MOVD_Sueldo[NOMBRE],MOVD_Sueldo[[#This Row],[NOMBRE]])</f>
        <v>11.875</v>
      </c>
      <c r="AE41" s="7">
        <f>(MOVD_Sueldo[[#This Row],[COSTO DIA]]*30)/DAY(EOMONTH(U41,0))</f>
        <v>91.935483870967744</v>
      </c>
      <c r="AF41" s="8">
        <f>IF(W41&lt;&gt; "descanso forzado",AE41+Z41*AD41,AE41)</f>
        <v>103.81048387096774</v>
      </c>
    </row>
    <row r="42" spans="1:32" x14ac:dyDescent="0.3">
      <c r="A42" s="9">
        <v>45058</v>
      </c>
      <c r="B42" s="11" t="s">
        <v>20</v>
      </c>
      <c r="C42" s="11" t="s">
        <v>21</v>
      </c>
      <c r="D42" s="12"/>
      <c r="E42" s="13">
        <f>(8/48)*MOVD_Jornal[[#This Row],[HORAS]]</f>
        <v>0</v>
      </c>
      <c r="F42" s="13">
        <f>SUM(MOVD_Jornal[[#This Row],[HORAS]:[DOMINICAL]])</f>
        <v>0</v>
      </c>
      <c r="G42" s="14">
        <v>11.875</v>
      </c>
      <c r="H42" s="15">
        <f>MOVD_Jornal[[#This Row],[TOTAL HORAS]]*MOVD_Jornal[[#This Row],[COSTO HH]]</f>
        <v>0</v>
      </c>
      <c r="U42" s="9">
        <v>45056</v>
      </c>
      <c r="V42" s="4" t="s">
        <v>11</v>
      </c>
      <c r="W42" s="5" t="s">
        <v>12</v>
      </c>
      <c r="X42" s="11" t="s">
        <v>14</v>
      </c>
      <c r="Y42" s="5">
        <v>10</v>
      </c>
      <c r="Z42" s="5">
        <f>IF(AND(WEEKDAY(U42,2)&lt;&gt; 7,W42="trabaja"),Y42-(10/COUNTIFS(MOVD_Sueldo[FECHA],MOVD_Sueldo[[#This Row],[FECHA]],MOVD_Sueldo[NOMBRE],MOVD_Sueldo[[#This Row],[NOMBRE]])),IF(WEEKDAY(U42,2)= 7,0,0))</f>
        <v>0</v>
      </c>
      <c r="AA42" s="5">
        <f t="shared" si="0"/>
        <v>0</v>
      </c>
      <c r="AB42" s="5">
        <f t="shared" si="1"/>
        <v>0</v>
      </c>
      <c r="AC42" s="6">
        <f>VLOOKUP(MOVD_Sueldo[[#This Row],[NOMBRE]],BD_MOVD[],6,0)/COUNTIFS(MOVD_Sueldo[FECHA],MOVD_Sueldo[[#This Row],[FECHA]],MOVD_Sueldo[NOMBRE],MOVD_Sueldo[[#This Row],[NOMBRE]])</f>
        <v>95</v>
      </c>
      <c r="AD42" s="6">
        <f>(MOVD_Sueldo[[#This Row],[COSTO DIA]]*30)/240*COUNTIFS(MOVD_Sueldo[FECHA],MOVD_Sueldo[[#This Row],[FECHA]],MOVD_Sueldo[NOMBRE],MOVD_Sueldo[[#This Row],[NOMBRE]])</f>
        <v>11.875</v>
      </c>
      <c r="AE42" s="7">
        <f>(MOVD_Sueldo[[#This Row],[COSTO DIA]]*30)/DAY(EOMONTH(U42,0))</f>
        <v>91.935483870967744</v>
      </c>
      <c r="AF42" s="8">
        <f>IF(W42&lt;&gt; "descanso forzado",AE42+Z42*AD42,AE42)</f>
        <v>91.935483870967744</v>
      </c>
    </row>
    <row r="43" spans="1:32" x14ac:dyDescent="0.3">
      <c r="A43" s="9">
        <v>45059</v>
      </c>
      <c r="B43" s="11" t="s">
        <v>20</v>
      </c>
      <c r="C43" s="11" t="s">
        <v>21</v>
      </c>
      <c r="D43" s="12"/>
      <c r="E43" s="13">
        <f>(8/48)*MOVD_Jornal[[#This Row],[HORAS]]</f>
        <v>0</v>
      </c>
      <c r="F43" s="13">
        <f>SUM(MOVD_Jornal[[#This Row],[HORAS]:[DOMINICAL]])</f>
        <v>0</v>
      </c>
      <c r="G43" s="14">
        <v>11.875</v>
      </c>
      <c r="H43" s="15">
        <f>MOVD_Jornal[[#This Row],[TOTAL HORAS]]*MOVD_Jornal[[#This Row],[COSTO HH]]</f>
        <v>0</v>
      </c>
      <c r="U43" s="9">
        <v>45057</v>
      </c>
      <c r="V43" s="4" t="s">
        <v>11</v>
      </c>
      <c r="W43" s="5" t="s">
        <v>12</v>
      </c>
      <c r="X43" s="11" t="s">
        <v>14</v>
      </c>
      <c r="Y43" s="5">
        <v>9</v>
      </c>
      <c r="Z43" s="5">
        <f>IF(AND(WEEKDAY(U43,2)&lt;&gt; 7,W43="trabaja"),Y43-(10/COUNTIFS(MOVD_Sueldo[FECHA],MOVD_Sueldo[[#This Row],[FECHA]],MOVD_Sueldo[NOMBRE],MOVD_Sueldo[[#This Row],[NOMBRE]])),IF(WEEKDAY(U43,2)= 7,0,0))</f>
        <v>-1</v>
      </c>
      <c r="AA43" s="5">
        <f t="shared" si="0"/>
        <v>0</v>
      </c>
      <c r="AB43" s="5">
        <f t="shared" si="1"/>
        <v>0</v>
      </c>
      <c r="AC43" s="6">
        <f>VLOOKUP(MOVD_Sueldo[[#This Row],[NOMBRE]],BD_MOVD[],6,0)/COUNTIFS(MOVD_Sueldo[FECHA],MOVD_Sueldo[[#This Row],[FECHA]],MOVD_Sueldo[NOMBRE],MOVD_Sueldo[[#This Row],[NOMBRE]])</f>
        <v>95</v>
      </c>
      <c r="AD43" s="6">
        <f>(MOVD_Sueldo[[#This Row],[COSTO DIA]]*30)/240*COUNTIFS(MOVD_Sueldo[FECHA],MOVD_Sueldo[[#This Row],[FECHA]],MOVD_Sueldo[NOMBRE],MOVD_Sueldo[[#This Row],[NOMBRE]])</f>
        <v>11.875</v>
      </c>
      <c r="AE43" s="7">
        <f>(MOVD_Sueldo[[#This Row],[COSTO DIA]]*30)/DAY(EOMONTH(U43,0))</f>
        <v>91.935483870967744</v>
      </c>
      <c r="AF43" s="8">
        <f>IF(W43&lt;&gt; "descanso forzado",AE43+Z43*AD43,AE43)</f>
        <v>80.060483870967744</v>
      </c>
    </row>
    <row r="44" spans="1:32" x14ac:dyDescent="0.3">
      <c r="A44" s="9">
        <v>45060</v>
      </c>
      <c r="B44" s="11" t="s">
        <v>20</v>
      </c>
      <c r="C44" s="17" t="s">
        <v>21</v>
      </c>
      <c r="D44" s="18"/>
      <c r="E44" s="19">
        <f>(8/48)*MOVD_Jornal[[#This Row],[HORAS]]</f>
        <v>0</v>
      </c>
      <c r="F44" s="19">
        <f>SUM(MOVD_Jornal[[#This Row],[HORAS]:[DOMINICAL]])</f>
        <v>0</v>
      </c>
      <c r="G44" s="20">
        <v>11.875</v>
      </c>
      <c r="H44" s="21">
        <f>MOVD_Jornal[[#This Row],[TOTAL HORAS]]*MOVD_Jornal[[#This Row],[COSTO HH]]</f>
        <v>0</v>
      </c>
      <c r="U44" s="9">
        <v>45058</v>
      </c>
      <c r="V44" s="4" t="s">
        <v>11</v>
      </c>
      <c r="W44" s="5" t="s">
        <v>12</v>
      </c>
      <c r="X44" s="11" t="s">
        <v>14</v>
      </c>
      <c r="Y44" s="5">
        <v>9</v>
      </c>
      <c r="Z44" s="5">
        <f>IF(AND(WEEKDAY(U44,2)&lt;&gt; 7,W44="trabaja"),Y44-(10/COUNTIFS(MOVD_Sueldo[FECHA],MOVD_Sueldo[[#This Row],[FECHA]],MOVD_Sueldo[NOMBRE],MOVD_Sueldo[[#This Row],[NOMBRE]])),IF(WEEKDAY(U44,2)= 7,0,0))</f>
        <v>-1</v>
      </c>
      <c r="AA44" s="5">
        <f t="shared" si="0"/>
        <v>0</v>
      </c>
      <c r="AB44" s="5">
        <f t="shared" si="1"/>
        <v>0</v>
      </c>
      <c r="AC44" s="6">
        <f>VLOOKUP(MOVD_Sueldo[[#This Row],[NOMBRE]],BD_MOVD[],6,0)/COUNTIFS(MOVD_Sueldo[FECHA],MOVD_Sueldo[[#This Row],[FECHA]],MOVD_Sueldo[NOMBRE],MOVD_Sueldo[[#This Row],[NOMBRE]])</f>
        <v>95</v>
      </c>
      <c r="AD44" s="6">
        <f>(MOVD_Sueldo[[#This Row],[COSTO DIA]]*30)/240*COUNTIFS(MOVD_Sueldo[FECHA],MOVD_Sueldo[[#This Row],[FECHA]],MOVD_Sueldo[NOMBRE],MOVD_Sueldo[[#This Row],[NOMBRE]])</f>
        <v>11.875</v>
      </c>
      <c r="AE44" s="7">
        <f>(MOVD_Sueldo[[#This Row],[COSTO DIA]]*30)/DAY(EOMONTH(U44,0))</f>
        <v>91.935483870967744</v>
      </c>
      <c r="AF44" s="8">
        <f>IF(W44&lt;&gt; "descanso forzado",AE44+Z44*AD44,AE44)</f>
        <v>80.060483870967744</v>
      </c>
    </row>
    <row r="45" spans="1:32" x14ac:dyDescent="0.3">
      <c r="A45" s="22">
        <v>45061</v>
      </c>
      <c r="B45" s="11" t="s">
        <v>20</v>
      </c>
      <c r="C45" s="11" t="s">
        <v>21</v>
      </c>
      <c r="D45" s="18"/>
      <c r="E45" s="19">
        <f>(8/48)*MOVD_Jornal[[#This Row],[HORAS]]</f>
        <v>0</v>
      </c>
      <c r="F45" s="19">
        <f>SUM(MOVD_Jornal[[#This Row],[HORAS]:[DOMINICAL]])</f>
        <v>0</v>
      </c>
      <c r="G45" s="20">
        <v>11.875</v>
      </c>
      <c r="H45" s="21">
        <f>MOVD_Jornal[[#This Row],[TOTAL HORAS]]*MOVD_Jornal[[#This Row],[COSTO HH]]</f>
        <v>0</v>
      </c>
      <c r="U45" s="9">
        <v>45059</v>
      </c>
      <c r="V45" s="4" t="s">
        <v>11</v>
      </c>
      <c r="W45" s="5" t="s">
        <v>12</v>
      </c>
      <c r="X45" s="11" t="s">
        <v>13</v>
      </c>
      <c r="Y45" s="5">
        <v>8</v>
      </c>
      <c r="Z45" s="5">
        <f>IF(AND(WEEKDAY(U45,2)&lt;&gt; 7,W45="trabaja"),Y45-(10/COUNTIFS(MOVD_Sueldo[FECHA],MOVD_Sueldo[[#This Row],[FECHA]],MOVD_Sueldo[NOMBRE],MOVD_Sueldo[[#This Row],[NOMBRE]])),IF(WEEKDAY(U45,2)= 7,0,0))</f>
        <v>-2</v>
      </c>
      <c r="AA45" s="5">
        <f t="shared" si="0"/>
        <v>0</v>
      </c>
      <c r="AB45" s="5">
        <f t="shared" si="1"/>
        <v>0</v>
      </c>
      <c r="AC45" s="6">
        <f>VLOOKUP(MOVD_Sueldo[[#This Row],[NOMBRE]],BD_MOVD[],6,0)/COUNTIFS(MOVD_Sueldo[FECHA],MOVD_Sueldo[[#This Row],[FECHA]],MOVD_Sueldo[NOMBRE],MOVD_Sueldo[[#This Row],[NOMBRE]])</f>
        <v>95</v>
      </c>
      <c r="AD45" s="6">
        <f>(MOVD_Sueldo[[#This Row],[COSTO DIA]]*30)/240*COUNTIFS(MOVD_Sueldo[FECHA],MOVD_Sueldo[[#This Row],[FECHA]],MOVD_Sueldo[NOMBRE],MOVD_Sueldo[[#This Row],[NOMBRE]])</f>
        <v>11.875</v>
      </c>
      <c r="AE45" s="7">
        <f>(MOVD_Sueldo[[#This Row],[COSTO DIA]]*30)/DAY(EOMONTH(U45,0))</f>
        <v>91.935483870967744</v>
      </c>
      <c r="AF45" s="8">
        <f>IF(W45&lt;&gt; "descanso forzado",AE45+Z45*AD45,AE45)</f>
        <v>68.185483870967744</v>
      </c>
    </row>
    <row r="46" spans="1:32" x14ac:dyDescent="0.3">
      <c r="A46" s="22">
        <v>45062</v>
      </c>
      <c r="B46" s="11" t="s">
        <v>20</v>
      </c>
      <c r="C46" s="17" t="s">
        <v>21</v>
      </c>
      <c r="D46" s="18"/>
      <c r="E46" s="19">
        <f>(8/48)*MOVD_Jornal[[#This Row],[HORAS]]</f>
        <v>0</v>
      </c>
      <c r="F46" s="19">
        <f>SUM(MOVD_Jornal[[#This Row],[HORAS]:[DOMINICAL]])</f>
        <v>0</v>
      </c>
      <c r="G46" s="20">
        <v>11.875</v>
      </c>
      <c r="H46" s="21">
        <f>MOVD_Jornal[[#This Row],[TOTAL HORAS]]*MOVD_Jornal[[#This Row],[COSTO HH]]</f>
        <v>0</v>
      </c>
      <c r="U46" s="9">
        <v>45060</v>
      </c>
      <c r="V46" s="4" t="s">
        <v>11</v>
      </c>
      <c r="W46" s="5" t="s">
        <v>12</v>
      </c>
      <c r="X46" s="11" t="s">
        <v>13</v>
      </c>
      <c r="Y46" s="5">
        <v>0</v>
      </c>
      <c r="Z46" s="5">
        <f>IF(AND(WEEKDAY(U46,2)&lt;&gt; 7,W46="trabaja"),Y46-(10/COUNTIFS(MOVD_Sueldo[FECHA],MOVD_Sueldo[[#This Row],[FECHA]],MOVD_Sueldo[NOMBRE],MOVD_Sueldo[[#This Row],[NOMBRE]])),IF(WEEKDAY(U46,2)= 7,0,0))</f>
        <v>0</v>
      </c>
      <c r="AA46" s="5">
        <f t="shared" si="0"/>
        <v>0</v>
      </c>
      <c r="AB46" s="5">
        <f t="shared" si="1"/>
        <v>0</v>
      </c>
      <c r="AC46" s="6">
        <f>VLOOKUP(MOVD_Sueldo[[#This Row],[NOMBRE]],BD_MOVD[],6,0)/COUNTIFS(MOVD_Sueldo[FECHA],MOVD_Sueldo[[#This Row],[FECHA]],MOVD_Sueldo[NOMBRE],MOVD_Sueldo[[#This Row],[NOMBRE]])</f>
        <v>95</v>
      </c>
      <c r="AD46" s="6">
        <f>(MOVD_Sueldo[[#This Row],[COSTO DIA]]*30)/240*COUNTIFS(MOVD_Sueldo[FECHA],MOVD_Sueldo[[#This Row],[FECHA]],MOVD_Sueldo[NOMBRE],MOVD_Sueldo[[#This Row],[NOMBRE]])</f>
        <v>11.875</v>
      </c>
      <c r="AE46" s="7">
        <f>(MOVD_Sueldo[[#This Row],[COSTO DIA]]*30)/DAY(EOMONTH(U46,0))</f>
        <v>91.935483870967744</v>
      </c>
      <c r="AF46" s="8">
        <f>IF(W46&lt;&gt; "descanso forzado",AE46+Z46*AD46,AE46)</f>
        <v>91.935483870967744</v>
      </c>
    </row>
    <row r="47" spans="1:32" x14ac:dyDescent="0.3">
      <c r="A47" s="22">
        <v>45063</v>
      </c>
      <c r="B47" s="11" t="s">
        <v>20</v>
      </c>
      <c r="C47" s="17" t="s">
        <v>21</v>
      </c>
      <c r="D47" s="12"/>
      <c r="E47" s="13">
        <f>(8/48)*MOVD_Jornal[[#This Row],[HORAS]]</f>
        <v>0</v>
      </c>
      <c r="F47" s="13">
        <f>SUM(MOVD_Jornal[[#This Row],[HORAS]:[DOMINICAL]])</f>
        <v>0</v>
      </c>
      <c r="G47" s="14">
        <v>11.875</v>
      </c>
      <c r="H47" s="15">
        <f>MOVD_Jornal[[#This Row],[TOTAL HORAS]]*MOVD_Jornal[[#This Row],[COSTO HH]]</f>
        <v>0</v>
      </c>
      <c r="U47" s="9">
        <v>45061</v>
      </c>
      <c r="V47" s="4" t="s">
        <v>11</v>
      </c>
      <c r="W47" s="5" t="s">
        <v>12</v>
      </c>
      <c r="X47" s="11" t="s">
        <v>14</v>
      </c>
      <c r="Y47" s="5">
        <v>9</v>
      </c>
      <c r="Z47" s="5">
        <f>IF(AND(WEEKDAY(U47,2)&lt;&gt; 7,W47="trabaja"),Y47-(10/COUNTIFS(MOVD_Sueldo[FECHA],MOVD_Sueldo[[#This Row],[FECHA]],MOVD_Sueldo[NOMBRE],MOVD_Sueldo[[#This Row],[NOMBRE]])),IF(WEEKDAY(U47,2)= 7,0,0))</f>
        <v>-1</v>
      </c>
      <c r="AA47" s="5">
        <f t="shared" si="0"/>
        <v>0</v>
      </c>
      <c r="AB47" s="5">
        <f t="shared" si="1"/>
        <v>0</v>
      </c>
      <c r="AC47" s="6">
        <f>VLOOKUP(MOVD_Sueldo[[#This Row],[NOMBRE]],BD_MOVD[],6,0)/COUNTIFS(MOVD_Sueldo[FECHA],MOVD_Sueldo[[#This Row],[FECHA]],MOVD_Sueldo[NOMBRE],MOVD_Sueldo[[#This Row],[NOMBRE]])</f>
        <v>95</v>
      </c>
      <c r="AD47" s="6">
        <f>(MOVD_Sueldo[[#This Row],[COSTO DIA]]*30)/240*COUNTIFS(MOVD_Sueldo[FECHA],MOVD_Sueldo[[#This Row],[FECHA]],MOVD_Sueldo[NOMBRE],MOVD_Sueldo[[#This Row],[NOMBRE]])</f>
        <v>11.875</v>
      </c>
      <c r="AE47" s="7">
        <f>(MOVD_Sueldo[[#This Row],[COSTO DIA]]*30)/DAY(EOMONTH(U47,0))</f>
        <v>91.935483870967744</v>
      </c>
      <c r="AF47" s="8">
        <f>IF(W47&lt;&gt; "descanso forzado",AE47+Z47*AD47,AE47)</f>
        <v>80.060483870967744</v>
      </c>
    </row>
    <row r="48" spans="1:32" x14ac:dyDescent="0.3">
      <c r="A48" s="22">
        <v>45064</v>
      </c>
      <c r="B48" s="11" t="s">
        <v>20</v>
      </c>
      <c r="C48" s="17" t="s">
        <v>21</v>
      </c>
      <c r="D48" s="12"/>
      <c r="E48" s="13">
        <f>(8/48)*MOVD_Jornal[[#This Row],[HORAS]]</f>
        <v>0</v>
      </c>
      <c r="F48" s="13">
        <f>SUM(MOVD_Jornal[[#This Row],[HORAS]:[DOMINICAL]])</f>
        <v>0</v>
      </c>
      <c r="G48" s="14">
        <v>11.875</v>
      </c>
      <c r="H48" s="15">
        <f>MOVD_Jornal[[#This Row],[TOTAL HORAS]]*MOVD_Jornal[[#This Row],[COSTO HH]]</f>
        <v>0</v>
      </c>
      <c r="U48" s="9">
        <v>45062</v>
      </c>
      <c r="V48" s="4" t="s">
        <v>11</v>
      </c>
      <c r="W48" s="5" t="s">
        <v>12</v>
      </c>
      <c r="X48" s="11" t="s">
        <v>14</v>
      </c>
      <c r="Y48" s="5">
        <v>10</v>
      </c>
      <c r="Z48" s="5">
        <f>IF(AND(WEEKDAY(U48,2)&lt;&gt; 7,W48="trabaja"),Y48-(10/COUNTIFS(MOVD_Sueldo[FECHA],MOVD_Sueldo[[#This Row],[FECHA]],MOVD_Sueldo[NOMBRE],MOVD_Sueldo[[#This Row],[NOMBRE]])),IF(WEEKDAY(U48,2)= 7,0,0))</f>
        <v>0</v>
      </c>
      <c r="AA48" s="5">
        <f t="shared" si="0"/>
        <v>0</v>
      </c>
      <c r="AB48" s="5">
        <f t="shared" si="1"/>
        <v>0</v>
      </c>
      <c r="AC48" s="6">
        <f>VLOOKUP(MOVD_Sueldo[[#This Row],[NOMBRE]],BD_MOVD[],6,0)/COUNTIFS(MOVD_Sueldo[FECHA],MOVD_Sueldo[[#This Row],[FECHA]],MOVD_Sueldo[NOMBRE],MOVD_Sueldo[[#This Row],[NOMBRE]])</f>
        <v>95</v>
      </c>
      <c r="AD48" s="6">
        <f>(MOVD_Sueldo[[#This Row],[COSTO DIA]]*30)/240*COUNTIFS(MOVD_Sueldo[FECHA],MOVD_Sueldo[[#This Row],[FECHA]],MOVD_Sueldo[NOMBRE],MOVD_Sueldo[[#This Row],[NOMBRE]])</f>
        <v>11.875</v>
      </c>
      <c r="AE48" s="7">
        <f>(MOVD_Sueldo[[#This Row],[COSTO DIA]]*30)/DAY(EOMONTH(U48,0))</f>
        <v>91.935483870967744</v>
      </c>
      <c r="AF48" s="8">
        <f>IF(W48&lt;&gt; "descanso forzado",AE48+Z48*AD48,AE48)</f>
        <v>91.935483870967744</v>
      </c>
    </row>
    <row r="49" spans="1:32" x14ac:dyDescent="0.3">
      <c r="A49" s="22">
        <v>45065</v>
      </c>
      <c r="B49" s="11" t="s">
        <v>20</v>
      </c>
      <c r="C49" s="17" t="s">
        <v>21</v>
      </c>
      <c r="D49" s="12"/>
      <c r="E49" s="13">
        <f>(8/48)*MOVD_Jornal[[#This Row],[HORAS]]</f>
        <v>0</v>
      </c>
      <c r="F49" s="13">
        <f>SUM(MOVD_Jornal[[#This Row],[HORAS]:[DOMINICAL]])</f>
        <v>0</v>
      </c>
      <c r="G49" s="14">
        <v>11.875</v>
      </c>
      <c r="H49" s="15">
        <f>MOVD_Jornal[[#This Row],[TOTAL HORAS]]*MOVD_Jornal[[#This Row],[COSTO HH]]</f>
        <v>0</v>
      </c>
      <c r="U49" s="9">
        <v>45063</v>
      </c>
      <c r="V49" s="4" t="s">
        <v>11</v>
      </c>
      <c r="W49" s="5" t="s">
        <v>12</v>
      </c>
      <c r="X49" s="11" t="s">
        <v>21</v>
      </c>
      <c r="Y49" s="5">
        <v>10</v>
      </c>
      <c r="Z49" s="5">
        <f>IF(AND(WEEKDAY(U49,2)&lt;&gt; 7,W49="trabaja"),Y49-(10/COUNTIFS(MOVD_Sueldo[FECHA],MOVD_Sueldo[[#This Row],[FECHA]],MOVD_Sueldo[NOMBRE],MOVD_Sueldo[[#This Row],[NOMBRE]])),IF(WEEKDAY(U49,2)= 7,0,0))</f>
        <v>0</v>
      </c>
      <c r="AA49" s="5">
        <f t="shared" si="0"/>
        <v>0</v>
      </c>
      <c r="AB49" s="5">
        <f t="shared" si="1"/>
        <v>0</v>
      </c>
      <c r="AC49" s="6">
        <f>VLOOKUP(MOVD_Sueldo[[#This Row],[NOMBRE]],BD_MOVD[],6,0)/COUNTIFS(MOVD_Sueldo[FECHA],MOVD_Sueldo[[#This Row],[FECHA]],MOVD_Sueldo[NOMBRE],MOVD_Sueldo[[#This Row],[NOMBRE]])</f>
        <v>95</v>
      </c>
      <c r="AD49" s="6">
        <f>(MOVD_Sueldo[[#This Row],[COSTO DIA]]*30)/240*COUNTIFS(MOVD_Sueldo[FECHA],MOVD_Sueldo[[#This Row],[FECHA]],MOVD_Sueldo[NOMBRE],MOVD_Sueldo[[#This Row],[NOMBRE]])</f>
        <v>11.875</v>
      </c>
      <c r="AE49" s="7">
        <f>(MOVD_Sueldo[[#This Row],[COSTO DIA]]*30)/DAY(EOMONTH(U49,0))</f>
        <v>91.935483870967744</v>
      </c>
      <c r="AF49" s="8">
        <f>IF(W49&lt;&gt; "descanso forzado",AE49+Z49*AD49,AE49)</f>
        <v>91.935483870967744</v>
      </c>
    </row>
    <row r="50" spans="1:32" x14ac:dyDescent="0.3">
      <c r="U50" s="9">
        <v>45064</v>
      </c>
      <c r="V50" s="4" t="s">
        <v>11</v>
      </c>
      <c r="W50" s="5" t="s">
        <v>12</v>
      </c>
      <c r="X50" s="11" t="s">
        <v>14</v>
      </c>
      <c r="Y50" s="5">
        <v>11</v>
      </c>
      <c r="Z50" s="5">
        <f>IF(AND(WEEKDAY(U50,2)&lt;&gt; 7,W50="trabaja"),Y50-(10/COUNTIFS(MOVD_Sueldo[FECHA],MOVD_Sueldo[[#This Row],[FECHA]],MOVD_Sueldo[NOMBRE],MOVD_Sueldo[[#This Row],[NOMBRE]])),IF(WEEKDAY(U50,2)= 7,0,0))</f>
        <v>1</v>
      </c>
      <c r="AA50" s="5">
        <f t="shared" si="0"/>
        <v>0</v>
      </c>
      <c r="AB50" s="5">
        <f t="shared" si="1"/>
        <v>0</v>
      </c>
      <c r="AC50" s="6">
        <f>VLOOKUP(MOVD_Sueldo[[#This Row],[NOMBRE]],BD_MOVD[],6,0)/COUNTIFS(MOVD_Sueldo[FECHA],MOVD_Sueldo[[#This Row],[FECHA]],MOVD_Sueldo[NOMBRE],MOVD_Sueldo[[#This Row],[NOMBRE]])</f>
        <v>95</v>
      </c>
      <c r="AD50" s="6">
        <f>(MOVD_Sueldo[[#This Row],[COSTO DIA]]*30)/240*COUNTIFS(MOVD_Sueldo[FECHA],MOVD_Sueldo[[#This Row],[FECHA]],MOVD_Sueldo[NOMBRE],MOVD_Sueldo[[#This Row],[NOMBRE]])</f>
        <v>11.875</v>
      </c>
      <c r="AE50" s="7">
        <f>(MOVD_Sueldo[[#This Row],[COSTO DIA]]*30)/DAY(EOMONTH(U50,0))</f>
        <v>91.935483870967744</v>
      </c>
      <c r="AF50" s="8">
        <f>IF(W50&lt;&gt; "descanso forzado",AE50+Z50*AD50,AE50)</f>
        <v>103.81048387096774</v>
      </c>
    </row>
    <row r="51" spans="1:32" x14ac:dyDescent="0.3">
      <c r="U51" s="9">
        <v>45065</v>
      </c>
      <c r="V51" s="4" t="s">
        <v>11</v>
      </c>
      <c r="W51" s="5" t="s">
        <v>12</v>
      </c>
      <c r="X51" s="11" t="s">
        <v>21</v>
      </c>
      <c r="Y51" s="5">
        <v>10</v>
      </c>
      <c r="Z51" s="5">
        <f>IF(AND(WEEKDAY(U51,2)&lt;&gt; 7,W51="trabaja"),Y51-(10/COUNTIFS(MOVD_Sueldo[FECHA],MOVD_Sueldo[[#This Row],[FECHA]],MOVD_Sueldo[NOMBRE],MOVD_Sueldo[[#This Row],[NOMBRE]])),IF(WEEKDAY(U51,2)= 7,0,0))</f>
        <v>0</v>
      </c>
      <c r="AA51" s="5">
        <f t="shared" si="0"/>
        <v>0</v>
      </c>
      <c r="AB51" s="5">
        <f t="shared" si="1"/>
        <v>0</v>
      </c>
      <c r="AC51" s="6">
        <f>VLOOKUP(MOVD_Sueldo[[#This Row],[NOMBRE]],BD_MOVD[],6,0)/COUNTIFS(MOVD_Sueldo[FECHA],MOVD_Sueldo[[#This Row],[FECHA]],MOVD_Sueldo[NOMBRE],MOVD_Sueldo[[#This Row],[NOMBRE]])</f>
        <v>95</v>
      </c>
      <c r="AD51" s="6">
        <f>(MOVD_Sueldo[[#This Row],[COSTO DIA]]*30)/240*COUNTIFS(MOVD_Sueldo[FECHA],MOVD_Sueldo[[#This Row],[FECHA]],MOVD_Sueldo[NOMBRE],MOVD_Sueldo[[#This Row],[NOMBRE]])</f>
        <v>11.875</v>
      </c>
      <c r="AE51" s="7">
        <f>(MOVD_Sueldo[[#This Row],[COSTO DIA]]*30)/DAY(EOMONTH(U51,0))</f>
        <v>91.935483870967744</v>
      </c>
      <c r="AF51" s="8">
        <f>IF(W51&lt;&gt; "descanso forzado",AE51+Z51*AD51,AE51)</f>
        <v>91.935483870967744</v>
      </c>
    </row>
    <row r="52" spans="1:32" x14ac:dyDescent="0.3">
      <c r="U52" s="9">
        <v>45066</v>
      </c>
      <c r="V52" s="4" t="s">
        <v>11</v>
      </c>
      <c r="W52" s="5" t="s">
        <v>15</v>
      </c>
      <c r="X52" s="11" t="s">
        <v>14</v>
      </c>
      <c r="Y52" s="5">
        <v>0</v>
      </c>
      <c r="Z52" s="5">
        <f>IF(AND(WEEKDAY(U52,2)&lt;&gt; 7,W52="trabaja"),Y52-(10/COUNTIFS(MOVD_Sueldo[FECHA],MOVD_Sueldo[[#This Row],[FECHA]],MOVD_Sueldo[NOMBRE],MOVD_Sueldo[[#This Row],[NOMBRE]])),IF(WEEKDAY(U52,2)= 7,0,0))</f>
        <v>0</v>
      </c>
      <c r="AA52" s="5">
        <f t="shared" si="0"/>
        <v>0</v>
      </c>
      <c r="AB52" s="5">
        <f t="shared" si="1"/>
        <v>0</v>
      </c>
      <c r="AC52" s="6">
        <f>VLOOKUP(MOVD_Sueldo[[#This Row],[NOMBRE]],BD_MOVD[],6,0)/COUNTIFS(MOVD_Sueldo[FECHA],MOVD_Sueldo[[#This Row],[FECHA]],MOVD_Sueldo[NOMBRE],MOVD_Sueldo[[#This Row],[NOMBRE]])</f>
        <v>95</v>
      </c>
      <c r="AD52" s="6">
        <f>(MOVD_Sueldo[[#This Row],[COSTO DIA]]*30)/240*COUNTIFS(MOVD_Sueldo[FECHA],MOVD_Sueldo[[#This Row],[FECHA]],MOVD_Sueldo[NOMBRE],MOVD_Sueldo[[#This Row],[NOMBRE]])</f>
        <v>11.875</v>
      </c>
      <c r="AE52" s="7">
        <f>(MOVD_Sueldo[[#This Row],[COSTO DIA]]*30)/DAY(EOMONTH(U52,0))</f>
        <v>91.935483870967744</v>
      </c>
      <c r="AF52" s="8">
        <f>IF(W52&lt;&gt; "descanso forzado",AE52+Z52*AD52,AE52)</f>
        <v>91.935483870967744</v>
      </c>
    </row>
    <row r="53" spans="1:32" x14ac:dyDescent="0.3">
      <c r="U53" s="9">
        <v>45067</v>
      </c>
      <c r="V53" s="4" t="s">
        <v>11</v>
      </c>
      <c r="W53" s="5" t="s">
        <v>15</v>
      </c>
      <c r="X53" s="11" t="s">
        <v>14</v>
      </c>
      <c r="Y53" s="5">
        <v>0</v>
      </c>
      <c r="Z53" s="5">
        <f>IF(AND(WEEKDAY(U53,2)&lt;&gt; 7,W53="trabaja"),Y53-(10/COUNTIFS(MOVD_Sueldo[FECHA],MOVD_Sueldo[[#This Row],[FECHA]],MOVD_Sueldo[NOMBRE],MOVD_Sueldo[[#This Row],[NOMBRE]])),IF(WEEKDAY(U53,2)= 7,0,0))</f>
        <v>0</v>
      </c>
      <c r="AA53" s="5">
        <f t="shared" si="0"/>
        <v>0</v>
      </c>
      <c r="AB53" s="5">
        <f t="shared" si="1"/>
        <v>0</v>
      </c>
      <c r="AC53" s="6">
        <f>VLOOKUP(MOVD_Sueldo[[#This Row],[NOMBRE]],BD_MOVD[],6,0)/COUNTIFS(MOVD_Sueldo[FECHA],MOVD_Sueldo[[#This Row],[FECHA]],MOVD_Sueldo[NOMBRE],MOVD_Sueldo[[#This Row],[NOMBRE]])</f>
        <v>95</v>
      </c>
      <c r="AD53" s="6">
        <f>(MOVD_Sueldo[[#This Row],[COSTO DIA]]*30)/240*COUNTIFS(MOVD_Sueldo[FECHA],MOVD_Sueldo[[#This Row],[FECHA]],MOVD_Sueldo[NOMBRE],MOVD_Sueldo[[#This Row],[NOMBRE]])</f>
        <v>11.875</v>
      </c>
      <c r="AE53" s="7">
        <f>(MOVD_Sueldo[[#This Row],[COSTO DIA]]*30)/DAY(EOMONTH(U53,0))</f>
        <v>91.935483870967744</v>
      </c>
      <c r="AF53" s="8">
        <f>IF(W53&lt;&gt; "descanso forzado",AE53+Z53*AD53,AE53)</f>
        <v>91.935483870967744</v>
      </c>
    </row>
    <row r="54" spans="1:32" x14ac:dyDescent="0.3">
      <c r="U54" s="9">
        <v>45068</v>
      </c>
      <c r="V54" s="4" t="s">
        <v>11</v>
      </c>
      <c r="W54" s="5" t="s">
        <v>15</v>
      </c>
      <c r="X54" s="11" t="s">
        <v>14</v>
      </c>
      <c r="Y54" s="5">
        <v>0</v>
      </c>
      <c r="Z54" s="5">
        <f>IF(AND(WEEKDAY(U54,2)&lt;&gt; 7,W54="trabaja"),Y54-(10/COUNTIFS(MOVD_Sueldo[FECHA],MOVD_Sueldo[[#This Row],[FECHA]],MOVD_Sueldo[NOMBRE],MOVD_Sueldo[[#This Row],[NOMBRE]])),IF(WEEKDAY(U54,2)= 7,0,0))</f>
        <v>0</v>
      </c>
      <c r="AA54" s="5">
        <f t="shared" si="0"/>
        <v>0</v>
      </c>
      <c r="AB54" s="5">
        <f t="shared" si="1"/>
        <v>0</v>
      </c>
      <c r="AC54" s="6">
        <f>VLOOKUP(MOVD_Sueldo[[#This Row],[NOMBRE]],BD_MOVD[],6,0)/COUNTIFS(MOVD_Sueldo[FECHA],MOVD_Sueldo[[#This Row],[FECHA]],MOVD_Sueldo[NOMBRE],MOVD_Sueldo[[#This Row],[NOMBRE]])</f>
        <v>95</v>
      </c>
      <c r="AD54" s="6">
        <f>(MOVD_Sueldo[[#This Row],[COSTO DIA]]*30)/240*COUNTIFS(MOVD_Sueldo[FECHA],MOVD_Sueldo[[#This Row],[FECHA]],MOVD_Sueldo[NOMBRE],MOVD_Sueldo[[#This Row],[NOMBRE]])</f>
        <v>11.875</v>
      </c>
      <c r="AE54" s="7">
        <f>(MOVD_Sueldo[[#This Row],[COSTO DIA]]*30)/DAY(EOMONTH(U54,0))</f>
        <v>91.935483870967744</v>
      </c>
      <c r="AF54" s="8">
        <f>IF(W54&lt;&gt; "descanso forzado",AE54+Z54*AD54,AE54)</f>
        <v>91.935483870967744</v>
      </c>
    </row>
    <row r="55" spans="1:32" x14ac:dyDescent="0.3">
      <c r="U55" s="9">
        <v>45069</v>
      </c>
      <c r="V55" s="4" t="s">
        <v>11</v>
      </c>
      <c r="W55" s="5" t="s">
        <v>15</v>
      </c>
      <c r="X55" s="11" t="s">
        <v>14</v>
      </c>
      <c r="Y55" s="5">
        <v>0</v>
      </c>
      <c r="Z55" s="5">
        <f>IF(AND(WEEKDAY(U55,2)&lt;&gt; 7,W55="trabaja"),Y55-(10/COUNTIFS(MOVD_Sueldo[FECHA],MOVD_Sueldo[[#This Row],[FECHA]],MOVD_Sueldo[NOMBRE],MOVD_Sueldo[[#This Row],[NOMBRE]])),IF(WEEKDAY(U55,2)= 7,0,0))</f>
        <v>0</v>
      </c>
      <c r="AA55" s="5">
        <f t="shared" si="0"/>
        <v>0</v>
      </c>
      <c r="AB55" s="5">
        <f t="shared" si="1"/>
        <v>0</v>
      </c>
      <c r="AC55" s="6">
        <f>VLOOKUP(MOVD_Sueldo[[#This Row],[NOMBRE]],BD_MOVD[],6,0)/COUNTIFS(MOVD_Sueldo[FECHA],MOVD_Sueldo[[#This Row],[FECHA]],MOVD_Sueldo[NOMBRE],MOVD_Sueldo[[#This Row],[NOMBRE]])</f>
        <v>95</v>
      </c>
      <c r="AD55" s="6">
        <f>(MOVD_Sueldo[[#This Row],[COSTO DIA]]*30)/240*COUNTIFS(MOVD_Sueldo[FECHA],MOVD_Sueldo[[#This Row],[FECHA]],MOVD_Sueldo[NOMBRE],MOVD_Sueldo[[#This Row],[NOMBRE]])</f>
        <v>11.875</v>
      </c>
      <c r="AE55" s="7">
        <f>(MOVD_Sueldo[[#This Row],[COSTO DIA]]*30)/DAY(EOMONTH(U55,0))</f>
        <v>91.935483870967744</v>
      </c>
      <c r="AF55" s="8">
        <f>IF(W55&lt;&gt; "descanso forzado",AE55+Z55*AD55,AE55)</f>
        <v>91.935483870967744</v>
      </c>
    </row>
    <row r="56" spans="1:32" x14ac:dyDescent="0.3">
      <c r="U56" s="9">
        <v>45070</v>
      </c>
      <c r="V56" s="4" t="s">
        <v>11</v>
      </c>
      <c r="W56" s="5" t="s">
        <v>15</v>
      </c>
      <c r="X56" s="11" t="s">
        <v>13</v>
      </c>
      <c r="Y56" s="5">
        <v>0</v>
      </c>
      <c r="Z56" s="5">
        <f>IF(AND(WEEKDAY(U56,2)&lt;&gt; 7,W56="trabaja"),Y56-(10/COUNTIFS(MOVD_Sueldo[FECHA],MOVD_Sueldo[[#This Row],[FECHA]],MOVD_Sueldo[NOMBRE],MOVD_Sueldo[[#This Row],[NOMBRE]])),IF(WEEKDAY(U56,2)= 7,0,0))</f>
        <v>0</v>
      </c>
      <c r="AA56" s="5">
        <f t="shared" si="0"/>
        <v>0</v>
      </c>
      <c r="AB56" s="5">
        <f t="shared" si="1"/>
        <v>0</v>
      </c>
      <c r="AC56" s="6">
        <f>VLOOKUP(MOVD_Sueldo[[#This Row],[NOMBRE]],BD_MOVD[],6,0)/COUNTIFS(MOVD_Sueldo[FECHA],MOVD_Sueldo[[#This Row],[FECHA]],MOVD_Sueldo[NOMBRE],MOVD_Sueldo[[#This Row],[NOMBRE]])</f>
        <v>95</v>
      </c>
      <c r="AD56" s="6">
        <f>(MOVD_Sueldo[[#This Row],[COSTO DIA]]*30)/240*COUNTIFS(MOVD_Sueldo[FECHA],MOVD_Sueldo[[#This Row],[FECHA]],MOVD_Sueldo[NOMBRE],MOVD_Sueldo[[#This Row],[NOMBRE]])</f>
        <v>11.875</v>
      </c>
      <c r="AE56" s="7">
        <f>(MOVD_Sueldo[[#This Row],[COSTO DIA]]*30)/DAY(EOMONTH(U56,0))</f>
        <v>91.935483870967744</v>
      </c>
      <c r="AF56" s="8">
        <f>IF(W56&lt;&gt; "descanso forzado",AE56+Z56*AD56,AE56)</f>
        <v>91.935483870967744</v>
      </c>
    </row>
    <row r="57" spans="1:32" x14ac:dyDescent="0.3">
      <c r="U57" s="9">
        <v>45071</v>
      </c>
      <c r="V57" s="4" t="s">
        <v>11</v>
      </c>
      <c r="W57" s="5" t="s">
        <v>15</v>
      </c>
      <c r="X57" s="11" t="s">
        <v>13</v>
      </c>
      <c r="Y57" s="5">
        <v>0</v>
      </c>
      <c r="Z57" s="5">
        <f>IF(AND(WEEKDAY(U57,2)&lt;&gt; 7,W57="trabaja"),Y57-(10/COUNTIFS(MOVD_Sueldo[FECHA],MOVD_Sueldo[[#This Row],[FECHA]],MOVD_Sueldo[NOMBRE],MOVD_Sueldo[[#This Row],[NOMBRE]])),IF(WEEKDAY(U57,2)= 7,0,0))</f>
        <v>0</v>
      </c>
      <c r="AA57" s="5">
        <f t="shared" si="0"/>
        <v>0</v>
      </c>
      <c r="AB57" s="5">
        <f t="shared" si="1"/>
        <v>0</v>
      </c>
      <c r="AC57" s="6">
        <f>VLOOKUP(MOVD_Sueldo[[#This Row],[NOMBRE]],BD_MOVD[],6,0)/COUNTIFS(MOVD_Sueldo[FECHA],MOVD_Sueldo[[#This Row],[FECHA]],MOVD_Sueldo[NOMBRE],MOVD_Sueldo[[#This Row],[NOMBRE]])</f>
        <v>95</v>
      </c>
      <c r="AD57" s="6">
        <f>(MOVD_Sueldo[[#This Row],[COSTO DIA]]*30)/240*COUNTIFS(MOVD_Sueldo[FECHA],MOVD_Sueldo[[#This Row],[FECHA]],MOVD_Sueldo[NOMBRE],MOVD_Sueldo[[#This Row],[NOMBRE]])</f>
        <v>11.875</v>
      </c>
      <c r="AE57" s="7">
        <f>(MOVD_Sueldo[[#This Row],[COSTO DIA]]*30)/DAY(EOMONTH(U57,0))</f>
        <v>91.935483870967744</v>
      </c>
      <c r="AF57" s="8">
        <f>IF(W57&lt;&gt; "descanso forzado",AE57+Z57*AD57,AE57)</f>
        <v>91.935483870967744</v>
      </c>
    </row>
    <row r="58" spans="1:32" x14ac:dyDescent="0.3">
      <c r="U58" s="9">
        <v>45072</v>
      </c>
      <c r="V58" s="4" t="s">
        <v>11</v>
      </c>
      <c r="W58" s="5" t="s">
        <v>15</v>
      </c>
      <c r="X58" s="11" t="s">
        <v>14</v>
      </c>
      <c r="Y58" s="5">
        <v>0</v>
      </c>
      <c r="Z58" s="5">
        <f>IF(AND(WEEKDAY(U58,2)&lt;&gt; 7,W58="trabaja"),Y58-(10/COUNTIFS(MOVD_Sueldo[FECHA],MOVD_Sueldo[[#This Row],[FECHA]],MOVD_Sueldo[NOMBRE],MOVD_Sueldo[[#This Row],[NOMBRE]])),IF(WEEKDAY(U58,2)= 7,0,0))</f>
        <v>0</v>
      </c>
      <c r="AA58" s="5">
        <f t="shared" si="0"/>
        <v>0</v>
      </c>
      <c r="AB58" s="5">
        <f t="shared" si="1"/>
        <v>0</v>
      </c>
      <c r="AC58" s="6">
        <f>VLOOKUP(MOVD_Sueldo[[#This Row],[NOMBRE]],BD_MOVD[],6,0)/COUNTIFS(MOVD_Sueldo[FECHA],MOVD_Sueldo[[#This Row],[FECHA]],MOVD_Sueldo[NOMBRE],MOVD_Sueldo[[#This Row],[NOMBRE]])</f>
        <v>95</v>
      </c>
      <c r="AD58" s="6">
        <f>(MOVD_Sueldo[[#This Row],[COSTO DIA]]*30)/240*COUNTIFS(MOVD_Sueldo[FECHA],MOVD_Sueldo[[#This Row],[FECHA]],MOVD_Sueldo[NOMBRE],MOVD_Sueldo[[#This Row],[NOMBRE]])</f>
        <v>11.875</v>
      </c>
      <c r="AE58" s="7">
        <f>(MOVD_Sueldo[[#This Row],[COSTO DIA]]*30)/DAY(EOMONTH(U58,0))</f>
        <v>91.935483870967744</v>
      </c>
      <c r="AF58" s="8">
        <f>IF(W58&lt;&gt; "descanso forzado",AE58+Z58*AD58,AE58)</f>
        <v>91.935483870967744</v>
      </c>
    </row>
    <row r="59" spans="1:32" x14ac:dyDescent="0.3">
      <c r="U59" s="9">
        <v>45073</v>
      </c>
      <c r="V59" s="4" t="s">
        <v>11</v>
      </c>
      <c r="W59" s="5" t="s">
        <v>16</v>
      </c>
      <c r="X59" s="11" t="s">
        <v>14</v>
      </c>
      <c r="Y59" s="5">
        <v>0</v>
      </c>
      <c r="Z59" s="5">
        <f>IF(AND(WEEKDAY(U59,2)&lt;&gt; 7,W59="trabaja"),Y59-(10/COUNTIFS(MOVD_Sueldo[FECHA],MOVD_Sueldo[[#This Row],[FECHA]],MOVD_Sueldo[NOMBRE],MOVD_Sueldo[[#This Row],[NOMBRE]])),IF(WEEKDAY(U59,2)= 7,0,0))</f>
        <v>0</v>
      </c>
      <c r="AA59" s="5">
        <f t="shared" si="0"/>
        <v>0</v>
      </c>
      <c r="AB59" s="5">
        <f t="shared" si="1"/>
        <v>10</v>
      </c>
      <c r="AC59" s="6">
        <f>VLOOKUP(MOVD_Sueldo[[#This Row],[NOMBRE]],BD_MOVD[],6,0)/COUNTIFS(MOVD_Sueldo[FECHA],MOVD_Sueldo[[#This Row],[FECHA]],MOVD_Sueldo[NOMBRE],MOVD_Sueldo[[#This Row],[NOMBRE]])</f>
        <v>95</v>
      </c>
      <c r="AD59" s="6">
        <f>(MOVD_Sueldo[[#This Row],[COSTO DIA]]*30)/240*COUNTIFS(MOVD_Sueldo[FECHA],MOVD_Sueldo[[#This Row],[FECHA]],MOVD_Sueldo[NOMBRE],MOVD_Sueldo[[#This Row],[NOMBRE]])</f>
        <v>11.875</v>
      </c>
      <c r="AE59" s="7">
        <f>(MOVD_Sueldo[[#This Row],[COSTO DIA]]*30)/DAY(EOMONTH(U59,0))</f>
        <v>91.935483870967744</v>
      </c>
      <c r="AF59" s="8">
        <f>IF(W59&lt;&gt; "descanso forzado",AE59+Z59*AD59,AE59)</f>
        <v>91.935483870967744</v>
      </c>
    </row>
    <row r="60" spans="1:32" x14ac:dyDescent="0.3">
      <c r="U60" s="9">
        <v>45074</v>
      </c>
      <c r="V60" s="4" t="s">
        <v>11</v>
      </c>
      <c r="W60" s="5" t="s">
        <v>17</v>
      </c>
      <c r="X60" s="11" t="s">
        <v>21</v>
      </c>
      <c r="Y60" s="5">
        <v>0</v>
      </c>
      <c r="Z60" s="5">
        <f>IF(AND(WEEKDAY(U60,2)&lt;&gt; 7,W60="trabaja"),Y60-(10/COUNTIFS(MOVD_Sueldo[FECHA],MOVD_Sueldo[[#This Row],[FECHA]],MOVD_Sueldo[NOMBRE],MOVD_Sueldo[[#This Row],[NOMBRE]])),IF(WEEKDAY(U60,2)= 7,0,0))</f>
        <v>0</v>
      </c>
      <c r="AA60" s="5">
        <f t="shared" si="0"/>
        <v>0</v>
      </c>
      <c r="AB60" s="5">
        <f t="shared" si="1"/>
        <v>0</v>
      </c>
      <c r="AC60" s="6">
        <f>VLOOKUP(MOVD_Sueldo[[#This Row],[NOMBRE]],BD_MOVD[],6,0)/COUNTIFS(MOVD_Sueldo[FECHA],MOVD_Sueldo[[#This Row],[FECHA]],MOVD_Sueldo[NOMBRE],MOVD_Sueldo[[#This Row],[NOMBRE]])</f>
        <v>95</v>
      </c>
      <c r="AD60" s="6">
        <f>(MOVD_Sueldo[[#This Row],[COSTO DIA]]*30)/240*COUNTIFS(MOVD_Sueldo[FECHA],MOVD_Sueldo[[#This Row],[FECHA]],MOVD_Sueldo[NOMBRE],MOVD_Sueldo[[#This Row],[NOMBRE]])</f>
        <v>11.875</v>
      </c>
      <c r="AE60" s="7">
        <f>(MOVD_Sueldo[[#This Row],[COSTO DIA]]*30)/DAY(EOMONTH(U60,0))</f>
        <v>91.935483870967744</v>
      </c>
      <c r="AF60" s="8">
        <f>IF(W60&lt;&gt; "descanso forzado",AE60+Z60*AD60,AE60)</f>
        <v>91.935483870967744</v>
      </c>
    </row>
    <row r="61" spans="1:32" x14ac:dyDescent="0.3">
      <c r="U61" s="9">
        <v>45075</v>
      </c>
      <c r="V61" s="4" t="s">
        <v>11</v>
      </c>
      <c r="W61" s="5" t="s">
        <v>17</v>
      </c>
      <c r="X61" s="11" t="s">
        <v>14</v>
      </c>
      <c r="Y61" s="5">
        <v>0</v>
      </c>
      <c r="Z61" s="5">
        <f>IF(AND(WEEKDAY(U61,2)&lt;&gt; 7,W61="trabaja"),Y61-(10/COUNTIFS(MOVD_Sueldo[FECHA],MOVD_Sueldo[[#This Row],[FECHA]],MOVD_Sueldo[NOMBRE],MOVD_Sueldo[[#This Row],[NOMBRE]])),IF(WEEKDAY(U61,2)= 7,0,0))</f>
        <v>0</v>
      </c>
      <c r="AA61" s="5">
        <f t="shared" si="0"/>
        <v>10</v>
      </c>
      <c r="AB61" s="5">
        <f t="shared" si="1"/>
        <v>0</v>
      </c>
      <c r="AC61" s="6">
        <f>VLOOKUP(MOVD_Sueldo[[#This Row],[NOMBRE]],BD_MOVD[],6,0)/COUNTIFS(MOVD_Sueldo[FECHA],MOVD_Sueldo[[#This Row],[FECHA]],MOVD_Sueldo[NOMBRE],MOVD_Sueldo[[#This Row],[NOMBRE]])</f>
        <v>95</v>
      </c>
      <c r="AD61" s="6">
        <f>(MOVD_Sueldo[[#This Row],[COSTO DIA]]*30)/240*COUNTIFS(MOVD_Sueldo[FECHA],MOVD_Sueldo[[#This Row],[FECHA]],MOVD_Sueldo[NOMBRE],MOVD_Sueldo[[#This Row],[NOMBRE]])</f>
        <v>11.875</v>
      </c>
      <c r="AE61" s="7">
        <f>(MOVD_Sueldo[[#This Row],[COSTO DIA]]*30)/DAY(EOMONTH(U61,0))</f>
        <v>91.935483870967744</v>
      </c>
      <c r="AF61" s="8">
        <f>IF(W61&lt;&gt; "descanso forzado",AE61+Z61*AD61,AE61)</f>
        <v>91.935483870967744</v>
      </c>
    </row>
    <row r="62" spans="1:32" x14ac:dyDescent="0.3">
      <c r="U62" s="9">
        <v>45076</v>
      </c>
      <c r="V62" s="4" t="s">
        <v>11</v>
      </c>
      <c r="W62" s="5" t="s">
        <v>17</v>
      </c>
      <c r="X62" s="11" t="s">
        <v>21</v>
      </c>
      <c r="Y62" s="5">
        <v>0</v>
      </c>
      <c r="Z62" s="5">
        <f>IF(AND(WEEKDAY(U62,2)&lt;&gt; 7,W62="trabaja"),Y62-(10/COUNTIFS(MOVD_Sueldo[FECHA],MOVD_Sueldo[[#This Row],[FECHA]],MOVD_Sueldo[NOMBRE],MOVD_Sueldo[[#This Row],[NOMBRE]])),IF(WEEKDAY(U62,2)= 7,0,0))</f>
        <v>0</v>
      </c>
      <c r="AA62" s="5">
        <f t="shared" si="0"/>
        <v>10</v>
      </c>
      <c r="AB62" s="5">
        <f t="shared" si="1"/>
        <v>0</v>
      </c>
      <c r="AC62" s="6">
        <f>VLOOKUP(MOVD_Sueldo[[#This Row],[NOMBRE]],BD_MOVD[],6,0)/COUNTIFS(MOVD_Sueldo[FECHA],MOVD_Sueldo[[#This Row],[FECHA]],MOVD_Sueldo[NOMBRE],MOVD_Sueldo[[#This Row],[NOMBRE]])</f>
        <v>95</v>
      </c>
      <c r="AD62" s="6">
        <f>(MOVD_Sueldo[[#This Row],[COSTO DIA]]*30)/240*COUNTIFS(MOVD_Sueldo[FECHA],MOVD_Sueldo[[#This Row],[FECHA]],MOVD_Sueldo[NOMBRE],MOVD_Sueldo[[#This Row],[NOMBRE]])</f>
        <v>11.875</v>
      </c>
      <c r="AE62" s="7">
        <f>(MOVD_Sueldo[[#This Row],[COSTO DIA]]*30)/DAY(EOMONTH(U62,0))</f>
        <v>91.935483870967744</v>
      </c>
      <c r="AF62" s="8">
        <f>IF(W62&lt;&gt; "descanso forzado",AE62+Z62*AD62,AE62)</f>
        <v>91.935483870967744</v>
      </c>
    </row>
    <row r="63" spans="1:32" x14ac:dyDescent="0.3">
      <c r="U63" s="9">
        <v>45077</v>
      </c>
      <c r="V63" s="4" t="s">
        <v>11</v>
      </c>
      <c r="W63" s="5" t="s">
        <v>17</v>
      </c>
      <c r="X63" s="11" t="s">
        <v>14</v>
      </c>
      <c r="Y63" s="5">
        <v>0</v>
      </c>
      <c r="Z63" s="5">
        <f>IF(AND(WEEKDAY(U63,2)&lt;&gt; 7,W63="trabaja"),Y63-(10/COUNTIFS(MOVD_Sueldo[FECHA],MOVD_Sueldo[[#This Row],[FECHA]],MOVD_Sueldo[NOMBRE],MOVD_Sueldo[[#This Row],[NOMBRE]])),IF(WEEKDAY(U63,2)= 7,0,0))</f>
        <v>0</v>
      </c>
      <c r="AA63" s="5">
        <f t="shared" si="0"/>
        <v>10</v>
      </c>
      <c r="AB63" s="5">
        <f t="shared" si="1"/>
        <v>0</v>
      </c>
      <c r="AC63" s="6">
        <f>VLOOKUP(MOVD_Sueldo[[#This Row],[NOMBRE]],BD_MOVD[],6,0)/COUNTIFS(MOVD_Sueldo[FECHA],MOVD_Sueldo[[#This Row],[FECHA]],MOVD_Sueldo[NOMBRE],MOVD_Sueldo[[#This Row],[NOMBRE]])</f>
        <v>95</v>
      </c>
      <c r="AD63" s="6">
        <f>(MOVD_Sueldo[[#This Row],[COSTO DIA]]*30)/240*COUNTIFS(MOVD_Sueldo[FECHA],MOVD_Sueldo[[#This Row],[FECHA]],MOVD_Sueldo[NOMBRE],MOVD_Sueldo[[#This Row],[NOMBRE]])</f>
        <v>11.875</v>
      </c>
      <c r="AE63" s="7">
        <f>(MOVD_Sueldo[[#This Row],[COSTO DIA]]*30)/DAY(EOMONTH(U63,0))</f>
        <v>91.935483870967744</v>
      </c>
      <c r="AF63" s="8">
        <f>IF(W63&lt;&gt; "descanso forzado",AE63+Z63*AD63,AE63)</f>
        <v>91.935483870967744</v>
      </c>
    </row>
  </sheetData>
  <conditionalFormatting sqref="G2:G49">
    <cfRule type="containsText" dxfId="88" priority="11" operator="containsText" text="0">
      <formula>NOT(ISERROR(SEARCH("0",G2)))</formula>
    </cfRule>
  </conditionalFormatting>
  <conditionalFormatting sqref="H2:H49">
    <cfRule type="cellIs" dxfId="87" priority="10" operator="equal">
      <formula>0</formula>
    </cfRule>
  </conditionalFormatting>
  <conditionalFormatting sqref="Z2:Z63">
    <cfRule type="cellIs" dxfId="86" priority="6" operator="greaterThan">
      <formula>0</formula>
    </cfRule>
    <cfRule type="cellIs" dxfId="85" priority="7" operator="lessThan">
      <formula>0</formula>
    </cfRule>
  </conditionalFormatting>
  <conditionalFormatting sqref="AA2:AB63">
    <cfRule type="expression" dxfId="84" priority="8">
      <formula>AND($T2="dia adicional",#REF!&gt;0)</formula>
    </cfRule>
    <cfRule type="expression" dxfId="83" priority="9">
      <formula>AND($T2="descanso forzado",#REF!&gt;0)</formula>
    </cfRule>
  </conditionalFormatting>
  <conditionalFormatting sqref="P3:P41">
    <cfRule type="containsText" dxfId="82" priority="1" operator="containsText" text="PASADO">
      <formula>NOT(ISERROR(SEARCH("PASADO",P3)))</formula>
    </cfRule>
    <cfRule type="containsText" dxfId="81" priority="4" operator="containsText" text="POR DIAS">
      <formula>NOT(ISERROR(SEARCH("POR DIAS",P3)))</formula>
    </cfRule>
    <cfRule type="containsText" dxfId="80" priority="5" operator="containsText" text="ANUAL">
      <formula>NOT(ISERROR(SEARCH("ANUAL",P3)))</formula>
    </cfRule>
  </conditionalFormatting>
  <conditionalFormatting sqref="R3:R41">
    <cfRule type="containsText" dxfId="79" priority="3" operator="containsText" text="COMPRA HORAS">
      <formula>NOT(ISERROR(SEARCH("COMPRA HORAS",R3)))</formula>
    </cfRule>
  </conditionalFormatting>
  <conditionalFormatting sqref="L3:N41">
    <cfRule type="expression" dxfId="78" priority="15">
      <formula>$Y2="POR DIAS"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B65C-818B-4640-B95E-2DEFAB78DD61}">
  <sheetPr codeName="Hoja5">
    <tabColor rgb="FF00B050"/>
  </sheetPr>
  <dimension ref="A1:AF63"/>
  <sheetViews>
    <sheetView tabSelected="1" topLeftCell="P1" workbookViewId="0">
      <selection activeCell="W59" sqref="W59"/>
    </sheetView>
  </sheetViews>
  <sheetFormatPr baseColWidth="10" defaultRowHeight="14.4" x14ac:dyDescent="0.3"/>
  <cols>
    <col min="1" max="1" width="10.5546875" bestFit="1" customWidth="1"/>
    <col min="2" max="2" width="22.21875" bestFit="1" customWidth="1"/>
    <col min="3" max="3" width="11.109375" bestFit="1" customWidth="1"/>
    <col min="4" max="4" width="9.109375" bestFit="1" customWidth="1"/>
    <col min="5" max="5" width="13.21875" bestFit="1" customWidth="1"/>
    <col min="6" max="6" width="15" bestFit="1" customWidth="1"/>
    <col min="7" max="7" width="11.88671875" bestFit="1" customWidth="1"/>
    <col min="8" max="8" width="18.33203125" bestFit="1" customWidth="1"/>
    <col min="9" max="9" width="11.88671875" bestFit="1" customWidth="1"/>
    <col min="10" max="10" width="10.77734375" bestFit="1" customWidth="1"/>
    <col min="11" max="11" width="35.21875" customWidth="1"/>
    <col min="12" max="12" width="16.44140625" bestFit="1" customWidth="1"/>
    <col min="13" max="13" width="18" bestFit="1" customWidth="1"/>
    <col min="14" max="14" width="15.109375" bestFit="1" customWidth="1"/>
    <col min="15" max="15" width="14.109375" bestFit="1" customWidth="1"/>
    <col min="16" max="16" width="14.44140625" bestFit="1" customWidth="1"/>
    <col min="17" max="17" width="15.33203125" bestFit="1" customWidth="1"/>
    <col min="18" max="18" width="16" bestFit="1" customWidth="1"/>
    <col min="21" max="21" width="10.5546875" bestFit="1" customWidth="1"/>
    <col min="22" max="22" width="32.33203125" bestFit="1" customWidth="1"/>
    <col min="23" max="23" width="15.33203125" bestFit="1" customWidth="1"/>
    <col min="24" max="24" width="11.109375" bestFit="1" customWidth="1"/>
    <col min="25" max="25" width="9.109375" bestFit="1" customWidth="1"/>
    <col min="26" max="26" width="13.5546875" bestFit="1" customWidth="1"/>
    <col min="27" max="27" width="7.5546875" bestFit="1" customWidth="1"/>
    <col min="28" max="28" width="11.6640625" bestFit="1" customWidth="1"/>
    <col min="29" max="29" width="12.44140625" bestFit="1" customWidth="1"/>
    <col min="30" max="30" width="11.88671875" bestFit="1" customWidth="1"/>
    <col min="31" max="31" width="10.77734375" bestFit="1" customWidth="1"/>
    <col min="32" max="32" width="18.33203125" bestFit="1" customWidth="1"/>
  </cols>
  <sheetData>
    <row r="1" spans="1:32" ht="18" x14ac:dyDescent="0.3">
      <c r="A1" s="10" t="s">
        <v>0</v>
      </c>
      <c r="B1" t="s">
        <v>1</v>
      </c>
      <c r="C1" t="s">
        <v>3</v>
      </c>
      <c r="D1" t="s">
        <v>4</v>
      </c>
      <c r="E1" t="s">
        <v>18</v>
      </c>
      <c r="F1" t="s">
        <v>19</v>
      </c>
      <c r="G1" t="s">
        <v>8</v>
      </c>
      <c r="H1" t="s">
        <v>10</v>
      </c>
      <c r="K1" s="82" t="s">
        <v>125</v>
      </c>
      <c r="L1" s="82"/>
      <c r="M1" s="82"/>
      <c r="N1" s="82"/>
      <c r="O1" s="82"/>
      <c r="P1" s="82"/>
      <c r="Q1" s="82"/>
      <c r="R1" s="82"/>
      <c r="U1" s="1" t="s">
        <v>0</v>
      </c>
      <c r="V1" s="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126</v>
      </c>
      <c r="AC1" s="2" t="s">
        <v>7</v>
      </c>
      <c r="AD1" t="s">
        <v>8</v>
      </c>
      <c r="AE1" s="2" t="s">
        <v>9</v>
      </c>
      <c r="AF1" t="s">
        <v>10</v>
      </c>
    </row>
    <row r="2" spans="1:32" ht="15.6" x14ac:dyDescent="0.3">
      <c r="A2" s="9">
        <v>45017</v>
      </c>
      <c r="B2" s="11" t="s">
        <v>20</v>
      </c>
      <c r="C2" s="11" t="s">
        <v>13</v>
      </c>
      <c r="D2" s="12">
        <v>10</v>
      </c>
      <c r="E2" s="13">
        <f>(8/48)*MOVI_Jornal[[#This Row],[HORAS]]</f>
        <v>1.6666666666666665</v>
      </c>
      <c r="F2" s="13">
        <f>SUM(MOVI_Jornal[[#This Row],[HORAS]:[DOMINICAL]])</f>
        <v>11.666666666666666</v>
      </c>
      <c r="G2" s="14">
        <v>11.875</v>
      </c>
      <c r="H2" s="15">
        <f>MOVI_Jornal[[#This Row],[TOTAL HORAS]]*MOVI_Jornal[[#This Row],[COSTO HH]]</f>
        <v>138.54166666666666</v>
      </c>
      <c r="K2" s="65" t="s">
        <v>1</v>
      </c>
      <c r="L2" s="66" t="s">
        <v>119</v>
      </c>
      <c r="M2" s="66" t="s">
        <v>120</v>
      </c>
      <c r="N2" s="66" t="s">
        <v>121</v>
      </c>
      <c r="O2" s="66" t="s">
        <v>122</v>
      </c>
      <c r="P2" s="66" t="s">
        <v>123</v>
      </c>
      <c r="Q2" s="67" t="s">
        <v>8</v>
      </c>
      <c r="R2" s="66" t="s">
        <v>27</v>
      </c>
      <c r="U2" s="3">
        <v>45017</v>
      </c>
      <c r="V2" s="4" t="s">
        <v>90</v>
      </c>
      <c r="W2" s="5" t="s">
        <v>12</v>
      </c>
      <c r="X2" s="11" t="s">
        <v>13</v>
      </c>
      <c r="Y2" s="5">
        <v>5</v>
      </c>
      <c r="Z2" s="5">
        <f>IF(AND(WEEKDAY(U2,2)&lt;&gt; 7,W2="trabaja"),Y2-(10/COUNTIFS(MOVI_Sueldo[FECHA],MOVI_Sueldo[[#This Row],[FECHA]],MOVI_Sueldo[NOMBRE],MOVI_Sueldo[[#This Row],[NOMBRE]])),IF(WEEKDAY(U2,2)= 7,0,0))</f>
        <v>0</v>
      </c>
      <c r="AA2" s="5">
        <f t="shared" ref="AA2:AA63" si="0">IF(AND(W2="descanso forzado",WEEKDAY(U2,2)&lt;&gt;7),10,0)</f>
        <v>0</v>
      </c>
      <c r="AB2" s="5">
        <f t="shared" ref="AB2:AB63" si="1">IF(AND(W2="dia adicional",WEEKDAY(U2,2)&lt;&gt;7),10,0)</f>
        <v>0</v>
      </c>
      <c r="AC2" s="6">
        <f>VLOOKUP(MOVI_Sueldo[[#This Row],[NOMBRE]],BD_MOVI[],6,0)/COUNTIFS(MOVI_Sueldo[FECHA],MOVI_Sueldo[[#This Row],[FECHA]],MOVI_Sueldo[NOMBRE],MOVI_Sueldo[[#This Row],[NOMBRE]])</f>
        <v>60</v>
      </c>
      <c r="AD2" s="6">
        <f>(MOVI_Sueldo[[#This Row],[COSTO DIA]]*30)/240*COUNTIFS(MOVI_Sueldo[FECHA],MOVI_Sueldo[[#This Row],[FECHA]],MOVI_Sueldo[NOMBRE],MOVI_Sueldo[[#This Row],[NOMBRE]])</f>
        <v>15</v>
      </c>
      <c r="AE2" s="7">
        <f>(MOVI_Sueldo[[#This Row],[COSTO DIA]]*30)/DAY(EOMONTH(U2,0))</f>
        <v>60</v>
      </c>
      <c r="AF2" s="8">
        <f>IF(W2&lt;&gt; "descanso forzado",AE2+Z2*AD2,AE2)</f>
        <v>60</v>
      </c>
    </row>
    <row r="3" spans="1:32" x14ac:dyDescent="0.3">
      <c r="A3" s="9">
        <v>45018</v>
      </c>
      <c r="B3" s="11" t="s">
        <v>20</v>
      </c>
      <c r="C3" s="11" t="s">
        <v>14</v>
      </c>
      <c r="D3" s="12">
        <v>0</v>
      </c>
      <c r="E3" s="13">
        <f>(8/48)*MOVI_Jornal[[#This Row],[HORAS]]</f>
        <v>0</v>
      </c>
      <c r="F3" s="13">
        <f>SUM(MOVI_Jornal[[#This Row],[HORAS]:[DOMINICAL]])</f>
        <v>0</v>
      </c>
      <c r="G3" s="14">
        <v>11.875</v>
      </c>
      <c r="H3" s="15">
        <f>MOVI_Jornal[[#This Row],[TOTAL HORAS]]*MOVI_Jornal[[#This Row],[COSTO HH]]</f>
        <v>0</v>
      </c>
      <c r="K3" s="68" t="s">
        <v>82</v>
      </c>
      <c r="L3" s="69">
        <v>100</v>
      </c>
      <c r="M3" s="70">
        <v>44927</v>
      </c>
      <c r="N3" s="70">
        <v>45291</v>
      </c>
      <c r="O3" s="71">
        <f>MOVI_ControlJornal[[#This Row],[FECHA FIN]]-MOVI_ControlJornal[[#This Row],[FECHA INICIO]]+1</f>
        <v>365</v>
      </c>
      <c r="P3" s="72" t="str">
        <f>IF(MOVI_ControlJornal[[#This Row],[PERIODO]]&gt;=364,"ANUAL", IF(MOVI_ControlJornal[[#This Row],[PERIODO]]&gt;=1,"POR DIAS","PASADO"))</f>
        <v>ANUAL</v>
      </c>
      <c r="Q3" s="15">
        <f>MOVI_ControlJornal[[#This Row],[S/. POR DIA]]/8</f>
        <v>12.5</v>
      </c>
      <c r="R3" s="15" t="str">
        <f>VLOOKUP(MOVI_ControlJornal[[#This Row],[NOMBRE]],BD_MOVI[],9,0)</f>
        <v>NORMAL</v>
      </c>
      <c r="U3" s="3">
        <v>45017</v>
      </c>
      <c r="V3" s="4" t="s">
        <v>90</v>
      </c>
      <c r="W3" s="5" t="s">
        <v>12</v>
      </c>
      <c r="X3" s="11" t="s">
        <v>14</v>
      </c>
      <c r="Y3" s="5">
        <v>5</v>
      </c>
      <c r="Z3" s="5">
        <f>IF(AND(WEEKDAY(U3,2)&lt;&gt; 7,W3="trabaja"),Y3-(10/COUNTIFS(MOVI_Sueldo[FECHA],MOVI_Sueldo[[#This Row],[FECHA]],MOVI_Sueldo[NOMBRE],MOVI_Sueldo[[#This Row],[NOMBRE]])),IF(WEEKDAY(U3,2)= 7,0,0))</f>
        <v>0</v>
      </c>
      <c r="AA3" s="5">
        <f t="shared" si="0"/>
        <v>0</v>
      </c>
      <c r="AB3" s="5">
        <f t="shared" si="1"/>
        <v>0</v>
      </c>
      <c r="AC3" s="6">
        <f>VLOOKUP(MOVI_Sueldo[[#This Row],[NOMBRE]],BD_MOVI[],6,0)/COUNTIFS(MOVI_Sueldo[FECHA],MOVI_Sueldo[[#This Row],[FECHA]],MOVI_Sueldo[NOMBRE],MOVI_Sueldo[[#This Row],[NOMBRE]])</f>
        <v>60</v>
      </c>
      <c r="AD3" s="6">
        <f>(MOVI_Sueldo[[#This Row],[COSTO DIA]]*30)/240*COUNTIFS(MOVI_Sueldo[FECHA],MOVI_Sueldo[[#This Row],[FECHA]],MOVI_Sueldo[NOMBRE],MOVI_Sueldo[[#This Row],[NOMBRE]])</f>
        <v>15</v>
      </c>
      <c r="AE3" s="7">
        <f>(MOVI_Sueldo[[#This Row],[COSTO DIA]]*30)/DAY(EOMONTH(U3,0))</f>
        <v>60</v>
      </c>
      <c r="AF3" s="8">
        <f>IF(W3&lt;&gt; "descanso forzado",AE3+Z3*AD3,AE3)</f>
        <v>60</v>
      </c>
    </row>
    <row r="4" spans="1:32" x14ac:dyDescent="0.3">
      <c r="A4" s="9">
        <v>45019</v>
      </c>
      <c r="B4" s="11" t="s">
        <v>20</v>
      </c>
      <c r="C4" s="11" t="s">
        <v>14</v>
      </c>
      <c r="D4" s="12">
        <v>10</v>
      </c>
      <c r="E4" s="13">
        <f>(8/48)*MOVI_Jornal[[#This Row],[HORAS]]</f>
        <v>1.6666666666666665</v>
      </c>
      <c r="F4" s="13">
        <f>SUM(MOVI_Jornal[[#This Row],[HORAS]:[DOMINICAL]])</f>
        <v>11.666666666666666</v>
      </c>
      <c r="G4" s="14">
        <v>11.875</v>
      </c>
      <c r="H4" s="15">
        <f>MOVI_Jornal[[#This Row],[TOTAL HORAS]]*MOVI_Jornal[[#This Row],[COSTO HH]]</f>
        <v>138.54166666666666</v>
      </c>
      <c r="K4" s="68" t="s">
        <v>84</v>
      </c>
      <c r="L4" s="69">
        <v>90</v>
      </c>
      <c r="M4" s="70">
        <v>44927</v>
      </c>
      <c r="N4" s="70">
        <v>45291</v>
      </c>
      <c r="O4" s="71">
        <f>MOVI_ControlJornal[[#This Row],[FECHA FIN]]-MOVI_ControlJornal[[#This Row],[FECHA INICIO]]+1</f>
        <v>365</v>
      </c>
      <c r="P4" s="72" t="str">
        <f>IF(MOVI_ControlJornal[[#This Row],[PERIODO]]&gt;=364,"ANUAL", IF(MOVI_ControlJornal[[#This Row],[PERIODO]]&gt;=1,"POR DIAS","PASADO"))</f>
        <v>ANUAL</v>
      </c>
      <c r="Q4" s="15">
        <f>MOVI_ControlJornal[[#This Row],[S/. POR DIA]]/8</f>
        <v>11.25</v>
      </c>
      <c r="R4" s="15" t="str">
        <f>VLOOKUP(MOVI_ControlJornal[[#This Row],[NOMBRE]],BD_MOVI[],9,0)</f>
        <v>NORMAL</v>
      </c>
      <c r="U4" s="3">
        <v>45018</v>
      </c>
      <c r="V4" s="4" t="s">
        <v>90</v>
      </c>
      <c r="W4" s="5" t="s">
        <v>12</v>
      </c>
      <c r="X4" s="11" t="s">
        <v>14</v>
      </c>
      <c r="Y4" s="5">
        <v>0</v>
      </c>
      <c r="Z4" s="5">
        <f>IF(AND(WEEKDAY(U4,2)&lt;&gt; 7,W4="trabaja"),Y4-(10/COUNTIFS(MOVI_Sueldo[FECHA],MOVI_Sueldo[[#This Row],[FECHA]],MOVI_Sueldo[NOMBRE],MOVI_Sueldo[[#This Row],[NOMBRE]])),IF(WEEKDAY(U4,2)= 7,0,0))</f>
        <v>0</v>
      </c>
      <c r="AA4" s="5">
        <f t="shared" si="0"/>
        <v>0</v>
      </c>
      <c r="AB4" s="5">
        <f t="shared" si="1"/>
        <v>0</v>
      </c>
      <c r="AC4" s="6">
        <f>VLOOKUP(MOVI_Sueldo[[#This Row],[NOMBRE]],BD_MOVI[],6,0)/COUNTIFS(MOVI_Sueldo[FECHA],MOVI_Sueldo[[#This Row],[FECHA]],MOVI_Sueldo[NOMBRE],MOVI_Sueldo[[#This Row],[NOMBRE]])</f>
        <v>120</v>
      </c>
      <c r="AD4" s="6">
        <f>(MOVI_Sueldo[[#This Row],[COSTO DIA]]*30)/240*COUNTIFS(MOVI_Sueldo[FECHA],MOVI_Sueldo[[#This Row],[FECHA]],MOVI_Sueldo[NOMBRE],MOVI_Sueldo[[#This Row],[NOMBRE]])</f>
        <v>15</v>
      </c>
      <c r="AE4" s="7">
        <f>(MOVI_Sueldo[[#This Row],[COSTO DIA]]*30)/DAY(EOMONTH(U4,0))</f>
        <v>120</v>
      </c>
      <c r="AF4" s="8">
        <f>IF(W4&lt;&gt; "descanso forzado",AE4+Z4*AD4,AE4)</f>
        <v>120</v>
      </c>
    </row>
    <row r="5" spans="1:32" x14ac:dyDescent="0.3">
      <c r="A5" s="9">
        <v>45020</v>
      </c>
      <c r="B5" s="11" t="s">
        <v>20</v>
      </c>
      <c r="C5" s="11" t="s">
        <v>21</v>
      </c>
      <c r="D5" s="12">
        <v>10</v>
      </c>
      <c r="E5" s="13">
        <f>(8/48)*MOVI_Jornal[[#This Row],[HORAS]]</f>
        <v>1.6666666666666665</v>
      </c>
      <c r="F5" s="13">
        <f>SUM(MOVI_Jornal[[#This Row],[HORAS]:[DOMINICAL]])</f>
        <v>11.666666666666666</v>
      </c>
      <c r="G5" s="14">
        <v>11.875</v>
      </c>
      <c r="H5" s="15">
        <f>MOVI_Jornal[[#This Row],[TOTAL HORAS]]*MOVI_Jornal[[#This Row],[COSTO HH]]</f>
        <v>138.54166666666666</v>
      </c>
      <c r="K5" s="68" t="s">
        <v>85</v>
      </c>
      <c r="L5" s="69">
        <v>95</v>
      </c>
      <c r="M5" s="70">
        <v>44927</v>
      </c>
      <c r="N5" s="70">
        <v>45291</v>
      </c>
      <c r="O5" s="71">
        <f>MOVI_ControlJornal[[#This Row],[FECHA FIN]]-MOVI_ControlJornal[[#This Row],[FECHA INICIO]]+1</f>
        <v>365</v>
      </c>
      <c r="P5" s="72" t="str">
        <f>IF(MOVI_ControlJornal[[#This Row],[PERIODO]]&gt;=364,"ANUAL", IF(MOVI_ControlJornal[[#This Row],[PERIODO]]&gt;=1,"POR DIAS","PASADO"))</f>
        <v>ANUAL</v>
      </c>
      <c r="Q5" s="15">
        <f>MOVI_ControlJornal[[#This Row],[S/. POR DIA]]/8</f>
        <v>11.875</v>
      </c>
      <c r="R5" s="15" t="str">
        <f>VLOOKUP(MOVI_ControlJornal[[#This Row],[NOMBRE]],BD_MOVI[],9,0)</f>
        <v>NORMAL</v>
      </c>
      <c r="U5" s="3">
        <v>45019</v>
      </c>
      <c r="V5" s="4" t="s">
        <v>90</v>
      </c>
      <c r="W5" s="5" t="s">
        <v>12</v>
      </c>
      <c r="X5" s="11" t="s">
        <v>21</v>
      </c>
      <c r="Y5" s="5">
        <v>10</v>
      </c>
      <c r="Z5" s="5">
        <f>IF(AND(WEEKDAY(U5,2)&lt;&gt; 7,W5="trabaja"),Y5-(10/COUNTIFS(MOVI_Sueldo[FECHA],MOVI_Sueldo[[#This Row],[FECHA]],MOVI_Sueldo[NOMBRE],MOVI_Sueldo[[#This Row],[NOMBRE]])),IF(WEEKDAY(U5,2)= 7,0,0))</f>
        <v>0</v>
      </c>
      <c r="AA5" s="5">
        <f t="shared" si="0"/>
        <v>0</v>
      </c>
      <c r="AB5" s="5">
        <f t="shared" si="1"/>
        <v>0</v>
      </c>
      <c r="AC5" s="6">
        <f>VLOOKUP(MOVI_Sueldo[[#This Row],[NOMBRE]],BD_MOVI[],6,0)/COUNTIFS(MOVI_Sueldo[FECHA],MOVI_Sueldo[[#This Row],[FECHA]],MOVI_Sueldo[NOMBRE],MOVI_Sueldo[[#This Row],[NOMBRE]])</f>
        <v>120</v>
      </c>
      <c r="AD5" s="6">
        <f>(MOVI_Sueldo[[#This Row],[COSTO DIA]]*30)/240*COUNTIFS(MOVI_Sueldo[FECHA],MOVI_Sueldo[[#This Row],[FECHA]],MOVI_Sueldo[NOMBRE],MOVI_Sueldo[[#This Row],[NOMBRE]])</f>
        <v>15</v>
      </c>
      <c r="AE5" s="7">
        <f>(MOVI_Sueldo[[#This Row],[COSTO DIA]]*30)/DAY(EOMONTH(U5,0))</f>
        <v>120</v>
      </c>
      <c r="AF5" s="8">
        <f>IF(W5&lt;&gt; "descanso forzado",AE5+Z5*AD5,AE5)</f>
        <v>120</v>
      </c>
    </row>
    <row r="6" spans="1:32" x14ac:dyDescent="0.3">
      <c r="A6" s="9">
        <v>45021</v>
      </c>
      <c r="B6" s="11" t="s">
        <v>20</v>
      </c>
      <c r="C6" s="11" t="s">
        <v>14</v>
      </c>
      <c r="D6" s="12">
        <v>10</v>
      </c>
      <c r="E6" s="13">
        <f>(8/48)*MOVI_Jornal[[#This Row],[HORAS]]</f>
        <v>1.6666666666666665</v>
      </c>
      <c r="F6" s="13">
        <f>SUM(MOVI_Jornal[[#This Row],[HORAS]:[DOMINICAL]])</f>
        <v>11.666666666666666</v>
      </c>
      <c r="G6" s="14">
        <v>11.875</v>
      </c>
      <c r="H6" s="15">
        <f>MOVI_Jornal[[#This Row],[TOTAL HORAS]]*MOVI_Jornal[[#This Row],[COSTO HH]]</f>
        <v>138.54166666666666</v>
      </c>
      <c r="K6" s="68" t="s">
        <v>86</v>
      </c>
      <c r="L6" s="69">
        <v>95</v>
      </c>
      <c r="M6" s="70">
        <v>44927</v>
      </c>
      <c r="N6" s="70">
        <v>45291</v>
      </c>
      <c r="O6" s="71">
        <f>MOVI_ControlJornal[[#This Row],[FECHA FIN]]-MOVI_ControlJornal[[#This Row],[FECHA INICIO]]+1</f>
        <v>365</v>
      </c>
      <c r="P6" s="72" t="str">
        <f>IF(MOVI_ControlJornal[[#This Row],[PERIODO]]&gt;=364,"ANUAL", IF(MOVI_ControlJornal[[#This Row],[PERIODO]]&gt;=1,"POR DIAS","PASADO"))</f>
        <v>ANUAL</v>
      </c>
      <c r="Q6" s="15">
        <f>MOVI_ControlJornal[[#This Row],[S/. POR DIA]]/8</f>
        <v>11.875</v>
      </c>
      <c r="R6" s="15" t="str">
        <f>VLOOKUP(MOVI_ControlJornal[[#This Row],[NOMBRE]],BD_MOVI[],9,0)</f>
        <v>NORMAL</v>
      </c>
      <c r="U6" s="3">
        <v>45020</v>
      </c>
      <c r="V6" s="4" t="s">
        <v>90</v>
      </c>
      <c r="W6" s="5" t="s">
        <v>12</v>
      </c>
      <c r="X6" s="11" t="s">
        <v>14</v>
      </c>
      <c r="Y6" s="5">
        <v>10</v>
      </c>
      <c r="Z6" s="5">
        <f>IF(AND(WEEKDAY(U6,2)&lt;&gt; 7,W6="trabaja"),Y6-(10/COUNTIFS(MOVI_Sueldo[FECHA],MOVI_Sueldo[[#This Row],[FECHA]],MOVI_Sueldo[NOMBRE],MOVI_Sueldo[[#This Row],[NOMBRE]])),IF(WEEKDAY(U6,2)= 7,0,0))</f>
        <v>0</v>
      </c>
      <c r="AA6" s="5">
        <f t="shared" si="0"/>
        <v>0</v>
      </c>
      <c r="AB6" s="5">
        <f t="shared" si="1"/>
        <v>0</v>
      </c>
      <c r="AC6" s="6">
        <f>VLOOKUP(MOVI_Sueldo[[#This Row],[NOMBRE]],BD_MOVI[],6,0)/COUNTIFS(MOVI_Sueldo[FECHA],MOVI_Sueldo[[#This Row],[FECHA]],MOVI_Sueldo[NOMBRE],MOVI_Sueldo[[#This Row],[NOMBRE]])</f>
        <v>120</v>
      </c>
      <c r="AD6" s="6">
        <f>(MOVI_Sueldo[[#This Row],[COSTO DIA]]*30)/240*COUNTIFS(MOVI_Sueldo[FECHA],MOVI_Sueldo[[#This Row],[FECHA]],MOVI_Sueldo[NOMBRE],MOVI_Sueldo[[#This Row],[NOMBRE]])</f>
        <v>15</v>
      </c>
      <c r="AE6" s="7">
        <f>(MOVI_Sueldo[[#This Row],[COSTO DIA]]*30)/DAY(EOMONTH(U6,0))</f>
        <v>120</v>
      </c>
      <c r="AF6" s="8">
        <f>IF(W6&lt;&gt; "descanso forzado",AE6+Z6*AD6,AE6)</f>
        <v>120</v>
      </c>
    </row>
    <row r="7" spans="1:32" x14ac:dyDescent="0.3">
      <c r="A7" s="9">
        <v>45022</v>
      </c>
      <c r="B7" s="11" t="s">
        <v>20</v>
      </c>
      <c r="C7" s="11" t="s">
        <v>21</v>
      </c>
      <c r="D7" s="12">
        <v>10</v>
      </c>
      <c r="E7" s="13">
        <f>(8/48)*MOVI_Jornal[[#This Row],[HORAS]]</f>
        <v>1.6666666666666665</v>
      </c>
      <c r="F7" s="13">
        <f>SUM(MOVI_Jornal[[#This Row],[HORAS]:[DOMINICAL]])</f>
        <v>11.666666666666666</v>
      </c>
      <c r="G7" s="14">
        <v>11.875</v>
      </c>
      <c r="H7" s="15">
        <f>MOVI_Jornal[[#This Row],[TOTAL HORAS]]*MOVI_Jornal[[#This Row],[COSTO HH]]</f>
        <v>138.54166666666666</v>
      </c>
      <c r="K7" s="68" t="s">
        <v>87</v>
      </c>
      <c r="L7" s="69">
        <v>95</v>
      </c>
      <c r="M7" s="70">
        <v>44927</v>
      </c>
      <c r="N7" s="70">
        <v>45291</v>
      </c>
      <c r="O7" s="71">
        <f>MOVI_ControlJornal[[#This Row],[FECHA FIN]]-MOVI_ControlJornal[[#This Row],[FECHA INICIO]]+1</f>
        <v>365</v>
      </c>
      <c r="P7" s="72" t="str">
        <f>IF(MOVI_ControlJornal[[#This Row],[PERIODO]]&gt;=364,"ANUAL", IF(MOVI_ControlJornal[[#This Row],[PERIODO]]&gt;=1,"POR DIAS","PASADO"))</f>
        <v>ANUAL</v>
      </c>
      <c r="Q7" s="15">
        <f>MOVI_ControlJornal[[#This Row],[S/. POR DIA]]/8</f>
        <v>11.875</v>
      </c>
      <c r="R7" s="15" t="str">
        <f>VLOOKUP(MOVI_ControlJornal[[#This Row],[NOMBRE]],BD_MOVI[],9,0)</f>
        <v>NORMAL</v>
      </c>
      <c r="U7" s="3">
        <v>45021</v>
      </c>
      <c r="V7" s="4" t="s">
        <v>90</v>
      </c>
      <c r="W7" s="5" t="s">
        <v>12</v>
      </c>
      <c r="X7" s="11" t="s">
        <v>21</v>
      </c>
      <c r="Y7" s="5">
        <v>10</v>
      </c>
      <c r="Z7" s="5">
        <f>IF(AND(WEEKDAY(U7,2)&lt;&gt; 7,W7="trabaja"),Y7-(10/COUNTIFS(MOVI_Sueldo[FECHA],MOVI_Sueldo[[#This Row],[FECHA]],MOVI_Sueldo[NOMBRE],MOVI_Sueldo[[#This Row],[NOMBRE]])),IF(WEEKDAY(U7,2)= 7,0,0))</f>
        <v>0</v>
      </c>
      <c r="AA7" s="5">
        <f t="shared" si="0"/>
        <v>0</v>
      </c>
      <c r="AB7" s="5">
        <f t="shared" si="1"/>
        <v>0</v>
      </c>
      <c r="AC7" s="6">
        <f>VLOOKUP(MOVI_Sueldo[[#This Row],[NOMBRE]],BD_MOVI[],6,0)/COUNTIFS(MOVI_Sueldo[FECHA],MOVI_Sueldo[[#This Row],[FECHA]],MOVI_Sueldo[NOMBRE],MOVI_Sueldo[[#This Row],[NOMBRE]])</f>
        <v>120</v>
      </c>
      <c r="AD7" s="6">
        <f>(MOVI_Sueldo[[#This Row],[COSTO DIA]]*30)/240*COUNTIFS(MOVI_Sueldo[FECHA],MOVI_Sueldo[[#This Row],[FECHA]],MOVI_Sueldo[NOMBRE],MOVI_Sueldo[[#This Row],[NOMBRE]])</f>
        <v>15</v>
      </c>
      <c r="AE7" s="7">
        <f>(MOVI_Sueldo[[#This Row],[COSTO DIA]]*30)/DAY(EOMONTH(U7,0))</f>
        <v>120</v>
      </c>
      <c r="AF7" s="8">
        <f>IF(W7&lt;&gt; "descanso forzado",AE7+Z7*AD7,AE7)</f>
        <v>120</v>
      </c>
    </row>
    <row r="8" spans="1:32" x14ac:dyDescent="0.3">
      <c r="A8" s="9">
        <v>45023</v>
      </c>
      <c r="B8" s="11" t="s">
        <v>20</v>
      </c>
      <c r="C8" s="11" t="s">
        <v>14</v>
      </c>
      <c r="D8" s="12">
        <v>10</v>
      </c>
      <c r="E8" s="13">
        <f>(8/48)*MOVI_Jornal[[#This Row],[HORAS]]</f>
        <v>1.6666666666666665</v>
      </c>
      <c r="F8" s="13">
        <f>SUM(MOVI_Jornal[[#This Row],[HORAS]:[DOMINICAL]])</f>
        <v>11.666666666666666</v>
      </c>
      <c r="G8" s="14">
        <v>11.875</v>
      </c>
      <c r="H8" s="15">
        <f>MOVI_Jornal[[#This Row],[TOTAL HORAS]]*MOVI_Jornal[[#This Row],[COSTO HH]]</f>
        <v>138.54166666666666</v>
      </c>
      <c r="K8" s="68" t="s">
        <v>88</v>
      </c>
      <c r="L8" s="69">
        <v>95</v>
      </c>
      <c r="M8" s="70">
        <v>44927</v>
      </c>
      <c r="N8" s="70">
        <v>45291</v>
      </c>
      <c r="O8" s="71">
        <f>MOVI_ControlJornal[[#This Row],[FECHA FIN]]-MOVI_ControlJornal[[#This Row],[FECHA INICIO]]+1</f>
        <v>365</v>
      </c>
      <c r="P8" s="72" t="str">
        <f>IF(MOVI_ControlJornal[[#This Row],[PERIODO]]&gt;=364,"ANUAL", IF(MOVI_ControlJornal[[#This Row],[PERIODO]]&gt;=1,"POR DIAS","PASADO"))</f>
        <v>ANUAL</v>
      </c>
      <c r="Q8" s="15">
        <f>MOVI_ControlJornal[[#This Row],[S/. POR DIA]]/8</f>
        <v>11.875</v>
      </c>
      <c r="R8" s="15" t="str">
        <f>VLOOKUP(MOVI_ControlJornal[[#This Row],[NOMBRE]],BD_MOVI[],9,0)</f>
        <v>NORMAL</v>
      </c>
      <c r="U8" s="3">
        <v>45022</v>
      </c>
      <c r="V8" s="4" t="s">
        <v>90</v>
      </c>
      <c r="W8" s="5" t="s">
        <v>12</v>
      </c>
      <c r="X8" s="11" t="s">
        <v>14</v>
      </c>
      <c r="Y8" s="5">
        <v>10</v>
      </c>
      <c r="Z8" s="5">
        <f>IF(AND(WEEKDAY(U8,2)&lt;&gt; 7,W8="trabaja"),Y8-(10/COUNTIFS(MOVI_Sueldo[FECHA],MOVI_Sueldo[[#This Row],[FECHA]],MOVI_Sueldo[NOMBRE],MOVI_Sueldo[[#This Row],[NOMBRE]])),IF(WEEKDAY(U8,2)= 7,0,0))</f>
        <v>0</v>
      </c>
      <c r="AA8" s="5">
        <f t="shared" si="0"/>
        <v>0</v>
      </c>
      <c r="AB8" s="5">
        <f t="shared" si="1"/>
        <v>0</v>
      </c>
      <c r="AC8" s="6">
        <f>VLOOKUP(MOVI_Sueldo[[#This Row],[NOMBRE]],BD_MOVI[],6,0)/COUNTIFS(MOVI_Sueldo[FECHA],MOVI_Sueldo[[#This Row],[FECHA]],MOVI_Sueldo[NOMBRE],MOVI_Sueldo[[#This Row],[NOMBRE]])</f>
        <v>120</v>
      </c>
      <c r="AD8" s="6">
        <f>(MOVI_Sueldo[[#This Row],[COSTO DIA]]*30)/240*COUNTIFS(MOVI_Sueldo[FECHA],MOVI_Sueldo[[#This Row],[FECHA]],MOVI_Sueldo[NOMBRE],MOVI_Sueldo[[#This Row],[NOMBRE]])</f>
        <v>15</v>
      </c>
      <c r="AE8" s="7">
        <f>(MOVI_Sueldo[[#This Row],[COSTO DIA]]*30)/DAY(EOMONTH(U8,0))</f>
        <v>120</v>
      </c>
      <c r="AF8" s="8">
        <f>IF(W8&lt;&gt; "descanso forzado",AE8+Z8*AD8,AE8)</f>
        <v>120</v>
      </c>
    </row>
    <row r="9" spans="1:32" x14ac:dyDescent="0.3">
      <c r="A9" s="9">
        <v>45024</v>
      </c>
      <c r="B9" s="11" t="s">
        <v>20</v>
      </c>
      <c r="C9" s="11" t="s">
        <v>14</v>
      </c>
      <c r="D9" s="12">
        <v>10</v>
      </c>
      <c r="E9" s="13">
        <f>(8/48)*MOVI_Jornal[[#This Row],[HORAS]]</f>
        <v>1.6666666666666665</v>
      </c>
      <c r="F9" s="13">
        <f>SUM(MOVI_Jornal[[#This Row],[HORAS]:[DOMINICAL]])</f>
        <v>11.666666666666666</v>
      </c>
      <c r="G9" s="14">
        <v>11.875</v>
      </c>
      <c r="H9" s="15">
        <f>MOVI_Jornal[[#This Row],[TOTAL HORAS]]*MOVI_Jornal[[#This Row],[COSTO HH]]</f>
        <v>138.54166666666666</v>
      </c>
      <c r="K9" s="68" t="s">
        <v>89</v>
      </c>
      <c r="L9" s="69">
        <v>100</v>
      </c>
      <c r="M9" s="70">
        <v>44927</v>
      </c>
      <c r="N9" s="70">
        <v>45291</v>
      </c>
      <c r="O9" s="71">
        <f>MOVI_ControlJornal[[#This Row],[FECHA FIN]]-MOVI_ControlJornal[[#This Row],[FECHA INICIO]]+1</f>
        <v>365</v>
      </c>
      <c r="P9" s="72" t="str">
        <f>IF(MOVI_ControlJornal[[#This Row],[PERIODO]]&gt;=364,"ANUAL", IF(MOVI_ControlJornal[[#This Row],[PERIODO]]&gt;=1,"POR DIAS","PASADO"))</f>
        <v>ANUAL</v>
      </c>
      <c r="Q9" s="15">
        <f>MOVI_ControlJornal[[#This Row],[S/. POR DIA]]/8</f>
        <v>12.5</v>
      </c>
      <c r="R9" s="15" t="str">
        <f>VLOOKUP(MOVI_ControlJornal[[#This Row],[NOMBRE]],BD_MOVI[],9,0)</f>
        <v>NORMAL</v>
      </c>
      <c r="U9" s="3">
        <v>45023</v>
      </c>
      <c r="V9" s="4" t="s">
        <v>90</v>
      </c>
      <c r="W9" s="5" t="s">
        <v>12</v>
      </c>
      <c r="X9" s="11" t="s">
        <v>14</v>
      </c>
      <c r="Y9" s="5">
        <v>10</v>
      </c>
      <c r="Z9" s="5">
        <f>IF(AND(WEEKDAY(U9,2)&lt;&gt; 7,W9="trabaja"),Y9-(10/COUNTIFS(MOVI_Sueldo[FECHA],MOVI_Sueldo[[#This Row],[FECHA]],MOVI_Sueldo[NOMBRE],MOVI_Sueldo[[#This Row],[NOMBRE]])),IF(WEEKDAY(U9,2)= 7,0,0))</f>
        <v>0</v>
      </c>
      <c r="AA9" s="5">
        <f t="shared" si="0"/>
        <v>0</v>
      </c>
      <c r="AB9" s="5">
        <f t="shared" si="1"/>
        <v>0</v>
      </c>
      <c r="AC9" s="6">
        <f>VLOOKUP(MOVI_Sueldo[[#This Row],[NOMBRE]],BD_MOVI[],6,0)/COUNTIFS(MOVI_Sueldo[FECHA],MOVI_Sueldo[[#This Row],[FECHA]],MOVI_Sueldo[NOMBRE],MOVI_Sueldo[[#This Row],[NOMBRE]])</f>
        <v>120</v>
      </c>
      <c r="AD9" s="6">
        <f>(MOVI_Sueldo[[#This Row],[COSTO DIA]]*30)/240*COUNTIFS(MOVI_Sueldo[FECHA],MOVI_Sueldo[[#This Row],[FECHA]],MOVI_Sueldo[NOMBRE],MOVI_Sueldo[[#This Row],[NOMBRE]])</f>
        <v>15</v>
      </c>
      <c r="AE9" s="7">
        <f>(MOVI_Sueldo[[#This Row],[COSTO DIA]]*30)/DAY(EOMONTH(U9,0))</f>
        <v>120</v>
      </c>
      <c r="AF9" s="8">
        <f>IF(W9&lt;&gt; "descanso forzado",AE9+Z9*AD9,AE9)</f>
        <v>120</v>
      </c>
    </row>
    <row r="10" spans="1:32" x14ac:dyDescent="0.3">
      <c r="A10" s="9">
        <v>45025</v>
      </c>
      <c r="B10" s="11" t="s">
        <v>20</v>
      </c>
      <c r="C10" s="11" t="s">
        <v>14</v>
      </c>
      <c r="D10" s="12">
        <v>0</v>
      </c>
      <c r="E10" s="13">
        <f>(8/48)*MOVI_Jornal[[#This Row],[HORAS]]</f>
        <v>0</v>
      </c>
      <c r="F10" s="13">
        <f>SUM(MOVI_Jornal[[#This Row],[HORAS]:[DOMINICAL]])</f>
        <v>0</v>
      </c>
      <c r="G10" s="14">
        <v>11.875</v>
      </c>
      <c r="H10" s="15">
        <f>MOVI_Jornal[[#This Row],[TOTAL HORAS]]*MOVI_Jornal[[#This Row],[COSTO HH]]</f>
        <v>0</v>
      </c>
      <c r="U10" s="3">
        <v>45024</v>
      </c>
      <c r="V10" s="4" t="s">
        <v>90</v>
      </c>
      <c r="W10" s="5" t="s">
        <v>12</v>
      </c>
      <c r="X10" s="11" t="s">
        <v>14</v>
      </c>
      <c r="Y10" s="5">
        <v>8</v>
      </c>
      <c r="Z10" s="5">
        <f>IF(AND(WEEKDAY(U10,2)&lt;&gt; 7,W10="trabaja"),Y10-(10/COUNTIFS(MOVI_Sueldo[FECHA],MOVI_Sueldo[[#This Row],[FECHA]],MOVI_Sueldo[NOMBRE],MOVI_Sueldo[[#This Row],[NOMBRE]])),IF(WEEKDAY(U10,2)= 7,0,0))</f>
        <v>-2</v>
      </c>
      <c r="AA10" s="5">
        <f t="shared" si="0"/>
        <v>0</v>
      </c>
      <c r="AB10" s="5">
        <f t="shared" si="1"/>
        <v>0</v>
      </c>
      <c r="AC10" s="6">
        <f>VLOOKUP(MOVI_Sueldo[[#This Row],[NOMBRE]],BD_MOVI[],6,0)/COUNTIFS(MOVI_Sueldo[FECHA],MOVI_Sueldo[[#This Row],[FECHA]],MOVI_Sueldo[NOMBRE],MOVI_Sueldo[[#This Row],[NOMBRE]])</f>
        <v>120</v>
      </c>
      <c r="AD10" s="6">
        <f>(MOVI_Sueldo[[#This Row],[COSTO DIA]]*30)/240*COUNTIFS(MOVI_Sueldo[FECHA],MOVI_Sueldo[[#This Row],[FECHA]],MOVI_Sueldo[NOMBRE],MOVI_Sueldo[[#This Row],[NOMBRE]])</f>
        <v>15</v>
      </c>
      <c r="AE10" s="7">
        <f>(MOVI_Sueldo[[#This Row],[COSTO DIA]]*30)/DAY(EOMONTH(U10,0))</f>
        <v>120</v>
      </c>
      <c r="AF10" s="8">
        <f>IF(W10&lt;&gt; "descanso forzado",AE10+Z10*AD10,AE10)</f>
        <v>90</v>
      </c>
    </row>
    <row r="11" spans="1:32" x14ac:dyDescent="0.3">
      <c r="A11" s="9">
        <v>45026</v>
      </c>
      <c r="B11" s="11" t="s">
        <v>20</v>
      </c>
      <c r="C11" s="11" t="s">
        <v>14</v>
      </c>
      <c r="D11" s="12">
        <v>10</v>
      </c>
      <c r="E11" s="13">
        <f>(8/48)*MOVI_Jornal[[#This Row],[HORAS]]</f>
        <v>1.6666666666666665</v>
      </c>
      <c r="F11" s="13">
        <f>SUM(MOVI_Jornal[[#This Row],[HORAS]:[DOMINICAL]])</f>
        <v>11.666666666666666</v>
      </c>
      <c r="G11" s="16">
        <v>15</v>
      </c>
      <c r="H11" s="15">
        <f>MOVI_Jornal[[#This Row],[TOTAL HORAS]]*MOVI_Jornal[[#This Row],[COSTO HH]]</f>
        <v>175</v>
      </c>
      <c r="U11" s="3">
        <v>45025</v>
      </c>
      <c r="V11" s="4" t="s">
        <v>90</v>
      </c>
      <c r="W11" s="5" t="s">
        <v>12</v>
      </c>
      <c r="X11" s="11" t="s">
        <v>14</v>
      </c>
      <c r="Y11" s="5">
        <v>0</v>
      </c>
      <c r="Z11" s="5">
        <f>IF(AND(WEEKDAY(U11,2)&lt;&gt; 7,W11="trabaja"),Y11-(10/COUNTIFS(MOVI_Sueldo[FECHA],MOVI_Sueldo[[#This Row],[FECHA]],MOVI_Sueldo[NOMBRE],MOVI_Sueldo[[#This Row],[NOMBRE]])),IF(WEEKDAY(U11,2)= 7,0,0))</f>
        <v>0</v>
      </c>
      <c r="AA11" s="5">
        <f t="shared" si="0"/>
        <v>0</v>
      </c>
      <c r="AB11" s="5">
        <f t="shared" si="1"/>
        <v>0</v>
      </c>
      <c r="AC11" s="6">
        <f>VLOOKUP(MOVI_Sueldo[[#This Row],[NOMBRE]],BD_MOVI[],6,0)/COUNTIFS(MOVI_Sueldo[FECHA],MOVI_Sueldo[[#This Row],[FECHA]],MOVI_Sueldo[NOMBRE],MOVI_Sueldo[[#This Row],[NOMBRE]])</f>
        <v>120</v>
      </c>
      <c r="AD11" s="6">
        <f>(MOVI_Sueldo[[#This Row],[COSTO DIA]]*30)/240*COUNTIFS(MOVI_Sueldo[FECHA],MOVI_Sueldo[[#This Row],[FECHA]],MOVI_Sueldo[NOMBRE],MOVI_Sueldo[[#This Row],[NOMBRE]])</f>
        <v>15</v>
      </c>
      <c r="AE11" s="7">
        <f>(MOVI_Sueldo[[#This Row],[COSTO DIA]]*30)/DAY(EOMONTH(U11,0))</f>
        <v>120</v>
      </c>
      <c r="AF11" s="8">
        <f>IF(W11&lt;&gt; "descanso forzado",AE11+Z11*AD11,AE11)</f>
        <v>120</v>
      </c>
    </row>
    <row r="12" spans="1:32" x14ac:dyDescent="0.3">
      <c r="A12" s="9">
        <v>45027</v>
      </c>
      <c r="B12" s="11" t="s">
        <v>20</v>
      </c>
      <c r="C12" s="11" t="s">
        <v>13</v>
      </c>
      <c r="D12" s="12">
        <v>60</v>
      </c>
      <c r="E12" s="13">
        <f>(8/48)*MOVI_Jornal[[#This Row],[HORAS]]</f>
        <v>10</v>
      </c>
      <c r="F12" s="13">
        <f>SUM(MOVI_Jornal[[#This Row],[HORAS]:[DOMINICAL]])</f>
        <v>70</v>
      </c>
      <c r="G12" s="16">
        <v>15</v>
      </c>
      <c r="H12" s="15">
        <f>MOVI_Jornal[[#This Row],[TOTAL HORAS]]*MOVI_Jornal[[#This Row],[COSTO HH]]</f>
        <v>1050</v>
      </c>
      <c r="U12" s="3">
        <v>45026</v>
      </c>
      <c r="V12" s="4" t="s">
        <v>90</v>
      </c>
      <c r="W12" s="5" t="s">
        <v>12</v>
      </c>
      <c r="X12" s="11" t="s">
        <v>13</v>
      </c>
      <c r="Y12" s="5">
        <v>10</v>
      </c>
      <c r="Z12" s="5">
        <f>IF(AND(WEEKDAY(U12,2)&lt;&gt; 7,W12="trabaja"),Y12-(10/COUNTIFS(MOVI_Sueldo[FECHA],MOVI_Sueldo[[#This Row],[FECHA]],MOVI_Sueldo[NOMBRE],MOVI_Sueldo[[#This Row],[NOMBRE]])),IF(WEEKDAY(U12,2)= 7,0,0))</f>
        <v>0</v>
      </c>
      <c r="AA12" s="5">
        <f t="shared" si="0"/>
        <v>0</v>
      </c>
      <c r="AB12" s="5">
        <f t="shared" si="1"/>
        <v>0</v>
      </c>
      <c r="AC12" s="6">
        <f>VLOOKUP(MOVI_Sueldo[[#This Row],[NOMBRE]],BD_MOVI[],6,0)/COUNTIFS(MOVI_Sueldo[FECHA],MOVI_Sueldo[[#This Row],[FECHA]],MOVI_Sueldo[NOMBRE],MOVI_Sueldo[[#This Row],[NOMBRE]])</f>
        <v>120</v>
      </c>
      <c r="AD12" s="6">
        <f>(MOVI_Sueldo[[#This Row],[COSTO DIA]]*30)/240*COUNTIFS(MOVI_Sueldo[FECHA],MOVI_Sueldo[[#This Row],[FECHA]],MOVI_Sueldo[NOMBRE],MOVI_Sueldo[[#This Row],[NOMBRE]])</f>
        <v>15</v>
      </c>
      <c r="AE12" s="7">
        <f>(MOVI_Sueldo[[#This Row],[COSTO DIA]]*30)/DAY(EOMONTH(U12,0))</f>
        <v>120</v>
      </c>
      <c r="AF12" s="8">
        <f>IF(W12&lt;&gt; "descanso forzado",AE12+Z12*AD12,AE12)</f>
        <v>120</v>
      </c>
    </row>
    <row r="13" spans="1:32" x14ac:dyDescent="0.3">
      <c r="A13" s="9">
        <v>45028</v>
      </c>
      <c r="B13" s="11" t="s">
        <v>20</v>
      </c>
      <c r="C13" s="11" t="s">
        <v>14</v>
      </c>
      <c r="D13" s="12">
        <v>10</v>
      </c>
      <c r="E13" s="13">
        <f>(8/48)*MOVI_Jornal[[#This Row],[HORAS]]</f>
        <v>1.6666666666666665</v>
      </c>
      <c r="F13" s="13">
        <f>SUM(MOVI_Jornal[[#This Row],[HORAS]:[DOMINICAL]])</f>
        <v>11.666666666666666</v>
      </c>
      <c r="G13" s="16">
        <v>15</v>
      </c>
      <c r="H13" s="15">
        <f>MOVI_Jornal[[#This Row],[TOTAL HORAS]]*MOVI_Jornal[[#This Row],[COSTO HH]]</f>
        <v>175</v>
      </c>
      <c r="U13" s="3">
        <v>45027</v>
      </c>
      <c r="V13" s="4" t="s">
        <v>90</v>
      </c>
      <c r="W13" s="5" t="s">
        <v>12</v>
      </c>
      <c r="X13" s="11" t="s">
        <v>13</v>
      </c>
      <c r="Y13" s="5">
        <v>10</v>
      </c>
      <c r="Z13" s="5">
        <f>IF(AND(WEEKDAY(U13,2)&lt;&gt; 7,W13="trabaja"),Y13-(10/COUNTIFS(MOVI_Sueldo[FECHA],MOVI_Sueldo[[#This Row],[FECHA]],MOVI_Sueldo[NOMBRE],MOVI_Sueldo[[#This Row],[NOMBRE]])),IF(WEEKDAY(U13,2)= 7,0,0))</f>
        <v>0</v>
      </c>
      <c r="AA13" s="5">
        <f t="shared" si="0"/>
        <v>0</v>
      </c>
      <c r="AB13" s="5">
        <f t="shared" si="1"/>
        <v>0</v>
      </c>
      <c r="AC13" s="6">
        <f>VLOOKUP(MOVI_Sueldo[[#This Row],[NOMBRE]],BD_MOVI[],6,0)/COUNTIFS(MOVI_Sueldo[FECHA],MOVI_Sueldo[[#This Row],[FECHA]],MOVI_Sueldo[NOMBRE],MOVI_Sueldo[[#This Row],[NOMBRE]])</f>
        <v>120</v>
      </c>
      <c r="AD13" s="6">
        <f>(MOVI_Sueldo[[#This Row],[COSTO DIA]]*30)/240*COUNTIFS(MOVI_Sueldo[FECHA],MOVI_Sueldo[[#This Row],[FECHA]],MOVI_Sueldo[NOMBRE],MOVI_Sueldo[[#This Row],[NOMBRE]])</f>
        <v>15</v>
      </c>
      <c r="AE13" s="7">
        <f>(MOVI_Sueldo[[#This Row],[COSTO DIA]]*30)/DAY(EOMONTH(U13,0))</f>
        <v>120</v>
      </c>
      <c r="AF13" s="8">
        <f>IF(W13&lt;&gt; "descanso forzado",AE13+Z13*AD13,AE13)</f>
        <v>120</v>
      </c>
    </row>
    <row r="14" spans="1:32" x14ac:dyDescent="0.3">
      <c r="A14" s="9">
        <v>45029</v>
      </c>
      <c r="B14" s="11" t="s">
        <v>20</v>
      </c>
      <c r="C14" s="11" t="s">
        <v>21</v>
      </c>
      <c r="D14" s="12">
        <v>9</v>
      </c>
      <c r="E14" s="13">
        <f>(8/48)*MOVI_Jornal[[#This Row],[HORAS]]</f>
        <v>1.5</v>
      </c>
      <c r="F14" s="13">
        <f>SUM(MOVI_Jornal[[#This Row],[HORAS]:[DOMINICAL]])</f>
        <v>10.5</v>
      </c>
      <c r="G14" s="16">
        <v>15</v>
      </c>
      <c r="H14" s="15">
        <f>MOVI_Jornal[[#This Row],[TOTAL HORAS]]*MOVI_Jornal[[#This Row],[COSTO HH]]</f>
        <v>157.5</v>
      </c>
      <c r="U14" s="3">
        <v>45028</v>
      </c>
      <c r="V14" s="4" t="s">
        <v>90</v>
      </c>
      <c r="W14" s="5" t="s">
        <v>12</v>
      </c>
      <c r="X14" s="11" t="s">
        <v>14</v>
      </c>
      <c r="Y14" s="5">
        <v>10</v>
      </c>
      <c r="Z14" s="5">
        <f>IF(AND(WEEKDAY(U14,2)&lt;&gt; 7,W14="trabaja"),Y14-(10/COUNTIFS(MOVI_Sueldo[FECHA],MOVI_Sueldo[[#This Row],[FECHA]],MOVI_Sueldo[NOMBRE],MOVI_Sueldo[[#This Row],[NOMBRE]])),IF(WEEKDAY(U14,2)= 7,0,0))</f>
        <v>0</v>
      </c>
      <c r="AA14" s="5">
        <f t="shared" si="0"/>
        <v>0</v>
      </c>
      <c r="AB14" s="5">
        <f t="shared" si="1"/>
        <v>0</v>
      </c>
      <c r="AC14" s="6">
        <f>VLOOKUP(MOVI_Sueldo[[#This Row],[NOMBRE]],BD_MOVI[],6,0)/COUNTIFS(MOVI_Sueldo[FECHA],MOVI_Sueldo[[#This Row],[FECHA]],MOVI_Sueldo[NOMBRE],MOVI_Sueldo[[#This Row],[NOMBRE]])</f>
        <v>120</v>
      </c>
      <c r="AD14" s="6">
        <f>(MOVI_Sueldo[[#This Row],[COSTO DIA]]*30)/240*COUNTIFS(MOVI_Sueldo[FECHA],MOVI_Sueldo[[#This Row],[FECHA]],MOVI_Sueldo[NOMBRE],MOVI_Sueldo[[#This Row],[NOMBRE]])</f>
        <v>15</v>
      </c>
      <c r="AE14" s="7">
        <f>(MOVI_Sueldo[[#This Row],[COSTO DIA]]*30)/DAY(EOMONTH(U14,0))</f>
        <v>120</v>
      </c>
      <c r="AF14" s="8">
        <f>IF(W14&lt;&gt; "descanso forzado",AE14+Z14*AD14,AE14)</f>
        <v>120</v>
      </c>
    </row>
    <row r="15" spans="1:32" x14ac:dyDescent="0.3">
      <c r="A15" s="9">
        <v>45030</v>
      </c>
      <c r="B15" s="11" t="s">
        <v>20</v>
      </c>
      <c r="C15" s="11" t="s">
        <v>13</v>
      </c>
      <c r="D15" s="12">
        <v>10</v>
      </c>
      <c r="E15" s="13">
        <f>(8/48)*MOVI_Jornal[[#This Row],[HORAS]]</f>
        <v>1.6666666666666665</v>
      </c>
      <c r="F15" s="13">
        <f>SUM(MOVI_Jornal[[#This Row],[HORAS]:[DOMINICAL]])</f>
        <v>11.666666666666666</v>
      </c>
      <c r="G15" s="16">
        <v>15</v>
      </c>
      <c r="H15" s="15">
        <f>MOVI_Jornal[[#This Row],[TOTAL HORAS]]*MOVI_Jornal[[#This Row],[COSTO HH]]</f>
        <v>175</v>
      </c>
      <c r="U15" s="3">
        <v>45029</v>
      </c>
      <c r="V15" s="4" t="s">
        <v>90</v>
      </c>
      <c r="W15" s="5" t="s">
        <v>12</v>
      </c>
      <c r="X15" s="11" t="s">
        <v>14</v>
      </c>
      <c r="Y15" s="5">
        <v>10</v>
      </c>
      <c r="Z15" s="5">
        <f>IF(AND(WEEKDAY(U15,2)&lt;&gt; 7,W15="trabaja"),Y15-(10/COUNTIFS(MOVI_Sueldo[FECHA],MOVI_Sueldo[[#This Row],[FECHA]],MOVI_Sueldo[NOMBRE],MOVI_Sueldo[[#This Row],[NOMBRE]])),IF(WEEKDAY(U15,2)= 7,0,0))</f>
        <v>0</v>
      </c>
      <c r="AA15" s="5">
        <f t="shared" si="0"/>
        <v>0</v>
      </c>
      <c r="AB15" s="5">
        <f t="shared" si="1"/>
        <v>0</v>
      </c>
      <c r="AC15" s="6">
        <f>VLOOKUP(MOVI_Sueldo[[#This Row],[NOMBRE]],BD_MOVI[],6,0)/COUNTIFS(MOVI_Sueldo[FECHA],MOVI_Sueldo[[#This Row],[FECHA]],MOVI_Sueldo[NOMBRE],MOVI_Sueldo[[#This Row],[NOMBRE]])</f>
        <v>120</v>
      </c>
      <c r="AD15" s="6">
        <f>(MOVI_Sueldo[[#This Row],[COSTO DIA]]*30)/240*COUNTIFS(MOVI_Sueldo[FECHA],MOVI_Sueldo[[#This Row],[FECHA]],MOVI_Sueldo[NOMBRE],MOVI_Sueldo[[#This Row],[NOMBRE]])</f>
        <v>15</v>
      </c>
      <c r="AE15" s="7">
        <f>(MOVI_Sueldo[[#This Row],[COSTO DIA]]*30)/DAY(EOMONTH(U15,0))</f>
        <v>120</v>
      </c>
      <c r="AF15" s="8">
        <f>IF(W15&lt;&gt; "descanso forzado",AE15+Z15*AD15,AE15)</f>
        <v>120</v>
      </c>
    </row>
    <row r="16" spans="1:32" x14ac:dyDescent="0.3">
      <c r="A16" s="9">
        <v>45031</v>
      </c>
      <c r="B16" s="11" t="s">
        <v>20</v>
      </c>
      <c r="C16" s="11" t="s">
        <v>13</v>
      </c>
      <c r="D16" s="12">
        <v>8</v>
      </c>
      <c r="E16" s="13">
        <f>(8/48)*MOVI_Jornal[[#This Row],[HORAS]]</f>
        <v>1.3333333333333333</v>
      </c>
      <c r="F16" s="13">
        <f>SUM(MOVI_Jornal[[#This Row],[HORAS]:[DOMINICAL]])</f>
        <v>9.3333333333333339</v>
      </c>
      <c r="G16" s="16">
        <v>15</v>
      </c>
      <c r="H16" s="15">
        <f>MOVI_Jornal[[#This Row],[TOTAL HORAS]]*MOVI_Jornal[[#This Row],[COSTO HH]]</f>
        <v>140</v>
      </c>
      <c r="U16" s="3">
        <v>45030</v>
      </c>
      <c r="V16" s="4" t="s">
        <v>90</v>
      </c>
      <c r="W16" s="5" t="s">
        <v>12</v>
      </c>
      <c r="X16" s="11" t="s">
        <v>21</v>
      </c>
      <c r="Y16" s="5">
        <v>10</v>
      </c>
      <c r="Z16" s="5">
        <f>IF(AND(WEEKDAY(U16,2)&lt;&gt; 7,W16="trabaja"),Y16-(10/COUNTIFS(MOVI_Sueldo[FECHA],MOVI_Sueldo[[#This Row],[FECHA]],MOVI_Sueldo[NOMBRE],MOVI_Sueldo[[#This Row],[NOMBRE]])),IF(WEEKDAY(U16,2)= 7,0,0))</f>
        <v>0</v>
      </c>
      <c r="AA16" s="5">
        <f t="shared" si="0"/>
        <v>0</v>
      </c>
      <c r="AB16" s="5">
        <f t="shared" si="1"/>
        <v>0</v>
      </c>
      <c r="AC16" s="6">
        <f>VLOOKUP(MOVI_Sueldo[[#This Row],[NOMBRE]],BD_MOVI[],6,0)/COUNTIFS(MOVI_Sueldo[FECHA],MOVI_Sueldo[[#This Row],[FECHA]],MOVI_Sueldo[NOMBRE],MOVI_Sueldo[[#This Row],[NOMBRE]])</f>
        <v>120</v>
      </c>
      <c r="AD16" s="6">
        <f>(MOVI_Sueldo[[#This Row],[COSTO DIA]]*30)/240*COUNTIFS(MOVI_Sueldo[FECHA],MOVI_Sueldo[[#This Row],[FECHA]],MOVI_Sueldo[NOMBRE],MOVI_Sueldo[[#This Row],[NOMBRE]])</f>
        <v>15</v>
      </c>
      <c r="AE16" s="7">
        <f>(MOVI_Sueldo[[#This Row],[COSTO DIA]]*30)/DAY(EOMONTH(U16,0))</f>
        <v>120</v>
      </c>
      <c r="AF16" s="8">
        <f>IF(W16&lt;&gt; "descanso forzado",AE16+Z16*AD16,AE16)</f>
        <v>120</v>
      </c>
    </row>
    <row r="17" spans="1:32" x14ac:dyDescent="0.3">
      <c r="A17" s="9">
        <v>45032</v>
      </c>
      <c r="B17" s="11" t="s">
        <v>20</v>
      </c>
      <c r="C17" s="11" t="s">
        <v>14</v>
      </c>
      <c r="D17" s="12">
        <v>0</v>
      </c>
      <c r="E17" s="13">
        <f>(8/48)*MOVI_Jornal[[#This Row],[HORAS]]</f>
        <v>0</v>
      </c>
      <c r="F17" s="13">
        <f>SUM(MOVI_Jornal[[#This Row],[HORAS]:[DOMINICAL]])</f>
        <v>0</v>
      </c>
      <c r="G17" s="14">
        <v>11.875</v>
      </c>
      <c r="H17" s="15">
        <f>MOVI_Jornal[[#This Row],[TOTAL HORAS]]*MOVI_Jornal[[#This Row],[COSTO HH]]</f>
        <v>0</v>
      </c>
      <c r="U17" s="3">
        <v>45031</v>
      </c>
      <c r="V17" s="4" t="s">
        <v>90</v>
      </c>
      <c r="W17" s="5" t="s">
        <v>12</v>
      </c>
      <c r="X17" s="11" t="s">
        <v>14</v>
      </c>
      <c r="Y17" s="5">
        <v>8</v>
      </c>
      <c r="Z17" s="5">
        <f>IF(AND(WEEKDAY(U17,2)&lt;&gt; 7,W17="trabaja"),Y17-(10/COUNTIFS(MOVI_Sueldo[FECHA],MOVI_Sueldo[[#This Row],[FECHA]],MOVI_Sueldo[NOMBRE],MOVI_Sueldo[[#This Row],[NOMBRE]])),IF(WEEKDAY(U17,2)= 7,0,0))</f>
        <v>-2</v>
      </c>
      <c r="AA17" s="5">
        <f t="shared" si="0"/>
        <v>0</v>
      </c>
      <c r="AB17" s="5">
        <f t="shared" si="1"/>
        <v>0</v>
      </c>
      <c r="AC17" s="6">
        <f>VLOOKUP(MOVI_Sueldo[[#This Row],[NOMBRE]],BD_MOVI[],6,0)/COUNTIFS(MOVI_Sueldo[FECHA],MOVI_Sueldo[[#This Row],[FECHA]],MOVI_Sueldo[NOMBRE],MOVI_Sueldo[[#This Row],[NOMBRE]])</f>
        <v>120</v>
      </c>
      <c r="AD17" s="6">
        <f>(MOVI_Sueldo[[#This Row],[COSTO DIA]]*30)/240*COUNTIFS(MOVI_Sueldo[FECHA],MOVI_Sueldo[[#This Row],[FECHA]],MOVI_Sueldo[NOMBRE],MOVI_Sueldo[[#This Row],[NOMBRE]])</f>
        <v>15</v>
      </c>
      <c r="AE17" s="7">
        <f>(MOVI_Sueldo[[#This Row],[COSTO DIA]]*30)/DAY(EOMONTH(U17,0))</f>
        <v>120</v>
      </c>
      <c r="AF17" s="8">
        <f>IF(W17&lt;&gt; "descanso forzado",AE17+Z17*AD17,AE17)</f>
        <v>90</v>
      </c>
    </row>
    <row r="18" spans="1:32" x14ac:dyDescent="0.3">
      <c r="A18" s="9">
        <v>45033</v>
      </c>
      <c r="B18" s="11" t="s">
        <v>20</v>
      </c>
      <c r="C18" s="11" t="s">
        <v>14</v>
      </c>
      <c r="D18" s="12">
        <v>1</v>
      </c>
      <c r="E18" s="13">
        <f>(8/48)*MOVI_Jornal[[#This Row],[HORAS]]</f>
        <v>0.16666666666666666</v>
      </c>
      <c r="F18" s="13">
        <f>SUM(MOVI_Jornal[[#This Row],[HORAS]:[DOMINICAL]])</f>
        <v>1.1666666666666667</v>
      </c>
      <c r="G18" s="14">
        <v>11.875</v>
      </c>
      <c r="H18" s="15">
        <f>MOVI_Jornal[[#This Row],[TOTAL HORAS]]*MOVI_Jornal[[#This Row],[COSTO HH]]</f>
        <v>13.854166666666668</v>
      </c>
      <c r="U18" s="3">
        <v>45032</v>
      </c>
      <c r="V18" s="4" t="s">
        <v>90</v>
      </c>
      <c r="W18" s="5" t="s">
        <v>12</v>
      </c>
      <c r="X18" s="11" t="s">
        <v>21</v>
      </c>
      <c r="Y18" s="5">
        <v>0</v>
      </c>
      <c r="Z18" s="5">
        <f>IF(AND(WEEKDAY(U18,2)&lt;&gt; 7,W18="trabaja"),Y18-(10/COUNTIFS(MOVI_Sueldo[FECHA],MOVI_Sueldo[[#This Row],[FECHA]],MOVI_Sueldo[NOMBRE],MOVI_Sueldo[[#This Row],[NOMBRE]])),IF(WEEKDAY(U18,2)= 7,0,0))</f>
        <v>0</v>
      </c>
      <c r="AA18" s="5">
        <f t="shared" si="0"/>
        <v>0</v>
      </c>
      <c r="AB18" s="5">
        <f t="shared" si="1"/>
        <v>0</v>
      </c>
      <c r="AC18" s="6">
        <f>VLOOKUP(MOVI_Sueldo[[#This Row],[NOMBRE]],BD_MOVI[],6,0)/COUNTIFS(MOVI_Sueldo[FECHA],MOVI_Sueldo[[#This Row],[FECHA]],MOVI_Sueldo[NOMBRE],MOVI_Sueldo[[#This Row],[NOMBRE]])</f>
        <v>120</v>
      </c>
      <c r="AD18" s="6">
        <f>(MOVI_Sueldo[[#This Row],[COSTO DIA]]*30)/240*COUNTIFS(MOVI_Sueldo[FECHA],MOVI_Sueldo[[#This Row],[FECHA]],MOVI_Sueldo[NOMBRE],MOVI_Sueldo[[#This Row],[NOMBRE]])</f>
        <v>15</v>
      </c>
      <c r="AE18" s="7">
        <f>(MOVI_Sueldo[[#This Row],[COSTO DIA]]*30)/DAY(EOMONTH(U18,0))</f>
        <v>120</v>
      </c>
      <c r="AF18" s="8">
        <f>IF(W18&lt;&gt; "descanso forzado",AE18+Z18*AD18,AE18)</f>
        <v>120</v>
      </c>
    </row>
    <row r="19" spans="1:32" x14ac:dyDescent="0.3">
      <c r="A19" s="9">
        <v>45034</v>
      </c>
      <c r="B19" s="11" t="s">
        <v>20</v>
      </c>
      <c r="C19" s="11" t="s">
        <v>21</v>
      </c>
      <c r="D19" s="12">
        <v>9</v>
      </c>
      <c r="E19" s="13">
        <f>(8/48)*MOVI_Jornal[[#This Row],[HORAS]]</f>
        <v>1.5</v>
      </c>
      <c r="F19" s="13">
        <f>SUM(MOVI_Jornal[[#This Row],[HORAS]:[DOMINICAL]])</f>
        <v>10.5</v>
      </c>
      <c r="G19" s="14">
        <v>11.875</v>
      </c>
      <c r="H19" s="15">
        <f>MOVI_Jornal[[#This Row],[TOTAL HORAS]]*MOVI_Jornal[[#This Row],[COSTO HH]]</f>
        <v>124.6875</v>
      </c>
      <c r="U19" s="3">
        <v>45033</v>
      </c>
      <c r="V19" s="4" t="s">
        <v>90</v>
      </c>
      <c r="W19" s="5" t="s">
        <v>12</v>
      </c>
      <c r="X19" s="11" t="s">
        <v>14</v>
      </c>
      <c r="Y19" s="5">
        <v>10</v>
      </c>
      <c r="Z19" s="5">
        <f>IF(AND(WEEKDAY(U19,2)&lt;&gt; 7,W19="trabaja"),Y19-(10/COUNTIFS(MOVI_Sueldo[FECHA],MOVI_Sueldo[[#This Row],[FECHA]],MOVI_Sueldo[NOMBRE],MOVI_Sueldo[[#This Row],[NOMBRE]])),IF(WEEKDAY(U19,2)= 7,0,0))</f>
        <v>0</v>
      </c>
      <c r="AA19" s="5">
        <f t="shared" si="0"/>
        <v>0</v>
      </c>
      <c r="AB19" s="5">
        <f t="shared" si="1"/>
        <v>0</v>
      </c>
      <c r="AC19" s="6">
        <f>VLOOKUP(MOVI_Sueldo[[#This Row],[NOMBRE]],BD_MOVI[],6,0)/COUNTIFS(MOVI_Sueldo[FECHA],MOVI_Sueldo[[#This Row],[FECHA]],MOVI_Sueldo[NOMBRE],MOVI_Sueldo[[#This Row],[NOMBRE]])</f>
        <v>120</v>
      </c>
      <c r="AD19" s="6">
        <f>(MOVI_Sueldo[[#This Row],[COSTO DIA]]*30)/240*COUNTIFS(MOVI_Sueldo[FECHA],MOVI_Sueldo[[#This Row],[FECHA]],MOVI_Sueldo[NOMBRE],MOVI_Sueldo[[#This Row],[NOMBRE]])</f>
        <v>15</v>
      </c>
      <c r="AE19" s="7">
        <f>(MOVI_Sueldo[[#This Row],[COSTO DIA]]*30)/DAY(EOMONTH(U19,0))</f>
        <v>120</v>
      </c>
      <c r="AF19" s="8">
        <f>IF(W19&lt;&gt; "descanso forzado",AE19+Z19*AD19,AE19)</f>
        <v>120</v>
      </c>
    </row>
    <row r="20" spans="1:32" x14ac:dyDescent="0.3">
      <c r="A20" s="9">
        <v>45035</v>
      </c>
      <c r="B20" s="11" t="s">
        <v>20</v>
      </c>
      <c r="C20" s="11" t="s">
        <v>14</v>
      </c>
      <c r="D20" s="12">
        <v>10</v>
      </c>
      <c r="E20" s="13">
        <f>(8/48)*MOVI_Jornal[[#This Row],[HORAS]]</f>
        <v>1.6666666666666665</v>
      </c>
      <c r="F20" s="13">
        <f>SUM(MOVI_Jornal[[#This Row],[HORAS]:[DOMINICAL]])</f>
        <v>11.666666666666666</v>
      </c>
      <c r="G20" s="14">
        <v>11.875</v>
      </c>
      <c r="H20" s="15">
        <f>MOVI_Jornal[[#This Row],[TOTAL HORAS]]*MOVI_Jornal[[#This Row],[COSTO HH]]</f>
        <v>138.54166666666666</v>
      </c>
      <c r="U20" s="3">
        <v>45034</v>
      </c>
      <c r="V20" s="4" t="s">
        <v>90</v>
      </c>
      <c r="W20" s="5" t="s">
        <v>12</v>
      </c>
      <c r="X20" s="11" t="s">
        <v>14</v>
      </c>
      <c r="Y20" s="5">
        <v>10</v>
      </c>
      <c r="Z20" s="5">
        <f>IF(AND(WEEKDAY(U20,2)&lt;&gt; 7,W20="trabaja"),Y20-(10/COUNTIFS(MOVI_Sueldo[FECHA],MOVI_Sueldo[[#This Row],[FECHA]],MOVI_Sueldo[NOMBRE],MOVI_Sueldo[[#This Row],[NOMBRE]])),IF(WEEKDAY(U20,2)= 7,0,0))</f>
        <v>0</v>
      </c>
      <c r="AA20" s="5">
        <f t="shared" si="0"/>
        <v>0</v>
      </c>
      <c r="AB20" s="5">
        <f t="shared" si="1"/>
        <v>0</v>
      </c>
      <c r="AC20" s="6">
        <f>VLOOKUP(MOVI_Sueldo[[#This Row],[NOMBRE]],BD_MOVI[],6,0)/COUNTIFS(MOVI_Sueldo[FECHA],MOVI_Sueldo[[#This Row],[FECHA]],MOVI_Sueldo[NOMBRE],MOVI_Sueldo[[#This Row],[NOMBRE]])</f>
        <v>120</v>
      </c>
      <c r="AD20" s="6">
        <f>(MOVI_Sueldo[[#This Row],[COSTO DIA]]*30)/240*COUNTIFS(MOVI_Sueldo[FECHA],MOVI_Sueldo[[#This Row],[FECHA]],MOVI_Sueldo[NOMBRE],MOVI_Sueldo[[#This Row],[NOMBRE]])</f>
        <v>15</v>
      </c>
      <c r="AE20" s="7">
        <f>(MOVI_Sueldo[[#This Row],[COSTO DIA]]*30)/DAY(EOMONTH(U20,0))</f>
        <v>120</v>
      </c>
      <c r="AF20" s="8">
        <f>IF(W20&lt;&gt; "descanso forzado",AE20+Z20*AD20,AE20)</f>
        <v>120</v>
      </c>
    </row>
    <row r="21" spans="1:32" x14ac:dyDescent="0.3">
      <c r="A21" s="9">
        <v>45036</v>
      </c>
      <c r="B21" s="11" t="s">
        <v>20</v>
      </c>
      <c r="C21" s="11" t="s">
        <v>21</v>
      </c>
      <c r="D21" s="12">
        <v>12</v>
      </c>
      <c r="E21" s="13">
        <f>(8/48)*MOVI_Jornal[[#This Row],[HORAS]]</f>
        <v>2</v>
      </c>
      <c r="F21" s="13">
        <f>SUM(MOVI_Jornal[[#This Row],[HORAS]:[DOMINICAL]])</f>
        <v>14</v>
      </c>
      <c r="G21" s="14">
        <v>11.875</v>
      </c>
      <c r="H21" s="15">
        <f>MOVI_Jornal[[#This Row],[TOTAL HORAS]]*MOVI_Jornal[[#This Row],[COSTO HH]]</f>
        <v>166.25</v>
      </c>
      <c r="U21" s="3">
        <v>45035</v>
      </c>
      <c r="V21" s="4" t="s">
        <v>90</v>
      </c>
      <c r="W21" s="5" t="s">
        <v>12</v>
      </c>
      <c r="X21" s="11" t="s">
        <v>14</v>
      </c>
      <c r="Y21" s="5">
        <v>10</v>
      </c>
      <c r="Z21" s="5">
        <f>IF(AND(WEEKDAY(U21,2)&lt;&gt; 7,W21="trabaja"),Y21-(10/COUNTIFS(MOVI_Sueldo[FECHA],MOVI_Sueldo[[#This Row],[FECHA]],MOVI_Sueldo[NOMBRE],MOVI_Sueldo[[#This Row],[NOMBRE]])),IF(WEEKDAY(U21,2)= 7,0,0))</f>
        <v>0</v>
      </c>
      <c r="AA21" s="5">
        <f t="shared" si="0"/>
        <v>0</v>
      </c>
      <c r="AB21" s="5">
        <f t="shared" si="1"/>
        <v>0</v>
      </c>
      <c r="AC21" s="6">
        <f>VLOOKUP(MOVI_Sueldo[[#This Row],[NOMBRE]],BD_MOVI[],6,0)/COUNTIFS(MOVI_Sueldo[FECHA],MOVI_Sueldo[[#This Row],[FECHA]],MOVI_Sueldo[NOMBRE],MOVI_Sueldo[[#This Row],[NOMBRE]])</f>
        <v>120</v>
      </c>
      <c r="AD21" s="6">
        <f>(MOVI_Sueldo[[#This Row],[COSTO DIA]]*30)/240*COUNTIFS(MOVI_Sueldo[FECHA],MOVI_Sueldo[[#This Row],[FECHA]],MOVI_Sueldo[NOMBRE],MOVI_Sueldo[[#This Row],[NOMBRE]])</f>
        <v>15</v>
      </c>
      <c r="AE21" s="7">
        <f>(MOVI_Sueldo[[#This Row],[COSTO DIA]]*30)/DAY(EOMONTH(U21,0))</f>
        <v>120</v>
      </c>
      <c r="AF21" s="8">
        <f>IF(W21&lt;&gt; "descanso forzado",AE21+Z21*AD21,AE21)</f>
        <v>120</v>
      </c>
    </row>
    <row r="22" spans="1:32" x14ac:dyDescent="0.3">
      <c r="A22" s="9">
        <v>45037</v>
      </c>
      <c r="B22" s="11" t="s">
        <v>20</v>
      </c>
      <c r="C22" s="11" t="s">
        <v>14</v>
      </c>
      <c r="D22" s="12">
        <v>12</v>
      </c>
      <c r="E22" s="13">
        <f>(8/48)*MOVI_Jornal[[#This Row],[HORAS]]</f>
        <v>2</v>
      </c>
      <c r="F22" s="13">
        <f>SUM(MOVI_Jornal[[#This Row],[HORAS]:[DOMINICAL]])</f>
        <v>14</v>
      </c>
      <c r="G22" s="14">
        <v>11.875</v>
      </c>
      <c r="H22" s="15">
        <f>MOVI_Jornal[[#This Row],[TOTAL HORAS]]*MOVI_Jornal[[#This Row],[COSTO HH]]</f>
        <v>166.25</v>
      </c>
      <c r="U22" s="3">
        <v>45036</v>
      </c>
      <c r="V22" s="4" t="s">
        <v>90</v>
      </c>
      <c r="W22" s="5" t="s">
        <v>12</v>
      </c>
      <c r="X22" s="11" t="s">
        <v>14</v>
      </c>
      <c r="Y22" s="5">
        <v>10</v>
      </c>
      <c r="Z22" s="5">
        <f>IF(AND(WEEKDAY(U22,2)&lt;&gt; 7,W22="trabaja"),Y22-(10/COUNTIFS(MOVI_Sueldo[FECHA],MOVI_Sueldo[[#This Row],[FECHA]],MOVI_Sueldo[NOMBRE],MOVI_Sueldo[[#This Row],[NOMBRE]])),IF(WEEKDAY(U22,2)= 7,0,0))</f>
        <v>0</v>
      </c>
      <c r="AA22" s="5">
        <f t="shared" si="0"/>
        <v>0</v>
      </c>
      <c r="AB22" s="5">
        <f t="shared" si="1"/>
        <v>0</v>
      </c>
      <c r="AC22" s="6">
        <f>VLOOKUP(MOVI_Sueldo[[#This Row],[NOMBRE]],BD_MOVI[],6,0)/COUNTIFS(MOVI_Sueldo[FECHA],MOVI_Sueldo[[#This Row],[FECHA]],MOVI_Sueldo[NOMBRE],MOVI_Sueldo[[#This Row],[NOMBRE]])</f>
        <v>120</v>
      </c>
      <c r="AD22" s="6">
        <f>(MOVI_Sueldo[[#This Row],[COSTO DIA]]*30)/240*COUNTIFS(MOVI_Sueldo[FECHA],MOVI_Sueldo[[#This Row],[FECHA]],MOVI_Sueldo[NOMBRE],MOVI_Sueldo[[#This Row],[NOMBRE]])</f>
        <v>15</v>
      </c>
      <c r="AE22" s="7">
        <f>(MOVI_Sueldo[[#This Row],[COSTO DIA]]*30)/DAY(EOMONTH(U22,0))</f>
        <v>120</v>
      </c>
      <c r="AF22" s="8">
        <f>IF(W22&lt;&gt; "descanso forzado",AE22+Z22*AD22,AE22)</f>
        <v>120</v>
      </c>
    </row>
    <row r="23" spans="1:32" x14ac:dyDescent="0.3">
      <c r="A23" s="9">
        <v>45038</v>
      </c>
      <c r="B23" s="11" t="s">
        <v>20</v>
      </c>
      <c r="C23" s="11" t="s">
        <v>21</v>
      </c>
      <c r="D23" s="12">
        <v>8</v>
      </c>
      <c r="E23" s="13">
        <f>(8/48)*MOVI_Jornal[[#This Row],[HORAS]]</f>
        <v>1.3333333333333333</v>
      </c>
      <c r="F23" s="13">
        <f>SUM(MOVI_Jornal[[#This Row],[HORAS]:[DOMINICAL]])</f>
        <v>9.3333333333333339</v>
      </c>
      <c r="G23" s="14">
        <v>11.875</v>
      </c>
      <c r="H23" s="15">
        <f>MOVI_Jornal[[#This Row],[TOTAL HORAS]]*MOVI_Jornal[[#This Row],[COSTO HH]]</f>
        <v>110.83333333333334</v>
      </c>
      <c r="U23" s="3">
        <v>45037</v>
      </c>
      <c r="V23" s="4" t="s">
        <v>90</v>
      </c>
      <c r="W23" s="5" t="s">
        <v>12</v>
      </c>
      <c r="X23" s="11" t="s">
        <v>13</v>
      </c>
      <c r="Y23" s="5">
        <v>10</v>
      </c>
      <c r="Z23" s="5">
        <f>IF(AND(WEEKDAY(U23,2)&lt;&gt; 7,W23="trabaja"),Y23-(10/COUNTIFS(MOVI_Sueldo[FECHA],MOVI_Sueldo[[#This Row],[FECHA]],MOVI_Sueldo[NOMBRE],MOVI_Sueldo[[#This Row],[NOMBRE]])),IF(WEEKDAY(U23,2)= 7,0,0))</f>
        <v>0</v>
      </c>
      <c r="AA23" s="5">
        <f t="shared" si="0"/>
        <v>0</v>
      </c>
      <c r="AB23" s="5">
        <f t="shared" si="1"/>
        <v>0</v>
      </c>
      <c r="AC23" s="6">
        <f>VLOOKUP(MOVI_Sueldo[[#This Row],[NOMBRE]],BD_MOVI[],6,0)/COUNTIFS(MOVI_Sueldo[FECHA],MOVI_Sueldo[[#This Row],[FECHA]],MOVI_Sueldo[NOMBRE],MOVI_Sueldo[[#This Row],[NOMBRE]])</f>
        <v>120</v>
      </c>
      <c r="AD23" s="6">
        <f>(MOVI_Sueldo[[#This Row],[COSTO DIA]]*30)/240*COUNTIFS(MOVI_Sueldo[FECHA],MOVI_Sueldo[[#This Row],[FECHA]],MOVI_Sueldo[NOMBRE],MOVI_Sueldo[[#This Row],[NOMBRE]])</f>
        <v>15</v>
      </c>
      <c r="AE23" s="7">
        <f>(MOVI_Sueldo[[#This Row],[COSTO DIA]]*30)/DAY(EOMONTH(U23,0))</f>
        <v>120</v>
      </c>
      <c r="AF23" s="8">
        <f>IF(W23&lt;&gt; "descanso forzado",AE23+Z23*AD23,AE23)</f>
        <v>120</v>
      </c>
    </row>
    <row r="24" spans="1:32" x14ac:dyDescent="0.3">
      <c r="A24" s="9">
        <v>45040</v>
      </c>
      <c r="B24" s="11" t="s">
        <v>20</v>
      </c>
      <c r="C24" s="11" t="s">
        <v>21</v>
      </c>
      <c r="D24" s="12">
        <v>10</v>
      </c>
      <c r="E24" s="13">
        <f>(8/48)*MOVI_Jornal[[#This Row],[HORAS]]</f>
        <v>1.6666666666666665</v>
      </c>
      <c r="F24" s="13">
        <f>SUM(MOVI_Jornal[[#This Row],[HORAS]:[DOMINICAL]])</f>
        <v>11.666666666666666</v>
      </c>
      <c r="G24" s="14">
        <v>11.875</v>
      </c>
      <c r="H24" s="15">
        <f>MOVI_Jornal[[#This Row],[TOTAL HORAS]]*MOVI_Jornal[[#This Row],[COSTO HH]]</f>
        <v>138.54166666666666</v>
      </c>
      <c r="U24" s="9">
        <v>45038</v>
      </c>
      <c r="V24" s="4" t="s">
        <v>90</v>
      </c>
      <c r="W24" s="5" t="s">
        <v>15</v>
      </c>
      <c r="X24" s="11" t="s">
        <v>13</v>
      </c>
      <c r="Y24" s="5">
        <v>0</v>
      </c>
      <c r="Z24" s="5">
        <f>IF(AND(WEEKDAY(U24,2)&lt;&gt; 7,W24="trabaja"),Y24-(10/COUNTIFS(MOVI_Sueldo[FECHA],MOVI_Sueldo[[#This Row],[FECHA]],MOVI_Sueldo[NOMBRE],MOVI_Sueldo[[#This Row],[NOMBRE]])),IF(WEEKDAY(U24,2)= 7,0,0))</f>
        <v>0</v>
      </c>
      <c r="AA24" s="5">
        <f t="shared" si="0"/>
        <v>0</v>
      </c>
      <c r="AB24" s="5">
        <f t="shared" si="1"/>
        <v>0</v>
      </c>
      <c r="AC24" s="6">
        <f>VLOOKUP(MOVI_Sueldo[[#This Row],[NOMBRE]],BD_MOVI[],6,0)/COUNTIFS(MOVI_Sueldo[FECHA],MOVI_Sueldo[[#This Row],[FECHA]],MOVI_Sueldo[NOMBRE],MOVI_Sueldo[[#This Row],[NOMBRE]])</f>
        <v>120</v>
      </c>
      <c r="AD24" s="6">
        <f>(MOVI_Sueldo[[#This Row],[COSTO DIA]]*30)/240*COUNTIFS(MOVI_Sueldo[FECHA],MOVI_Sueldo[[#This Row],[FECHA]],MOVI_Sueldo[NOMBRE],MOVI_Sueldo[[#This Row],[NOMBRE]])</f>
        <v>15</v>
      </c>
      <c r="AE24" s="7">
        <f>(MOVI_Sueldo[[#This Row],[COSTO DIA]]*30)/DAY(EOMONTH(U24,0))</f>
        <v>120</v>
      </c>
      <c r="AF24" s="8">
        <f>IF(W24&lt;&gt; "descanso forzado",AE24+Z24*AD24,AE24)</f>
        <v>120</v>
      </c>
    </row>
    <row r="25" spans="1:32" x14ac:dyDescent="0.3">
      <c r="A25" s="9">
        <v>45041</v>
      </c>
      <c r="B25" s="11" t="s">
        <v>20</v>
      </c>
      <c r="C25" s="11" t="s">
        <v>14</v>
      </c>
      <c r="D25" s="12">
        <v>10</v>
      </c>
      <c r="E25" s="13">
        <f>(8/48)*MOVI_Jornal[[#This Row],[HORAS]]</f>
        <v>1.6666666666666665</v>
      </c>
      <c r="F25" s="13">
        <f>SUM(MOVI_Jornal[[#This Row],[HORAS]:[DOMINICAL]])</f>
        <v>11.666666666666666</v>
      </c>
      <c r="G25" s="14">
        <v>11.875</v>
      </c>
      <c r="H25" s="15">
        <f>MOVI_Jornal[[#This Row],[TOTAL HORAS]]*MOVI_Jornal[[#This Row],[COSTO HH]]</f>
        <v>138.54166666666666</v>
      </c>
      <c r="U25" s="9">
        <v>45039</v>
      </c>
      <c r="V25" s="4" t="s">
        <v>90</v>
      </c>
      <c r="W25" s="5" t="s">
        <v>15</v>
      </c>
      <c r="X25" s="11" t="s">
        <v>14</v>
      </c>
      <c r="Y25" s="5">
        <v>0</v>
      </c>
      <c r="Z25" s="5">
        <f>IF(AND(WEEKDAY(U25,2)&lt;&gt; 7,W25="trabaja"),Y25-(10/COUNTIFS(MOVI_Sueldo[FECHA],MOVI_Sueldo[[#This Row],[FECHA]],MOVI_Sueldo[NOMBRE],MOVI_Sueldo[[#This Row],[NOMBRE]])),IF(WEEKDAY(U25,2)= 7,0,0))</f>
        <v>0</v>
      </c>
      <c r="AA25" s="5">
        <f t="shared" si="0"/>
        <v>0</v>
      </c>
      <c r="AB25" s="5">
        <f t="shared" si="1"/>
        <v>0</v>
      </c>
      <c r="AC25" s="6">
        <f>VLOOKUP(MOVI_Sueldo[[#This Row],[NOMBRE]],BD_MOVI[],6,0)/COUNTIFS(MOVI_Sueldo[FECHA],MOVI_Sueldo[[#This Row],[FECHA]],MOVI_Sueldo[NOMBRE],MOVI_Sueldo[[#This Row],[NOMBRE]])</f>
        <v>120</v>
      </c>
      <c r="AD25" s="6">
        <f>(MOVI_Sueldo[[#This Row],[COSTO DIA]]*30)/240*COUNTIFS(MOVI_Sueldo[FECHA],MOVI_Sueldo[[#This Row],[FECHA]],MOVI_Sueldo[NOMBRE],MOVI_Sueldo[[#This Row],[NOMBRE]])</f>
        <v>15</v>
      </c>
      <c r="AE25" s="7">
        <f>(MOVI_Sueldo[[#This Row],[COSTO DIA]]*30)/DAY(EOMONTH(U25,0))</f>
        <v>120</v>
      </c>
      <c r="AF25" s="8">
        <f>IF(W25&lt;&gt; "descanso forzado",AE25+Z25*AD25,AE25)</f>
        <v>120</v>
      </c>
    </row>
    <row r="26" spans="1:32" x14ac:dyDescent="0.3">
      <c r="A26" s="9">
        <v>45042</v>
      </c>
      <c r="B26" s="11" t="s">
        <v>20</v>
      </c>
      <c r="C26" s="11" t="s">
        <v>21</v>
      </c>
      <c r="D26" s="12">
        <v>9</v>
      </c>
      <c r="E26" s="13">
        <f>(8/48)*MOVI_Jornal[[#This Row],[HORAS]]</f>
        <v>1.5</v>
      </c>
      <c r="F26" s="13">
        <f>SUM(MOVI_Jornal[[#This Row],[HORAS]:[DOMINICAL]])</f>
        <v>10.5</v>
      </c>
      <c r="G26" s="14">
        <v>11.875</v>
      </c>
      <c r="H26" s="15">
        <f>MOVI_Jornal[[#This Row],[TOTAL HORAS]]*MOVI_Jornal[[#This Row],[COSTO HH]]</f>
        <v>124.6875</v>
      </c>
      <c r="U26" s="9">
        <v>45040</v>
      </c>
      <c r="V26" s="4" t="s">
        <v>90</v>
      </c>
      <c r="W26" s="5" t="s">
        <v>15</v>
      </c>
      <c r="X26" s="11" t="s">
        <v>14</v>
      </c>
      <c r="Y26" s="5">
        <v>0</v>
      </c>
      <c r="Z26" s="5">
        <f>IF(AND(WEEKDAY(U26,2)&lt;&gt; 7,W26="trabaja"),Y26-(10/COUNTIFS(MOVI_Sueldo[FECHA],MOVI_Sueldo[[#This Row],[FECHA]],MOVI_Sueldo[NOMBRE],MOVI_Sueldo[[#This Row],[NOMBRE]])),IF(WEEKDAY(U26,2)= 7,0,0))</f>
        <v>0</v>
      </c>
      <c r="AA26" s="5">
        <f t="shared" si="0"/>
        <v>0</v>
      </c>
      <c r="AB26" s="5">
        <f t="shared" si="1"/>
        <v>0</v>
      </c>
      <c r="AC26" s="6">
        <f>VLOOKUP(MOVI_Sueldo[[#This Row],[NOMBRE]],BD_MOVI[],6,0)/COUNTIFS(MOVI_Sueldo[FECHA],MOVI_Sueldo[[#This Row],[FECHA]],MOVI_Sueldo[NOMBRE],MOVI_Sueldo[[#This Row],[NOMBRE]])</f>
        <v>120</v>
      </c>
      <c r="AD26" s="6">
        <f>(MOVI_Sueldo[[#This Row],[COSTO DIA]]*30)/240*COUNTIFS(MOVI_Sueldo[FECHA],MOVI_Sueldo[[#This Row],[FECHA]],MOVI_Sueldo[NOMBRE],MOVI_Sueldo[[#This Row],[NOMBRE]])</f>
        <v>15</v>
      </c>
      <c r="AE26" s="7">
        <f>(MOVI_Sueldo[[#This Row],[COSTO DIA]]*30)/DAY(EOMONTH(U26,0))</f>
        <v>120</v>
      </c>
      <c r="AF26" s="8">
        <f>IF(W26&lt;&gt; "descanso forzado",AE26+Z26*AD26,AE26)</f>
        <v>120</v>
      </c>
    </row>
    <row r="27" spans="1:32" x14ac:dyDescent="0.3">
      <c r="A27" s="9">
        <v>45043</v>
      </c>
      <c r="B27" s="11" t="s">
        <v>20</v>
      </c>
      <c r="C27" s="11" t="s">
        <v>14</v>
      </c>
      <c r="D27" s="12">
        <v>10</v>
      </c>
      <c r="E27" s="13">
        <f>(8/48)*MOVI_Jornal[[#This Row],[HORAS]]</f>
        <v>1.6666666666666665</v>
      </c>
      <c r="F27" s="13">
        <f>SUM(MOVI_Jornal[[#This Row],[HORAS]:[DOMINICAL]])</f>
        <v>11.666666666666666</v>
      </c>
      <c r="G27" s="14">
        <v>11.875</v>
      </c>
      <c r="H27" s="15">
        <f>MOVI_Jornal[[#This Row],[TOTAL HORAS]]*MOVI_Jornal[[#This Row],[COSTO HH]]</f>
        <v>138.54166666666666</v>
      </c>
      <c r="U27" s="9">
        <v>45041</v>
      </c>
      <c r="V27" s="4" t="s">
        <v>90</v>
      </c>
      <c r="W27" s="5" t="s">
        <v>15</v>
      </c>
      <c r="X27" s="11" t="s">
        <v>21</v>
      </c>
      <c r="Y27" s="5">
        <v>0</v>
      </c>
      <c r="Z27" s="5">
        <f>IF(AND(WEEKDAY(U27,2)&lt;&gt; 7,W27="trabaja"),Y27-(10/COUNTIFS(MOVI_Sueldo[FECHA],MOVI_Sueldo[[#This Row],[FECHA]],MOVI_Sueldo[NOMBRE],MOVI_Sueldo[[#This Row],[NOMBRE]])),IF(WEEKDAY(U27,2)= 7,0,0))</f>
        <v>0</v>
      </c>
      <c r="AA27" s="5">
        <f t="shared" si="0"/>
        <v>0</v>
      </c>
      <c r="AB27" s="5">
        <f t="shared" si="1"/>
        <v>0</v>
      </c>
      <c r="AC27" s="6">
        <f>VLOOKUP(MOVI_Sueldo[[#This Row],[NOMBRE]],BD_MOVI[],6,0)/COUNTIFS(MOVI_Sueldo[FECHA],MOVI_Sueldo[[#This Row],[FECHA]],MOVI_Sueldo[NOMBRE],MOVI_Sueldo[[#This Row],[NOMBRE]])</f>
        <v>120</v>
      </c>
      <c r="AD27" s="6">
        <f>(MOVI_Sueldo[[#This Row],[COSTO DIA]]*30)/240*COUNTIFS(MOVI_Sueldo[FECHA],MOVI_Sueldo[[#This Row],[FECHA]],MOVI_Sueldo[NOMBRE],MOVI_Sueldo[[#This Row],[NOMBRE]])</f>
        <v>15</v>
      </c>
      <c r="AE27" s="7">
        <f>(MOVI_Sueldo[[#This Row],[COSTO DIA]]*30)/DAY(EOMONTH(U27,0))</f>
        <v>120</v>
      </c>
      <c r="AF27" s="8">
        <f>IF(W27&lt;&gt; "descanso forzado",AE27+Z27*AD27,AE27)</f>
        <v>120</v>
      </c>
    </row>
    <row r="28" spans="1:32" x14ac:dyDescent="0.3">
      <c r="A28" s="9">
        <v>45044</v>
      </c>
      <c r="B28" s="11" t="s">
        <v>20</v>
      </c>
      <c r="C28" s="11" t="s">
        <v>21</v>
      </c>
      <c r="D28" s="12">
        <v>8</v>
      </c>
      <c r="E28" s="13">
        <f>(8/48)*MOVI_Jornal[[#This Row],[HORAS]]</f>
        <v>1.3333333333333333</v>
      </c>
      <c r="F28" s="13">
        <f>SUM(MOVI_Jornal[[#This Row],[HORAS]:[DOMINICAL]])</f>
        <v>9.3333333333333339</v>
      </c>
      <c r="G28" s="14">
        <v>11.875</v>
      </c>
      <c r="H28" s="15">
        <f>MOVI_Jornal[[#This Row],[TOTAL HORAS]]*MOVI_Jornal[[#This Row],[COSTO HH]]</f>
        <v>110.83333333333334</v>
      </c>
      <c r="U28" s="9">
        <v>45042</v>
      </c>
      <c r="V28" s="4" t="s">
        <v>90</v>
      </c>
      <c r="W28" s="5" t="s">
        <v>15</v>
      </c>
      <c r="X28" s="11" t="s">
        <v>14</v>
      </c>
      <c r="Y28" s="5">
        <v>0</v>
      </c>
      <c r="Z28" s="5">
        <f>IF(AND(WEEKDAY(U28,2)&lt;&gt; 7,W28="trabaja"),Y28-(10/COUNTIFS(MOVI_Sueldo[FECHA],MOVI_Sueldo[[#This Row],[FECHA]],MOVI_Sueldo[NOMBRE],MOVI_Sueldo[[#This Row],[NOMBRE]])),IF(WEEKDAY(U28,2)= 7,0,0))</f>
        <v>0</v>
      </c>
      <c r="AA28" s="5">
        <f t="shared" si="0"/>
        <v>0</v>
      </c>
      <c r="AB28" s="5">
        <f t="shared" si="1"/>
        <v>0</v>
      </c>
      <c r="AC28" s="6">
        <f>VLOOKUP(MOVI_Sueldo[[#This Row],[NOMBRE]],BD_MOVI[],6,0)/COUNTIFS(MOVI_Sueldo[FECHA],MOVI_Sueldo[[#This Row],[FECHA]],MOVI_Sueldo[NOMBRE],MOVI_Sueldo[[#This Row],[NOMBRE]])</f>
        <v>120</v>
      </c>
      <c r="AD28" s="6">
        <f>(MOVI_Sueldo[[#This Row],[COSTO DIA]]*30)/240*COUNTIFS(MOVI_Sueldo[FECHA],MOVI_Sueldo[[#This Row],[FECHA]],MOVI_Sueldo[NOMBRE],MOVI_Sueldo[[#This Row],[NOMBRE]])</f>
        <v>15</v>
      </c>
      <c r="AE28" s="7">
        <f>(MOVI_Sueldo[[#This Row],[COSTO DIA]]*30)/DAY(EOMONTH(U28,0))</f>
        <v>120</v>
      </c>
      <c r="AF28" s="8">
        <f>IF(W28&lt;&gt; "descanso forzado",AE28+Z28*AD28,AE28)</f>
        <v>120</v>
      </c>
    </row>
    <row r="29" spans="1:32" x14ac:dyDescent="0.3">
      <c r="A29" s="9">
        <v>45045</v>
      </c>
      <c r="B29" s="11" t="s">
        <v>20</v>
      </c>
      <c r="C29" s="11" t="s">
        <v>14</v>
      </c>
      <c r="D29" s="12">
        <v>8</v>
      </c>
      <c r="E29" s="13">
        <f>(8/48)*MOVI_Jornal[[#This Row],[HORAS]]</f>
        <v>1.3333333333333333</v>
      </c>
      <c r="F29" s="13">
        <f>SUM(MOVI_Jornal[[#This Row],[HORAS]:[DOMINICAL]])</f>
        <v>9.3333333333333339</v>
      </c>
      <c r="G29" s="14">
        <v>11.875</v>
      </c>
      <c r="H29" s="15">
        <f>MOVI_Jornal[[#This Row],[TOTAL HORAS]]*MOVI_Jornal[[#This Row],[COSTO HH]]</f>
        <v>110.83333333333334</v>
      </c>
      <c r="U29" s="9">
        <v>45043</v>
      </c>
      <c r="V29" s="4" t="s">
        <v>90</v>
      </c>
      <c r="W29" s="5" t="s">
        <v>15</v>
      </c>
      <c r="X29" s="11" t="s">
        <v>21</v>
      </c>
      <c r="Y29" s="5">
        <v>0</v>
      </c>
      <c r="Z29" s="5">
        <f>IF(AND(WEEKDAY(U29,2)&lt;&gt; 7,W29="trabaja"),Y29-(10/COUNTIFS(MOVI_Sueldo[FECHA],MOVI_Sueldo[[#This Row],[FECHA]],MOVI_Sueldo[NOMBRE],MOVI_Sueldo[[#This Row],[NOMBRE]])),IF(WEEKDAY(U29,2)= 7,0,0))</f>
        <v>0</v>
      </c>
      <c r="AA29" s="5">
        <f t="shared" si="0"/>
        <v>0</v>
      </c>
      <c r="AB29" s="5">
        <f t="shared" si="1"/>
        <v>0</v>
      </c>
      <c r="AC29" s="6">
        <f>VLOOKUP(MOVI_Sueldo[[#This Row],[NOMBRE]],BD_MOVI[],6,0)/COUNTIFS(MOVI_Sueldo[FECHA],MOVI_Sueldo[[#This Row],[FECHA]],MOVI_Sueldo[NOMBRE],MOVI_Sueldo[[#This Row],[NOMBRE]])</f>
        <v>120</v>
      </c>
      <c r="AD29" s="6">
        <f>(MOVI_Sueldo[[#This Row],[COSTO DIA]]*30)/240*COUNTIFS(MOVI_Sueldo[FECHA],MOVI_Sueldo[[#This Row],[FECHA]],MOVI_Sueldo[NOMBRE],MOVI_Sueldo[[#This Row],[NOMBRE]])</f>
        <v>15</v>
      </c>
      <c r="AE29" s="7">
        <f>(MOVI_Sueldo[[#This Row],[COSTO DIA]]*30)/DAY(EOMONTH(U29,0))</f>
        <v>120</v>
      </c>
      <c r="AF29" s="8">
        <f>IF(W29&lt;&gt; "descanso forzado",AE29+Z29*AD29,AE29)</f>
        <v>120</v>
      </c>
    </row>
    <row r="30" spans="1:32" x14ac:dyDescent="0.3">
      <c r="A30" s="9">
        <v>45046</v>
      </c>
      <c r="B30" s="11" t="s">
        <v>20</v>
      </c>
      <c r="C30" s="11" t="s">
        <v>21</v>
      </c>
      <c r="D30" s="12">
        <v>10</v>
      </c>
      <c r="E30" s="13">
        <f>(8/48)*MOVI_Jornal[[#This Row],[HORAS]]</f>
        <v>1.6666666666666665</v>
      </c>
      <c r="F30" s="13">
        <f>SUM(MOVI_Jornal[[#This Row],[HORAS]:[DOMINICAL]])</f>
        <v>11.666666666666666</v>
      </c>
      <c r="G30" s="14">
        <v>11.875</v>
      </c>
      <c r="H30" s="15">
        <f>MOVI_Jornal[[#This Row],[TOTAL HORAS]]*MOVI_Jornal[[#This Row],[COSTO HH]]</f>
        <v>138.54166666666666</v>
      </c>
      <c r="U30" s="9">
        <v>45044</v>
      </c>
      <c r="V30" s="4" t="s">
        <v>90</v>
      </c>
      <c r="W30" s="5" t="s">
        <v>15</v>
      </c>
      <c r="X30" s="11" t="s">
        <v>14</v>
      </c>
      <c r="Y30" s="5">
        <v>0</v>
      </c>
      <c r="Z30" s="5">
        <f>IF(AND(WEEKDAY(U30,2)&lt;&gt; 7,W30="trabaja"),Y30-(10/COUNTIFS(MOVI_Sueldo[FECHA],MOVI_Sueldo[[#This Row],[FECHA]],MOVI_Sueldo[NOMBRE],MOVI_Sueldo[[#This Row],[NOMBRE]])),IF(WEEKDAY(U30,2)= 7,0,0))</f>
        <v>0</v>
      </c>
      <c r="AA30" s="5">
        <f t="shared" si="0"/>
        <v>0</v>
      </c>
      <c r="AB30" s="5">
        <f t="shared" si="1"/>
        <v>0</v>
      </c>
      <c r="AC30" s="6">
        <f>VLOOKUP(MOVI_Sueldo[[#This Row],[NOMBRE]],BD_MOVI[],6,0)/COUNTIFS(MOVI_Sueldo[FECHA],MOVI_Sueldo[[#This Row],[FECHA]],MOVI_Sueldo[NOMBRE],MOVI_Sueldo[[#This Row],[NOMBRE]])</f>
        <v>120</v>
      </c>
      <c r="AD30" s="6">
        <f>(MOVI_Sueldo[[#This Row],[COSTO DIA]]*30)/240*COUNTIFS(MOVI_Sueldo[FECHA],MOVI_Sueldo[[#This Row],[FECHA]],MOVI_Sueldo[NOMBRE],MOVI_Sueldo[[#This Row],[NOMBRE]])</f>
        <v>15</v>
      </c>
      <c r="AE30" s="7">
        <f>(MOVI_Sueldo[[#This Row],[COSTO DIA]]*30)/DAY(EOMONTH(U30,0))</f>
        <v>120</v>
      </c>
      <c r="AF30" s="8">
        <f>IF(W30&lt;&gt; "descanso forzado",AE30+Z30*AD30,AE30)</f>
        <v>120</v>
      </c>
    </row>
    <row r="31" spans="1:32" x14ac:dyDescent="0.3">
      <c r="A31" s="9">
        <v>45047</v>
      </c>
      <c r="B31" s="11" t="s">
        <v>20</v>
      </c>
      <c r="C31" s="11" t="s">
        <v>21</v>
      </c>
      <c r="D31" s="12"/>
      <c r="E31" s="13">
        <f>(8/48)*MOVI_Jornal[[#This Row],[HORAS]]</f>
        <v>0</v>
      </c>
      <c r="F31" s="13">
        <f>SUM(MOVI_Jornal[[#This Row],[HORAS]:[DOMINICAL]])</f>
        <v>0</v>
      </c>
      <c r="G31" s="14">
        <v>11.875</v>
      </c>
      <c r="H31" s="15">
        <f>MOVI_Jornal[[#This Row],[TOTAL HORAS]]*MOVI_Jornal[[#This Row],[COSTO HH]]</f>
        <v>0</v>
      </c>
      <c r="U31" s="9">
        <v>45045</v>
      </c>
      <c r="V31" s="4" t="s">
        <v>90</v>
      </c>
      <c r="W31" s="5" t="s">
        <v>12</v>
      </c>
      <c r="X31" s="11" t="s">
        <v>14</v>
      </c>
      <c r="Y31" s="5">
        <v>8</v>
      </c>
      <c r="Z31" s="5">
        <f>IF(AND(WEEKDAY(U31,2)&lt;&gt; 7,W31="trabaja"),Y31-(10/COUNTIFS(MOVI_Sueldo[FECHA],MOVI_Sueldo[[#This Row],[FECHA]],MOVI_Sueldo[NOMBRE],MOVI_Sueldo[[#This Row],[NOMBRE]])),IF(WEEKDAY(U31,2)= 7,0,0))</f>
        <v>-2</v>
      </c>
      <c r="AA31" s="5">
        <f t="shared" si="0"/>
        <v>0</v>
      </c>
      <c r="AB31" s="5">
        <f t="shared" si="1"/>
        <v>0</v>
      </c>
      <c r="AC31" s="6">
        <f>VLOOKUP(MOVI_Sueldo[[#This Row],[NOMBRE]],BD_MOVI[],6,0)/COUNTIFS(MOVI_Sueldo[FECHA],MOVI_Sueldo[[#This Row],[FECHA]],MOVI_Sueldo[NOMBRE],MOVI_Sueldo[[#This Row],[NOMBRE]])</f>
        <v>120</v>
      </c>
      <c r="AD31" s="6">
        <f>(MOVI_Sueldo[[#This Row],[COSTO DIA]]*30)/240*COUNTIFS(MOVI_Sueldo[FECHA],MOVI_Sueldo[[#This Row],[FECHA]],MOVI_Sueldo[NOMBRE],MOVI_Sueldo[[#This Row],[NOMBRE]])</f>
        <v>15</v>
      </c>
      <c r="AE31" s="7">
        <f>(MOVI_Sueldo[[#This Row],[COSTO DIA]]*30)/DAY(EOMONTH(U31,0))</f>
        <v>120</v>
      </c>
      <c r="AF31" s="8">
        <f>IF(W31&lt;&gt; "descanso forzado",AE31+Z31*AD31,AE31)</f>
        <v>90</v>
      </c>
    </row>
    <row r="32" spans="1:32" x14ac:dyDescent="0.3">
      <c r="A32" s="9">
        <v>45048</v>
      </c>
      <c r="B32" s="11" t="s">
        <v>20</v>
      </c>
      <c r="C32" s="11" t="s">
        <v>21</v>
      </c>
      <c r="D32" s="12"/>
      <c r="E32" s="13">
        <f>(8/48)*MOVI_Jornal[[#This Row],[HORAS]]</f>
        <v>0</v>
      </c>
      <c r="F32" s="13">
        <f>SUM(MOVI_Jornal[[#This Row],[HORAS]:[DOMINICAL]])</f>
        <v>0</v>
      </c>
      <c r="G32" s="14">
        <v>11.875</v>
      </c>
      <c r="H32" s="15">
        <f>MOVI_Jornal[[#This Row],[TOTAL HORAS]]*MOVI_Jornal[[#This Row],[COSTO HH]]</f>
        <v>0</v>
      </c>
      <c r="U32" s="9">
        <v>45046</v>
      </c>
      <c r="V32" s="4" t="s">
        <v>90</v>
      </c>
      <c r="W32" s="5" t="s">
        <v>12</v>
      </c>
      <c r="X32" s="11" t="s">
        <v>14</v>
      </c>
      <c r="Y32" s="5">
        <v>0</v>
      </c>
      <c r="Z32" s="5">
        <f>IF(AND(WEEKDAY(U32,2)&lt;&gt; 7,W32="trabaja"),Y32-(10/COUNTIFS(MOVI_Sueldo[FECHA],MOVI_Sueldo[[#This Row],[FECHA]],MOVI_Sueldo[NOMBRE],MOVI_Sueldo[[#This Row],[NOMBRE]])),IF(WEEKDAY(U32,2)= 7,0,0))</f>
        <v>0</v>
      </c>
      <c r="AA32" s="5">
        <f t="shared" si="0"/>
        <v>0</v>
      </c>
      <c r="AB32" s="5">
        <f t="shared" si="1"/>
        <v>0</v>
      </c>
      <c r="AC32" s="6">
        <f>VLOOKUP(MOVI_Sueldo[[#This Row],[NOMBRE]],BD_MOVI[],6,0)/COUNTIFS(MOVI_Sueldo[FECHA],MOVI_Sueldo[[#This Row],[FECHA]],MOVI_Sueldo[NOMBRE],MOVI_Sueldo[[#This Row],[NOMBRE]])</f>
        <v>120</v>
      </c>
      <c r="AD32" s="6">
        <f>(MOVI_Sueldo[[#This Row],[COSTO DIA]]*30)/240*COUNTIFS(MOVI_Sueldo[FECHA],MOVI_Sueldo[[#This Row],[FECHA]],MOVI_Sueldo[NOMBRE],MOVI_Sueldo[[#This Row],[NOMBRE]])</f>
        <v>15</v>
      </c>
      <c r="AE32" s="7">
        <f>(MOVI_Sueldo[[#This Row],[COSTO DIA]]*30)/DAY(EOMONTH(U32,0))</f>
        <v>120</v>
      </c>
      <c r="AF32" s="8">
        <f>IF(W32&lt;&gt; "descanso forzado",AE32+Z32*AD32,AE32)</f>
        <v>120</v>
      </c>
    </row>
    <row r="33" spans="1:32" x14ac:dyDescent="0.3">
      <c r="A33" s="9">
        <v>45049</v>
      </c>
      <c r="B33" s="11" t="s">
        <v>20</v>
      </c>
      <c r="C33" s="11" t="s">
        <v>21</v>
      </c>
      <c r="D33" s="12"/>
      <c r="E33" s="13">
        <f>(8/48)*MOVI_Jornal[[#This Row],[HORAS]]</f>
        <v>0</v>
      </c>
      <c r="F33" s="13">
        <f>SUM(MOVI_Jornal[[#This Row],[HORAS]:[DOMINICAL]])</f>
        <v>0</v>
      </c>
      <c r="G33" s="14">
        <v>11.875</v>
      </c>
      <c r="H33" s="15">
        <f>MOVI_Jornal[[#This Row],[TOTAL HORAS]]*MOVI_Jornal[[#This Row],[COSTO HH]]</f>
        <v>0</v>
      </c>
      <c r="U33" s="9">
        <v>45047</v>
      </c>
      <c r="V33" s="4" t="s">
        <v>90</v>
      </c>
      <c r="W33" s="5" t="s">
        <v>12</v>
      </c>
      <c r="X33" s="11" t="s">
        <v>14</v>
      </c>
      <c r="Y33" s="5">
        <v>10</v>
      </c>
      <c r="Z33" s="5">
        <f>IF(AND(WEEKDAY(U33,2)&lt;&gt; 7,W33="trabaja"),Y33-(10/COUNTIFS(MOVI_Sueldo[FECHA],MOVI_Sueldo[[#This Row],[FECHA]],MOVI_Sueldo[NOMBRE],MOVI_Sueldo[[#This Row],[NOMBRE]])),IF(WEEKDAY(U33,2)= 7,0,0))</f>
        <v>0</v>
      </c>
      <c r="AA33" s="5">
        <f t="shared" si="0"/>
        <v>0</v>
      </c>
      <c r="AB33" s="5">
        <f t="shared" si="1"/>
        <v>0</v>
      </c>
      <c r="AC33" s="6">
        <f>VLOOKUP(MOVI_Sueldo[[#This Row],[NOMBRE]],BD_MOVI[],6,0)/COUNTIFS(MOVI_Sueldo[FECHA],MOVI_Sueldo[[#This Row],[FECHA]],MOVI_Sueldo[NOMBRE],MOVI_Sueldo[[#This Row],[NOMBRE]])</f>
        <v>120</v>
      </c>
      <c r="AD33" s="6">
        <f>(MOVI_Sueldo[[#This Row],[COSTO DIA]]*30)/240*COUNTIFS(MOVI_Sueldo[FECHA],MOVI_Sueldo[[#This Row],[FECHA]],MOVI_Sueldo[NOMBRE],MOVI_Sueldo[[#This Row],[NOMBRE]])</f>
        <v>15</v>
      </c>
      <c r="AE33" s="7">
        <f>(MOVI_Sueldo[[#This Row],[COSTO DIA]]*30)/DAY(EOMONTH(U33,0))</f>
        <v>116.12903225806451</v>
      </c>
      <c r="AF33" s="8">
        <f>IF(W33&lt;&gt; "descanso forzado",AE33+Z33*AD33,AE33)</f>
        <v>116.12903225806451</v>
      </c>
    </row>
    <row r="34" spans="1:32" x14ac:dyDescent="0.3">
      <c r="A34" s="9">
        <v>45050</v>
      </c>
      <c r="B34" s="11" t="s">
        <v>20</v>
      </c>
      <c r="C34" s="11" t="s">
        <v>21</v>
      </c>
      <c r="D34" s="12"/>
      <c r="E34" s="13">
        <f>(8/48)*MOVI_Jornal[[#This Row],[HORAS]]</f>
        <v>0</v>
      </c>
      <c r="F34" s="13">
        <f>SUM(MOVI_Jornal[[#This Row],[HORAS]:[DOMINICAL]])</f>
        <v>0</v>
      </c>
      <c r="G34" s="14">
        <v>11.875</v>
      </c>
      <c r="H34" s="15">
        <f>MOVI_Jornal[[#This Row],[TOTAL HORAS]]*MOVI_Jornal[[#This Row],[COSTO HH]]</f>
        <v>0</v>
      </c>
      <c r="U34" s="9">
        <v>45048</v>
      </c>
      <c r="V34" s="4" t="s">
        <v>90</v>
      </c>
      <c r="W34" s="5" t="s">
        <v>12</v>
      </c>
      <c r="X34" s="11" t="s">
        <v>13</v>
      </c>
      <c r="Y34" s="5">
        <v>10</v>
      </c>
      <c r="Z34" s="5">
        <f>IF(AND(WEEKDAY(U34,2)&lt;&gt; 7,W34="trabaja"),Y34-(10/COUNTIFS(MOVI_Sueldo[FECHA],MOVI_Sueldo[[#This Row],[FECHA]],MOVI_Sueldo[NOMBRE],MOVI_Sueldo[[#This Row],[NOMBRE]])),IF(WEEKDAY(U34,2)= 7,0,0))</f>
        <v>0</v>
      </c>
      <c r="AA34" s="5">
        <f t="shared" si="0"/>
        <v>0</v>
      </c>
      <c r="AB34" s="5">
        <f t="shared" si="1"/>
        <v>0</v>
      </c>
      <c r="AC34" s="6">
        <f>VLOOKUP(MOVI_Sueldo[[#This Row],[NOMBRE]],BD_MOVI[],6,0)/COUNTIFS(MOVI_Sueldo[FECHA],MOVI_Sueldo[[#This Row],[FECHA]],MOVI_Sueldo[NOMBRE],MOVI_Sueldo[[#This Row],[NOMBRE]])</f>
        <v>120</v>
      </c>
      <c r="AD34" s="6">
        <f>(MOVI_Sueldo[[#This Row],[COSTO DIA]]*30)/240*COUNTIFS(MOVI_Sueldo[FECHA],MOVI_Sueldo[[#This Row],[FECHA]],MOVI_Sueldo[NOMBRE],MOVI_Sueldo[[#This Row],[NOMBRE]])</f>
        <v>15</v>
      </c>
      <c r="AE34" s="7">
        <f>(MOVI_Sueldo[[#This Row],[COSTO DIA]]*30)/DAY(EOMONTH(U34,0))</f>
        <v>116.12903225806451</v>
      </c>
      <c r="AF34" s="8">
        <f>IF(W34&lt;&gt; "descanso forzado",AE34+Z34*AD34,AE34)</f>
        <v>116.12903225806451</v>
      </c>
    </row>
    <row r="35" spans="1:32" x14ac:dyDescent="0.3">
      <c r="A35" s="9">
        <v>45051</v>
      </c>
      <c r="B35" s="11" t="s">
        <v>20</v>
      </c>
      <c r="C35" s="11" t="s">
        <v>21</v>
      </c>
      <c r="D35" s="12">
        <v>8</v>
      </c>
      <c r="E35" s="13">
        <f>(8/48)*MOVI_Jornal[[#This Row],[HORAS]]</f>
        <v>1.3333333333333333</v>
      </c>
      <c r="F35" s="13">
        <f>SUM(MOVI_Jornal[[#This Row],[HORAS]:[DOMINICAL]])</f>
        <v>9.3333333333333339</v>
      </c>
      <c r="G35" s="14">
        <v>11.875</v>
      </c>
      <c r="H35" s="15">
        <f>MOVI_Jornal[[#This Row],[TOTAL HORAS]]*MOVI_Jornal[[#This Row],[COSTO HH]]</f>
        <v>110.83333333333334</v>
      </c>
      <c r="U35" s="9">
        <v>45049</v>
      </c>
      <c r="V35" s="4" t="s">
        <v>90</v>
      </c>
      <c r="W35" s="5" t="s">
        <v>12</v>
      </c>
      <c r="X35" s="11" t="s">
        <v>13</v>
      </c>
      <c r="Y35" s="5">
        <v>10</v>
      </c>
      <c r="Z35" s="5">
        <f>IF(AND(WEEKDAY(U35,2)&lt;&gt; 7,W35="trabaja"),Y35-(10/COUNTIFS(MOVI_Sueldo[FECHA],MOVI_Sueldo[[#This Row],[FECHA]],MOVI_Sueldo[NOMBRE],MOVI_Sueldo[[#This Row],[NOMBRE]])),IF(WEEKDAY(U35,2)= 7,0,0))</f>
        <v>0</v>
      </c>
      <c r="AA35" s="5">
        <f t="shared" si="0"/>
        <v>0</v>
      </c>
      <c r="AB35" s="5">
        <f t="shared" si="1"/>
        <v>0</v>
      </c>
      <c r="AC35" s="6">
        <f>VLOOKUP(MOVI_Sueldo[[#This Row],[NOMBRE]],BD_MOVI[],6,0)/COUNTIFS(MOVI_Sueldo[FECHA],MOVI_Sueldo[[#This Row],[FECHA]],MOVI_Sueldo[NOMBRE],MOVI_Sueldo[[#This Row],[NOMBRE]])</f>
        <v>120</v>
      </c>
      <c r="AD35" s="6">
        <f>(MOVI_Sueldo[[#This Row],[COSTO DIA]]*30)/240*COUNTIFS(MOVI_Sueldo[FECHA],MOVI_Sueldo[[#This Row],[FECHA]],MOVI_Sueldo[NOMBRE],MOVI_Sueldo[[#This Row],[NOMBRE]])</f>
        <v>15</v>
      </c>
      <c r="AE35" s="7">
        <f>(MOVI_Sueldo[[#This Row],[COSTO DIA]]*30)/DAY(EOMONTH(U35,0))</f>
        <v>116.12903225806451</v>
      </c>
      <c r="AF35" s="8">
        <f>IF(W35&lt;&gt; "descanso forzado",AE35+Z35*AD35,AE35)</f>
        <v>116.12903225806451</v>
      </c>
    </row>
    <row r="36" spans="1:32" x14ac:dyDescent="0.3">
      <c r="A36" s="9">
        <v>45052</v>
      </c>
      <c r="B36" s="11" t="s">
        <v>20</v>
      </c>
      <c r="C36" s="11" t="s">
        <v>21</v>
      </c>
      <c r="D36" s="12">
        <v>10</v>
      </c>
      <c r="E36" s="13">
        <f>(8/48)*MOVI_Jornal[[#This Row],[HORAS]]</f>
        <v>1.6666666666666665</v>
      </c>
      <c r="F36" s="13">
        <f>SUM(MOVI_Jornal[[#This Row],[HORAS]:[DOMINICAL]])</f>
        <v>11.666666666666666</v>
      </c>
      <c r="G36" s="14">
        <v>11.875</v>
      </c>
      <c r="H36" s="15">
        <f>MOVI_Jornal[[#This Row],[TOTAL HORAS]]*MOVI_Jornal[[#This Row],[COSTO HH]]</f>
        <v>138.54166666666666</v>
      </c>
      <c r="U36" s="9">
        <v>45050</v>
      </c>
      <c r="V36" s="4" t="s">
        <v>90</v>
      </c>
      <c r="W36" s="5" t="s">
        <v>12</v>
      </c>
      <c r="X36" s="11" t="s">
        <v>14</v>
      </c>
      <c r="Y36" s="5">
        <v>9</v>
      </c>
      <c r="Z36" s="5">
        <f>IF(AND(WEEKDAY(U36,2)&lt;&gt; 7,W36="trabaja"),Y36-(10/COUNTIFS(MOVI_Sueldo[FECHA],MOVI_Sueldo[[#This Row],[FECHA]],MOVI_Sueldo[NOMBRE],MOVI_Sueldo[[#This Row],[NOMBRE]])),IF(WEEKDAY(U36,2)= 7,0,0))</f>
        <v>-1</v>
      </c>
      <c r="AA36" s="5">
        <f t="shared" si="0"/>
        <v>0</v>
      </c>
      <c r="AB36" s="5">
        <f t="shared" si="1"/>
        <v>0</v>
      </c>
      <c r="AC36" s="6">
        <f>VLOOKUP(MOVI_Sueldo[[#This Row],[NOMBRE]],BD_MOVI[],6,0)/COUNTIFS(MOVI_Sueldo[FECHA],MOVI_Sueldo[[#This Row],[FECHA]],MOVI_Sueldo[NOMBRE],MOVI_Sueldo[[#This Row],[NOMBRE]])</f>
        <v>120</v>
      </c>
      <c r="AD36" s="6">
        <f>(MOVI_Sueldo[[#This Row],[COSTO DIA]]*30)/240*COUNTIFS(MOVI_Sueldo[FECHA],MOVI_Sueldo[[#This Row],[FECHA]],MOVI_Sueldo[NOMBRE],MOVI_Sueldo[[#This Row],[NOMBRE]])</f>
        <v>15</v>
      </c>
      <c r="AE36" s="7">
        <f>(MOVI_Sueldo[[#This Row],[COSTO DIA]]*30)/DAY(EOMONTH(U36,0))</f>
        <v>116.12903225806451</v>
      </c>
      <c r="AF36" s="8">
        <f>IF(W36&lt;&gt; "descanso forzado",AE36+Z36*AD36,AE36)</f>
        <v>101.12903225806451</v>
      </c>
    </row>
    <row r="37" spans="1:32" x14ac:dyDescent="0.3">
      <c r="A37" s="9">
        <v>45053</v>
      </c>
      <c r="B37" s="11" t="s">
        <v>20</v>
      </c>
      <c r="C37" s="11" t="s">
        <v>21</v>
      </c>
      <c r="D37" s="12">
        <v>9.5</v>
      </c>
      <c r="E37" s="13">
        <f>(8/48)*MOVI_Jornal[[#This Row],[HORAS]]</f>
        <v>1.5833333333333333</v>
      </c>
      <c r="F37" s="13">
        <f>SUM(MOVI_Jornal[[#This Row],[HORAS]:[DOMINICAL]])</f>
        <v>11.083333333333334</v>
      </c>
      <c r="G37" s="14">
        <v>11.875</v>
      </c>
      <c r="H37" s="15">
        <f>MOVI_Jornal[[#This Row],[TOTAL HORAS]]*MOVI_Jornal[[#This Row],[COSTO HH]]</f>
        <v>131.61458333333334</v>
      </c>
      <c r="U37" s="9">
        <v>45051</v>
      </c>
      <c r="V37" s="4" t="s">
        <v>90</v>
      </c>
      <c r="W37" s="5" t="s">
        <v>12</v>
      </c>
      <c r="X37" s="11" t="s">
        <v>14</v>
      </c>
      <c r="Y37" s="5">
        <v>8</v>
      </c>
      <c r="Z37" s="5">
        <f>IF(AND(WEEKDAY(U37,2)&lt;&gt; 7,W37="trabaja"),Y37-(10/COUNTIFS(MOVI_Sueldo[FECHA],MOVI_Sueldo[[#This Row],[FECHA]],MOVI_Sueldo[NOMBRE],MOVI_Sueldo[[#This Row],[NOMBRE]])),IF(WEEKDAY(U37,2)= 7,0,0))</f>
        <v>-2</v>
      </c>
      <c r="AA37" s="5">
        <f t="shared" si="0"/>
        <v>0</v>
      </c>
      <c r="AB37" s="5">
        <f t="shared" si="1"/>
        <v>0</v>
      </c>
      <c r="AC37" s="6">
        <f>VLOOKUP(MOVI_Sueldo[[#This Row],[NOMBRE]],BD_MOVI[],6,0)/COUNTIFS(MOVI_Sueldo[FECHA],MOVI_Sueldo[[#This Row],[FECHA]],MOVI_Sueldo[NOMBRE],MOVI_Sueldo[[#This Row],[NOMBRE]])</f>
        <v>120</v>
      </c>
      <c r="AD37" s="6">
        <f>(MOVI_Sueldo[[#This Row],[COSTO DIA]]*30)/240*COUNTIFS(MOVI_Sueldo[FECHA],MOVI_Sueldo[[#This Row],[FECHA]],MOVI_Sueldo[NOMBRE],MOVI_Sueldo[[#This Row],[NOMBRE]])</f>
        <v>15</v>
      </c>
      <c r="AE37" s="7">
        <f>(MOVI_Sueldo[[#This Row],[COSTO DIA]]*30)/DAY(EOMONTH(U37,0))</f>
        <v>116.12903225806451</v>
      </c>
      <c r="AF37" s="8">
        <f>IF(W37&lt;&gt; "descanso forzado",AE37+Z37*AD37,AE37)</f>
        <v>86.129032258064512</v>
      </c>
    </row>
    <row r="38" spans="1:32" x14ac:dyDescent="0.3">
      <c r="A38" s="9">
        <v>45054</v>
      </c>
      <c r="B38" s="11" t="s">
        <v>20</v>
      </c>
      <c r="C38" s="11" t="s">
        <v>21</v>
      </c>
      <c r="D38" s="12">
        <v>7</v>
      </c>
      <c r="E38" s="13">
        <f>(8/48)*MOVI_Jornal[[#This Row],[HORAS]]</f>
        <v>1.1666666666666665</v>
      </c>
      <c r="F38" s="13">
        <f>SUM(MOVI_Jornal[[#This Row],[HORAS]:[DOMINICAL]])</f>
        <v>8.1666666666666661</v>
      </c>
      <c r="G38" s="14">
        <v>11.875</v>
      </c>
      <c r="H38" s="15">
        <f>MOVI_Jornal[[#This Row],[TOTAL HORAS]]*MOVI_Jornal[[#This Row],[COSTO HH]]</f>
        <v>96.979166666666657</v>
      </c>
      <c r="U38" s="9">
        <v>45052</v>
      </c>
      <c r="V38" s="4" t="s">
        <v>90</v>
      </c>
      <c r="W38" s="5" t="s">
        <v>12</v>
      </c>
      <c r="X38" s="11" t="s">
        <v>21</v>
      </c>
      <c r="Y38" s="5">
        <v>8</v>
      </c>
      <c r="Z38" s="5">
        <f>IF(AND(WEEKDAY(U38,2)&lt;&gt; 7,W38="trabaja"),Y38-(10/COUNTIFS(MOVI_Sueldo[FECHA],MOVI_Sueldo[[#This Row],[FECHA]],MOVI_Sueldo[NOMBRE],MOVI_Sueldo[[#This Row],[NOMBRE]])),IF(WEEKDAY(U38,2)= 7,0,0))</f>
        <v>-2</v>
      </c>
      <c r="AA38" s="5">
        <f t="shared" si="0"/>
        <v>0</v>
      </c>
      <c r="AB38" s="5">
        <f t="shared" si="1"/>
        <v>0</v>
      </c>
      <c r="AC38" s="6">
        <f>VLOOKUP(MOVI_Sueldo[[#This Row],[NOMBRE]],BD_MOVI[],6,0)/COUNTIFS(MOVI_Sueldo[FECHA],MOVI_Sueldo[[#This Row],[FECHA]],MOVI_Sueldo[NOMBRE],MOVI_Sueldo[[#This Row],[NOMBRE]])</f>
        <v>120</v>
      </c>
      <c r="AD38" s="6">
        <f>(MOVI_Sueldo[[#This Row],[COSTO DIA]]*30)/240*COUNTIFS(MOVI_Sueldo[FECHA],MOVI_Sueldo[[#This Row],[FECHA]],MOVI_Sueldo[NOMBRE],MOVI_Sueldo[[#This Row],[NOMBRE]])</f>
        <v>15</v>
      </c>
      <c r="AE38" s="7">
        <f>(MOVI_Sueldo[[#This Row],[COSTO DIA]]*30)/DAY(EOMONTH(U38,0))</f>
        <v>116.12903225806451</v>
      </c>
      <c r="AF38" s="8">
        <f>IF(W38&lt;&gt; "descanso forzado",AE38+Z38*AD38,AE38)</f>
        <v>86.129032258064512</v>
      </c>
    </row>
    <row r="39" spans="1:32" x14ac:dyDescent="0.3">
      <c r="A39" s="9">
        <v>45055</v>
      </c>
      <c r="B39" s="11" t="s">
        <v>20</v>
      </c>
      <c r="C39" s="11" t="s">
        <v>21</v>
      </c>
      <c r="D39" s="12">
        <v>10</v>
      </c>
      <c r="E39" s="13">
        <f>(8/48)*MOVI_Jornal[[#This Row],[HORAS]]</f>
        <v>1.6666666666666665</v>
      </c>
      <c r="F39" s="13">
        <f>SUM(MOVI_Jornal[[#This Row],[HORAS]:[DOMINICAL]])</f>
        <v>11.666666666666666</v>
      </c>
      <c r="G39" s="14">
        <v>11.875</v>
      </c>
      <c r="H39" s="15">
        <f>MOVI_Jornal[[#This Row],[TOTAL HORAS]]*MOVI_Jornal[[#This Row],[COSTO HH]]</f>
        <v>138.54166666666666</v>
      </c>
      <c r="U39" s="9">
        <v>45053</v>
      </c>
      <c r="V39" s="4" t="s">
        <v>90</v>
      </c>
      <c r="W39" s="5" t="s">
        <v>12</v>
      </c>
      <c r="X39" s="11" t="s">
        <v>14</v>
      </c>
      <c r="Y39" s="5">
        <v>0</v>
      </c>
      <c r="Z39" s="5">
        <f>IF(AND(WEEKDAY(U39,2)&lt;&gt; 7,W39="trabaja"),Y39-(10/COUNTIFS(MOVI_Sueldo[FECHA],MOVI_Sueldo[[#This Row],[FECHA]],MOVI_Sueldo[NOMBRE],MOVI_Sueldo[[#This Row],[NOMBRE]])),IF(WEEKDAY(U39,2)= 7,0,0))</f>
        <v>0</v>
      </c>
      <c r="AA39" s="5">
        <f t="shared" si="0"/>
        <v>0</v>
      </c>
      <c r="AB39" s="5">
        <f t="shared" si="1"/>
        <v>0</v>
      </c>
      <c r="AC39" s="6">
        <f>VLOOKUP(MOVI_Sueldo[[#This Row],[NOMBRE]],BD_MOVI[],6,0)/COUNTIFS(MOVI_Sueldo[FECHA],MOVI_Sueldo[[#This Row],[FECHA]],MOVI_Sueldo[NOMBRE],MOVI_Sueldo[[#This Row],[NOMBRE]])</f>
        <v>120</v>
      </c>
      <c r="AD39" s="6">
        <f>(MOVI_Sueldo[[#This Row],[COSTO DIA]]*30)/240*COUNTIFS(MOVI_Sueldo[FECHA],MOVI_Sueldo[[#This Row],[FECHA]],MOVI_Sueldo[NOMBRE],MOVI_Sueldo[[#This Row],[NOMBRE]])</f>
        <v>15</v>
      </c>
      <c r="AE39" s="7">
        <f>(MOVI_Sueldo[[#This Row],[COSTO DIA]]*30)/DAY(EOMONTH(U39,0))</f>
        <v>116.12903225806451</v>
      </c>
      <c r="AF39" s="8">
        <f>IF(W39&lt;&gt; "descanso forzado",AE39+Z39*AD39,AE39)</f>
        <v>116.12903225806451</v>
      </c>
    </row>
    <row r="40" spans="1:32" x14ac:dyDescent="0.3">
      <c r="A40" s="9">
        <v>45056</v>
      </c>
      <c r="B40" s="11" t="s">
        <v>20</v>
      </c>
      <c r="C40" s="11" t="s">
        <v>21</v>
      </c>
      <c r="D40" s="12"/>
      <c r="E40" s="13">
        <f>(8/48)*MOVI_Jornal[[#This Row],[HORAS]]</f>
        <v>0</v>
      </c>
      <c r="F40" s="13">
        <f>SUM(MOVI_Jornal[[#This Row],[HORAS]:[DOMINICAL]])</f>
        <v>0</v>
      </c>
      <c r="G40" s="14">
        <v>11.875</v>
      </c>
      <c r="H40" s="15">
        <f>MOVI_Jornal[[#This Row],[TOTAL HORAS]]*MOVI_Jornal[[#This Row],[COSTO HH]]</f>
        <v>0</v>
      </c>
      <c r="U40" s="9">
        <v>45054</v>
      </c>
      <c r="V40" s="4" t="s">
        <v>90</v>
      </c>
      <c r="W40" s="5" t="s">
        <v>12</v>
      </c>
      <c r="X40" s="11" t="s">
        <v>21</v>
      </c>
      <c r="Y40" s="5">
        <v>10</v>
      </c>
      <c r="Z40" s="5">
        <f>IF(AND(WEEKDAY(U40,2)&lt;&gt; 7,W40="trabaja"),Y40-(10/COUNTIFS(MOVI_Sueldo[FECHA],MOVI_Sueldo[[#This Row],[FECHA]],MOVI_Sueldo[NOMBRE],MOVI_Sueldo[[#This Row],[NOMBRE]])),IF(WEEKDAY(U40,2)= 7,0,0))</f>
        <v>0</v>
      </c>
      <c r="AA40" s="5">
        <f t="shared" si="0"/>
        <v>0</v>
      </c>
      <c r="AB40" s="5">
        <f t="shared" si="1"/>
        <v>0</v>
      </c>
      <c r="AC40" s="6">
        <f>VLOOKUP(MOVI_Sueldo[[#This Row],[NOMBRE]],BD_MOVI[],6,0)/COUNTIFS(MOVI_Sueldo[FECHA],MOVI_Sueldo[[#This Row],[FECHA]],MOVI_Sueldo[NOMBRE],MOVI_Sueldo[[#This Row],[NOMBRE]])</f>
        <v>120</v>
      </c>
      <c r="AD40" s="6">
        <f>(MOVI_Sueldo[[#This Row],[COSTO DIA]]*30)/240*COUNTIFS(MOVI_Sueldo[FECHA],MOVI_Sueldo[[#This Row],[FECHA]],MOVI_Sueldo[NOMBRE],MOVI_Sueldo[[#This Row],[NOMBRE]])</f>
        <v>15</v>
      </c>
      <c r="AE40" s="7">
        <f>(MOVI_Sueldo[[#This Row],[COSTO DIA]]*30)/DAY(EOMONTH(U40,0))</f>
        <v>116.12903225806451</v>
      </c>
      <c r="AF40" s="8">
        <f>IF(W40&lt;&gt; "descanso forzado",AE40+Z40*AD40,AE40)</f>
        <v>116.12903225806451</v>
      </c>
    </row>
    <row r="41" spans="1:32" x14ac:dyDescent="0.3">
      <c r="A41" s="9">
        <v>45057</v>
      </c>
      <c r="B41" s="11" t="s">
        <v>20</v>
      </c>
      <c r="C41" s="11" t="s">
        <v>21</v>
      </c>
      <c r="D41" s="12"/>
      <c r="E41" s="13">
        <f>(8/48)*MOVI_Jornal[[#This Row],[HORAS]]</f>
        <v>0</v>
      </c>
      <c r="F41" s="13">
        <f>SUM(MOVI_Jornal[[#This Row],[HORAS]:[DOMINICAL]])</f>
        <v>0</v>
      </c>
      <c r="G41" s="14">
        <v>11.875</v>
      </c>
      <c r="H41" s="15">
        <f>MOVI_Jornal[[#This Row],[TOTAL HORAS]]*MOVI_Jornal[[#This Row],[COSTO HH]]</f>
        <v>0</v>
      </c>
      <c r="U41" s="9">
        <v>45055</v>
      </c>
      <c r="V41" s="4" t="s">
        <v>90</v>
      </c>
      <c r="W41" s="5" t="s">
        <v>12</v>
      </c>
      <c r="X41" s="11" t="s">
        <v>14</v>
      </c>
      <c r="Y41" s="5">
        <v>11</v>
      </c>
      <c r="Z41" s="5">
        <f>IF(AND(WEEKDAY(U41,2)&lt;&gt; 7,W41="trabaja"),Y41-(10/COUNTIFS(MOVI_Sueldo[FECHA],MOVI_Sueldo[[#This Row],[FECHA]],MOVI_Sueldo[NOMBRE],MOVI_Sueldo[[#This Row],[NOMBRE]])),IF(WEEKDAY(U41,2)= 7,0,0))</f>
        <v>1</v>
      </c>
      <c r="AA41" s="5">
        <f t="shared" si="0"/>
        <v>0</v>
      </c>
      <c r="AB41" s="5">
        <f t="shared" si="1"/>
        <v>0</v>
      </c>
      <c r="AC41" s="6">
        <f>VLOOKUP(MOVI_Sueldo[[#This Row],[NOMBRE]],BD_MOVI[],6,0)/COUNTIFS(MOVI_Sueldo[FECHA],MOVI_Sueldo[[#This Row],[FECHA]],MOVI_Sueldo[NOMBRE],MOVI_Sueldo[[#This Row],[NOMBRE]])</f>
        <v>120</v>
      </c>
      <c r="AD41" s="6">
        <f>(MOVI_Sueldo[[#This Row],[COSTO DIA]]*30)/240*COUNTIFS(MOVI_Sueldo[FECHA],MOVI_Sueldo[[#This Row],[FECHA]],MOVI_Sueldo[NOMBRE],MOVI_Sueldo[[#This Row],[NOMBRE]])</f>
        <v>15</v>
      </c>
      <c r="AE41" s="7">
        <f>(MOVI_Sueldo[[#This Row],[COSTO DIA]]*30)/DAY(EOMONTH(U41,0))</f>
        <v>116.12903225806451</v>
      </c>
      <c r="AF41" s="8">
        <f>IF(W41&lt;&gt; "descanso forzado",AE41+Z41*AD41,AE41)</f>
        <v>131.12903225806451</v>
      </c>
    </row>
    <row r="42" spans="1:32" x14ac:dyDescent="0.3">
      <c r="A42" s="9">
        <v>45058</v>
      </c>
      <c r="B42" s="11" t="s">
        <v>20</v>
      </c>
      <c r="C42" s="11" t="s">
        <v>21</v>
      </c>
      <c r="D42" s="12"/>
      <c r="E42" s="13">
        <f>(8/48)*MOVI_Jornal[[#This Row],[HORAS]]</f>
        <v>0</v>
      </c>
      <c r="F42" s="13">
        <f>SUM(MOVI_Jornal[[#This Row],[HORAS]:[DOMINICAL]])</f>
        <v>0</v>
      </c>
      <c r="G42" s="14">
        <v>11.875</v>
      </c>
      <c r="H42" s="15">
        <f>MOVI_Jornal[[#This Row],[TOTAL HORAS]]*MOVI_Jornal[[#This Row],[COSTO HH]]</f>
        <v>0</v>
      </c>
      <c r="U42" s="9">
        <v>45056</v>
      </c>
      <c r="V42" s="4" t="s">
        <v>90</v>
      </c>
      <c r="W42" s="5" t="s">
        <v>12</v>
      </c>
      <c r="X42" s="11" t="s">
        <v>14</v>
      </c>
      <c r="Y42" s="5">
        <v>10</v>
      </c>
      <c r="Z42" s="5">
        <f>IF(AND(WEEKDAY(U42,2)&lt;&gt; 7,W42="trabaja"),Y42-(10/COUNTIFS(MOVI_Sueldo[FECHA],MOVI_Sueldo[[#This Row],[FECHA]],MOVI_Sueldo[NOMBRE],MOVI_Sueldo[[#This Row],[NOMBRE]])),IF(WEEKDAY(U42,2)= 7,0,0))</f>
        <v>0</v>
      </c>
      <c r="AA42" s="5">
        <f t="shared" si="0"/>
        <v>0</v>
      </c>
      <c r="AB42" s="5">
        <f t="shared" si="1"/>
        <v>0</v>
      </c>
      <c r="AC42" s="6">
        <f>VLOOKUP(MOVI_Sueldo[[#This Row],[NOMBRE]],BD_MOVI[],6,0)/COUNTIFS(MOVI_Sueldo[FECHA],MOVI_Sueldo[[#This Row],[FECHA]],MOVI_Sueldo[NOMBRE],MOVI_Sueldo[[#This Row],[NOMBRE]])</f>
        <v>120</v>
      </c>
      <c r="AD42" s="6">
        <f>(MOVI_Sueldo[[#This Row],[COSTO DIA]]*30)/240*COUNTIFS(MOVI_Sueldo[FECHA],MOVI_Sueldo[[#This Row],[FECHA]],MOVI_Sueldo[NOMBRE],MOVI_Sueldo[[#This Row],[NOMBRE]])</f>
        <v>15</v>
      </c>
      <c r="AE42" s="7">
        <f>(MOVI_Sueldo[[#This Row],[COSTO DIA]]*30)/DAY(EOMONTH(U42,0))</f>
        <v>116.12903225806451</v>
      </c>
      <c r="AF42" s="8">
        <f>IF(W42&lt;&gt; "descanso forzado",AE42+Z42*AD42,AE42)</f>
        <v>116.12903225806451</v>
      </c>
    </row>
    <row r="43" spans="1:32" x14ac:dyDescent="0.3">
      <c r="A43" s="9">
        <v>45059</v>
      </c>
      <c r="B43" s="11" t="s">
        <v>20</v>
      </c>
      <c r="C43" s="11" t="s">
        <v>21</v>
      </c>
      <c r="D43" s="12"/>
      <c r="E43" s="13">
        <f>(8/48)*MOVI_Jornal[[#This Row],[HORAS]]</f>
        <v>0</v>
      </c>
      <c r="F43" s="13">
        <f>SUM(MOVI_Jornal[[#This Row],[HORAS]:[DOMINICAL]])</f>
        <v>0</v>
      </c>
      <c r="G43" s="14">
        <v>11.875</v>
      </c>
      <c r="H43" s="15">
        <f>MOVI_Jornal[[#This Row],[TOTAL HORAS]]*MOVI_Jornal[[#This Row],[COSTO HH]]</f>
        <v>0</v>
      </c>
      <c r="U43" s="9">
        <v>45057</v>
      </c>
      <c r="V43" s="4" t="s">
        <v>90</v>
      </c>
      <c r="W43" s="5" t="s">
        <v>12</v>
      </c>
      <c r="X43" s="11" t="s">
        <v>14</v>
      </c>
      <c r="Y43" s="5">
        <v>9</v>
      </c>
      <c r="Z43" s="5">
        <f>IF(AND(WEEKDAY(U43,2)&lt;&gt; 7,W43="trabaja"),Y43-(10/COUNTIFS(MOVI_Sueldo[FECHA],MOVI_Sueldo[[#This Row],[FECHA]],MOVI_Sueldo[NOMBRE],MOVI_Sueldo[[#This Row],[NOMBRE]])),IF(WEEKDAY(U43,2)= 7,0,0))</f>
        <v>-1</v>
      </c>
      <c r="AA43" s="5">
        <f t="shared" si="0"/>
        <v>0</v>
      </c>
      <c r="AB43" s="5">
        <f t="shared" si="1"/>
        <v>0</v>
      </c>
      <c r="AC43" s="6">
        <f>VLOOKUP(MOVI_Sueldo[[#This Row],[NOMBRE]],BD_MOVI[],6,0)/COUNTIFS(MOVI_Sueldo[FECHA],MOVI_Sueldo[[#This Row],[FECHA]],MOVI_Sueldo[NOMBRE],MOVI_Sueldo[[#This Row],[NOMBRE]])</f>
        <v>120</v>
      </c>
      <c r="AD43" s="6">
        <f>(MOVI_Sueldo[[#This Row],[COSTO DIA]]*30)/240*COUNTIFS(MOVI_Sueldo[FECHA],MOVI_Sueldo[[#This Row],[FECHA]],MOVI_Sueldo[NOMBRE],MOVI_Sueldo[[#This Row],[NOMBRE]])</f>
        <v>15</v>
      </c>
      <c r="AE43" s="7">
        <f>(MOVI_Sueldo[[#This Row],[COSTO DIA]]*30)/DAY(EOMONTH(U43,0))</f>
        <v>116.12903225806451</v>
      </c>
      <c r="AF43" s="8">
        <f>IF(W43&lt;&gt; "descanso forzado",AE43+Z43*AD43,AE43)</f>
        <v>101.12903225806451</v>
      </c>
    </row>
    <row r="44" spans="1:32" x14ac:dyDescent="0.3">
      <c r="A44" s="9">
        <v>45060</v>
      </c>
      <c r="B44" s="11" t="s">
        <v>20</v>
      </c>
      <c r="C44" s="17" t="s">
        <v>21</v>
      </c>
      <c r="D44" s="18"/>
      <c r="E44" s="19">
        <f>(8/48)*MOVI_Jornal[[#This Row],[HORAS]]</f>
        <v>0</v>
      </c>
      <c r="F44" s="19">
        <f>SUM(MOVI_Jornal[[#This Row],[HORAS]:[DOMINICAL]])</f>
        <v>0</v>
      </c>
      <c r="G44" s="20">
        <v>11.875</v>
      </c>
      <c r="H44" s="21">
        <f>MOVI_Jornal[[#This Row],[TOTAL HORAS]]*MOVI_Jornal[[#This Row],[COSTO HH]]</f>
        <v>0</v>
      </c>
      <c r="U44" s="9">
        <v>45058</v>
      </c>
      <c r="V44" s="4" t="s">
        <v>90</v>
      </c>
      <c r="W44" s="5" t="s">
        <v>12</v>
      </c>
      <c r="X44" s="11" t="s">
        <v>14</v>
      </c>
      <c r="Y44" s="5">
        <v>9</v>
      </c>
      <c r="Z44" s="5">
        <f>IF(AND(WEEKDAY(U44,2)&lt;&gt; 7,W44="trabaja"),Y44-(10/COUNTIFS(MOVI_Sueldo[FECHA],MOVI_Sueldo[[#This Row],[FECHA]],MOVI_Sueldo[NOMBRE],MOVI_Sueldo[[#This Row],[NOMBRE]])),IF(WEEKDAY(U44,2)= 7,0,0))</f>
        <v>-1</v>
      </c>
      <c r="AA44" s="5">
        <f t="shared" si="0"/>
        <v>0</v>
      </c>
      <c r="AB44" s="5">
        <f t="shared" si="1"/>
        <v>0</v>
      </c>
      <c r="AC44" s="6">
        <f>VLOOKUP(MOVI_Sueldo[[#This Row],[NOMBRE]],BD_MOVI[],6,0)/COUNTIFS(MOVI_Sueldo[FECHA],MOVI_Sueldo[[#This Row],[FECHA]],MOVI_Sueldo[NOMBRE],MOVI_Sueldo[[#This Row],[NOMBRE]])</f>
        <v>120</v>
      </c>
      <c r="AD44" s="6">
        <f>(MOVI_Sueldo[[#This Row],[COSTO DIA]]*30)/240*COUNTIFS(MOVI_Sueldo[FECHA],MOVI_Sueldo[[#This Row],[FECHA]],MOVI_Sueldo[NOMBRE],MOVI_Sueldo[[#This Row],[NOMBRE]])</f>
        <v>15</v>
      </c>
      <c r="AE44" s="7">
        <f>(MOVI_Sueldo[[#This Row],[COSTO DIA]]*30)/DAY(EOMONTH(U44,0))</f>
        <v>116.12903225806451</v>
      </c>
      <c r="AF44" s="8">
        <f>IF(W44&lt;&gt; "descanso forzado",AE44+Z44*AD44,AE44)</f>
        <v>101.12903225806451</v>
      </c>
    </row>
    <row r="45" spans="1:32" x14ac:dyDescent="0.3">
      <c r="A45" s="22">
        <v>45061</v>
      </c>
      <c r="B45" s="11" t="s">
        <v>20</v>
      </c>
      <c r="C45" s="11" t="s">
        <v>21</v>
      </c>
      <c r="D45" s="18"/>
      <c r="E45" s="19">
        <f>(8/48)*MOVI_Jornal[[#This Row],[HORAS]]</f>
        <v>0</v>
      </c>
      <c r="F45" s="19">
        <f>SUM(MOVI_Jornal[[#This Row],[HORAS]:[DOMINICAL]])</f>
        <v>0</v>
      </c>
      <c r="G45" s="20">
        <v>11.875</v>
      </c>
      <c r="H45" s="21">
        <f>MOVI_Jornal[[#This Row],[TOTAL HORAS]]*MOVI_Jornal[[#This Row],[COSTO HH]]</f>
        <v>0</v>
      </c>
      <c r="U45" s="9">
        <v>45059</v>
      </c>
      <c r="V45" s="4" t="s">
        <v>90</v>
      </c>
      <c r="W45" s="5" t="s">
        <v>12</v>
      </c>
      <c r="X45" s="11" t="s">
        <v>13</v>
      </c>
      <c r="Y45" s="5">
        <v>8</v>
      </c>
      <c r="Z45" s="5">
        <f>IF(AND(WEEKDAY(U45,2)&lt;&gt; 7,W45="trabaja"),Y45-(10/COUNTIFS(MOVI_Sueldo[FECHA],MOVI_Sueldo[[#This Row],[FECHA]],MOVI_Sueldo[NOMBRE],MOVI_Sueldo[[#This Row],[NOMBRE]])),IF(WEEKDAY(U45,2)= 7,0,0))</f>
        <v>-2</v>
      </c>
      <c r="AA45" s="5">
        <f t="shared" si="0"/>
        <v>0</v>
      </c>
      <c r="AB45" s="5">
        <f t="shared" si="1"/>
        <v>0</v>
      </c>
      <c r="AC45" s="6">
        <f>VLOOKUP(MOVI_Sueldo[[#This Row],[NOMBRE]],BD_MOVI[],6,0)/COUNTIFS(MOVI_Sueldo[FECHA],MOVI_Sueldo[[#This Row],[FECHA]],MOVI_Sueldo[NOMBRE],MOVI_Sueldo[[#This Row],[NOMBRE]])</f>
        <v>120</v>
      </c>
      <c r="AD45" s="6">
        <f>(MOVI_Sueldo[[#This Row],[COSTO DIA]]*30)/240*COUNTIFS(MOVI_Sueldo[FECHA],MOVI_Sueldo[[#This Row],[FECHA]],MOVI_Sueldo[NOMBRE],MOVI_Sueldo[[#This Row],[NOMBRE]])</f>
        <v>15</v>
      </c>
      <c r="AE45" s="7">
        <f>(MOVI_Sueldo[[#This Row],[COSTO DIA]]*30)/DAY(EOMONTH(U45,0))</f>
        <v>116.12903225806451</v>
      </c>
      <c r="AF45" s="8">
        <f>IF(W45&lt;&gt; "descanso forzado",AE45+Z45*AD45,AE45)</f>
        <v>86.129032258064512</v>
      </c>
    </row>
    <row r="46" spans="1:32" x14ac:dyDescent="0.3">
      <c r="A46" s="22">
        <v>45062</v>
      </c>
      <c r="B46" s="11" t="s">
        <v>20</v>
      </c>
      <c r="C46" s="17" t="s">
        <v>21</v>
      </c>
      <c r="D46" s="18"/>
      <c r="E46" s="19">
        <f>(8/48)*MOVI_Jornal[[#This Row],[HORAS]]</f>
        <v>0</v>
      </c>
      <c r="F46" s="19">
        <f>SUM(MOVI_Jornal[[#This Row],[HORAS]:[DOMINICAL]])</f>
        <v>0</v>
      </c>
      <c r="G46" s="20">
        <v>11.875</v>
      </c>
      <c r="H46" s="21">
        <f>MOVI_Jornal[[#This Row],[TOTAL HORAS]]*MOVI_Jornal[[#This Row],[COSTO HH]]</f>
        <v>0</v>
      </c>
      <c r="U46" s="9">
        <v>45060</v>
      </c>
      <c r="V46" s="4" t="s">
        <v>90</v>
      </c>
      <c r="W46" s="5" t="s">
        <v>12</v>
      </c>
      <c r="X46" s="11" t="s">
        <v>13</v>
      </c>
      <c r="Y46" s="5">
        <v>0</v>
      </c>
      <c r="Z46" s="5">
        <f>IF(AND(WEEKDAY(U46,2)&lt;&gt; 7,W46="trabaja"),Y46-(10/COUNTIFS(MOVI_Sueldo[FECHA],MOVI_Sueldo[[#This Row],[FECHA]],MOVI_Sueldo[NOMBRE],MOVI_Sueldo[[#This Row],[NOMBRE]])),IF(WEEKDAY(U46,2)= 7,0,0))</f>
        <v>0</v>
      </c>
      <c r="AA46" s="5">
        <f t="shared" si="0"/>
        <v>0</v>
      </c>
      <c r="AB46" s="5">
        <f t="shared" si="1"/>
        <v>0</v>
      </c>
      <c r="AC46" s="6">
        <f>VLOOKUP(MOVI_Sueldo[[#This Row],[NOMBRE]],BD_MOVI[],6,0)/COUNTIFS(MOVI_Sueldo[FECHA],MOVI_Sueldo[[#This Row],[FECHA]],MOVI_Sueldo[NOMBRE],MOVI_Sueldo[[#This Row],[NOMBRE]])</f>
        <v>120</v>
      </c>
      <c r="AD46" s="6">
        <f>(MOVI_Sueldo[[#This Row],[COSTO DIA]]*30)/240*COUNTIFS(MOVI_Sueldo[FECHA],MOVI_Sueldo[[#This Row],[FECHA]],MOVI_Sueldo[NOMBRE],MOVI_Sueldo[[#This Row],[NOMBRE]])</f>
        <v>15</v>
      </c>
      <c r="AE46" s="7">
        <f>(MOVI_Sueldo[[#This Row],[COSTO DIA]]*30)/DAY(EOMONTH(U46,0))</f>
        <v>116.12903225806451</v>
      </c>
      <c r="AF46" s="8">
        <f>IF(W46&lt;&gt; "descanso forzado",AE46+Z46*AD46,AE46)</f>
        <v>116.12903225806451</v>
      </c>
    </row>
    <row r="47" spans="1:32" x14ac:dyDescent="0.3">
      <c r="A47" s="22">
        <v>45063</v>
      </c>
      <c r="B47" s="11" t="s">
        <v>20</v>
      </c>
      <c r="C47" s="17" t="s">
        <v>21</v>
      </c>
      <c r="D47" s="12"/>
      <c r="E47" s="13">
        <f>(8/48)*MOVI_Jornal[[#This Row],[HORAS]]</f>
        <v>0</v>
      </c>
      <c r="F47" s="13">
        <f>SUM(MOVI_Jornal[[#This Row],[HORAS]:[DOMINICAL]])</f>
        <v>0</v>
      </c>
      <c r="G47" s="14">
        <v>11.875</v>
      </c>
      <c r="H47" s="15">
        <f>MOVI_Jornal[[#This Row],[TOTAL HORAS]]*MOVI_Jornal[[#This Row],[COSTO HH]]</f>
        <v>0</v>
      </c>
      <c r="U47" s="9">
        <v>45061</v>
      </c>
      <c r="V47" s="4" t="s">
        <v>90</v>
      </c>
      <c r="W47" s="5" t="s">
        <v>12</v>
      </c>
      <c r="X47" s="11" t="s">
        <v>14</v>
      </c>
      <c r="Y47" s="5">
        <v>9</v>
      </c>
      <c r="Z47" s="5">
        <f>IF(AND(WEEKDAY(U47,2)&lt;&gt; 7,W47="trabaja"),Y47-(10/COUNTIFS(MOVI_Sueldo[FECHA],MOVI_Sueldo[[#This Row],[FECHA]],MOVI_Sueldo[NOMBRE],MOVI_Sueldo[[#This Row],[NOMBRE]])),IF(WEEKDAY(U47,2)= 7,0,0))</f>
        <v>-1</v>
      </c>
      <c r="AA47" s="5">
        <f t="shared" si="0"/>
        <v>0</v>
      </c>
      <c r="AB47" s="5">
        <f t="shared" si="1"/>
        <v>0</v>
      </c>
      <c r="AC47" s="6">
        <f>VLOOKUP(MOVI_Sueldo[[#This Row],[NOMBRE]],BD_MOVI[],6,0)/COUNTIFS(MOVI_Sueldo[FECHA],MOVI_Sueldo[[#This Row],[FECHA]],MOVI_Sueldo[NOMBRE],MOVI_Sueldo[[#This Row],[NOMBRE]])</f>
        <v>120</v>
      </c>
      <c r="AD47" s="6">
        <f>(MOVI_Sueldo[[#This Row],[COSTO DIA]]*30)/240*COUNTIFS(MOVI_Sueldo[FECHA],MOVI_Sueldo[[#This Row],[FECHA]],MOVI_Sueldo[NOMBRE],MOVI_Sueldo[[#This Row],[NOMBRE]])</f>
        <v>15</v>
      </c>
      <c r="AE47" s="7">
        <f>(MOVI_Sueldo[[#This Row],[COSTO DIA]]*30)/DAY(EOMONTH(U47,0))</f>
        <v>116.12903225806451</v>
      </c>
      <c r="AF47" s="8">
        <f>IF(W47&lt;&gt; "descanso forzado",AE47+Z47*AD47,AE47)</f>
        <v>101.12903225806451</v>
      </c>
    </row>
    <row r="48" spans="1:32" x14ac:dyDescent="0.3">
      <c r="A48" s="22">
        <v>45064</v>
      </c>
      <c r="B48" s="11" t="s">
        <v>20</v>
      </c>
      <c r="C48" s="17" t="s">
        <v>21</v>
      </c>
      <c r="D48" s="12"/>
      <c r="E48" s="13">
        <f>(8/48)*MOVI_Jornal[[#This Row],[HORAS]]</f>
        <v>0</v>
      </c>
      <c r="F48" s="13">
        <f>SUM(MOVI_Jornal[[#This Row],[HORAS]:[DOMINICAL]])</f>
        <v>0</v>
      </c>
      <c r="G48" s="14">
        <v>11.875</v>
      </c>
      <c r="H48" s="15">
        <f>MOVI_Jornal[[#This Row],[TOTAL HORAS]]*MOVI_Jornal[[#This Row],[COSTO HH]]</f>
        <v>0</v>
      </c>
      <c r="U48" s="9">
        <v>45062</v>
      </c>
      <c r="V48" s="4" t="s">
        <v>90</v>
      </c>
      <c r="W48" s="5" t="s">
        <v>12</v>
      </c>
      <c r="X48" s="11" t="s">
        <v>14</v>
      </c>
      <c r="Y48" s="5">
        <v>10</v>
      </c>
      <c r="Z48" s="5">
        <f>IF(AND(WEEKDAY(U48,2)&lt;&gt; 7,W48="trabaja"),Y48-(10/COUNTIFS(MOVI_Sueldo[FECHA],MOVI_Sueldo[[#This Row],[FECHA]],MOVI_Sueldo[NOMBRE],MOVI_Sueldo[[#This Row],[NOMBRE]])),IF(WEEKDAY(U48,2)= 7,0,0))</f>
        <v>0</v>
      </c>
      <c r="AA48" s="5">
        <f t="shared" si="0"/>
        <v>0</v>
      </c>
      <c r="AB48" s="5">
        <f t="shared" si="1"/>
        <v>0</v>
      </c>
      <c r="AC48" s="6">
        <f>VLOOKUP(MOVI_Sueldo[[#This Row],[NOMBRE]],BD_MOVI[],6,0)/COUNTIFS(MOVI_Sueldo[FECHA],MOVI_Sueldo[[#This Row],[FECHA]],MOVI_Sueldo[NOMBRE],MOVI_Sueldo[[#This Row],[NOMBRE]])</f>
        <v>120</v>
      </c>
      <c r="AD48" s="6">
        <f>(MOVI_Sueldo[[#This Row],[COSTO DIA]]*30)/240*COUNTIFS(MOVI_Sueldo[FECHA],MOVI_Sueldo[[#This Row],[FECHA]],MOVI_Sueldo[NOMBRE],MOVI_Sueldo[[#This Row],[NOMBRE]])</f>
        <v>15</v>
      </c>
      <c r="AE48" s="7">
        <f>(MOVI_Sueldo[[#This Row],[COSTO DIA]]*30)/DAY(EOMONTH(U48,0))</f>
        <v>116.12903225806451</v>
      </c>
      <c r="AF48" s="8">
        <f>IF(W48&lt;&gt; "descanso forzado",AE48+Z48*AD48,AE48)</f>
        <v>116.12903225806451</v>
      </c>
    </row>
    <row r="49" spans="1:32" x14ac:dyDescent="0.3">
      <c r="A49" s="22">
        <v>45065</v>
      </c>
      <c r="B49" s="11" t="s">
        <v>20</v>
      </c>
      <c r="C49" s="17" t="s">
        <v>21</v>
      </c>
      <c r="D49" s="12"/>
      <c r="E49" s="13">
        <f>(8/48)*MOVI_Jornal[[#This Row],[HORAS]]</f>
        <v>0</v>
      </c>
      <c r="F49" s="13">
        <f>SUM(MOVI_Jornal[[#This Row],[HORAS]:[DOMINICAL]])</f>
        <v>0</v>
      </c>
      <c r="G49" s="14">
        <v>11.875</v>
      </c>
      <c r="H49" s="15">
        <f>MOVI_Jornal[[#This Row],[TOTAL HORAS]]*MOVI_Jornal[[#This Row],[COSTO HH]]</f>
        <v>0</v>
      </c>
      <c r="U49" s="9">
        <v>45063</v>
      </c>
      <c r="V49" s="4" t="s">
        <v>90</v>
      </c>
      <c r="W49" s="5" t="s">
        <v>12</v>
      </c>
      <c r="X49" s="11" t="s">
        <v>21</v>
      </c>
      <c r="Y49" s="5">
        <v>10</v>
      </c>
      <c r="Z49" s="5">
        <f>IF(AND(WEEKDAY(U49,2)&lt;&gt; 7,W49="trabaja"),Y49-(10/COUNTIFS(MOVI_Sueldo[FECHA],MOVI_Sueldo[[#This Row],[FECHA]],MOVI_Sueldo[NOMBRE],MOVI_Sueldo[[#This Row],[NOMBRE]])),IF(WEEKDAY(U49,2)= 7,0,0))</f>
        <v>0</v>
      </c>
      <c r="AA49" s="5">
        <f t="shared" si="0"/>
        <v>0</v>
      </c>
      <c r="AB49" s="5">
        <f t="shared" si="1"/>
        <v>0</v>
      </c>
      <c r="AC49" s="6">
        <f>VLOOKUP(MOVI_Sueldo[[#This Row],[NOMBRE]],BD_MOVI[],6,0)/COUNTIFS(MOVI_Sueldo[FECHA],MOVI_Sueldo[[#This Row],[FECHA]],MOVI_Sueldo[NOMBRE],MOVI_Sueldo[[#This Row],[NOMBRE]])</f>
        <v>120</v>
      </c>
      <c r="AD49" s="6">
        <f>(MOVI_Sueldo[[#This Row],[COSTO DIA]]*30)/240*COUNTIFS(MOVI_Sueldo[FECHA],MOVI_Sueldo[[#This Row],[FECHA]],MOVI_Sueldo[NOMBRE],MOVI_Sueldo[[#This Row],[NOMBRE]])</f>
        <v>15</v>
      </c>
      <c r="AE49" s="7">
        <f>(MOVI_Sueldo[[#This Row],[COSTO DIA]]*30)/DAY(EOMONTH(U49,0))</f>
        <v>116.12903225806451</v>
      </c>
      <c r="AF49" s="8">
        <f>IF(W49&lt;&gt; "descanso forzado",AE49+Z49*AD49,AE49)</f>
        <v>116.12903225806451</v>
      </c>
    </row>
    <row r="50" spans="1:32" x14ac:dyDescent="0.3">
      <c r="U50" s="9">
        <v>45064</v>
      </c>
      <c r="V50" s="4" t="s">
        <v>90</v>
      </c>
      <c r="W50" s="5" t="s">
        <v>12</v>
      </c>
      <c r="X50" s="11" t="s">
        <v>14</v>
      </c>
      <c r="Y50" s="5">
        <v>11</v>
      </c>
      <c r="Z50" s="5">
        <f>IF(AND(WEEKDAY(U50,2)&lt;&gt; 7,W50="trabaja"),Y50-(10/COUNTIFS(MOVI_Sueldo[FECHA],MOVI_Sueldo[[#This Row],[FECHA]],MOVI_Sueldo[NOMBRE],MOVI_Sueldo[[#This Row],[NOMBRE]])),IF(WEEKDAY(U50,2)= 7,0,0))</f>
        <v>1</v>
      </c>
      <c r="AA50" s="5">
        <f t="shared" si="0"/>
        <v>0</v>
      </c>
      <c r="AB50" s="5">
        <f t="shared" si="1"/>
        <v>0</v>
      </c>
      <c r="AC50" s="6">
        <f>VLOOKUP(MOVI_Sueldo[[#This Row],[NOMBRE]],BD_MOVI[],6,0)/COUNTIFS(MOVI_Sueldo[FECHA],MOVI_Sueldo[[#This Row],[FECHA]],MOVI_Sueldo[NOMBRE],MOVI_Sueldo[[#This Row],[NOMBRE]])</f>
        <v>120</v>
      </c>
      <c r="AD50" s="6">
        <f>(MOVI_Sueldo[[#This Row],[COSTO DIA]]*30)/240*COUNTIFS(MOVI_Sueldo[FECHA],MOVI_Sueldo[[#This Row],[FECHA]],MOVI_Sueldo[NOMBRE],MOVI_Sueldo[[#This Row],[NOMBRE]])</f>
        <v>15</v>
      </c>
      <c r="AE50" s="7">
        <f>(MOVI_Sueldo[[#This Row],[COSTO DIA]]*30)/DAY(EOMONTH(U50,0))</f>
        <v>116.12903225806451</v>
      </c>
      <c r="AF50" s="8">
        <f>IF(W50&lt;&gt; "descanso forzado",AE50+Z50*AD50,AE50)</f>
        <v>131.12903225806451</v>
      </c>
    </row>
    <row r="51" spans="1:32" x14ac:dyDescent="0.3">
      <c r="U51" s="9">
        <v>45065</v>
      </c>
      <c r="V51" s="4" t="s">
        <v>90</v>
      </c>
      <c r="W51" s="5" t="s">
        <v>12</v>
      </c>
      <c r="X51" s="11" t="s">
        <v>21</v>
      </c>
      <c r="Y51" s="5">
        <v>10</v>
      </c>
      <c r="Z51" s="5">
        <f>IF(AND(WEEKDAY(U51,2)&lt;&gt; 7,W51="trabaja"),Y51-(10/COUNTIFS(MOVI_Sueldo[FECHA],MOVI_Sueldo[[#This Row],[FECHA]],MOVI_Sueldo[NOMBRE],MOVI_Sueldo[[#This Row],[NOMBRE]])),IF(WEEKDAY(U51,2)= 7,0,0))</f>
        <v>0</v>
      </c>
      <c r="AA51" s="5">
        <f t="shared" si="0"/>
        <v>0</v>
      </c>
      <c r="AB51" s="5">
        <f t="shared" si="1"/>
        <v>0</v>
      </c>
      <c r="AC51" s="6">
        <f>VLOOKUP(MOVI_Sueldo[[#This Row],[NOMBRE]],BD_MOVI[],6,0)/COUNTIFS(MOVI_Sueldo[FECHA],MOVI_Sueldo[[#This Row],[FECHA]],MOVI_Sueldo[NOMBRE],MOVI_Sueldo[[#This Row],[NOMBRE]])</f>
        <v>120</v>
      </c>
      <c r="AD51" s="6">
        <f>(MOVI_Sueldo[[#This Row],[COSTO DIA]]*30)/240*COUNTIFS(MOVI_Sueldo[FECHA],MOVI_Sueldo[[#This Row],[FECHA]],MOVI_Sueldo[NOMBRE],MOVI_Sueldo[[#This Row],[NOMBRE]])</f>
        <v>15</v>
      </c>
      <c r="AE51" s="7">
        <f>(MOVI_Sueldo[[#This Row],[COSTO DIA]]*30)/DAY(EOMONTH(U51,0))</f>
        <v>116.12903225806451</v>
      </c>
      <c r="AF51" s="8">
        <f>IF(W51&lt;&gt; "descanso forzado",AE51+Z51*AD51,AE51)</f>
        <v>116.12903225806451</v>
      </c>
    </row>
    <row r="52" spans="1:32" x14ac:dyDescent="0.3">
      <c r="U52" s="9">
        <v>45066</v>
      </c>
      <c r="V52" s="4" t="s">
        <v>90</v>
      </c>
      <c r="W52" s="5" t="s">
        <v>15</v>
      </c>
      <c r="X52" s="11" t="s">
        <v>14</v>
      </c>
      <c r="Y52" s="5">
        <v>0</v>
      </c>
      <c r="Z52" s="5">
        <f>IF(AND(WEEKDAY(U52,2)&lt;&gt; 7,W52="trabaja"),Y52-(10/COUNTIFS(MOVI_Sueldo[FECHA],MOVI_Sueldo[[#This Row],[FECHA]],MOVI_Sueldo[NOMBRE],MOVI_Sueldo[[#This Row],[NOMBRE]])),IF(WEEKDAY(U52,2)= 7,0,0))</f>
        <v>0</v>
      </c>
      <c r="AA52" s="5">
        <f t="shared" si="0"/>
        <v>0</v>
      </c>
      <c r="AB52" s="5">
        <f t="shared" si="1"/>
        <v>0</v>
      </c>
      <c r="AC52" s="6">
        <f>VLOOKUP(MOVI_Sueldo[[#This Row],[NOMBRE]],BD_MOVI[],6,0)/COUNTIFS(MOVI_Sueldo[FECHA],MOVI_Sueldo[[#This Row],[FECHA]],MOVI_Sueldo[NOMBRE],MOVI_Sueldo[[#This Row],[NOMBRE]])</f>
        <v>120</v>
      </c>
      <c r="AD52" s="6">
        <f>(MOVI_Sueldo[[#This Row],[COSTO DIA]]*30)/240*COUNTIFS(MOVI_Sueldo[FECHA],MOVI_Sueldo[[#This Row],[FECHA]],MOVI_Sueldo[NOMBRE],MOVI_Sueldo[[#This Row],[NOMBRE]])</f>
        <v>15</v>
      </c>
      <c r="AE52" s="7">
        <f>(MOVI_Sueldo[[#This Row],[COSTO DIA]]*30)/DAY(EOMONTH(U52,0))</f>
        <v>116.12903225806451</v>
      </c>
      <c r="AF52" s="8">
        <f>IF(W52&lt;&gt; "descanso forzado",AE52+Z52*AD52,AE52)</f>
        <v>116.12903225806451</v>
      </c>
    </row>
    <row r="53" spans="1:32" x14ac:dyDescent="0.3">
      <c r="U53" s="9">
        <v>45067</v>
      </c>
      <c r="V53" s="4" t="s">
        <v>90</v>
      </c>
      <c r="W53" s="5" t="s">
        <v>15</v>
      </c>
      <c r="X53" s="11" t="s">
        <v>14</v>
      </c>
      <c r="Y53" s="5">
        <v>0</v>
      </c>
      <c r="Z53" s="5">
        <f>IF(AND(WEEKDAY(U53,2)&lt;&gt; 7,W53="trabaja"),Y53-(10/COUNTIFS(MOVI_Sueldo[FECHA],MOVI_Sueldo[[#This Row],[FECHA]],MOVI_Sueldo[NOMBRE],MOVI_Sueldo[[#This Row],[NOMBRE]])),IF(WEEKDAY(U53,2)= 7,0,0))</f>
        <v>0</v>
      </c>
      <c r="AA53" s="5">
        <f t="shared" si="0"/>
        <v>0</v>
      </c>
      <c r="AB53" s="5">
        <f t="shared" si="1"/>
        <v>0</v>
      </c>
      <c r="AC53" s="6">
        <f>VLOOKUP(MOVI_Sueldo[[#This Row],[NOMBRE]],BD_MOVI[],6,0)/COUNTIFS(MOVI_Sueldo[FECHA],MOVI_Sueldo[[#This Row],[FECHA]],MOVI_Sueldo[NOMBRE],MOVI_Sueldo[[#This Row],[NOMBRE]])</f>
        <v>120</v>
      </c>
      <c r="AD53" s="6">
        <f>(MOVI_Sueldo[[#This Row],[COSTO DIA]]*30)/240*COUNTIFS(MOVI_Sueldo[FECHA],MOVI_Sueldo[[#This Row],[FECHA]],MOVI_Sueldo[NOMBRE],MOVI_Sueldo[[#This Row],[NOMBRE]])</f>
        <v>15</v>
      </c>
      <c r="AE53" s="7">
        <f>(MOVI_Sueldo[[#This Row],[COSTO DIA]]*30)/DAY(EOMONTH(U53,0))</f>
        <v>116.12903225806451</v>
      </c>
      <c r="AF53" s="8">
        <f>IF(W53&lt;&gt; "descanso forzado",AE53+Z53*AD53,AE53)</f>
        <v>116.12903225806451</v>
      </c>
    </row>
    <row r="54" spans="1:32" x14ac:dyDescent="0.3">
      <c r="U54" s="9">
        <v>45068</v>
      </c>
      <c r="V54" s="4" t="s">
        <v>90</v>
      </c>
      <c r="W54" s="5" t="s">
        <v>15</v>
      </c>
      <c r="X54" s="11" t="s">
        <v>14</v>
      </c>
      <c r="Y54" s="5">
        <v>0</v>
      </c>
      <c r="Z54" s="5">
        <f>IF(AND(WEEKDAY(U54,2)&lt;&gt; 7,W54="trabaja"),Y54-(10/COUNTIFS(MOVI_Sueldo[FECHA],MOVI_Sueldo[[#This Row],[FECHA]],MOVI_Sueldo[NOMBRE],MOVI_Sueldo[[#This Row],[NOMBRE]])),IF(WEEKDAY(U54,2)= 7,0,0))</f>
        <v>0</v>
      </c>
      <c r="AA54" s="5">
        <f t="shared" si="0"/>
        <v>0</v>
      </c>
      <c r="AB54" s="5">
        <f t="shared" si="1"/>
        <v>0</v>
      </c>
      <c r="AC54" s="6">
        <f>VLOOKUP(MOVI_Sueldo[[#This Row],[NOMBRE]],BD_MOVI[],6,0)/COUNTIFS(MOVI_Sueldo[FECHA],MOVI_Sueldo[[#This Row],[FECHA]],MOVI_Sueldo[NOMBRE],MOVI_Sueldo[[#This Row],[NOMBRE]])</f>
        <v>120</v>
      </c>
      <c r="AD54" s="6">
        <f>(MOVI_Sueldo[[#This Row],[COSTO DIA]]*30)/240*COUNTIFS(MOVI_Sueldo[FECHA],MOVI_Sueldo[[#This Row],[FECHA]],MOVI_Sueldo[NOMBRE],MOVI_Sueldo[[#This Row],[NOMBRE]])</f>
        <v>15</v>
      </c>
      <c r="AE54" s="7">
        <f>(MOVI_Sueldo[[#This Row],[COSTO DIA]]*30)/DAY(EOMONTH(U54,0))</f>
        <v>116.12903225806451</v>
      </c>
      <c r="AF54" s="8">
        <f>IF(W54&lt;&gt; "descanso forzado",AE54+Z54*AD54,AE54)</f>
        <v>116.12903225806451</v>
      </c>
    </row>
    <row r="55" spans="1:32" x14ac:dyDescent="0.3">
      <c r="U55" s="9">
        <v>45069</v>
      </c>
      <c r="V55" s="4" t="s">
        <v>90</v>
      </c>
      <c r="W55" s="5" t="s">
        <v>15</v>
      </c>
      <c r="X55" s="11" t="s">
        <v>14</v>
      </c>
      <c r="Y55" s="5">
        <v>0</v>
      </c>
      <c r="Z55" s="5">
        <f>IF(AND(WEEKDAY(U55,2)&lt;&gt; 7,W55="trabaja"),Y55-(10/COUNTIFS(MOVI_Sueldo[FECHA],MOVI_Sueldo[[#This Row],[FECHA]],MOVI_Sueldo[NOMBRE],MOVI_Sueldo[[#This Row],[NOMBRE]])),IF(WEEKDAY(U55,2)= 7,0,0))</f>
        <v>0</v>
      </c>
      <c r="AA55" s="5">
        <f t="shared" si="0"/>
        <v>0</v>
      </c>
      <c r="AB55" s="5">
        <f t="shared" si="1"/>
        <v>0</v>
      </c>
      <c r="AC55" s="6">
        <f>VLOOKUP(MOVI_Sueldo[[#This Row],[NOMBRE]],BD_MOVI[],6,0)/COUNTIFS(MOVI_Sueldo[FECHA],MOVI_Sueldo[[#This Row],[FECHA]],MOVI_Sueldo[NOMBRE],MOVI_Sueldo[[#This Row],[NOMBRE]])</f>
        <v>120</v>
      </c>
      <c r="AD55" s="6">
        <f>(MOVI_Sueldo[[#This Row],[COSTO DIA]]*30)/240*COUNTIFS(MOVI_Sueldo[FECHA],MOVI_Sueldo[[#This Row],[FECHA]],MOVI_Sueldo[NOMBRE],MOVI_Sueldo[[#This Row],[NOMBRE]])</f>
        <v>15</v>
      </c>
      <c r="AE55" s="7">
        <f>(MOVI_Sueldo[[#This Row],[COSTO DIA]]*30)/DAY(EOMONTH(U55,0))</f>
        <v>116.12903225806451</v>
      </c>
      <c r="AF55" s="8">
        <f>IF(W55&lt;&gt; "descanso forzado",AE55+Z55*AD55,AE55)</f>
        <v>116.12903225806451</v>
      </c>
    </row>
    <row r="56" spans="1:32" x14ac:dyDescent="0.3">
      <c r="U56" s="9">
        <v>45070</v>
      </c>
      <c r="V56" s="4" t="s">
        <v>90</v>
      </c>
      <c r="W56" s="5" t="s">
        <v>15</v>
      </c>
      <c r="X56" s="11" t="s">
        <v>13</v>
      </c>
      <c r="Y56" s="5">
        <v>0</v>
      </c>
      <c r="Z56" s="5">
        <f>IF(AND(WEEKDAY(U56,2)&lt;&gt; 7,W56="trabaja"),Y56-(10/COUNTIFS(MOVI_Sueldo[FECHA],MOVI_Sueldo[[#This Row],[FECHA]],MOVI_Sueldo[NOMBRE],MOVI_Sueldo[[#This Row],[NOMBRE]])),IF(WEEKDAY(U56,2)= 7,0,0))</f>
        <v>0</v>
      </c>
      <c r="AA56" s="5">
        <f t="shared" si="0"/>
        <v>0</v>
      </c>
      <c r="AB56" s="5">
        <f t="shared" si="1"/>
        <v>0</v>
      </c>
      <c r="AC56" s="6">
        <f>VLOOKUP(MOVI_Sueldo[[#This Row],[NOMBRE]],BD_MOVI[],6,0)/COUNTIFS(MOVI_Sueldo[FECHA],MOVI_Sueldo[[#This Row],[FECHA]],MOVI_Sueldo[NOMBRE],MOVI_Sueldo[[#This Row],[NOMBRE]])</f>
        <v>120</v>
      </c>
      <c r="AD56" s="6">
        <f>(MOVI_Sueldo[[#This Row],[COSTO DIA]]*30)/240*COUNTIFS(MOVI_Sueldo[FECHA],MOVI_Sueldo[[#This Row],[FECHA]],MOVI_Sueldo[NOMBRE],MOVI_Sueldo[[#This Row],[NOMBRE]])</f>
        <v>15</v>
      </c>
      <c r="AE56" s="7">
        <f>(MOVI_Sueldo[[#This Row],[COSTO DIA]]*30)/DAY(EOMONTH(U56,0))</f>
        <v>116.12903225806451</v>
      </c>
      <c r="AF56" s="8">
        <f>IF(W56&lt;&gt; "descanso forzado",AE56+Z56*AD56,AE56)</f>
        <v>116.12903225806451</v>
      </c>
    </row>
    <row r="57" spans="1:32" x14ac:dyDescent="0.3">
      <c r="U57" s="9">
        <v>45071</v>
      </c>
      <c r="V57" s="4" t="s">
        <v>90</v>
      </c>
      <c r="W57" s="5" t="s">
        <v>15</v>
      </c>
      <c r="X57" s="11" t="s">
        <v>13</v>
      </c>
      <c r="Y57" s="5">
        <v>0</v>
      </c>
      <c r="Z57" s="5">
        <f>IF(AND(WEEKDAY(U57,2)&lt;&gt; 7,W57="trabaja"),Y57-(10/COUNTIFS(MOVI_Sueldo[FECHA],MOVI_Sueldo[[#This Row],[FECHA]],MOVI_Sueldo[NOMBRE],MOVI_Sueldo[[#This Row],[NOMBRE]])),IF(WEEKDAY(U57,2)= 7,0,0))</f>
        <v>0</v>
      </c>
      <c r="AA57" s="5">
        <f t="shared" si="0"/>
        <v>0</v>
      </c>
      <c r="AB57" s="5">
        <f t="shared" si="1"/>
        <v>0</v>
      </c>
      <c r="AC57" s="6">
        <f>VLOOKUP(MOVI_Sueldo[[#This Row],[NOMBRE]],BD_MOVI[],6,0)/COUNTIFS(MOVI_Sueldo[FECHA],MOVI_Sueldo[[#This Row],[FECHA]],MOVI_Sueldo[NOMBRE],MOVI_Sueldo[[#This Row],[NOMBRE]])</f>
        <v>120</v>
      </c>
      <c r="AD57" s="6">
        <f>(MOVI_Sueldo[[#This Row],[COSTO DIA]]*30)/240*COUNTIFS(MOVI_Sueldo[FECHA],MOVI_Sueldo[[#This Row],[FECHA]],MOVI_Sueldo[NOMBRE],MOVI_Sueldo[[#This Row],[NOMBRE]])</f>
        <v>15</v>
      </c>
      <c r="AE57" s="7">
        <f>(MOVI_Sueldo[[#This Row],[COSTO DIA]]*30)/DAY(EOMONTH(U57,0))</f>
        <v>116.12903225806451</v>
      </c>
      <c r="AF57" s="8">
        <f>IF(W57&lt;&gt; "descanso forzado",AE57+Z57*AD57,AE57)</f>
        <v>116.12903225806451</v>
      </c>
    </row>
    <row r="58" spans="1:32" x14ac:dyDescent="0.3">
      <c r="U58" s="9">
        <v>45072</v>
      </c>
      <c r="V58" s="4" t="s">
        <v>90</v>
      </c>
      <c r="W58" s="5" t="s">
        <v>15</v>
      </c>
      <c r="X58" s="11" t="s">
        <v>14</v>
      </c>
      <c r="Y58" s="5">
        <v>0</v>
      </c>
      <c r="Z58" s="5">
        <f>IF(AND(WEEKDAY(U58,2)&lt;&gt; 7,W58="trabaja"),Y58-(10/COUNTIFS(MOVI_Sueldo[FECHA],MOVI_Sueldo[[#This Row],[FECHA]],MOVI_Sueldo[NOMBRE],MOVI_Sueldo[[#This Row],[NOMBRE]])),IF(WEEKDAY(U58,2)= 7,0,0))</f>
        <v>0</v>
      </c>
      <c r="AA58" s="5">
        <f t="shared" si="0"/>
        <v>0</v>
      </c>
      <c r="AB58" s="5">
        <f t="shared" si="1"/>
        <v>0</v>
      </c>
      <c r="AC58" s="6">
        <f>VLOOKUP(MOVI_Sueldo[[#This Row],[NOMBRE]],BD_MOVI[],6,0)/COUNTIFS(MOVI_Sueldo[FECHA],MOVI_Sueldo[[#This Row],[FECHA]],MOVI_Sueldo[NOMBRE],MOVI_Sueldo[[#This Row],[NOMBRE]])</f>
        <v>120</v>
      </c>
      <c r="AD58" s="6">
        <f>(MOVI_Sueldo[[#This Row],[COSTO DIA]]*30)/240*COUNTIFS(MOVI_Sueldo[FECHA],MOVI_Sueldo[[#This Row],[FECHA]],MOVI_Sueldo[NOMBRE],MOVI_Sueldo[[#This Row],[NOMBRE]])</f>
        <v>15</v>
      </c>
      <c r="AE58" s="7">
        <f>(MOVI_Sueldo[[#This Row],[COSTO DIA]]*30)/DAY(EOMONTH(U58,0))</f>
        <v>116.12903225806451</v>
      </c>
      <c r="AF58" s="8">
        <f>IF(W58&lt;&gt; "descanso forzado",AE58+Z58*AD58,AE58)</f>
        <v>116.12903225806451</v>
      </c>
    </row>
    <row r="59" spans="1:32" x14ac:dyDescent="0.3">
      <c r="U59" s="9">
        <v>45073</v>
      </c>
      <c r="V59" s="4" t="s">
        <v>90</v>
      </c>
      <c r="W59" s="5" t="s">
        <v>16</v>
      </c>
      <c r="X59" s="11" t="s">
        <v>14</v>
      </c>
      <c r="Y59" s="5">
        <v>0</v>
      </c>
      <c r="Z59" s="5">
        <f>IF(AND(WEEKDAY(U59,2)&lt;&gt; 7,W59="trabaja"),Y59-(10/COUNTIFS(MOVI_Sueldo[FECHA],MOVI_Sueldo[[#This Row],[FECHA]],MOVI_Sueldo[NOMBRE],MOVI_Sueldo[[#This Row],[NOMBRE]])),IF(WEEKDAY(U59,2)= 7,0,0))</f>
        <v>0</v>
      </c>
      <c r="AA59" s="5">
        <f t="shared" si="0"/>
        <v>0</v>
      </c>
      <c r="AB59" s="5">
        <f t="shared" si="1"/>
        <v>10</v>
      </c>
      <c r="AC59" s="6">
        <f>VLOOKUP(MOVI_Sueldo[[#This Row],[NOMBRE]],BD_MOVI[],6,0)/COUNTIFS(MOVI_Sueldo[FECHA],MOVI_Sueldo[[#This Row],[FECHA]],MOVI_Sueldo[NOMBRE],MOVI_Sueldo[[#This Row],[NOMBRE]])</f>
        <v>120</v>
      </c>
      <c r="AD59" s="6">
        <f>(MOVI_Sueldo[[#This Row],[COSTO DIA]]*30)/240*COUNTIFS(MOVI_Sueldo[FECHA],MOVI_Sueldo[[#This Row],[FECHA]],MOVI_Sueldo[NOMBRE],MOVI_Sueldo[[#This Row],[NOMBRE]])</f>
        <v>15</v>
      </c>
      <c r="AE59" s="7">
        <f>(MOVI_Sueldo[[#This Row],[COSTO DIA]]*30)/DAY(EOMONTH(U59,0))</f>
        <v>116.12903225806451</v>
      </c>
      <c r="AF59" s="8">
        <f>IF(W59&lt;&gt; "descanso forzado",AE59+Z59*AD59,AE59)</f>
        <v>116.12903225806451</v>
      </c>
    </row>
    <row r="60" spans="1:32" x14ac:dyDescent="0.3">
      <c r="U60" s="9">
        <v>45074</v>
      </c>
      <c r="V60" s="4" t="s">
        <v>90</v>
      </c>
      <c r="W60" s="5" t="s">
        <v>17</v>
      </c>
      <c r="X60" s="11" t="s">
        <v>21</v>
      </c>
      <c r="Y60" s="5">
        <v>0</v>
      </c>
      <c r="Z60" s="5">
        <f>IF(AND(WEEKDAY(U60,2)&lt;&gt; 7,W60="trabaja"),Y60-(10/COUNTIFS(MOVI_Sueldo[FECHA],MOVI_Sueldo[[#This Row],[FECHA]],MOVI_Sueldo[NOMBRE],MOVI_Sueldo[[#This Row],[NOMBRE]])),IF(WEEKDAY(U60,2)= 7,0,0))</f>
        <v>0</v>
      </c>
      <c r="AA60" s="5">
        <f t="shared" si="0"/>
        <v>0</v>
      </c>
      <c r="AB60" s="5">
        <f t="shared" si="1"/>
        <v>0</v>
      </c>
      <c r="AC60" s="6">
        <f>VLOOKUP(MOVI_Sueldo[[#This Row],[NOMBRE]],BD_MOVI[],6,0)/COUNTIFS(MOVI_Sueldo[FECHA],MOVI_Sueldo[[#This Row],[FECHA]],MOVI_Sueldo[NOMBRE],MOVI_Sueldo[[#This Row],[NOMBRE]])</f>
        <v>120</v>
      </c>
      <c r="AD60" s="6">
        <f>(MOVI_Sueldo[[#This Row],[COSTO DIA]]*30)/240*COUNTIFS(MOVI_Sueldo[FECHA],MOVI_Sueldo[[#This Row],[FECHA]],MOVI_Sueldo[NOMBRE],MOVI_Sueldo[[#This Row],[NOMBRE]])</f>
        <v>15</v>
      </c>
      <c r="AE60" s="7">
        <f>(MOVI_Sueldo[[#This Row],[COSTO DIA]]*30)/DAY(EOMONTH(U60,0))</f>
        <v>116.12903225806451</v>
      </c>
      <c r="AF60" s="8">
        <f>IF(W60&lt;&gt; "descanso forzado",AE60+Z60*AD60,AE60)</f>
        <v>116.12903225806451</v>
      </c>
    </row>
    <row r="61" spans="1:32" x14ac:dyDescent="0.3">
      <c r="U61" s="9">
        <v>45075</v>
      </c>
      <c r="V61" s="4" t="s">
        <v>90</v>
      </c>
      <c r="W61" s="5" t="s">
        <v>17</v>
      </c>
      <c r="X61" s="11" t="s">
        <v>14</v>
      </c>
      <c r="Y61" s="5">
        <v>0</v>
      </c>
      <c r="Z61" s="5">
        <f>IF(AND(WEEKDAY(U61,2)&lt;&gt; 7,W61="trabaja"),Y61-(10/COUNTIFS(MOVI_Sueldo[FECHA],MOVI_Sueldo[[#This Row],[FECHA]],MOVI_Sueldo[NOMBRE],MOVI_Sueldo[[#This Row],[NOMBRE]])),IF(WEEKDAY(U61,2)= 7,0,0))</f>
        <v>0</v>
      </c>
      <c r="AA61" s="5">
        <f t="shared" si="0"/>
        <v>10</v>
      </c>
      <c r="AB61" s="5">
        <f t="shared" si="1"/>
        <v>0</v>
      </c>
      <c r="AC61" s="6">
        <f>VLOOKUP(MOVI_Sueldo[[#This Row],[NOMBRE]],BD_MOVI[],6,0)/COUNTIFS(MOVI_Sueldo[FECHA],MOVI_Sueldo[[#This Row],[FECHA]],MOVI_Sueldo[NOMBRE],MOVI_Sueldo[[#This Row],[NOMBRE]])</f>
        <v>120</v>
      </c>
      <c r="AD61" s="6">
        <f>(MOVI_Sueldo[[#This Row],[COSTO DIA]]*30)/240*COUNTIFS(MOVI_Sueldo[FECHA],MOVI_Sueldo[[#This Row],[FECHA]],MOVI_Sueldo[NOMBRE],MOVI_Sueldo[[#This Row],[NOMBRE]])</f>
        <v>15</v>
      </c>
      <c r="AE61" s="7">
        <f>(MOVI_Sueldo[[#This Row],[COSTO DIA]]*30)/DAY(EOMONTH(U61,0))</f>
        <v>116.12903225806451</v>
      </c>
      <c r="AF61" s="8">
        <f>IF(W61&lt;&gt; "descanso forzado",AE61+Z61*AD61,AE61)</f>
        <v>116.12903225806451</v>
      </c>
    </row>
    <row r="62" spans="1:32" x14ac:dyDescent="0.3">
      <c r="U62" s="9">
        <v>45076</v>
      </c>
      <c r="V62" s="4" t="s">
        <v>90</v>
      </c>
      <c r="W62" s="5" t="s">
        <v>17</v>
      </c>
      <c r="X62" s="11" t="s">
        <v>21</v>
      </c>
      <c r="Y62" s="5">
        <v>0</v>
      </c>
      <c r="Z62" s="5">
        <f>IF(AND(WEEKDAY(U62,2)&lt;&gt; 7,W62="trabaja"),Y62-(10/COUNTIFS(MOVI_Sueldo[FECHA],MOVI_Sueldo[[#This Row],[FECHA]],MOVI_Sueldo[NOMBRE],MOVI_Sueldo[[#This Row],[NOMBRE]])),IF(WEEKDAY(U62,2)= 7,0,0))</f>
        <v>0</v>
      </c>
      <c r="AA62" s="5">
        <f t="shared" si="0"/>
        <v>10</v>
      </c>
      <c r="AB62" s="5">
        <f t="shared" si="1"/>
        <v>0</v>
      </c>
      <c r="AC62" s="6">
        <f>VLOOKUP(MOVI_Sueldo[[#This Row],[NOMBRE]],BD_MOVI[],6,0)/COUNTIFS(MOVI_Sueldo[FECHA],MOVI_Sueldo[[#This Row],[FECHA]],MOVI_Sueldo[NOMBRE],MOVI_Sueldo[[#This Row],[NOMBRE]])</f>
        <v>120</v>
      </c>
      <c r="AD62" s="6">
        <f>(MOVI_Sueldo[[#This Row],[COSTO DIA]]*30)/240*COUNTIFS(MOVI_Sueldo[FECHA],MOVI_Sueldo[[#This Row],[FECHA]],MOVI_Sueldo[NOMBRE],MOVI_Sueldo[[#This Row],[NOMBRE]])</f>
        <v>15</v>
      </c>
      <c r="AE62" s="7">
        <f>(MOVI_Sueldo[[#This Row],[COSTO DIA]]*30)/DAY(EOMONTH(U62,0))</f>
        <v>116.12903225806451</v>
      </c>
      <c r="AF62" s="8">
        <f>IF(W62&lt;&gt; "descanso forzado",AE62+Z62*AD62,AE62)</f>
        <v>116.12903225806451</v>
      </c>
    </row>
    <row r="63" spans="1:32" x14ac:dyDescent="0.3">
      <c r="U63" s="9">
        <v>45077</v>
      </c>
      <c r="V63" s="4" t="s">
        <v>90</v>
      </c>
      <c r="W63" s="5" t="s">
        <v>17</v>
      </c>
      <c r="X63" s="11" t="s">
        <v>14</v>
      </c>
      <c r="Y63" s="5">
        <v>0</v>
      </c>
      <c r="Z63" s="5">
        <f>IF(AND(WEEKDAY(U63,2)&lt;&gt; 7,W63="trabaja"),Y63-(10/COUNTIFS(MOVI_Sueldo[FECHA],MOVI_Sueldo[[#This Row],[FECHA]],MOVI_Sueldo[NOMBRE],MOVI_Sueldo[[#This Row],[NOMBRE]])),IF(WEEKDAY(U63,2)= 7,0,0))</f>
        <v>0</v>
      </c>
      <c r="AA63" s="5">
        <f t="shared" si="0"/>
        <v>10</v>
      </c>
      <c r="AB63" s="5">
        <f t="shared" si="1"/>
        <v>0</v>
      </c>
      <c r="AC63" s="6">
        <f>VLOOKUP(MOVI_Sueldo[[#This Row],[NOMBRE]],BD_MOVI[],6,0)/COUNTIFS(MOVI_Sueldo[FECHA],MOVI_Sueldo[[#This Row],[FECHA]],MOVI_Sueldo[NOMBRE],MOVI_Sueldo[[#This Row],[NOMBRE]])</f>
        <v>120</v>
      </c>
      <c r="AD63" s="6">
        <f>(MOVI_Sueldo[[#This Row],[COSTO DIA]]*30)/240*COUNTIFS(MOVI_Sueldo[FECHA],MOVI_Sueldo[[#This Row],[FECHA]],MOVI_Sueldo[NOMBRE],MOVI_Sueldo[[#This Row],[NOMBRE]])</f>
        <v>15</v>
      </c>
      <c r="AE63" s="7">
        <f>(MOVI_Sueldo[[#This Row],[COSTO DIA]]*30)/DAY(EOMONTH(U63,0))</f>
        <v>116.12903225806451</v>
      </c>
      <c r="AF63" s="8">
        <f>IF(W63&lt;&gt; "descanso forzado",AE63+Z63*AD63,AE63)</f>
        <v>116.12903225806451</v>
      </c>
    </row>
  </sheetData>
  <conditionalFormatting sqref="G2:G49">
    <cfRule type="containsText" dxfId="20" priority="12" operator="containsText" text="0">
      <formula>NOT(ISERROR(SEARCH("0",G2)))</formula>
    </cfRule>
  </conditionalFormatting>
  <conditionalFormatting sqref="H2:H49">
    <cfRule type="cellIs" dxfId="19" priority="11" operator="equal">
      <formula>0</formula>
    </cfRule>
  </conditionalFormatting>
  <conditionalFormatting sqref="Z2:Z63">
    <cfRule type="cellIs" dxfId="18" priority="7" operator="greaterThan">
      <formula>0</formula>
    </cfRule>
    <cfRule type="cellIs" dxfId="17" priority="8" operator="lessThan">
      <formula>0</formula>
    </cfRule>
  </conditionalFormatting>
  <conditionalFormatting sqref="P3:P9">
    <cfRule type="containsText" dxfId="16" priority="3" operator="containsText" text="PASADO">
      <formula>NOT(ISERROR(SEARCH("PASADO",P3)))</formula>
    </cfRule>
    <cfRule type="containsText" dxfId="15" priority="5" operator="containsText" text="POR DIAS">
      <formula>NOT(ISERROR(SEARCH("POR DIAS",P3)))</formula>
    </cfRule>
    <cfRule type="containsText" dxfId="14" priority="6" operator="containsText" text="ANUAL">
      <formula>NOT(ISERROR(SEARCH("ANUAL",P3)))</formula>
    </cfRule>
  </conditionalFormatting>
  <conditionalFormatting sqref="R3:R9">
    <cfRule type="containsText" dxfId="13" priority="4" operator="containsText" text="COMPRA HORAS">
      <formula>NOT(ISERROR(SEARCH("COMPRA HORAS",R3)))</formula>
    </cfRule>
  </conditionalFormatting>
  <conditionalFormatting sqref="L3:N9">
    <cfRule type="expression" dxfId="12" priority="13">
      <formula>$Y2="POR DIAS"</formula>
    </cfRule>
  </conditionalFormatting>
  <conditionalFormatting sqref="AA2:AA63">
    <cfRule type="cellIs" dxfId="11" priority="2" operator="greaterThan">
      <formula>0</formula>
    </cfRule>
  </conditionalFormatting>
  <conditionalFormatting sqref="AB2:AB63">
    <cfRule type="cellIs" dxfId="10" priority="1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08FE-F819-4400-8D41-90D37B08331E}">
  <sheetPr codeName="Hoja6">
    <tabColor theme="5" tint="0.39997558519241921"/>
  </sheetPr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B7CA-0867-4949-A16A-6CFBDB87FD92}">
  <sheetPr codeName="Hoja7"/>
  <dimension ref="A1:AB32"/>
  <sheetViews>
    <sheetView topLeftCell="F1" zoomScale="115" zoomScaleNormal="115" workbookViewId="0">
      <selection activeCell="O20" sqref="O20"/>
    </sheetView>
  </sheetViews>
  <sheetFormatPr baseColWidth="10" defaultRowHeight="14.4" x14ac:dyDescent="0.3"/>
  <cols>
    <col min="1" max="1" width="8.88671875" bestFit="1" customWidth="1"/>
    <col min="2" max="2" width="10.88671875" bestFit="1" customWidth="1"/>
    <col min="3" max="3" width="36.77734375" customWidth="1"/>
    <col min="4" max="4" width="11.88671875" customWidth="1"/>
    <col min="5" max="5" width="10.109375" bestFit="1" customWidth="1"/>
    <col min="6" max="6" width="3.5546875" bestFit="1" customWidth="1"/>
    <col min="7" max="7" width="9.109375" bestFit="1" customWidth="1"/>
    <col min="8" max="8" width="10.109375" bestFit="1" customWidth="1"/>
    <col min="9" max="9" width="3.5546875" bestFit="1" customWidth="1"/>
    <col min="10" max="11" width="9.109375" bestFit="1" customWidth="1"/>
    <col min="12" max="12" width="4.5546875" bestFit="1" customWidth="1"/>
    <col min="13" max="13" width="9.109375" bestFit="1" customWidth="1"/>
    <col min="14" max="14" width="10.109375" bestFit="1" customWidth="1"/>
    <col min="15" max="15" width="3.5546875" bestFit="1" customWidth="1"/>
    <col min="16" max="16" width="9.109375" bestFit="1" customWidth="1"/>
    <col min="17" max="17" width="10.109375" bestFit="1" customWidth="1"/>
    <col min="18" max="18" width="3.5546875" bestFit="1" customWidth="1"/>
    <col min="19" max="19" width="9.109375" bestFit="1" customWidth="1"/>
    <col min="20" max="20" width="10.109375" bestFit="1" customWidth="1"/>
    <col min="21" max="21" width="3.5546875" bestFit="1" customWidth="1"/>
    <col min="22" max="22" width="9.21875" bestFit="1" customWidth="1"/>
    <col min="23" max="23" width="10.33203125" bestFit="1" customWidth="1"/>
    <col min="24" max="24" width="3.5546875" bestFit="1" customWidth="1"/>
    <col min="25" max="25" width="9.21875" bestFit="1" customWidth="1"/>
    <col min="26" max="26" width="10.33203125" bestFit="1" customWidth="1"/>
    <col min="27" max="27" width="3.5546875" bestFit="1" customWidth="1"/>
    <col min="28" max="28" width="11.21875" bestFit="1" customWidth="1"/>
  </cols>
  <sheetData>
    <row r="1" spans="1:28" ht="16.2" thickBot="1" x14ac:dyDescent="0.35">
      <c r="A1" s="62" t="s">
        <v>110</v>
      </c>
      <c r="B1" s="63"/>
      <c r="C1" s="64"/>
      <c r="D1" s="46" t="s">
        <v>113</v>
      </c>
      <c r="E1" s="46"/>
      <c r="F1" s="46"/>
      <c r="G1" s="47" t="s">
        <v>118</v>
      </c>
      <c r="H1" s="47"/>
      <c r="I1" s="47"/>
      <c r="J1" s="48" t="s">
        <v>103</v>
      </c>
      <c r="K1" s="48"/>
      <c r="L1" s="48"/>
      <c r="M1" s="49" t="s">
        <v>104</v>
      </c>
      <c r="N1" s="49"/>
      <c r="O1" s="49"/>
      <c r="P1" s="50" t="s">
        <v>105</v>
      </c>
      <c r="Q1" s="50"/>
      <c r="R1" s="50"/>
      <c r="S1" s="51" t="s">
        <v>106</v>
      </c>
      <c r="T1" s="51"/>
      <c r="U1" s="51"/>
      <c r="V1" s="52" t="s">
        <v>107</v>
      </c>
      <c r="W1" s="52"/>
      <c r="X1" s="52"/>
      <c r="Y1" s="53" t="s">
        <v>108</v>
      </c>
      <c r="Z1" s="53"/>
      <c r="AA1" s="53"/>
    </row>
    <row r="2" spans="1:28" ht="15" thickBot="1" x14ac:dyDescent="0.35">
      <c r="A2" s="60" t="s">
        <v>109</v>
      </c>
      <c r="B2" s="60" t="s">
        <v>0</v>
      </c>
      <c r="C2" s="60" t="s">
        <v>112</v>
      </c>
      <c r="D2" s="44" t="s">
        <v>116</v>
      </c>
      <c r="E2" s="44" t="s">
        <v>117</v>
      </c>
      <c r="F2" s="58" t="s">
        <v>101</v>
      </c>
      <c r="G2" s="44" t="s">
        <v>116</v>
      </c>
      <c r="H2" s="44" t="s">
        <v>117</v>
      </c>
      <c r="I2" s="58" t="s">
        <v>101</v>
      </c>
      <c r="J2" s="44" t="s">
        <v>116</v>
      </c>
      <c r="K2" s="44" t="s">
        <v>117</v>
      </c>
      <c r="L2" s="58" t="s">
        <v>101</v>
      </c>
      <c r="M2" s="44" t="s">
        <v>116</v>
      </c>
      <c r="N2" s="44" t="s">
        <v>117</v>
      </c>
      <c r="O2" s="58" t="s">
        <v>101</v>
      </c>
      <c r="P2" s="44" t="s">
        <v>116</v>
      </c>
      <c r="Q2" s="44" t="s">
        <v>117</v>
      </c>
      <c r="R2" s="58" t="s">
        <v>101</v>
      </c>
      <c r="S2" s="44" t="s">
        <v>116</v>
      </c>
      <c r="T2" s="44" t="s">
        <v>117</v>
      </c>
      <c r="U2" s="58" t="s">
        <v>101</v>
      </c>
      <c r="V2" s="44" t="s">
        <v>116</v>
      </c>
      <c r="W2" s="44" t="s">
        <v>117</v>
      </c>
      <c r="X2" s="58" t="s">
        <v>101</v>
      </c>
      <c r="Y2" s="44" t="s">
        <v>116</v>
      </c>
      <c r="Z2" s="44" t="s">
        <v>117</v>
      </c>
      <c r="AA2" s="58" t="s">
        <v>101</v>
      </c>
      <c r="AB2" s="59" t="s">
        <v>111</v>
      </c>
    </row>
    <row r="3" spans="1:28" x14ac:dyDescent="0.3">
      <c r="A3" s="54" t="str">
        <f>IFERROR(TEXT(B3,"dddd"),"-")</f>
        <v>martes</v>
      </c>
      <c r="B3" s="55">
        <v>45034</v>
      </c>
      <c r="C3" s="43" t="s">
        <v>64</v>
      </c>
      <c r="D3" s="56">
        <v>0.33333333333333331</v>
      </c>
      <c r="E3" s="56">
        <v>0.52083333333333337</v>
      </c>
      <c r="F3" s="61">
        <f>24*(E3-D3)</f>
        <v>4.5000000000000018</v>
      </c>
      <c r="G3" s="56">
        <v>0.33333333333333331</v>
      </c>
      <c r="H3" s="56">
        <v>0.52083333333333337</v>
      </c>
      <c r="I3" s="61">
        <f>24*(H3-G3)</f>
        <v>4.5000000000000018</v>
      </c>
      <c r="J3" s="56">
        <v>0.33333333333333331</v>
      </c>
      <c r="K3" s="56">
        <v>0.75</v>
      </c>
      <c r="L3" s="61">
        <f>24*(K3-J3)</f>
        <v>10</v>
      </c>
      <c r="M3" s="56">
        <v>0.33333333333333331</v>
      </c>
      <c r="N3" s="56">
        <v>0.52083333333333337</v>
      </c>
      <c r="O3" s="61">
        <f>24*(N3-M3)</f>
        <v>4.5000000000000018</v>
      </c>
      <c r="P3" s="56">
        <v>0.33333333333333331</v>
      </c>
      <c r="Q3" s="56">
        <v>0.52083333333333337</v>
      </c>
      <c r="R3" s="61">
        <f>24*(Q3-P3)</f>
        <v>4.5000000000000018</v>
      </c>
      <c r="S3" s="56">
        <v>0.33333333333333331</v>
      </c>
      <c r="T3" s="56">
        <v>0.52083333333333337</v>
      </c>
      <c r="U3" s="61">
        <f>24*(T3-S3)</f>
        <v>4.5000000000000018</v>
      </c>
      <c r="V3" s="56">
        <v>0.33333333333333331</v>
      </c>
      <c r="W3" s="56">
        <v>0.52083333333333337</v>
      </c>
      <c r="X3" s="61">
        <f>24*(W3-V3)</f>
        <v>4.5000000000000018</v>
      </c>
      <c r="Y3" s="56">
        <v>0.33333333333333331</v>
      </c>
      <c r="Z3" s="56">
        <v>0.52083333333333337</v>
      </c>
      <c r="AA3" s="61">
        <f>24*(Z3-Y3)</f>
        <v>4.5000000000000018</v>
      </c>
      <c r="AB3" s="57">
        <f>SUM(F3,I3,L3,O3,R3,U3,X3,AA3)</f>
        <v>41.500000000000007</v>
      </c>
    </row>
    <row r="4" spans="1:28" x14ac:dyDescent="0.3">
      <c r="A4" s="54" t="str">
        <f t="shared" ref="A4:A18" si="0">IFERROR(TEXT(B4,"dddd"),"-")</f>
        <v>martes</v>
      </c>
      <c r="B4" s="55">
        <v>45034</v>
      </c>
      <c r="C4" s="43" t="s">
        <v>65</v>
      </c>
      <c r="D4" s="5"/>
      <c r="E4" s="5"/>
      <c r="F4" s="61">
        <f t="shared" ref="F4:F18" si="1">24*(E4-D4)</f>
        <v>0</v>
      </c>
      <c r="G4" s="5"/>
      <c r="H4" s="5"/>
      <c r="I4" s="61">
        <f t="shared" ref="I4:I18" si="2">24*(H4-G4)</f>
        <v>0</v>
      </c>
      <c r="J4" s="5"/>
      <c r="K4" s="5"/>
      <c r="L4" s="61">
        <f t="shared" ref="L4:L18" si="3">24*(K4-J4)</f>
        <v>0</v>
      </c>
      <c r="M4" s="5"/>
      <c r="N4" s="5"/>
      <c r="O4" s="61">
        <f t="shared" ref="O4:O18" si="4">24*(N4-M4)</f>
        <v>0</v>
      </c>
      <c r="P4" s="5"/>
      <c r="Q4" s="5"/>
      <c r="R4" s="61">
        <f t="shared" ref="R4:R18" si="5">24*(Q4-P4)</f>
        <v>0</v>
      </c>
      <c r="S4" s="5"/>
      <c r="T4" s="5"/>
      <c r="U4" s="61">
        <f t="shared" ref="U4:U18" si="6">24*(T4-S4)</f>
        <v>0</v>
      </c>
      <c r="V4" s="5"/>
      <c r="W4" s="5"/>
      <c r="X4" s="61">
        <f t="shared" ref="X4:X18" si="7">24*(W4-V4)</f>
        <v>0</v>
      </c>
      <c r="Y4" s="5"/>
      <c r="Z4" s="5"/>
      <c r="AA4" s="61">
        <f t="shared" ref="AA4:AA18" si="8">24*(Z4-Y4)</f>
        <v>0</v>
      </c>
      <c r="AB4" s="45"/>
    </row>
    <row r="5" spans="1:28" x14ac:dyDescent="0.3">
      <c r="A5" s="54" t="str">
        <f t="shared" si="0"/>
        <v>martes</v>
      </c>
      <c r="B5" s="55">
        <v>45034</v>
      </c>
      <c r="C5" s="43" t="s">
        <v>67</v>
      </c>
      <c r="D5" s="5"/>
      <c r="E5" s="5"/>
      <c r="F5" s="61">
        <f t="shared" si="1"/>
        <v>0</v>
      </c>
      <c r="G5" s="5"/>
      <c r="H5" s="5"/>
      <c r="I5" s="61">
        <f t="shared" si="2"/>
        <v>0</v>
      </c>
      <c r="J5" s="5"/>
      <c r="K5" s="5"/>
      <c r="L5" s="61">
        <f t="shared" si="3"/>
        <v>0</v>
      </c>
      <c r="M5" s="5"/>
      <c r="N5" s="5"/>
      <c r="O5" s="61">
        <f t="shared" si="4"/>
        <v>0</v>
      </c>
      <c r="P5" s="5"/>
      <c r="Q5" s="5"/>
      <c r="R5" s="61">
        <f t="shared" si="5"/>
        <v>0</v>
      </c>
      <c r="S5" s="5"/>
      <c r="T5" s="5"/>
      <c r="U5" s="61">
        <f t="shared" si="6"/>
        <v>0</v>
      </c>
      <c r="V5" s="5"/>
      <c r="W5" s="5"/>
      <c r="X5" s="61">
        <f t="shared" si="7"/>
        <v>0</v>
      </c>
      <c r="Y5" s="5"/>
      <c r="Z5" s="5"/>
      <c r="AA5" s="61">
        <f t="shared" si="8"/>
        <v>0</v>
      </c>
      <c r="AB5" s="45"/>
    </row>
    <row r="6" spans="1:28" x14ac:dyDescent="0.3">
      <c r="A6" s="54" t="str">
        <f t="shared" si="0"/>
        <v>martes</v>
      </c>
      <c r="B6" s="55">
        <v>45034</v>
      </c>
      <c r="C6" s="43" t="s">
        <v>68</v>
      </c>
      <c r="D6" s="5"/>
      <c r="E6" s="5"/>
      <c r="F6" s="61">
        <f t="shared" si="1"/>
        <v>0</v>
      </c>
      <c r="G6" s="5"/>
      <c r="H6" s="5"/>
      <c r="I6" s="61">
        <f t="shared" si="2"/>
        <v>0</v>
      </c>
      <c r="J6" s="5"/>
      <c r="K6" s="5"/>
      <c r="L6" s="61">
        <f t="shared" si="3"/>
        <v>0</v>
      </c>
      <c r="M6" s="5"/>
      <c r="N6" s="5"/>
      <c r="O6" s="61">
        <f t="shared" si="4"/>
        <v>0</v>
      </c>
      <c r="P6" s="5"/>
      <c r="Q6" s="5"/>
      <c r="R6" s="61">
        <f t="shared" si="5"/>
        <v>0</v>
      </c>
      <c r="S6" s="5"/>
      <c r="T6" s="5"/>
      <c r="U6" s="61">
        <f t="shared" si="6"/>
        <v>0</v>
      </c>
      <c r="V6" s="5"/>
      <c r="W6" s="5"/>
      <c r="X6" s="61">
        <f t="shared" si="7"/>
        <v>0</v>
      </c>
      <c r="Y6" s="5"/>
      <c r="Z6" s="5"/>
      <c r="AA6" s="61">
        <f t="shared" si="8"/>
        <v>0</v>
      </c>
      <c r="AB6" s="45"/>
    </row>
    <row r="7" spans="1:28" x14ac:dyDescent="0.3">
      <c r="A7" s="54" t="str">
        <f t="shared" si="0"/>
        <v>martes</v>
      </c>
      <c r="B7" s="55">
        <v>45034</v>
      </c>
      <c r="C7" s="43" t="s">
        <v>69</v>
      </c>
      <c r="D7" s="5"/>
      <c r="E7" s="5"/>
      <c r="F7" s="61">
        <f t="shared" si="1"/>
        <v>0</v>
      </c>
      <c r="G7" s="5"/>
      <c r="H7" s="5"/>
      <c r="I7" s="61">
        <f t="shared" si="2"/>
        <v>0</v>
      </c>
      <c r="J7" s="5"/>
      <c r="K7" s="5"/>
      <c r="L7" s="61">
        <f t="shared" si="3"/>
        <v>0</v>
      </c>
      <c r="M7" s="5"/>
      <c r="N7" s="5"/>
      <c r="O7" s="61">
        <f t="shared" si="4"/>
        <v>0</v>
      </c>
      <c r="P7" s="5"/>
      <c r="Q7" s="5"/>
      <c r="R7" s="61">
        <f t="shared" si="5"/>
        <v>0</v>
      </c>
      <c r="S7" s="5"/>
      <c r="T7" s="5"/>
      <c r="U7" s="61">
        <f t="shared" si="6"/>
        <v>0</v>
      </c>
      <c r="V7" s="5"/>
      <c r="W7" s="5"/>
      <c r="X7" s="61">
        <f t="shared" si="7"/>
        <v>0</v>
      </c>
      <c r="Y7" s="5"/>
      <c r="Z7" s="5"/>
      <c r="AA7" s="61">
        <f t="shared" si="8"/>
        <v>0</v>
      </c>
      <c r="AB7" s="45"/>
    </row>
    <row r="8" spans="1:28" x14ac:dyDescent="0.3">
      <c r="A8" s="54" t="str">
        <f t="shared" si="0"/>
        <v>martes</v>
      </c>
      <c r="B8" s="55">
        <v>45034</v>
      </c>
      <c r="C8" s="43" t="s">
        <v>70</v>
      </c>
      <c r="D8" s="5"/>
      <c r="E8" s="5"/>
      <c r="F8" s="61">
        <f t="shared" si="1"/>
        <v>0</v>
      </c>
      <c r="G8" s="5"/>
      <c r="H8" s="5"/>
      <c r="I8" s="61">
        <f t="shared" si="2"/>
        <v>0</v>
      </c>
      <c r="J8" s="5"/>
      <c r="K8" s="5"/>
      <c r="L8" s="61">
        <f t="shared" si="3"/>
        <v>0</v>
      </c>
      <c r="M8" s="5"/>
      <c r="N8" s="5"/>
      <c r="O8" s="61">
        <f t="shared" si="4"/>
        <v>0</v>
      </c>
      <c r="P8" s="5"/>
      <c r="Q8" s="5"/>
      <c r="R8" s="61">
        <f t="shared" si="5"/>
        <v>0</v>
      </c>
      <c r="S8" s="5"/>
      <c r="T8" s="5"/>
      <c r="U8" s="61">
        <f t="shared" si="6"/>
        <v>0</v>
      </c>
      <c r="V8" s="5"/>
      <c r="W8" s="5"/>
      <c r="X8" s="61">
        <f t="shared" si="7"/>
        <v>0</v>
      </c>
      <c r="Y8" s="5"/>
      <c r="Z8" s="5"/>
      <c r="AA8" s="61">
        <f t="shared" si="8"/>
        <v>0</v>
      </c>
      <c r="AB8" s="45"/>
    </row>
    <row r="9" spans="1:28" x14ac:dyDescent="0.3">
      <c r="A9" s="54" t="str">
        <f t="shared" si="0"/>
        <v>martes</v>
      </c>
      <c r="B9" s="55">
        <v>45034</v>
      </c>
      <c r="C9" s="43" t="s">
        <v>71</v>
      </c>
      <c r="D9" s="5"/>
      <c r="E9" s="5"/>
      <c r="F9" s="61">
        <f t="shared" si="1"/>
        <v>0</v>
      </c>
      <c r="G9" s="5"/>
      <c r="H9" s="5"/>
      <c r="I9" s="61">
        <f t="shared" si="2"/>
        <v>0</v>
      </c>
      <c r="J9" s="5"/>
      <c r="K9" s="5"/>
      <c r="L9" s="61">
        <f t="shared" si="3"/>
        <v>0</v>
      </c>
      <c r="M9" s="5"/>
      <c r="N9" s="5"/>
      <c r="O9" s="61">
        <f t="shared" si="4"/>
        <v>0</v>
      </c>
      <c r="P9" s="5"/>
      <c r="Q9" s="5"/>
      <c r="R9" s="61">
        <f t="shared" si="5"/>
        <v>0</v>
      </c>
      <c r="S9" s="5"/>
      <c r="T9" s="5"/>
      <c r="U9" s="61">
        <f t="shared" si="6"/>
        <v>0</v>
      </c>
      <c r="V9" s="5"/>
      <c r="W9" s="5"/>
      <c r="X9" s="61">
        <f t="shared" si="7"/>
        <v>0</v>
      </c>
      <c r="Y9" s="5"/>
      <c r="Z9" s="5"/>
      <c r="AA9" s="61">
        <f t="shared" si="8"/>
        <v>0</v>
      </c>
      <c r="AB9" s="45"/>
    </row>
    <row r="10" spans="1:28" x14ac:dyDescent="0.3">
      <c r="A10" s="54" t="str">
        <f t="shared" si="0"/>
        <v>martes</v>
      </c>
      <c r="B10" s="55">
        <v>45034</v>
      </c>
      <c r="C10" s="43" t="s">
        <v>72</v>
      </c>
      <c r="D10" s="5"/>
      <c r="E10" s="5"/>
      <c r="F10" s="61">
        <f t="shared" si="1"/>
        <v>0</v>
      </c>
      <c r="G10" s="5"/>
      <c r="H10" s="5"/>
      <c r="I10" s="61">
        <f t="shared" si="2"/>
        <v>0</v>
      </c>
      <c r="J10" s="5"/>
      <c r="K10" s="5"/>
      <c r="L10" s="61">
        <f t="shared" si="3"/>
        <v>0</v>
      </c>
      <c r="M10" s="5"/>
      <c r="N10" s="5"/>
      <c r="O10" s="61">
        <f t="shared" si="4"/>
        <v>0</v>
      </c>
      <c r="P10" s="5"/>
      <c r="Q10" s="5"/>
      <c r="R10" s="61">
        <f t="shared" si="5"/>
        <v>0</v>
      </c>
      <c r="S10" s="5"/>
      <c r="T10" s="5"/>
      <c r="U10" s="61">
        <f t="shared" si="6"/>
        <v>0</v>
      </c>
      <c r="V10" s="5"/>
      <c r="W10" s="5"/>
      <c r="X10" s="61">
        <f t="shared" si="7"/>
        <v>0</v>
      </c>
      <c r="Y10" s="5"/>
      <c r="Z10" s="5"/>
      <c r="AA10" s="61">
        <f t="shared" si="8"/>
        <v>0</v>
      </c>
      <c r="AB10" s="45"/>
    </row>
    <row r="11" spans="1:28" x14ac:dyDescent="0.3">
      <c r="A11" s="54" t="str">
        <f t="shared" si="0"/>
        <v>martes</v>
      </c>
      <c r="B11" s="55">
        <v>45034</v>
      </c>
      <c r="C11" s="43" t="s">
        <v>73</v>
      </c>
      <c r="D11" s="5"/>
      <c r="E11" s="5"/>
      <c r="F11" s="61">
        <f t="shared" si="1"/>
        <v>0</v>
      </c>
      <c r="G11" s="5"/>
      <c r="H11" s="5"/>
      <c r="I11" s="61">
        <f t="shared" si="2"/>
        <v>0</v>
      </c>
      <c r="J11" s="5"/>
      <c r="K11" s="5"/>
      <c r="L11" s="61">
        <f t="shared" si="3"/>
        <v>0</v>
      </c>
      <c r="M11" s="5"/>
      <c r="N11" s="5"/>
      <c r="O11" s="61">
        <f t="shared" si="4"/>
        <v>0</v>
      </c>
      <c r="P11" s="5"/>
      <c r="Q11" s="5"/>
      <c r="R11" s="61">
        <f t="shared" si="5"/>
        <v>0</v>
      </c>
      <c r="S11" s="5"/>
      <c r="T11" s="5"/>
      <c r="U11" s="61">
        <f t="shared" si="6"/>
        <v>0</v>
      </c>
      <c r="V11" s="5"/>
      <c r="W11" s="5"/>
      <c r="X11" s="61">
        <f t="shared" si="7"/>
        <v>0</v>
      </c>
      <c r="Y11" s="5"/>
      <c r="Z11" s="5"/>
      <c r="AA11" s="61">
        <f t="shared" si="8"/>
        <v>0</v>
      </c>
      <c r="AB11" s="45"/>
    </row>
    <row r="12" spans="1:28" x14ac:dyDescent="0.3">
      <c r="A12" s="54" t="str">
        <f t="shared" si="0"/>
        <v>miércoles</v>
      </c>
      <c r="B12" s="55">
        <v>45035</v>
      </c>
      <c r="C12" s="43" t="s">
        <v>67</v>
      </c>
      <c r="D12" s="5"/>
      <c r="E12" s="5"/>
      <c r="F12" s="61">
        <f t="shared" si="1"/>
        <v>0</v>
      </c>
      <c r="G12" s="5"/>
      <c r="H12" s="5"/>
      <c r="I12" s="61">
        <f t="shared" si="2"/>
        <v>0</v>
      </c>
      <c r="J12" s="5"/>
      <c r="K12" s="5"/>
      <c r="L12" s="61">
        <f t="shared" si="3"/>
        <v>0</v>
      </c>
      <c r="M12" s="5"/>
      <c r="N12" s="5"/>
      <c r="O12" s="61">
        <f t="shared" si="4"/>
        <v>0</v>
      </c>
      <c r="P12" s="5"/>
      <c r="Q12" s="5"/>
      <c r="R12" s="61">
        <f t="shared" si="5"/>
        <v>0</v>
      </c>
      <c r="S12" s="5"/>
      <c r="T12" s="5"/>
      <c r="U12" s="61">
        <f t="shared" si="6"/>
        <v>0</v>
      </c>
      <c r="V12" s="5"/>
      <c r="W12" s="5"/>
      <c r="X12" s="61">
        <f t="shared" si="7"/>
        <v>0</v>
      </c>
      <c r="Y12" s="5"/>
      <c r="Z12" s="5"/>
      <c r="AA12" s="61">
        <f t="shared" si="8"/>
        <v>0</v>
      </c>
      <c r="AB12" s="45"/>
    </row>
    <row r="13" spans="1:28" x14ac:dyDescent="0.3">
      <c r="A13" s="54" t="str">
        <f t="shared" si="0"/>
        <v>miércoles</v>
      </c>
      <c r="B13" s="55">
        <v>45035</v>
      </c>
      <c r="C13" s="43" t="s">
        <v>68</v>
      </c>
      <c r="D13" s="5"/>
      <c r="E13" s="5"/>
      <c r="F13" s="61">
        <f t="shared" si="1"/>
        <v>0</v>
      </c>
      <c r="G13" s="5"/>
      <c r="H13" s="5"/>
      <c r="I13" s="61">
        <f t="shared" si="2"/>
        <v>0</v>
      </c>
      <c r="J13" s="5"/>
      <c r="K13" s="5"/>
      <c r="L13" s="61">
        <f t="shared" si="3"/>
        <v>0</v>
      </c>
      <c r="M13" s="5"/>
      <c r="N13" s="5"/>
      <c r="O13" s="61">
        <f t="shared" si="4"/>
        <v>0</v>
      </c>
      <c r="P13" s="5"/>
      <c r="Q13" s="5"/>
      <c r="R13" s="61">
        <f t="shared" si="5"/>
        <v>0</v>
      </c>
      <c r="S13" s="5"/>
      <c r="T13" s="5"/>
      <c r="U13" s="61">
        <f t="shared" si="6"/>
        <v>0</v>
      </c>
      <c r="V13" s="5"/>
      <c r="W13" s="5"/>
      <c r="X13" s="61">
        <f t="shared" si="7"/>
        <v>0</v>
      </c>
      <c r="Y13" s="5"/>
      <c r="Z13" s="5"/>
      <c r="AA13" s="61">
        <f t="shared" si="8"/>
        <v>0</v>
      </c>
      <c r="AB13" s="45"/>
    </row>
    <row r="14" spans="1:28" x14ac:dyDescent="0.3">
      <c r="A14" s="54" t="str">
        <f t="shared" si="0"/>
        <v>miércoles</v>
      </c>
      <c r="B14" s="55">
        <v>45035</v>
      </c>
      <c r="C14" s="43" t="s">
        <v>69</v>
      </c>
      <c r="D14" s="5"/>
      <c r="E14" s="5"/>
      <c r="F14" s="61">
        <f t="shared" si="1"/>
        <v>0</v>
      </c>
      <c r="G14" s="5"/>
      <c r="H14" s="5"/>
      <c r="I14" s="61">
        <f t="shared" si="2"/>
        <v>0</v>
      </c>
      <c r="J14" s="5"/>
      <c r="K14" s="5"/>
      <c r="L14" s="61">
        <f t="shared" si="3"/>
        <v>0</v>
      </c>
      <c r="M14" s="5"/>
      <c r="N14" s="5"/>
      <c r="O14" s="61">
        <f t="shared" si="4"/>
        <v>0</v>
      </c>
      <c r="P14" s="5"/>
      <c r="Q14" s="5"/>
      <c r="R14" s="61">
        <f t="shared" si="5"/>
        <v>0</v>
      </c>
      <c r="S14" s="5"/>
      <c r="T14" s="5"/>
      <c r="U14" s="61">
        <f t="shared" si="6"/>
        <v>0</v>
      </c>
      <c r="V14" s="5"/>
      <c r="W14" s="5"/>
      <c r="X14" s="61">
        <f t="shared" si="7"/>
        <v>0</v>
      </c>
      <c r="Y14" s="5"/>
      <c r="Z14" s="5"/>
      <c r="AA14" s="61">
        <f t="shared" si="8"/>
        <v>0</v>
      </c>
      <c r="AB14" s="45"/>
    </row>
    <row r="15" spans="1:28" x14ac:dyDescent="0.3">
      <c r="A15" s="54" t="str">
        <f t="shared" si="0"/>
        <v>miércoles</v>
      </c>
      <c r="B15" s="55">
        <v>45035</v>
      </c>
      <c r="C15" s="43" t="s">
        <v>70</v>
      </c>
      <c r="D15" s="5"/>
      <c r="E15" s="5"/>
      <c r="F15" s="61">
        <f t="shared" si="1"/>
        <v>0</v>
      </c>
      <c r="G15" s="5"/>
      <c r="H15" s="5"/>
      <c r="I15" s="61">
        <f t="shared" si="2"/>
        <v>0</v>
      </c>
      <c r="J15" s="5"/>
      <c r="K15" s="5"/>
      <c r="L15" s="61">
        <f t="shared" si="3"/>
        <v>0</v>
      </c>
      <c r="M15" s="5"/>
      <c r="N15" s="5"/>
      <c r="O15" s="61">
        <f t="shared" si="4"/>
        <v>0</v>
      </c>
      <c r="P15" s="5"/>
      <c r="Q15" s="5"/>
      <c r="R15" s="61">
        <f t="shared" si="5"/>
        <v>0</v>
      </c>
      <c r="S15" s="5"/>
      <c r="T15" s="5"/>
      <c r="U15" s="61">
        <f t="shared" si="6"/>
        <v>0</v>
      </c>
      <c r="V15" s="5"/>
      <c r="W15" s="5"/>
      <c r="X15" s="61">
        <f t="shared" si="7"/>
        <v>0</v>
      </c>
      <c r="Y15" s="5"/>
      <c r="Z15" s="5"/>
      <c r="AA15" s="61">
        <f t="shared" si="8"/>
        <v>0</v>
      </c>
      <c r="AB15" s="45"/>
    </row>
    <row r="16" spans="1:28" x14ac:dyDescent="0.3">
      <c r="A16" s="54" t="str">
        <f t="shared" si="0"/>
        <v>miércoles</v>
      </c>
      <c r="B16" s="55">
        <v>45035</v>
      </c>
      <c r="C16" s="43" t="s">
        <v>71</v>
      </c>
      <c r="D16" s="5"/>
      <c r="E16" s="5"/>
      <c r="F16" s="61">
        <f t="shared" si="1"/>
        <v>0</v>
      </c>
      <c r="G16" s="5"/>
      <c r="H16" s="5"/>
      <c r="I16" s="61">
        <f t="shared" si="2"/>
        <v>0</v>
      </c>
      <c r="J16" s="5"/>
      <c r="K16" s="5"/>
      <c r="L16" s="61">
        <f t="shared" si="3"/>
        <v>0</v>
      </c>
      <c r="M16" s="5"/>
      <c r="N16" s="5"/>
      <c r="O16" s="61">
        <f t="shared" si="4"/>
        <v>0</v>
      </c>
      <c r="P16" s="5"/>
      <c r="Q16" s="5"/>
      <c r="R16" s="61">
        <f t="shared" si="5"/>
        <v>0</v>
      </c>
      <c r="S16" s="5"/>
      <c r="T16" s="5"/>
      <c r="U16" s="61">
        <f t="shared" si="6"/>
        <v>0</v>
      </c>
      <c r="V16" s="5"/>
      <c r="W16" s="5"/>
      <c r="X16" s="61">
        <f t="shared" si="7"/>
        <v>0</v>
      </c>
      <c r="Y16" s="5"/>
      <c r="Z16" s="5"/>
      <c r="AA16" s="61">
        <f t="shared" si="8"/>
        <v>0</v>
      </c>
      <c r="AB16" s="45"/>
    </row>
    <row r="17" spans="1:28" x14ac:dyDescent="0.3">
      <c r="A17" s="54" t="str">
        <f t="shared" si="0"/>
        <v>miércoles</v>
      </c>
      <c r="B17" s="55">
        <v>45035</v>
      </c>
      <c r="C17" s="43" t="s">
        <v>72</v>
      </c>
      <c r="D17" s="5"/>
      <c r="E17" s="5"/>
      <c r="F17" s="61">
        <f t="shared" si="1"/>
        <v>0</v>
      </c>
      <c r="G17" s="5"/>
      <c r="H17" s="5"/>
      <c r="I17" s="61">
        <f t="shared" si="2"/>
        <v>0</v>
      </c>
      <c r="J17" s="5"/>
      <c r="K17" s="5"/>
      <c r="L17" s="61">
        <f t="shared" si="3"/>
        <v>0</v>
      </c>
      <c r="M17" s="5"/>
      <c r="N17" s="5"/>
      <c r="O17" s="61">
        <f t="shared" si="4"/>
        <v>0</v>
      </c>
      <c r="P17" s="5"/>
      <c r="Q17" s="5"/>
      <c r="R17" s="61">
        <f t="shared" si="5"/>
        <v>0</v>
      </c>
      <c r="S17" s="5"/>
      <c r="T17" s="5"/>
      <c r="U17" s="61">
        <f t="shared" si="6"/>
        <v>0</v>
      </c>
      <c r="V17" s="5"/>
      <c r="W17" s="5"/>
      <c r="X17" s="61">
        <f t="shared" si="7"/>
        <v>0</v>
      </c>
      <c r="Y17" s="5"/>
      <c r="Z17" s="5"/>
      <c r="AA17" s="61">
        <f t="shared" si="8"/>
        <v>0</v>
      </c>
      <c r="AB17" s="45"/>
    </row>
    <row r="18" spans="1:28" x14ac:dyDescent="0.3">
      <c r="A18" s="54" t="str">
        <f t="shared" si="0"/>
        <v>miércoles</v>
      </c>
      <c r="B18" s="55">
        <v>45035</v>
      </c>
      <c r="C18" s="43" t="s">
        <v>73</v>
      </c>
      <c r="D18" s="5"/>
      <c r="E18" s="5"/>
      <c r="F18" s="61">
        <f t="shared" si="1"/>
        <v>0</v>
      </c>
      <c r="G18" s="5"/>
      <c r="H18" s="5"/>
      <c r="I18" s="61">
        <f t="shared" si="2"/>
        <v>0</v>
      </c>
      <c r="J18" s="5"/>
      <c r="K18" s="5"/>
      <c r="L18" s="61">
        <f t="shared" si="3"/>
        <v>0</v>
      </c>
      <c r="M18" s="5"/>
      <c r="N18" s="5"/>
      <c r="O18" s="61">
        <f t="shared" si="4"/>
        <v>0</v>
      </c>
      <c r="P18" s="5"/>
      <c r="Q18" s="5"/>
      <c r="R18" s="61">
        <f t="shared" si="5"/>
        <v>0</v>
      </c>
      <c r="S18" s="5"/>
      <c r="T18" s="5"/>
      <c r="U18" s="61">
        <f t="shared" si="6"/>
        <v>0</v>
      </c>
      <c r="V18" s="5"/>
      <c r="W18" s="5"/>
      <c r="X18" s="61">
        <f t="shared" si="7"/>
        <v>0</v>
      </c>
      <c r="Y18" s="5"/>
      <c r="Z18" s="5"/>
      <c r="AA18" s="61">
        <f t="shared" si="8"/>
        <v>0</v>
      </c>
      <c r="AB18" s="45"/>
    </row>
    <row r="20" spans="1:28" ht="15" thickBot="1" x14ac:dyDescent="0.35"/>
    <row r="21" spans="1:28" ht="16.2" thickBot="1" x14ac:dyDescent="0.35">
      <c r="A21" s="62" t="s">
        <v>115</v>
      </c>
      <c r="B21" s="63"/>
      <c r="C21" s="64"/>
      <c r="D21" s="46" t="s">
        <v>113</v>
      </c>
      <c r="E21" s="46"/>
      <c r="F21" s="46"/>
      <c r="G21" s="47" t="s">
        <v>102</v>
      </c>
      <c r="H21" s="47"/>
      <c r="I21" s="47"/>
      <c r="J21" s="48" t="s">
        <v>103</v>
      </c>
      <c r="K21" s="48"/>
      <c r="L21" s="48"/>
      <c r="M21" s="49" t="s">
        <v>104</v>
      </c>
      <c r="N21" s="49"/>
      <c r="O21" s="49"/>
      <c r="P21" s="50" t="s">
        <v>105</v>
      </c>
      <c r="Q21" s="50"/>
      <c r="R21" s="50"/>
      <c r="S21" s="51" t="s">
        <v>106</v>
      </c>
      <c r="T21" s="51"/>
      <c r="U21" s="51"/>
      <c r="V21" s="52" t="s">
        <v>107</v>
      </c>
      <c r="W21" s="52"/>
      <c r="X21" s="52"/>
      <c r="Y21" s="53" t="s">
        <v>108</v>
      </c>
      <c r="Z21" s="53"/>
      <c r="AA21" s="53"/>
    </row>
    <row r="22" spans="1:28" ht="15" thickBot="1" x14ac:dyDescent="0.35">
      <c r="A22" s="60" t="s">
        <v>109</v>
      </c>
      <c r="B22" s="60" t="s">
        <v>0</v>
      </c>
      <c r="C22" s="60" t="s">
        <v>114</v>
      </c>
      <c r="D22" s="44" t="s">
        <v>116</v>
      </c>
      <c r="E22" s="44" t="s">
        <v>117</v>
      </c>
      <c r="F22" s="58" t="s">
        <v>101</v>
      </c>
      <c r="G22" s="44" t="s">
        <v>116</v>
      </c>
      <c r="H22" s="44" t="s">
        <v>117</v>
      </c>
      <c r="I22" s="58" t="s">
        <v>101</v>
      </c>
      <c r="J22" s="44" t="s">
        <v>116</v>
      </c>
      <c r="K22" s="44" t="s">
        <v>117</v>
      </c>
      <c r="L22" s="58" t="s">
        <v>101</v>
      </c>
      <c r="M22" s="44" t="s">
        <v>116</v>
      </c>
      <c r="N22" s="44" t="s">
        <v>117</v>
      </c>
      <c r="O22" s="58" t="s">
        <v>101</v>
      </c>
      <c r="P22" s="44" t="s">
        <v>116</v>
      </c>
      <c r="Q22" s="44" t="s">
        <v>117</v>
      </c>
      <c r="R22" s="58" t="s">
        <v>101</v>
      </c>
      <c r="S22" s="44" t="s">
        <v>116</v>
      </c>
      <c r="T22" s="44" t="s">
        <v>117</v>
      </c>
      <c r="U22" s="58" t="s">
        <v>101</v>
      </c>
      <c r="V22" s="44" t="s">
        <v>116</v>
      </c>
      <c r="W22" s="44" t="s">
        <v>117</v>
      </c>
      <c r="X22" s="58" t="s">
        <v>101</v>
      </c>
      <c r="Y22" s="44" t="s">
        <v>116</v>
      </c>
      <c r="Z22" s="44" t="s">
        <v>117</v>
      </c>
      <c r="AA22" s="58" t="s">
        <v>101</v>
      </c>
      <c r="AB22" s="59" t="s">
        <v>111</v>
      </c>
    </row>
    <row r="23" spans="1:28" x14ac:dyDescent="0.3">
      <c r="A23" s="54" t="str">
        <f>TEXT(B23,"dddd")</f>
        <v>martes</v>
      </c>
      <c r="B23" s="55">
        <v>45034</v>
      </c>
      <c r="C23" s="43" t="s">
        <v>86</v>
      </c>
      <c r="D23" s="56">
        <v>0.33333333333333331</v>
      </c>
      <c r="E23" s="56">
        <v>0.52083333333333337</v>
      </c>
      <c r="F23" s="61">
        <f>24*(E23-D23)</f>
        <v>4.5000000000000018</v>
      </c>
      <c r="G23" s="56">
        <v>0.33333333333333331</v>
      </c>
      <c r="H23" s="56">
        <v>0.52083333333333337</v>
      </c>
      <c r="I23" s="61">
        <f>24*(H23-G23)</f>
        <v>4.5000000000000018</v>
      </c>
      <c r="J23" s="56">
        <v>0.33333333333333331</v>
      </c>
      <c r="K23" s="56">
        <v>0.75</v>
      </c>
      <c r="L23" s="61">
        <f>24*(K23-J23)</f>
        <v>10</v>
      </c>
      <c r="M23" s="56">
        <v>0.33333333333333331</v>
      </c>
      <c r="N23" s="56">
        <v>0.52083333333333337</v>
      </c>
      <c r="O23" s="61">
        <f>24*(N23-M23)</f>
        <v>4.5000000000000018</v>
      </c>
      <c r="P23" s="56">
        <v>0.33333333333333331</v>
      </c>
      <c r="Q23" s="56">
        <v>0.52083333333333337</v>
      </c>
      <c r="R23" s="61">
        <f>24*(Q23-P23)</f>
        <v>4.5000000000000018</v>
      </c>
      <c r="S23" s="56">
        <v>0.33333333333333331</v>
      </c>
      <c r="T23" s="56">
        <v>0.52083333333333337</v>
      </c>
      <c r="U23" s="61">
        <f>24*(T23-S23)</f>
        <v>4.5000000000000018</v>
      </c>
      <c r="V23" s="56">
        <v>0.33333333333333331</v>
      </c>
      <c r="W23" s="56">
        <v>0.52083333333333337</v>
      </c>
      <c r="X23" s="61">
        <f>24*(W23-V23)</f>
        <v>4.5000000000000018</v>
      </c>
      <c r="Y23" s="56">
        <v>0.33333333333333331</v>
      </c>
      <c r="Z23" s="56">
        <v>0.52083333333333337</v>
      </c>
      <c r="AA23" s="61">
        <f>24*(Z23-Y23)</f>
        <v>4.5000000000000018</v>
      </c>
      <c r="AB23" s="57">
        <f>SUM(F23,I23,L23,O23,R23,U23,X23,AA23)</f>
        <v>41.500000000000007</v>
      </c>
    </row>
    <row r="24" spans="1:28" x14ac:dyDescent="0.3">
      <c r="A24" s="54" t="str">
        <f t="shared" ref="A24:A32" si="9">TEXT(B24,"dddd")</f>
        <v>martes</v>
      </c>
      <c r="B24" s="55">
        <v>45034</v>
      </c>
      <c r="C24" s="5" t="s">
        <v>87</v>
      </c>
      <c r="D24" s="5"/>
      <c r="E24" s="5"/>
      <c r="F24" s="61">
        <f t="shared" ref="F24:F32" si="10">24*(E24-D24)</f>
        <v>0</v>
      </c>
      <c r="G24" s="5"/>
      <c r="H24" s="5"/>
      <c r="I24" s="61">
        <f t="shared" ref="I24:I32" si="11">24*(H24-G24)</f>
        <v>0</v>
      </c>
      <c r="J24" s="5"/>
      <c r="K24" s="5"/>
      <c r="L24" s="61">
        <f t="shared" ref="L24:L32" si="12">24*(K24-J24)</f>
        <v>0</v>
      </c>
      <c r="M24" s="5"/>
      <c r="N24" s="5"/>
      <c r="O24" s="61">
        <f t="shared" ref="O24:O32" si="13">24*(N24-M24)</f>
        <v>0</v>
      </c>
      <c r="P24" s="5"/>
      <c r="Q24" s="5"/>
      <c r="R24" s="61">
        <f t="shared" ref="R24:R32" si="14">24*(Q24-P24)</f>
        <v>0</v>
      </c>
      <c r="S24" s="5"/>
      <c r="T24" s="5"/>
      <c r="U24" s="61">
        <f t="shared" ref="U24:U32" si="15">24*(T24-S24)</f>
        <v>0</v>
      </c>
      <c r="V24" s="5"/>
      <c r="W24" s="5"/>
      <c r="X24" s="61">
        <f t="shared" ref="X24:X32" si="16">24*(W24-V24)</f>
        <v>0</v>
      </c>
      <c r="Y24" s="5"/>
      <c r="Z24" s="5"/>
      <c r="AA24" s="61">
        <f t="shared" ref="AA24:AA32" si="17">24*(Z24-Y24)</f>
        <v>0</v>
      </c>
      <c r="AB24" s="45"/>
    </row>
    <row r="25" spans="1:28" x14ac:dyDescent="0.3">
      <c r="A25" s="54" t="str">
        <f t="shared" si="9"/>
        <v>martes</v>
      </c>
      <c r="B25" s="55">
        <v>45034</v>
      </c>
      <c r="C25" s="5" t="s">
        <v>88</v>
      </c>
      <c r="D25" s="5"/>
      <c r="E25" s="5"/>
      <c r="F25" s="61">
        <f t="shared" si="10"/>
        <v>0</v>
      </c>
      <c r="G25" s="5"/>
      <c r="H25" s="5"/>
      <c r="I25" s="61">
        <f t="shared" si="11"/>
        <v>0</v>
      </c>
      <c r="J25" s="5"/>
      <c r="K25" s="5"/>
      <c r="L25" s="61">
        <f t="shared" si="12"/>
        <v>0</v>
      </c>
      <c r="M25" s="5"/>
      <c r="N25" s="5"/>
      <c r="O25" s="61">
        <f t="shared" si="13"/>
        <v>0</v>
      </c>
      <c r="P25" s="5"/>
      <c r="Q25" s="5"/>
      <c r="R25" s="61">
        <f t="shared" si="14"/>
        <v>0</v>
      </c>
      <c r="S25" s="5"/>
      <c r="T25" s="5"/>
      <c r="U25" s="61">
        <f t="shared" si="15"/>
        <v>0</v>
      </c>
      <c r="V25" s="5"/>
      <c r="W25" s="5"/>
      <c r="X25" s="61">
        <f t="shared" si="16"/>
        <v>0</v>
      </c>
      <c r="Y25" s="5"/>
      <c r="Z25" s="5"/>
      <c r="AA25" s="61">
        <f t="shared" si="17"/>
        <v>0</v>
      </c>
      <c r="AB25" s="45"/>
    </row>
    <row r="26" spans="1:28" x14ac:dyDescent="0.3">
      <c r="A26" s="54" t="str">
        <f t="shared" si="9"/>
        <v>martes</v>
      </c>
      <c r="B26" s="55">
        <v>45034</v>
      </c>
      <c r="C26" s="5" t="s">
        <v>89</v>
      </c>
      <c r="D26" s="5"/>
      <c r="E26" s="5"/>
      <c r="F26" s="61">
        <f t="shared" si="10"/>
        <v>0</v>
      </c>
      <c r="G26" s="5"/>
      <c r="H26" s="5"/>
      <c r="I26" s="61">
        <f t="shared" si="11"/>
        <v>0</v>
      </c>
      <c r="J26" s="5"/>
      <c r="K26" s="5"/>
      <c r="L26" s="61">
        <f t="shared" si="12"/>
        <v>0</v>
      </c>
      <c r="M26" s="5"/>
      <c r="N26" s="5"/>
      <c r="O26" s="61">
        <f t="shared" si="13"/>
        <v>0</v>
      </c>
      <c r="P26" s="5"/>
      <c r="Q26" s="5"/>
      <c r="R26" s="61">
        <f t="shared" si="14"/>
        <v>0</v>
      </c>
      <c r="S26" s="5"/>
      <c r="T26" s="5"/>
      <c r="U26" s="61">
        <f t="shared" si="15"/>
        <v>0</v>
      </c>
      <c r="V26" s="5"/>
      <c r="W26" s="5"/>
      <c r="X26" s="61">
        <f t="shared" si="16"/>
        <v>0</v>
      </c>
      <c r="Y26" s="5"/>
      <c r="Z26" s="5"/>
      <c r="AA26" s="61">
        <f t="shared" si="17"/>
        <v>0</v>
      </c>
      <c r="AB26" s="45"/>
    </row>
    <row r="27" spans="1:28" x14ac:dyDescent="0.3">
      <c r="A27" s="54" t="str">
        <f t="shared" si="9"/>
        <v>martes</v>
      </c>
      <c r="B27" s="55">
        <v>45034</v>
      </c>
      <c r="C27" s="5" t="s">
        <v>90</v>
      </c>
      <c r="D27" s="5"/>
      <c r="E27" s="5"/>
      <c r="F27" s="61">
        <f t="shared" si="10"/>
        <v>0</v>
      </c>
      <c r="G27" s="5"/>
      <c r="H27" s="5"/>
      <c r="I27" s="61">
        <f t="shared" si="11"/>
        <v>0</v>
      </c>
      <c r="J27" s="5"/>
      <c r="K27" s="5"/>
      <c r="L27" s="61">
        <f t="shared" si="12"/>
        <v>0</v>
      </c>
      <c r="M27" s="5"/>
      <c r="N27" s="5"/>
      <c r="O27" s="61">
        <f t="shared" si="13"/>
        <v>0</v>
      </c>
      <c r="P27" s="5"/>
      <c r="Q27" s="5"/>
      <c r="R27" s="61">
        <f t="shared" si="14"/>
        <v>0</v>
      </c>
      <c r="S27" s="5"/>
      <c r="T27" s="5"/>
      <c r="U27" s="61">
        <f t="shared" si="15"/>
        <v>0</v>
      </c>
      <c r="V27" s="5"/>
      <c r="W27" s="5"/>
      <c r="X27" s="61">
        <f t="shared" si="16"/>
        <v>0</v>
      </c>
      <c r="Y27" s="5"/>
      <c r="Z27" s="5"/>
      <c r="AA27" s="61">
        <f t="shared" si="17"/>
        <v>0</v>
      </c>
      <c r="AB27" s="45"/>
    </row>
    <row r="28" spans="1:28" x14ac:dyDescent="0.3">
      <c r="A28" s="54" t="str">
        <f t="shared" si="9"/>
        <v>miércoles</v>
      </c>
      <c r="B28" s="55">
        <v>45035</v>
      </c>
      <c r="C28" s="43" t="s">
        <v>86</v>
      </c>
      <c r="D28" s="5"/>
      <c r="E28" s="5"/>
      <c r="F28" s="61">
        <f t="shared" si="10"/>
        <v>0</v>
      </c>
      <c r="G28" s="5"/>
      <c r="H28" s="5"/>
      <c r="I28" s="61">
        <f t="shared" si="11"/>
        <v>0</v>
      </c>
      <c r="J28" s="5"/>
      <c r="K28" s="5"/>
      <c r="L28" s="61">
        <f t="shared" si="12"/>
        <v>0</v>
      </c>
      <c r="M28" s="5"/>
      <c r="N28" s="5"/>
      <c r="O28" s="61">
        <f t="shared" si="13"/>
        <v>0</v>
      </c>
      <c r="P28" s="5"/>
      <c r="Q28" s="5"/>
      <c r="R28" s="61">
        <f t="shared" si="14"/>
        <v>0</v>
      </c>
      <c r="S28" s="5"/>
      <c r="T28" s="5"/>
      <c r="U28" s="61">
        <f t="shared" si="15"/>
        <v>0</v>
      </c>
      <c r="V28" s="5"/>
      <c r="W28" s="5"/>
      <c r="X28" s="61">
        <f t="shared" si="16"/>
        <v>0</v>
      </c>
      <c r="Y28" s="5"/>
      <c r="Z28" s="5"/>
      <c r="AA28" s="61">
        <f t="shared" si="17"/>
        <v>0</v>
      </c>
      <c r="AB28" s="45"/>
    </row>
    <row r="29" spans="1:28" x14ac:dyDescent="0.3">
      <c r="A29" s="54" t="str">
        <f t="shared" si="9"/>
        <v>miércoles</v>
      </c>
      <c r="B29" s="55">
        <v>45035</v>
      </c>
      <c r="C29" s="5" t="s">
        <v>87</v>
      </c>
      <c r="D29" s="5"/>
      <c r="E29" s="5"/>
      <c r="F29" s="61">
        <f t="shared" si="10"/>
        <v>0</v>
      </c>
      <c r="G29" s="5"/>
      <c r="H29" s="5"/>
      <c r="I29" s="61">
        <f t="shared" si="11"/>
        <v>0</v>
      </c>
      <c r="J29" s="5"/>
      <c r="K29" s="5"/>
      <c r="L29" s="61">
        <f t="shared" si="12"/>
        <v>0</v>
      </c>
      <c r="M29" s="5"/>
      <c r="N29" s="5"/>
      <c r="O29" s="61">
        <f t="shared" si="13"/>
        <v>0</v>
      </c>
      <c r="P29" s="5"/>
      <c r="Q29" s="5"/>
      <c r="R29" s="61">
        <f t="shared" si="14"/>
        <v>0</v>
      </c>
      <c r="S29" s="5"/>
      <c r="T29" s="5"/>
      <c r="U29" s="61">
        <f t="shared" si="15"/>
        <v>0</v>
      </c>
      <c r="V29" s="5"/>
      <c r="W29" s="5"/>
      <c r="X29" s="61">
        <f t="shared" si="16"/>
        <v>0</v>
      </c>
      <c r="Y29" s="5"/>
      <c r="Z29" s="5"/>
      <c r="AA29" s="61">
        <f t="shared" si="17"/>
        <v>0</v>
      </c>
      <c r="AB29" s="45"/>
    </row>
    <row r="30" spans="1:28" x14ac:dyDescent="0.3">
      <c r="A30" s="54" t="str">
        <f t="shared" si="9"/>
        <v>miércoles</v>
      </c>
      <c r="B30" s="55">
        <v>45035</v>
      </c>
      <c r="C30" s="5" t="s">
        <v>88</v>
      </c>
      <c r="D30" s="5"/>
      <c r="E30" s="5"/>
      <c r="F30" s="61">
        <f t="shared" si="10"/>
        <v>0</v>
      </c>
      <c r="G30" s="5"/>
      <c r="H30" s="5"/>
      <c r="I30" s="61">
        <f t="shared" si="11"/>
        <v>0</v>
      </c>
      <c r="J30" s="5"/>
      <c r="K30" s="5"/>
      <c r="L30" s="61">
        <f t="shared" si="12"/>
        <v>0</v>
      </c>
      <c r="M30" s="5"/>
      <c r="N30" s="5"/>
      <c r="O30" s="61">
        <f t="shared" si="13"/>
        <v>0</v>
      </c>
      <c r="P30" s="5"/>
      <c r="Q30" s="5"/>
      <c r="R30" s="61">
        <f t="shared" si="14"/>
        <v>0</v>
      </c>
      <c r="S30" s="5"/>
      <c r="T30" s="5"/>
      <c r="U30" s="61">
        <f t="shared" si="15"/>
        <v>0</v>
      </c>
      <c r="V30" s="5"/>
      <c r="W30" s="5"/>
      <c r="X30" s="61">
        <f t="shared" si="16"/>
        <v>0</v>
      </c>
      <c r="Y30" s="5"/>
      <c r="Z30" s="5"/>
      <c r="AA30" s="61">
        <f t="shared" si="17"/>
        <v>0</v>
      </c>
      <c r="AB30" s="45"/>
    </row>
    <row r="31" spans="1:28" x14ac:dyDescent="0.3">
      <c r="A31" s="54" t="str">
        <f t="shared" si="9"/>
        <v>miércoles</v>
      </c>
      <c r="B31" s="55">
        <v>45035</v>
      </c>
      <c r="C31" s="5" t="s">
        <v>89</v>
      </c>
      <c r="D31" s="5"/>
      <c r="E31" s="5"/>
      <c r="F31" s="61">
        <f t="shared" si="10"/>
        <v>0</v>
      </c>
      <c r="G31" s="5"/>
      <c r="H31" s="5"/>
      <c r="I31" s="61">
        <f t="shared" si="11"/>
        <v>0</v>
      </c>
      <c r="J31" s="5"/>
      <c r="K31" s="5"/>
      <c r="L31" s="61">
        <f t="shared" si="12"/>
        <v>0</v>
      </c>
      <c r="M31" s="5"/>
      <c r="N31" s="5"/>
      <c r="O31" s="61">
        <f t="shared" si="13"/>
        <v>0</v>
      </c>
      <c r="P31" s="5"/>
      <c r="Q31" s="5"/>
      <c r="R31" s="61">
        <f t="shared" si="14"/>
        <v>0</v>
      </c>
      <c r="S31" s="5"/>
      <c r="T31" s="5"/>
      <c r="U31" s="61">
        <f t="shared" si="15"/>
        <v>0</v>
      </c>
      <c r="V31" s="5"/>
      <c r="W31" s="5"/>
      <c r="X31" s="61">
        <f t="shared" si="16"/>
        <v>0</v>
      </c>
      <c r="Y31" s="5"/>
      <c r="Z31" s="5"/>
      <c r="AA31" s="61">
        <f t="shared" si="17"/>
        <v>0</v>
      </c>
      <c r="AB31" s="45"/>
    </row>
    <row r="32" spans="1:28" x14ac:dyDescent="0.3">
      <c r="A32" s="54" t="str">
        <f t="shared" si="9"/>
        <v>miércoles</v>
      </c>
      <c r="B32" s="55">
        <v>45035</v>
      </c>
      <c r="C32" s="5" t="s">
        <v>90</v>
      </c>
      <c r="D32" s="5"/>
      <c r="E32" s="5"/>
      <c r="F32" s="61">
        <f t="shared" si="10"/>
        <v>0</v>
      </c>
      <c r="G32" s="5"/>
      <c r="H32" s="5"/>
      <c r="I32" s="61">
        <f t="shared" si="11"/>
        <v>0</v>
      </c>
      <c r="J32" s="5"/>
      <c r="K32" s="5"/>
      <c r="L32" s="61">
        <f t="shared" si="12"/>
        <v>0</v>
      </c>
      <c r="M32" s="5"/>
      <c r="N32" s="5"/>
      <c r="O32" s="61">
        <f t="shared" si="13"/>
        <v>0</v>
      </c>
      <c r="P32" s="5"/>
      <c r="Q32" s="5"/>
      <c r="R32" s="61">
        <f t="shared" si="14"/>
        <v>0</v>
      </c>
      <c r="S32" s="5"/>
      <c r="T32" s="5"/>
      <c r="U32" s="61">
        <f t="shared" si="15"/>
        <v>0</v>
      </c>
      <c r="V32" s="5"/>
      <c r="W32" s="5"/>
      <c r="X32" s="61">
        <f t="shared" si="16"/>
        <v>0</v>
      </c>
      <c r="Y32" s="5"/>
      <c r="Z32" s="5"/>
      <c r="AA32" s="61">
        <f t="shared" si="17"/>
        <v>0</v>
      </c>
      <c r="AB32" s="45"/>
    </row>
  </sheetData>
  <mergeCells count="16">
    <mergeCell ref="V1:X1"/>
    <mergeCell ref="Y1:AA1"/>
    <mergeCell ref="D21:F21"/>
    <mergeCell ref="G21:I21"/>
    <mergeCell ref="J21:L21"/>
    <mergeCell ref="M21:O21"/>
    <mergeCell ref="P21:R21"/>
    <mergeCell ref="S21:U21"/>
    <mergeCell ref="V21:X21"/>
    <mergeCell ref="Y21:AA2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k 6 S V v 2 C V 9 q k A A A A 9 g A A A B I A H A B D b 2 5 m a W c v U G F j a 2 F n Z S 5 4 b W w g o h g A K K A U A A A A A A A A A A A A A A A A A A A A A A A A A A A A h Y 9 N D o I w G E S v Q r q n f 2 h i y E d Z u J X E x M S w b U r F R i i G F s v d X H g k r y B G U X c u 5 8 1 b z N y v N 8 j H t o k u u n e m s x l i m K J I W 9 V V x t Y Z G v w h X q F c w F a q k 6 x 1 N M n W p a O r M n T 0 / p w S E k L A I c F d X x N O K S N l s d m p o 2 4 l + s j m v x w b 6 7 y 0 S i M B + 9 c Y w T F j S 8 w X C a Z A Z g i F s V + B T 3 u f 7 Q + E 9 d D 4 o d d C u 7 g o g c w R y P u D e A B Q S w M E F A A C A A g A l k 6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O k l Y o i k e 4 D g A A A B E A A A A T A B w A R m 9 y b X V s Y X M v U 2 V j d G l v b j E u b S C i G A A o o B Q A A A A A A A A A A A A A A A A A A A A A A A A A A A A r T k 0 u y c z P U w i G 0 I b W A F B L A Q I t A B Q A A g A I A J Z O k l b 9 g l f a p A A A A P Y A A A A S A A A A A A A A A A A A A A A A A A A A A A B D b 2 5 m a W c v U G F j a 2 F n Z S 5 4 b W x Q S w E C L Q A U A A I A C A C W T p J W D 8 r p q 6 Q A A A D p A A A A E w A A A A A A A A A A A A A A A A D w A A A A W 0 N v b n R l b n R f V H l w Z X N d L n h t b F B L A Q I t A B Q A A g A I A J Z O k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E Z v a 8 + Q u e R b U b 5 h G 3 r B q m A A A A A A I A A A A A A B B m A A A A A Q A A I A A A A M c y R 3 P e y 4 j w h n B l h r w l 9 Y K i O O X 1 u M Z i H 7 h p O o + A N + D g A A A A A A 6 A A A A A A g A A I A A A A O 4 U 6 Z l A K 5 B H w T v G t / 8 9 q E 7 D P P 9 p H T P H 1 U a 9 j 6 n g r s F l U A A A A C b k W O g s o 9 s z S N g N + l E Q O U N e R R / z k T 6 w c 3 Q 6 0 S k 7 1 H V B 4 I l E F 4 A 8 m r n c f I P b N X U k h y x u z c h N + t G C J E t P z N a h W Q A 5 X v p K P e w J Y K Q P j C O D u a D T Q A A A A N 0 K z p a g o I k s H Q o A u 6 z U 7 P 7 4 N W q + T B 0 o M C d J c 6 r S o Y G z L V o 4 c L m O 3 h 2 9 9 y v d 2 Y f 7 T j + Q l a 1 P v T 6 v a c F Q w M f N o p Q = < / D a t a M a s h u p > 
</file>

<file path=customXml/itemProps1.xml><?xml version="1.0" encoding="utf-8"?>
<ds:datastoreItem xmlns:ds="http://schemas.openxmlformats.org/officeDocument/2006/customXml" ds:itemID="{B9F60A84-DA23-43D9-A550-104248A9DD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BD_PERSONAL</vt:lpstr>
      <vt:lpstr>CARGA DATOS MOD</vt:lpstr>
      <vt:lpstr>CARGA DATOS MOI</vt:lpstr>
      <vt:lpstr>MOD</vt:lpstr>
      <vt:lpstr>MOI</vt:lpstr>
      <vt:lpstr>ADMINISTRATIVO</vt:lpstr>
      <vt:lpstr>FORMATOS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- TALLER CRS</dc:creator>
  <cp:lastModifiedBy>LAPTOP - TALLER CRS</cp:lastModifiedBy>
  <dcterms:created xsi:type="dcterms:W3CDTF">2023-04-18T14:13:32Z</dcterms:created>
  <dcterms:modified xsi:type="dcterms:W3CDTF">2023-04-18T22:33:05Z</dcterms:modified>
</cp:coreProperties>
</file>