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sWebApplication\IntranetPortal\IntranetPortal\App_Data\"/>
    </mc:Choice>
  </mc:AlternateContent>
  <bookViews>
    <workbookView xWindow="0" yWindow="0" windowWidth="28800" windowHeight="11010"/>
  </bookViews>
  <sheets>
    <sheet name="Data Input" sheetId="4" r:id="rId1"/>
    <sheet name="Flip Sheets" sheetId="3" r:id="rId2"/>
    <sheet name="Rental Model" sheetId="7" r:id="rId3"/>
    <sheet name="Tables" sheetId="2" state="hidden" r:id="rId4"/>
  </sheets>
  <externalReferences>
    <externalReference r:id="rId5"/>
  </externalReferences>
  <definedNames>
    <definedName name="FC_Status">[1]Tables!$B$11:$B$18</definedName>
    <definedName name="Liens">[1]Tables!$B$26:$B$32</definedName>
    <definedName name="Occupancy">[1]Tables!$B$2:$B$8</definedName>
    <definedName name="Yes_No">Tables!$I$2:$I$4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1" i="2"/>
  <c r="C19" i="2"/>
  <c r="B19" i="2"/>
  <c r="C19" i="4"/>
  <c r="B22" i="2"/>
  <c r="G2" i="2"/>
  <c r="F6" i="2"/>
  <c r="F13" i="2"/>
  <c r="C7" i="2"/>
  <c r="B7" i="2"/>
  <c r="B8" i="2"/>
  <c r="B9" i="2"/>
  <c r="B10" i="2"/>
  <c r="B11" i="2"/>
  <c r="B12" i="2"/>
  <c r="B13" i="2"/>
  <c r="B14" i="2"/>
  <c r="C15" i="2"/>
  <c r="B15" i="2"/>
  <c r="C16" i="2"/>
  <c r="B16" i="2"/>
  <c r="B17" i="2"/>
  <c r="B18" i="2"/>
  <c r="B23" i="2"/>
  <c r="B24" i="2"/>
  <c r="B31" i="2"/>
  <c r="B32" i="2"/>
  <c r="C22" i="3"/>
  <c r="G1" i="2"/>
  <c r="B35" i="2"/>
  <c r="B36" i="2"/>
  <c r="P6" i="2"/>
  <c r="P7" i="2"/>
  <c r="Q6" i="2"/>
  <c r="Q7" i="2"/>
  <c r="B3" i="2"/>
  <c r="E3" i="2"/>
  <c r="C2" i="4"/>
  <c r="F9" i="2"/>
  <c r="C17" i="7"/>
  <c r="C15" i="7"/>
  <c r="C16" i="7"/>
  <c r="C18" i="7"/>
  <c r="F15" i="7"/>
  <c r="F16" i="7"/>
  <c r="C12" i="7"/>
  <c r="F18" i="7"/>
  <c r="F19" i="7"/>
  <c r="F20" i="7"/>
  <c r="F4" i="7"/>
  <c r="N3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C11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C22" i="2"/>
  <c r="N4" i="7"/>
  <c r="F5" i="3"/>
  <c r="F6" i="3"/>
  <c r="F18" i="3"/>
  <c r="F19" i="3"/>
  <c r="P8" i="2"/>
  <c r="Q8" i="2"/>
  <c r="J11" i="2"/>
  <c r="B1" i="2"/>
  <c r="B2" i="2"/>
  <c r="F36" i="3"/>
  <c r="F37" i="3"/>
  <c r="F31" i="3"/>
  <c r="C31" i="3"/>
  <c r="C30" i="3"/>
  <c r="H16" i="3"/>
  <c r="F16" i="3"/>
  <c r="C16" i="3"/>
  <c r="C15" i="3"/>
  <c r="H3" i="3"/>
  <c r="F3" i="3"/>
  <c r="C3" i="3"/>
  <c r="C2" i="3"/>
  <c r="Q9" i="2"/>
  <c r="Q10" i="2"/>
  <c r="Q11" i="2"/>
  <c r="Q12" i="2"/>
  <c r="P9" i="2"/>
  <c r="P10" i="2"/>
  <c r="P11" i="2"/>
  <c r="P12" i="2"/>
  <c r="B34" i="2"/>
  <c r="F21" i="2"/>
  <c r="F22" i="2"/>
  <c r="C25" i="3"/>
  <c r="H19" i="3"/>
  <c r="H21" i="3"/>
  <c r="F8" i="2"/>
  <c r="C38" i="3"/>
  <c r="C9" i="3"/>
  <c r="M2" i="7"/>
  <c r="F3" i="7"/>
  <c r="L2" i="7"/>
  <c r="C20" i="3"/>
  <c r="F39" i="3"/>
  <c r="F21" i="3"/>
  <c r="F8" i="3"/>
  <c r="D2" i="2"/>
  <c r="F20" i="2"/>
  <c r="C7" i="3"/>
  <c r="L13" i="4"/>
  <c r="C19" i="3"/>
  <c r="J29" i="2"/>
  <c r="C6" i="3"/>
  <c r="B6" i="2"/>
  <c r="F20" i="3"/>
  <c r="F7" i="3"/>
  <c r="F38" i="3"/>
  <c r="C23" i="3"/>
  <c r="C10" i="3"/>
  <c r="C39" i="3"/>
  <c r="M3" i="7"/>
  <c r="L3" i="7"/>
  <c r="M3" i="2"/>
  <c r="C33" i="3"/>
  <c r="L20" i="4"/>
  <c r="C5" i="3"/>
  <c r="L3" i="2"/>
  <c r="L16" i="2"/>
  <c r="B27" i="2"/>
  <c r="L6" i="4"/>
  <c r="L3" i="4"/>
  <c r="C18" i="3"/>
  <c r="L2" i="4"/>
  <c r="M4" i="7"/>
  <c r="L4" i="7"/>
  <c r="C37" i="3"/>
  <c r="J15" i="2"/>
  <c r="F33" i="3"/>
  <c r="C8" i="3"/>
  <c r="C21" i="3"/>
  <c r="C11" i="3"/>
  <c r="M16" i="2"/>
  <c r="N16" i="2"/>
  <c r="O3" i="2"/>
  <c r="P16" i="2"/>
  <c r="M5" i="7"/>
  <c r="L5" i="7"/>
  <c r="Q16" i="2"/>
  <c r="F19" i="2"/>
  <c r="C24" i="3"/>
  <c r="C26" i="3"/>
  <c r="H6" i="3"/>
  <c r="F11" i="3"/>
  <c r="H8" i="3"/>
  <c r="C36" i="3"/>
  <c r="C40" i="3"/>
  <c r="L21" i="4"/>
  <c r="H33" i="3"/>
  <c r="L22" i="4"/>
  <c r="M6" i="7"/>
  <c r="L6" i="7"/>
  <c r="L14" i="4"/>
  <c r="L15" i="4"/>
  <c r="J22" i="2"/>
  <c r="L24" i="4"/>
  <c r="L16" i="4"/>
  <c r="J30" i="2"/>
  <c r="J32" i="2"/>
  <c r="J33" i="2"/>
  <c r="H37" i="3"/>
  <c r="F40" i="3"/>
  <c r="H39" i="3"/>
  <c r="F26" i="3"/>
  <c r="H23" i="3"/>
  <c r="L8" i="4"/>
  <c r="L7" i="4"/>
  <c r="M7" i="7"/>
  <c r="L7" i="7"/>
  <c r="J23" i="2"/>
  <c r="J25" i="2"/>
  <c r="J26" i="2"/>
  <c r="L17" i="4"/>
  <c r="J31" i="2"/>
  <c r="H25" i="3"/>
  <c r="L10" i="4"/>
  <c r="L9" i="4"/>
  <c r="M8" i="7"/>
  <c r="L8" i="7"/>
  <c r="J24" i="2"/>
  <c r="M9" i="7"/>
  <c r="L9" i="7"/>
  <c r="M10" i="7"/>
  <c r="L10" i="7"/>
  <c r="M11" i="7"/>
  <c r="L11" i="7"/>
  <c r="M12" i="7"/>
  <c r="L12" i="7"/>
  <c r="M13" i="7"/>
  <c r="L13" i="7"/>
  <c r="M14" i="7"/>
  <c r="L14" i="7"/>
  <c r="M15" i="7"/>
  <c r="L15" i="7"/>
  <c r="M16" i="7"/>
  <c r="L16" i="7"/>
  <c r="M17" i="7"/>
  <c r="L17" i="7"/>
  <c r="M18" i="7"/>
  <c r="L18" i="7"/>
  <c r="M19" i="7"/>
  <c r="L19" i="7"/>
  <c r="M20" i="7"/>
  <c r="L20" i="7"/>
  <c r="M21" i="7"/>
  <c r="L21" i="7"/>
  <c r="M22" i="7"/>
  <c r="L22" i="7"/>
  <c r="M23" i="7"/>
  <c r="L23" i="7"/>
  <c r="M24" i="7"/>
  <c r="L24" i="7"/>
  <c r="M25" i="7"/>
  <c r="L25" i="7"/>
  <c r="M26" i="7"/>
  <c r="L26" i="7"/>
  <c r="M27" i="7"/>
  <c r="L27" i="7"/>
  <c r="M28" i="7"/>
  <c r="L28" i="7"/>
  <c r="M29" i="7"/>
  <c r="L29" i="7"/>
  <c r="M30" i="7"/>
  <c r="L30" i="7"/>
  <c r="M31" i="7"/>
  <c r="L31" i="7"/>
  <c r="M32" i="7"/>
  <c r="L32" i="7"/>
  <c r="M33" i="7"/>
  <c r="L33" i="7"/>
  <c r="M34" i="7"/>
  <c r="L34" i="7"/>
  <c r="M35" i="7"/>
  <c r="L35" i="7"/>
  <c r="M36" i="7"/>
  <c r="L36" i="7"/>
  <c r="M37" i="7"/>
  <c r="L37" i="7"/>
  <c r="M38" i="7"/>
  <c r="L38" i="7"/>
  <c r="M39" i="7"/>
  <c r="L39" i="7"/>
  <c r="M40" i="7"/>
  <c r="L40" i="7"/>
  <c r="M41" i="7"/>
  <c r="L41" i="7"/>
  <c r="M42" i="7"/>
  <c r="L42" i="7"/>
  <c r="M43" i="7"/>
  <c r="L43" i="7"/>
  <c r="M44" i="7"/>
  <c r="L44" i="7"/>
  <c r="M45" i="7"/>
  <c r="L45" i="7"/>
  <c r="M46" i="7"/>
  <c r="L46" i="7"/>
  <c r="M47" i="7"/>
  <c r="L47" i="7"/>
  <c r="M48" i="7"/>
  <c r="L48" i="7"/>
  <c r="M49" i="7"/>
  <c r="L49" i="7"/>
  <c r="M50" i="7"/>
  <c r="L50" i="7"/>
  <c r="M51" i="7"/>
  <c r="L51" i="7"/>
  <c r="M52" i="7"/>
  <c r="L52" i="7"/>
  <c r="M53" i="7"/>
  <c r="L53" i="7"/>
  <c r="M54" i="7"/>
  <c r="L54" i="7"/>
  <c r="M55" i="7"/>
  <c r="L55" i="7"/>
  <c r="M56" i="7"/>
  <c r="L56" i="7"/>
  <c r="M57" i="7"/>
  <c r="L57" i="7"/>
  <c r="M58" i="7"/>
  <c r="L58" i="7"/>
  <c r="M59" i="7"/>
  <c r="L59" i="7"/>
  <c r="M60" i="7"/>
  <c r="L60" i="7"/>
  <c r="M61" i="7"/>
  <c r="L61" i="7"/>
  <c r="C19" i="7"/>
  <c r="C20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1" i="7"/>
  <c r="M62" i="7"/>
  <c r="L62" i="7"/>
  <c r="H12" i="7"/>
  <c r="F5" i="7"/>
  <c r="O60" i="7"/>
  <c r="M63" i="7"/>
  <c r="L63" i="7"/>
  <c r="O62" i="7"/>
  <c r="O63" i="7"/>
  <c r="M64" i="7"/>
  <c r="L64" i="7"/>
  <c r="O64" i="7"/>
  <c r="M65" i="7"/>
  <c r="L65" i="7"/>
  <c r="O65" i="7"/>
  <c r="M66" i="7"/>
  <c r="L66" i="7"/>
  <c r="O66" i="7"/>
  <c r="M67" i="7"/>
  <c r="L67" i="7"/>
  <c r="O67" i="7"/>
  <c r="M68" i="7"/>
  <c r="L68" i="7"/>
  <c r="O68" i="7"/>
  <c r="M69" i="7"/>
  <c r="L69" i="7"/>
  <c r="O69" i="7"/>
  <c r="M70" i="7"/>
  <c r="L70" i="7"/>
  <c r="O70" i="7"/>
  <c r="M71" i="7"/>
  <c r="L71" i="7"/>
  <c r="O71" i="7"/>
  <c r="M72" i="7"/>
  <c r="L72" i="7"/>
  <c r="O72" i="7"/>
  <c r="M73" i="7"/>
  <c r="L73" i="7"/>
  <c r="O73" i="7"/>
  <c r="M74" i="7"/>
  <c r="L74" i="7"/>
  <c r="O74" i="7"/>
  <c r="M75" i="7"/>
  <c r="L75" i="7"/>
  <c r="O75" i="7"/>
  <c r="M76" i="7"/>
  <c r="L76" i="7"/>
  <c r="O76" i="7"/>
  <c r="M77" i="7"/>
  <c r="L77" i="7"/>
  <c r="O77" i="7"/>
  <c r="M78" i="7"/>
  <c r="L78" i="7"/>
  <c r="O78" i="7"/>
  <c r="M79" i="7"/>
  <c r="L79" i="7"/>
  <c r="O79" i="7"/>
  <c r="M80" i="7"/>
  <c r="L80" i="7"/>
  <c r="O80" i="7"/>
  <c r="M81" i="7"/>
  <c r="L81" i="7"/>
  <c r="O81" i="7"/>
  <c r="M82" i="7"/>
  <c r="L82" i="7"/>
  <c r="O82" i="7"/>
  <c r="M83" i="7"/>
  <c r="L83" i="7"/>
  <c r="O83" i="7"/>
  <c r="M84" i="7"/>
  <c r="L84" i="7"/>
  <c r="O84" i="7"/>
  <c r="M85" i="7"/>
  <c r="L85" i="7"/>
  <c r="O85" i="7"/>
  <c r="M86" i="7"/>
  <c r="L86" i="7"/>
  <c r="O86" i="7"/>
  <c r="M87" i="7"/>
  <c r="L87" i="7"/>
  <c r="O87" i="7"/>
  <c r="M88" i="7"/>
  <c r="L88" i="7"/>
  <c r="O88" i="7"/>
  <c r="M89" i="7"/>
  <c r="L89" i="7"/>
  <c r="O89" i="7"/>
  <c r="M90" i="7"/>
  <c r="L90" i="7"/>
  <c r="O90" i="7"/>
  <c r="M91" i="7"/>
  <c r="L91" i="7"/>
  <c r="O91" i="7"/>
  <c r="M92" i="7"/>
  <c r="L92" i="7"/>
  <c r="O92" i="7"/>
  <c r="M93" i="7"/>
  <c r="L93" i="7"/>
  <c r="O93" i="7"/>
  <c r="M94" i="7"/>
  <c r="L94" i="7"/>
  <c r="O94" i="7"/>
  <c r="M95" i="7"/>
  <c r="L95" i="7"/>
  <c r="O95" i="7"/>
  <c r="M96" i="7"/>
  <c r="L96" i="7"/>
  <c r="O96" i="7"/>
  <c r="M97" i="7"/>
  <c r="L97" i="7"/>
  <c r="O97" i="7"/>
  <c r="C13" i="7"/>
  <c r="H14" i="7"/>
  <c r="F6" i="7"/>
  <c r="H16" i="7"/>
  <c r="F7" i="7"/>
  <c r="H20" i="7"/>
  <c r="H18" i="7"/>
  <c r="M98" i="7"/>
  <c r="L98" i="7"/>
  <c r="M99" i="7"/>
  <c r="L99" i="7"/>
  <c r="O98" i="7"/>
  <c r="M100" i="7"/>
  <c r="L100" i="7"/>
  <c r="O99" i="7"/>
  <c r="M101" i="7"/>
  <c r="L101" i="7"/>
  <c r="O100" i="7"/>
  <c r="M102" i="7"/>
  <c r="L102" i="7"/>
  <c r="O101" i="7"/>
  <c r="M103" i="7"/>
  <c r="L103" i="7"/>
  <c r="O102" i="7"/>
  <c r="M104" i="7"/>
  <c r="L104" i="7"/>
  <c r="O103" i="7"/>
  <c r="M105" i="7"/>
  <c r="L105" i="7"/>
  <c r="O104" i="7"/>
  <c r="M106" i="7"/>
  <c r="L106" i="7"/>
  <c r="O105" i="7"/>
  <c r="M107" i="7"/>
  <c r="L107" i="7"/>
  <c r="O106" i="7"/>
  <c r="M108" i="7"/>
  <c r="L108" i="7"/>
  <c r="O107" i="7"/>
  <c r="M109" i="7"/>
  <c r="L109" i="7"/>
  <c r="O108" i="7"/>
  <c r="M110" i="7"/>
  <c r="L110" i="7"/>
  <c r="O109" i="7"/>
  <c r="M111" i="7"/>
  <c r="L111" i="7"/>
  <c r="O110" i="7"/>
  <c r="M112" i="7"/>
  <c r="L112" i="7"/>
  <c r="O111" i="7"/>
  <c r="M113" i="7"/>
  <c r="L113" i="7"/>
  <c r="O112" i="7"/>
  <c r="M114" i="7"/>
  <c r="L114" i="7"/>
  <c r="O113" i="7"/>
  <c r="M115" i="7"/>
  <c r="L115" i="7"/>
  <c r="O114" i="7"/>
  <c r="M116" i="7"/>
  <c r="L116" i="7"/>
  <c r="O115" i="7"/>
  <c r="M117" i="7"/>
  <c r="L117" i="7"/>
  <c r="O116" i="7"/>
  <c r="M118" i="7"/>
  <c r="L118" i="7"/>
  <c r="O117" i="7"/>
  <c r="M119" i="7"/>
  <c r="L119" i="7"/>
  <c r="O118" i="7"/>
  <c r="M120" i="7"/>
  <c r="L120" i="7"/>
  <c r="O119" i="7"/>
  <c r="M121" i="7"/>
  <c r="L121" i="7"/>
  <c r="O120" i="7"/>
  <c r="M122" i="7"/>
  <c r="L122" i="7"/>
  <c r="O121" i="7"/>
  <c r="M123" i="7"/>
  <c r="L123" i="7"/>
  <c r="O122" i="7"/>
  <c r="O123" i="7"/>
  <c r="M124" i="7"/>
  <c r="L124" i="7"/>
  <c r="M125" i="7"/>
  <c r="L125" i="7"/>
  <c r="O124" i="7"/>
  <c r="O125" i="7"/>
  <c r="M126" i="7"/>
  <c r="L126" i="7"/>
  <c r="M127" i="7"/>
  <c r="L127" i="7"/>
  <c r="O126" i="7"/>
  <c r="O127" i="7"/>
  <c r="M128" i="7"/>
  <c r="L128" i="7"/>
  <c r="M129" i="7"/>
  <c r="L129" i="7"/>
  <c r="O128" i="7"/>
  <c r="O129" i="7"/>
  <c r="M130" i="7"/>
  <c r="L130" i="7"/>
  <c r="M131" i="7"/>
  <c r="L131" i="7"/>
  <c r="O130" i="7"/>
  <c r="O131" i="7"/>
  <c r="M132" i="7"/>
  <c r="L132" i="7"/>
  <c r="M133" i="7"/>
  <c r="L133" i="7"/>
  <c r="O132" i="7"/>
  <c r="O133" i="7"/>
  <c r="M134" i="7"/>
  <c r="L134" i="7"/>
  <c r="M135" i="7"/>
  <c r="L135" i="7"/>
  <c r="O134" i="7"/>
  <c r="O135" i="7"/>
  <c r="M136" i="7"/>
  <c r="L136" i="7"/>
  <c r="M137" i="7"/>
  <c r="L137" i="7"/>
  <c r="O136" i="7"/>
  <c r="O137" i="7"/>
  <c r="M138" i="7"/>
  <c r="L138" i="7"/>
  <c r="M139" i="7"/>
  <c r="L139" i="7"/>
  <c r="O138" i="7"/>
  <c r="O139" i="7"/>
  <c r="M140" i="7"/>
  <c r="L140" i="7"/>
  <c r="M141" i="7"/>
  <c r="L141" i="7"/>
  <c r="O140" i="7"/>
  <c r="O141" i="7"/>
  <c r="M142" i="7"/>
  <c r="L142" i="7"/>
  <c r="M143" i="7"/>
  <c r="L143" i="7"/>
  <c r="O142" i="7"/>
  <c r="O143" i="7"/>
  <c r="M144" i="7"/>
  <c r="L144" i="7"/>
  <c r="M145" i="7"/>
  <c r="L145" i="7"/>
  <c r="O144" i="7"/>
  <c r="O145" i="7"/>
  <c r="M146" i="7"/>
  <c r="L146" i="7"/>
  <c r="M147" i="7"/>
  <c r="L147" i="7"/>
  <c r="O146" i="7"/>
  <c r="O147" i="7"/>
  <c r="M148" i="7"/>
  <c r="L148" i="7"/>
  <c r="M149" i="7"/>
  <c r="L149" i="7"/>
  <c r="O148" i="7"/>
  <c r="O149" i="7"/>
  <c r="M150" i="7"/>
  <c r="L150" i="7"/>
  <c r="M151" i="7"/>
  <c r="L151" i="7"/>
  <c r="O150" i="7"/>
  <c r="O151" i="7"/>
  <c r="M152" i="7"/>
  <c r="L152" i="7"/>
  <c r="M153" i="7"/>
  <c r="L153" i="7"/>
  <c r="O152" i="7"/>
  <c r="O153" i="7"/>
  <c r="M154" i="7"/>
  <c r="L154" i="7"/>
  <c r="M155" i="7"/>
  <c r="L155" i="7"/>
  <c r="O154" i="7"/>
  <c r="O155" i="7"/>
  <c r="M156" i="7"/>
  <c r="L156" i="7"/>
  <c r="M157" i="7"/>
  <c r="L157" i="7"/>
  <c r="O156" i="7"/>
  <c r="O157" i="7"/>
  <c r="M158" i="7"/>
  <c r="L158" i="7"/>
  <c r="M159" i="7"/>
  <c r="L159" i="7"/>
  <c r="O158" i="7"/>
  <c r="O159" i="7"/>
  <c r="M160" i="7"/>
  <c r="L160" i="7"/>
  <c r="M161" i="7"/>
  <c r="L161" i="7"/>
  <c r="O160" i="7"/>
  <c r="O161" i="7"/>
  <c r="M162" i="7"/>
  <c r="L162" i="7"/>
  <c r="M163" i="7"/>
  <c r="L163" i="7"/>
  <c r="O162" i="7"/>
  <c r="O163" i="7"/>
  <c r="M164" i="7"/>
  <c r="L164" i="7"/>
  <c r="M165" i="7"/>
  <c r="L165" i="7"/>
  <c r="O164" i="7"/>
  <c r="O165" i="7"/>
  <c r="M166" i="7"/>
  <c r="L166" i="7"/>
  <c r="M167" i="7"/>
  <c r="L167" i="7"/>
  <c r="O166" i="7"/>
  <c r="O167" i="7"/>
  <c r="M168" i="7"/>
  <c r="L168" i="7"/>
  <c r="M169" i="7"/>
  <c r="L169" i="7"/>
  <c r="O168" i="7"/>
  <c r="O169" i="7"/>
  <c r="M170" i="7"/>
  <c r="L170" i="7"/>
  <c r="M171" i="7"/>
  <c r="L171" i="7"/>
  <c r="O170" i="7"/>
  <c r="O171" i="7"/>
  <c r="M172" i="7"/>
  <c r="L172" i="7"/>
  <c r="M173" i="7"/>
  <c r="L173" i="7"/>
  <c r="O172" i="7"/>
  <c r="O173" i="7"/>
  <c r="M174" i="7"/>
  <c r="L174" i="7"/>
  <c r="M175" i="7"/>
  <c r="L175" i="7"/>
  <c r="O174" i="7"/>
  <c r="O175" i="7"/>
  <c r="M176" i="7"/>
  <c r="L176" i="7"/>
  <c r="M177" i="7"/>
  <c r="L177" i="7"/>
  <c r="O176" i="7"/>
  <c r="O177" i="7"/>
  <c r="M178" i="7"/>
  <c r="L178" i="7"/>
  <c r="M179" i="7"/>
  <c r="L179" i="7"/>
  <c r="O178" i="7"/>
  <c r="O179" i="7"/>
  <c r="M180" i="7"/>
  <c r="L180" i="7"/>
  <c r="M181" i="7"/>
  <c r="L181" i="7"/>
  <c r="O180" i="7"/>
  <c r="O181" i="7"/>
  <c r="M182" i="7"/>
  <c r="L182" i="7"/>
  <c r="M183" i="7"/>
  <c r="L183" i="7"/>
  <c r="O182" i="7"/>
  <c r="O183" i="7"/>
  <c r="M184" i="7"/>
  <c r="L184" i="7"/>
  <c r="M185" i="7"/>
  <c r="L185" i="7"/>
  <c r="O184" i="7"/>
  <c r="O185" i="7"/>
  <c r="M186" i="7"/>
  <c r="L186" i="7"/>
  <c r="M187" i="7"/>
  <c r="L187" i="7"/>
  <c r="O186" i="7"/>
  <c r="O187" i="7"/>
  <c r="M188" i="7"/>
  <c r="L188" i="7"/>
  <c r="M189" i="7"/>
  <c r="L189" i="7"/>
  <c r="O188" i="7"/>
  <c r="O189" i="7"/>
  <c r="M190" i="7"/>
  <c r="L190" i="7"/>
  <c r="M191" i="7"/>
  <c r="L191" i="7"/>
  <c r="O190" i="7"/>
  <c r="O191" i="7"/>
  <c r="M192" i="7"/>
  <c r="L192" i="7"/>
  <c r="M193" i="7"/>
  <c r="L193" i="7"/>
  <c r="O192" i="7"/>
  <c r="O193" i="7"/>
  <c r="M194" i="7"/>
  <c r="L194" i="7"/>
  <c r="M195" i="7"/>
  <c r="L195" i="7"/>
  <c r="O194" i="7"/>
  <c r="O195" i="7"/>
  <c r="M196" i="7"/>
  <c r="L196" i="7"/>
  <c r="M197" i="7"/>
  <c r="L197" i="7"/>
  <c r="O196" i="7"/>
  <c r="O197" i="7"/>
  <c r="M198" i="7"/>
  <c r="L198" i="7"/>
  <c r="M199" i="7"/>
  <c r="L199" i="7"/>
  <c r="O198" i="7"/>
  <c r="O199" i="7"/>
  <c r="M200" i="7"/>
  <c r="L200" i="7"/>
  <c r="M201" i="7"/>
  <c r="L201" i="7"/>
  <c r="O200" i="7"/>
  <c r="O201" i="7"/>
  <c r="M202" i="7"/>
  <c r="L202" i="7"/>
  <c r="M203" i="7"/>
  <c r="L203" i="7"/>
  <c r="O202" i="7"/>
  <c r="O203" i="7"/>
  <c r="M204" i="7"/>
  <c r="L204" i="7"/>
  <c r="O204" i="7"/>
  <c r="M205" i="7"/>
  <c r="L205" i="7"/>
  <c r="O205" i="7"/>
  <c r="M206" i="7"/>
  <c r="L206" i="7"/>
  <c r="O206" i="7"/>
  <c r="M207" i="7"/>
  <c r="L207" i="7"/>
  <c r="O207" i="7"/>
  <c r="M208" i="7"/>
  <c r="L208" i="7"/>
  <c r="O208" i="7"/>
  <c r="M209" i="7"/>
  <c r="L209" i="7"/>
  <c r="O209" i="7"/>
  <c r="M210" i="7"/>
  <c r="L210" i="7"/>
  <c r="O210" i="7"/>
  <c r="M211" i="7"/>
  <c r="L211" i="7"/>
  <c r="O211" i="7"/>
  <c r="M212" i="7"/>
  <c r="L212" i="7"/>
  <c r="O212" i="7"/>
  <c r="M213" i="7"/>
  <c r="L213" i="7"/>
  <c r="O213" i="7"/>
  <c r="M214" i="7"/>
  <c r="L214" i="7"/>
  <c r="O214" i="7"/>
  <c r="M215" i="7"/>
  <c r="L215" i="7"/>
  <c r="O215" i="7"/>
  <c r="M216" i="7"/>
  <c r="L216" i="7"/>
  <c r="O216" i="7"/>
  <c r="M217" i="7"/>
  <c r="L217" i="7"/>
  <c r="O217" i="7"/>
  <c r="M218" i="7"/>
  <c r="L218" i="7"/>
  <c r="O218" i="7"/>
  <c r="M219" i="7"/>
  <c r="L219" i="7"/>
  <c r="O219" i="7"/>
  <c r="M220" i="7"/>
  <c r="L220" i="7"/>
  <c r="O220" i="7"/>
  <c r="M221" i="7"/>
  <c r="L221" i="7"/>
  <c r="O221" i="7"/>
  <c r="M222" i="7"/>
  <c r="L222" i="7"/>
  <c r="O222" i="7"/>
  <c r="M223" i="7"/>
  <c r="L223" i="7"/>
  <c r="O223" i="7"/>
  <c r="M224" i="7"/>
  <c r="L224" i="7"/>
  <c r="O224" i="7"/>
  <c r="M225" i="7"/>
  <c r="L225" i="7"/>
  <c r="O225" i="7"/>
  <c r="M226" i="7"/>
  <c r="L226" i="7"/>
  <c r="O226" i="7"/>
  <c r="M227" i="7"/>
  <c r="L227" i="7"/>
  <c r="O227" i="7"/>
  <c r="M228" i="7"/>
  <c r="L228" i="7"/>
  <c r="O228" i="7"/>
  <c r="M229" i="7"/>
  <c r="L229" i="7"/>
  <c r="O229" i="7"/>
  <c r="M230" i="7"/>
  <c r="L230" i="7"/>
  <c r="O230" i="7"/>
  <c r="M231" i="7"/>
  <c r="L231" i="7"/>
  <c r="O231" i="7"/>
  <c r="M232" i="7"/>
  <c r="L232" i="7"/>
  <c r="O232" i="7"/>
  <c r="M233" i="7"/>
  <c r="L233" i="7"/>
  <c r="O233" i="7"/>
  <c r="M234" i="7"/>
  <c r="L234" i="7"/>
  <c r="O234" i="7"/>
  <c r="M235" i="7"/>
  <c r="L235" i="7"/>
  <c r="O235" i="7"/>
  <c r="M236" i="7"/>
  <c r="L236" i="7"/>
  <c r="O236" i="7"/>
  <c r="M237" i="7"/>
  <c r="L237" i="7"/>
  <c r="O237" i="7"/>
  <c r="M238" i="7"/>
  <c r="L238" i="7"/>
  <c r="O238" i="7"/>
  <c r="M239" i="7"/>
  <c r="L239" i="7"/>
  <c r="O239" i="7"/>
  <c r="M240" i="7"/>
  <c r="L240" i="7"/>
  <c r="O240" i="7"/>
  <c r="M241" i="7"/>
  <c r="L241" i="7"/>
  <c r="O241" i="7"/>
  <c r="M242" i="7"/>
  <c r="L242" i="7"/>
  <c r="O242" i="7"/>
  <c r="M243" i="7"/>
  <c r="L243" i="7"/>
  <c r="O243" i="7"/>
  <c r="M244" i="7"/>
  <c r="L244" i="7"/>
  <c r="O244" i="7"/>
  <c r="M245" i="7"/>
  <c r="L245" i="7"/>
  <c r="O245" i="7"/>
  <c r="M246" i="7"/>
  <c r="L246" i="7"/>
  <c r="O246" i="7"/>
  <c r="M247" i="7"/>
  <c r="L247" i="7"/>
  <c r="O247" i="7"/>
  <c r="M248" i="7"/>
  <c r="L248" i="7"/>
  <c r="O248" i="7"/>
  <c r="M249" i="7"/>
  <c r="L249" i="7"/>
  <c r="O249" i="7"/>
  <c r="M250" i="7"/>
  <c r="L250" i="7"/>
  <c r="O250" i="7"/>
  <c r="M251" i="7"/>
  <c r="L251" i="7"/>
  <c r="O251" i="7"/>
  <c r="M252" i="7"/>
  <c r="L252" i="7"/>
  <c r="O252" i="7"/>
  <c r="M253" i="7"/>
  <c r="L253" i="7"/>
  <c r="O253" i="7"/>
  <c r="M254" i="7"/>
  <c r="L254" i="7"/>
  <c r="O254" i="7"/>
  <c r="M255" i="7"/>
  <c r="L255" i="7"/>
  <c r="O255" i="7"/>
  <c r="M256" i="7"/>
  <c r="L256" i="7"/>
  <c r="O256" i="7"/>
  <c r="M257" i="7"/>
  <c r="L257" i="7"/>
  <c r="O257" i="7"/>
  <c r="M258" i="7"/>
  <c r="L258" i="7"/>
  <c r="O258" i="7"/>
  <c r="M259" i="7"/>
  <c r="L259" i="7"/>
  <c r="O259" i="7"/>
  <c r="M260" i="7"/>
  <c r="L260" i="7"/>
  <c r="O260" i="7"/>
  <c r="M261" i="7"/>
  <c r="L261" i="7"/>
  <c r="O261" i="7"/>
  <c r="M262" i="7"/>
  <c r="L262" i="7"/>
  <c r="O262" i="7"/>
  <c r="M263" i="7"/>
  <c r="L263" i="7"/>
  <c r="O263" i="7"/>
  <c r="M264" i="7"/>
  <c r="L264" i="7"/>
  <c r="O264" i="7"/>
  <c r="M265" i="7"/>
  <c r="L265" i="7"/>
  <c r="O265" i="7"/>
  <c r="M266" i="7"/>
  <c r="L266" i="7"/>
  <c r="O266" i="7"/>
  <c r="M267" i="7"/>
  <c r="L267" i="7"/>
  <c r="O267" i="7"/>
  <c r="M268" i="7"/>
  <c r="L268" i="7"/>
  <c r="O268" i="7"/>
  <c r="M269" i="7"/>
  <c r="L269" i="7"/>
  <c r="O269" i="7"/>
  <c r="M270" i="7"/>
  <c r="L270" i="7"/>
  <c r="O270" i="7"/>
  <c r="M271" i="7"/>
  <c r="L271" i="7"/>
  <c r="O271" i="7"/>
  <c r="M272" i="7"/>
  <c r="L272" i="7"/>
  <c r="O272" i="7"/>
  <c r="M273" i="7"/>
  <c r="L273" i="7"/>
  <c r="O273" i="7"/>
  <c r="M274" i="7"/>
  <c r="L274" i="7"/>
  <c r="O274" i="7"/>
  <c r="M275" i="7"/>
  <c r="L275" i="7"/>
  <c r="O275" i="7"/>
  <c r="M276" i="7"/>
  <c r="L276" i="7"/>
  <c r="O276" i="7"/>
  <c r="M277" i="7"/>
  <c r="L277" i="7"/>
  <c r="O277" i="7"/>
  <c r="M278" i="7"/>
  <c r="L278" i="7"/>
  <c r="O278" i="7"/>
  <c r="M279" i="7"/>
  <c r="L279" i="7"/>
  <c r="O279" i="7"/>
  <c r="M280" i="7"/>
  <c r="L280" i="7"/>
  <c r="O280" i="7"/>
  <c r="M281" i="7"/>
  <c r="L281" i="7"/>
  <c r="O281" i="7"/>
  <c r="M282" i="7"/>
  <c r="L282" i="7"/>
  <c r="O282" i="7"/>
  <c r="M283" i="7"/>
  <c r="L283" i="7"/>
  <c r="O283" i="7"/>
  <c r="M284" i="7"/>
  <c r="L284" i="7"/>
  <c r="O284" i="7"/>
  <c r="M285" i="7"/>
  <c r="L285" i="7"/>
  <c r="O285" i="7"/>
  <c r="M286" i="7"/>
  <c r="L286" i="7"/>
  <c r="O286" i="7"/>
  <c r="M287" i="7"/>
  <c r="L287" i="7"/>
  <c r="M288" i="7"/>
  <c r="O287" i="7"/>
  <c r="L288" i="7"/>
  <c r="O288" i="7"/>
  <c r="M289" i="7"/>
  <c r="L289" i="7"/>
  <c r="M290" i="7"/>
  <c r="L290" i="7"/>
  <c r="O289" i="7"/>
  <c r="O290" i="7"/>
  <c r="M291" i="7"/>
  <c r="L291" i="7"/>
  <c r="M292" i="7"/>
  <c r="O291" i="7"/>
  <c r="L292" i="7"/>
  <c r="O292" i="7"/>
  <c r="M293" i="7"/>
  <c r="L293" i="7"/>
  <c r="M294" i="7"/>
  <c r="O293" i="7"/>
  <c r="L294" i="7"/>
  <c r="O294" i="7"/>
  <c r="M295" i="7"/>
  <c r="L295" i="7"/>
  <c r="M296" i="7"/>
  <c r="L296" i="7"/>
  <c r="O295" i="7"/>
  <c r="O296" i="7"/>
  <c r="M297" i="7"/>
  <c r="L297" i="7"/>
  <c r="M298" i="7"/>
  <c r="O297" i="7"/>
  <c r="L298" i="7"/>
  <c r="O298" i="7"/>
  <c r="M299" i="7"/>
  <c r="L299" i="7"/>
  <c r="M300" i="7"/>
  <c r="O299" i="7"/>
  <c r="L300" i="7"/>
  <c r="O300" i="7"/>
  <c r="M301" i="7"/>
  <c r="L301" i="7"/>
  <c r="M302" i="7"/>
  <c r="L302" i="7"/>
  <c r="O301" i="7"/>
  <c r="O302" i="7"/>
  <c r="M303" i="7"/>
  <c r="L303" i="7"/>
  <c r="M304" i="7"/>
  <c r="O303" i="7"/>
  <c r="L304" i="7"/>
  <c r="O304" i="7"/>
  <c r="M305" i="7"/>
  <c r="L305" i="7"/>
  <c r="M306" i="7"/>
  <c r="L306" i="7"/>
  <c r="O305" i="7"/>
  <c r="O306" i="7"/>
  <c r="M307" i="7"/>
  <c r="L307" i="7"/>
  <c r="M308" i="7"/>
  <c r="O307" i="7"/>
  <c r="L308" i="7"/>
  <c r="O308" i="7"/>
  <c r="M309" i="7"/>
  <c r="L309" i="7"/>
  <c r="M310" i="7"/>
  <c r="O309" i="7"/>
  <c r="L310" i="7"/>
  <c r="O310" i="7"/>
  <c r="M311" i="7"/>
  <c r="L311" i="7"/>
  <c r="M312" i="7"/>
  <c r="L312" i="7"/>
  <c r="O311" i="7"/>
  <c r="O312" i="7"/>
  <c r="M313" i="7"/>
  <c r="L313" i="7"/>
  <c r="M314" i="7"/>
  <c r="O313" i="7"/>
  <c r="L314" i="7"/>
  <c r="O314" i="7"/>
  <c r="M315" i="7"/>
  <c r="L315" i="7"/>
  <c r="M316" i="7"/>
  <c r="L316" i="7"/>
  <c r="O315" i="7"/>
  <c r="O316" i="7"/>
  <c r="M317" i="7"/>
  <c r="L317" i="7"/>
  <c r="M318" i="7"/>
  <c r="O317" i="7"/>
  <c r="L318" i="7"/>
  <c r="O318" i="7"/>
  <c r="M319" i="7"/>
  <c r="L319" i="7"/>
  <c r="M320" i="7"/>
  <c r="O319" i="7"/>
  <c r="L320" i="7"/>
  <c r="O320" i="7"/>
  <c r="M321" i="7"/>
  <c r="L321" i="7"/>
  <c r="M322" i="7"/>
  <c r="L322" i="7"/>
  <c r="O321" i="7"/>
  <c r="O322" i="7"/>
  <c r="M323" i="7"/>
  <c r="L323" i="7"/>
  <c r="M324" i="7"/>
  <c r="O323" i="7"/>
  <c r="L324" i="7"/>
  <c r="O324" i="7"/>
  <c r="M325" i="7"/>
  <c r="L325" i="7"/>
  <c r="M326" i="7"/>
  <c r="O325" i="7"/>
  <c r="L326" i="7"/>
  <c r="O326" i="7"/>
  <c r="M327" i="7"/>
  <c r="L327" i="7"/>
  <c r="M328" i="7"/>
  <c r="O327" i="7"/>
  <c r="L328" i="7"/>
  <c r="O328" i="7"/>
  <c r="M329" i="7"/>
  <c r="L329" i="7"/>
  <c r="M330" i="7"/>
  <c r="O329" i="7"/>
  <c r="L330" i="7"/>
  <c r="O330" i="7"/>
  <c r="M331" i="7"/>
  <c r="L331" i="7"/>
  <c r="M332" i="7"/>
  <c r="O331" i="7"/>
  <c r="L332" i="7"/>
  <c r="O332" i="7"/>
  <c r="M333" i="7"/>
  <c r="L333" i="7"/>
  <c r="M334" i="7"/>
  <c r="L334" i="7"/>
  <c r="O333" i="7"/>
  <c r="O334" i="7"/>
  <c r="M335" i="7"/>
  <c r="L335" i="7"/>
  <c r="M336" i="7"/>
  <c r="O335" i="7"/>
  <c r="L336" i="7"/>
  <c r="O336" i="7"/>
  <c r="M337" i="7"/>
  <c r="L337" i="7"/>
  <c r="M338" i="7"/>
  <c r="O337" i="7"/>
  <c r="L338" i="7"/>
  <c r="O338" i="7"/>
  <c r="M339" i="7"/>
  <c r="L339" i="7"/>
  <c r="M340" i="7"/>
  <c r="O339" i="7"/>
  <c r="L340" i="7"/>
  <c r="O340" i="7"/>
  <c r="M341" i="7"/>
  <c r="L341" i="7"/>
  <c r="M342" i="7"/>
  <c r="O341" i="7"/>
  <c r="L342" i="7"/>
  <c r="O342" i="7"/>
  <c r="M343" i="7"/>
  <c r="L343" i="7"/>
  <c r="M344" i="7"/>
  <c r="O343" i="7"/>
  <c r="L344" i="7"/>
  <c r="O344" i="7"/>
  <c r="M345" i="7"/>
  <c r="L345" i="7"/>
  <c r="M346" i="7"/>
  <c r="O345" i="7"/>
  <c r="L346" i="7"/>
  <c r="O346" i="7"/>
  <c r="M347" i="7"/>
  <c r="L347" i="7"/>
  <c r="O347" i="7"/>
  <c r="M348" i="7"/>
  <c r="L348" i="7"/>
  <c r="O348" i="7"/>
  <c r="M349" i="7"/>
  <c r="L349" i="7"/>
  <c r="M350" i="7"/>
  <c r="O349" i="7"/>
  <c r="L350" i="7"/>
  <c r="O350" i="7"/>
  <c r="M351" i="7"/>
  <c r="L351" i="7"/>
  <c r="M352" i="7"/>
  <c r="L352" i="7"/>
  <c r="O351" i="7"/>
  <c r="O352" i="7"/>
  <c r="M353" i="7"/>
  <c r="L353" i="7"/>
  <c r="M354" i="7"/>
  <c r="L354" i="7"/>
  <c r="O353" i="7"/>
  <c r="O354" i="7"/>
  <c r="M355" i="7"/>
  <c r="L355" i="7"/>
  <c r="O355" i="7"/>
  <c r="M356" i="7"/>
  <c r="L356" i="7"/>
  <c r="O356" i="7"/>
  <c r="M357" i="7"/>
  <c r="L357" i="7"/>
  <c r="M358" i="7"/>
  <c r="L358" i="7"/>
  <c r="O357" i="7"/>
  <c r="O358" i="7"/>
  <c r="M359" i="7"/>
  <c r="L359" i="7"/>
  <c r="M360" i="7"/>
  <c r="L360" i="7"/>
  <c r="O359" i="7"/>
  <c r="O360" i="7"/>
  <c r="M361" i="7"/>
  <c r="L361" i="7"/>
  <c r="O361" i="7"/>
</calcChain>
</file>

<file path=xl/sharedStrings.xml><?xml version="1.0" encoding="utf-8"?>
<sst xmlns="http://schemas.openxmlformats.org/spreadsheetml/2006/main" count="300" uniqueCount="200">
  <si>
    <t>Property Address:</t>
  </si>
  <si>
    <t>Cost of Money:</t>
  </si>
  <si>
    <t>Tax Class:</t>
  </si>
  <si>
    <t xml:space="preserve">Resale </t>
  </si>
  <si>
    <t>Loan Terms</t>
  </si>
  <si>
    <t>Probable Resale</t>
  </si>
  <si>
    <t>Loan Amount</t>
  </si>
  <si>
    <t>Concession</t>
  </si>
  <si>
    <t>Total Investment</t>
  </si>
  <si>
    <t>Commissions</t>
  </si>
  <si>
    <t>Transfer Tax</t>
  </si>
  <si>
    <t>Attorney</t>
  </si>
  <si>
    <t>LTV</t>
  </si>
  <si>
    <t>NDC</t>
  </si>
  <si>
    <t>Loan Policy</t>
  </si>
  <si>
    <t>Loan Interest</t>
  </si>
  <si>
    <t>HOI Lien</t>
  </si>
  <si>
    <t>Cash Requirement</t>
  </si>
  <si>
    <t>Tenants</t>
  </si>
  <si>
    <t>Agent</t>
  </si>
  <si>
    <t>Money Spent</t>
  </si>
  <si>
    <t>Closing Costs</t>
  </si>
  <si>
    <t>Flip Price</t>
  </si>
  <si>
    <t>Construction</t>
  </si>
  <si>
    <t>Architect</t>
  </si>
  <si>
    <t>Interest on Money</t>
  </si>
  <si>
    <t>Property Taxes:</t>
  </si>
  <si>
    <t>Title Insurance Premiums</t>
  </si>
  <si>
    <t>Purchase Price</t>
  </si>
  <si>
    <t>Loan Amount Discounted</t>
  </si>
  <si>
    <t>Loan Amount Full Premium</t>
  </si>
  <si>
    <t>From</t>
  </si>
  <si>
    <t>To</t>
  </si>
  <si>
    <t>Owner’s Policy</t>
  </si>
  <si>
    <t>Cost Owner’s Policy</t>
  </si>
  <si>
    <t>Cost Loan Policy</t>
  </si>
  <si>
    <t>Loan Policy &gt; Purcahse</t>
  </si>
  <si>
    <t>Title Insurance</t>
  </si>
  <si>
    <t>Purchase</t>
  </si>
  <si>
    <t>Loan Costs</t>
  </si>
  <si>
    <t>Flip Profit</t>
  </si>
  <si>
    <t>Total Cost</t>
  </si>
  <si>
    <t>ALL CASH</t>
  </si>
  <si>
    <t>Sale Price</t>
  </si>
  <si>
    <t>Time (Months)</t>
  </si>
  <si>
    <t>Net Profit:</t>
  </si>
  <si>
    <t>Additonal Costs</t>
  </si>
  <si>
    <t>Constrution</t>
  </si>
  <si>
    <t>Carrying Costs</t>
  </si>
  <si>
    <t>ROI</t>
  </si>
  <si>
    <t>Resale</t>
  </si>
  <si>
    <t>Total Investment:</t>
  </si>
  <si>
    <t>Loan Closing Costs</t>
  </si>
  <si>
    <t>Cash Required</t>
  </si>
  <si>
    <t>FLIP</t>
  </si>
  <si>
    <t>Improvements</t>
  </si>
  <si>
    <t>Points</t>
  </si>
  <si>
    <t>Flip Calculation</t>
  </si>
  <si>
    <t>Flip ROI</t>
  </si>
  <si>
    <t>Money Factor</t>
  </si>
  <si>
    <t>Property Type</t>
  </si>
  <si>
    <t>Notes</t>
  </si>
  <si>
    <t>LOAN</t>
  </si>
  <si>
    <t>COS Termination</t>
  </si>
  <si>
    <t>Loan Points</t>
  </si>
  <si>
    <t>Yes/No</t>
  </si>
  <si>
    <t>Yes</t>
  </si>
  <si>
    <t>No</t>
  </si>
  <si>
    <t>Property Info</t>
  </si>
  <si>
    <t>Lien Info</t>
  </si>
  <si>
    <t>Settlement</t>
  </si>
  <si>
    <t>COS Recorded:</t>
  </si>
  <si>
    <t>HOI:</t>
  </si>
  <si>
    <t>Deed Recorded:</t>
  </si>
  <si>
    <t>Money Spent:</t>
  </si>
  <si>
    <t>Building Dimension</t>
  </si>
  <si>
    <t>Other Liens:</t>
  </si>
  <si>
    <t>Agent Commission</t>
  </si>
  <si>
    <t>Lot Size</t>
  </si>
  <si>
    <t>FHA:</t>
  </si>
  <si>
    <t>Tax Lien Certificate:</t>
  </si>
  <si>
    <t>Zoning</t>
  </si>
  <si>
    <t>Fannie Mae:</t>
  </si>
  <si>
    <t>Actual # of Units:</t>
  </si>
  <si>
    <t>Freddie Mac:</t>
  </si>
  <si>
    <t>Water Charges:</t>
  </si>
  <si>
    <t>Property Tax (Year):</t>
  </si>
  <si>
    <t>Servicer:</t>
  </si>
  <si>
    <t>HPD Charges:</t>
  </si>
  <si>
    <t>Occupancy Status:</t>
  </si>
  <si>
    <t>Seller + Tenant</t>
  </si>
  <si>
    <t>Default Date:</t>
  </si>
  <si>
    <t># of Tenants:</t>
  </si>
  <si>
    <t>Personal Judgements:</t>
  </si>
  <si>
    <t>Rehab Info</t>
  </si>
  <si>
    <t>Foreclosure Status:</t>
  </si>
  <si>
    <t>HPD Judgements:</t>
  </si>
  <si>
    <t>Repair Bid:</t>
  </si>
  <si>
    <t>Foreclosure Note:</t>
  </si>
  <si>
    <t>Deal Time (Months):</t>
  </si>
  <si>
    <t>Vacate Order:</t>
  </si>
  <si>
    <t>Renovated Value:</t>
  </si>
  <si>
    <t>Relocation Lien:</t>
  </si>
  <si>
    <t>Rental Info</t>
  </si>
  <si>
    <t>Deed Purchase</t>
  </si>
  <si>
    <t>Current Payoff:</t>
  </si>
  <si>
    <t>Payoff Date:</t>
  </si>
  <si>
    <t>Current SS Value:</t>
  </si>
  <si>
    <t>Occupancy</t>
  </si>
  <si>
    <t>Unkown</t>
  </si>
  <si>
    <t>Vacant</t>
  </si>
  <si>
    <t>Seller</t>
  </si>
  <si>
    <t>Tenant</t>
  </si>
  <si>
    <t>Multiple Tenants</t>
  </si>
  <si>
    <t>Liens</t>
  </si>
  <si>
    <t>Off HUD Costs</t>
  </si>
  <si>
    <t>Deal Costs</t>
  </si>
  <si>
    <t>Lien Payoff(s)</t>
  </si>
  <si>
    <t>Loan Rate</t>
  </si>
  <si>
    <t>Loan Term (Months)</t>
  </si>
  <si>
    <t>Insurance</t>
  </si>
  <si>
    <t>Loan Closing Cost</t>
  </si>
  <si>
    <t>RE Taxes</t>
  </si>
  <si>
    <t>Deal Expenses</t>
  </si>
  <si>
    <t>Utilities</t>
  </si>
  <si>
    <t>Owners Policy</t>
  </si>
  <si>
    <t>Title Bill</t>
  </si>
  <si>
    <t>Buyers Attorney</t>
  </si>
  <si>
    <t>Auction Date:</t>
  </si>
  <si>
    <t>Average Low Value:</t>
  </si>
  <si>
    <t>Sales Commission:</t>
  </si>
  <si>
    <t>Rental Time</t>
  </si>
  <si>
    <t>Deal Length:</t>
  </si>
  <si>
    <t>Deal ROI:</t>
  </si>
  <si>
    <t>Occupancy:</t>
  </si>
  <si>
    <t>Relocation Lien Date:</t>
  </si>
  <si>
    <t>Deal ROI (Cash)</t>
  </si>
  <si>
    <t>Lien Costs</t>
  </si>
  <si>
    <t>Repair Bid Total:</t>
  </si>
  <si>
    <t>Market Rent Total:</t>
  </si>
  <si>
    <t># of Units</t>
  </si>
  <si>
    <t>Maximum Lien Payoff</t>
  </si>
  <si>
    <t>Maximum SS Price</t>
  </si>
  <si>
    <t>ROI (Loan)</t>
  </si>
  <si>
    <t>1st Mortgage</t>
  </si>
  <si>
    <t>2nd Mortgage</t>
  </si>
  <si>
    <t>Seller Occupied:</t>
  </si>
  <si>
    <t>Foreclosure Index #:</t>
  </si>
  <si>
    <t>Month</t>
  </si>
  <si>
    <t>Deed Purcahse</t>
  </si>
  <si>
    <t>Total Repairs</t>
  </si>
  <si>
    <t>Address:</t>
  </si>
  <si>
    <t># of Units:</t>
  </si>
  <si>
    <t>Total Upfront</t>
  </si>
  <si>
    <t>Upfront Costs</t>
  </si>
  <si>
    <t>Total Months</t>
  </si>
  <si>
    <t>Total $</t>
  </si>
  <si>
    <t>Interest</t>
  </si>
  <si>
    <t>Cost of Money</t>
  </si>
  <si>
    <t>Net Montly Rent</t>
  </si>
  <si>
    <t>Monthly Rent Breakdown</t>
  </si>
  <si>
    <t>Rent</t>
  </si>
  <si>
    <t>Maintenance</t>
  </si>
  <si>
    <t>Misc Repairs</t>
  </si>
  <si>
    <t>Mgt Fee (10%)</t>
  </si>
  <si>
    <t>Breakeven (Month)</t>
  </si>
  <si>
    <t>ROI (Year)</t>
  </si>
  <si>
    <t>Purchase Price (All In)</t>
  </si>
  <si>
    <t>ROI (Total)</t>
  </si>
  <si>
    <t>Min ROI</t>
  </si>
  <si>
    <t>Target Profit</t>
  </si>
  <si>
    <t>Net Profit</t>
  </si>
  <si>
    <t>BEST CASE SCENARIO</t>
  </si>
  <si>
    <t>MINIMUM BASELINE SCENARIO</t>
  </si>
  <si>
    <t>Target Time (Months)</t>
  </si>
  <si>
    <t>Target Time</t>
  </si>
  <si>
    <t>Currently Rented</t>
  </si>
  <si>
    <t>HOI</t>
  </si>
  <si>
    <t>MAX HOI</t>
  </si>
  <si>
    <t>Best Case For HOI</t>
  </si>
  <si>
    <t>Owners&amp;Loan Policy &lt;= Purcahse</t>
  </si>
  <si>
    <t>FAR Max:</t>
  </si>
  <si>
    <t>FAR Actual:</t>
  </si>
  <si>
    <t>Current Owner:</t>
  </si>
  <si>
    <t>Lis Pendens:</t>
  </si>
  <si>
    <t>NYS Tax Warrants:</t>
  </si>
  <si>
    <t>Sidewalk Liens:</t>
  </si>
  <si>
    <t>Transit Authority:</t>
  </si>
  <si>
    <t>Parking Violations:</t>
  </si>
  <si>
    <t>Federal Tax Liens:</t>
  </si>
  <si>
    <t>DOB Civil Penalty:</t>
  </si>
  <si>
    <t>ECB (Amnesty):</t>
  </si>
  <si>
    <t>HOI %:</t>
  </si>
  <si>
    <t>HAFA:</t>
  </si>
  <si>
    <t>FLIP SCENARIO</t>
  </si>
  <si>
    <t>Needs Plans</t>
  </si>
  <si>
    <t>ECB (City Pay):</t>
  </si>
  <si>
    <t>RENTAL BRAEKDOWN</t>
  </si>
  <si>
    <t>Upfront Cost</t>
  </si>
  <si>
    <t>Net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</si>
</sst>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&quot; &quot;&quot;$&quot;* #,##0.00&quot; &quot;;&quot; &quot;&quot;$&quot;* \(#,##0.00\);&quot; &quot;&quot;$&quot;* &quot;-&quot;??&quot; &quot;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  <font>
      <b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Font="1" applyFill="1" applyBorder="1" applyAlignment="1"/>
    <xf numFmtId="49" fontId="3" fillId="0" borderId="4" xfId="0" applyNumberFormat="1" applyFont="1" applyFill="1" applyBorder="1" applyAlignment="1" applyProtection="1">
      <alignment horizontal="left"/>
    </xf>
    <xf numFmtId="49" fontId="5" fillId="2" borderId="1" xfId="0" applyNumberFormat="1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49" fontId="0" fillId="0" borderId="4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/>
    <xf numFmtId="16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4" fontId="0" fillId="0" borderId="5" xfId="0" applyNumberFormat="1" applyFont="1" applyFill="1" applyBorder="1" applyAlignment="1"/>
    <xf numFmtId="164" fontId="0" fillId="0" borderId="6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0" fillId="0" borderId="5" xfId="0" applyNumberFormat="1" applyFont="1" applyFill="1" applyBorder="1" applyAlignment="1" applyProtection="1">
      <protection hidden="1"/>
    </xf>
    <xf numFmtId="49" fontId="5" fillId="2" borderId="12" xfId="0" applyNumberFormat="1" applyFont="1" applyFill="1" applyBorder="1" applyAlignment="1" applyProtection="1">
      <protection hidden="1"/>
    </xf>
    <xf numFmtId="164" fontId="6" fillId="2" borderId="5" xfId="0" applyNumberFormat="1" applyFont="1" applyFill="1" applyBorder="1" applyAlignment="1" applyProtection="1">
      <protection hidden="1"/>
    </xf>
    <xf numFmtId="164" fontId="0" fillId="0" borderId="0" xfId="0" applyNumberFormat="1"/>
    <xf numFmtId="0" fontId="0" fillId="6" borderId="7" xfId="0" applyNumberFormat="1" applyFont="1" applyFill="1" applyBorder="1" applyAlignment="1" applyProtection="1">
      <protection hidden="1"/>
    </xf>
    <xf numFmtId="0" fontId="10" fillId="2" borderId="3" xfId="0" applyFont="1" applyFill="1" applyBorder="1"/>
    <xf numFmtId="0" fontId="9" fillId="2" borderId="1" xfId="0" applyFont="1" applyFill="1" applyBorder="1"/>
    <xf numFmtId="0" fontId="9" fillId="2" borderId="3" xfId="0" applyFont="1" applyFill="1" applyBorder="1"/>
    <xf numFmtId="49" fontId="3" fillId="0" borderId="6" xfId="0" applyNumberFormat="1" applyFont="1" applyFill="1" applyBorder="1" applyAlignment="1" applyProtection="1">
      <alignment horizontal="left"/>
      <protection hidden="1"/>
    </xf>
    <xf numFmtId="0" fontId="9" fillId="2" borderId="1" xfId="0" applyFont="1" applyFill="1" applyBorder="1" applyAlignment="1" applyProtection="1">
      <protection hidden="1"/>
    </xf>
    <xf numFmtId="0" fontId="8" fillId="0" borderId="4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hidden="1"/>
    </xf>
    <xf numFmtId="0" fontId="2" fillId="0" borderId="6" xfId="0" applyFont="1" applyBorder="1"/>
    <xf numFmtId="0" fontId="4" fillId="0" borderId="8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hidden="1"/>
    </xf>
    <xf numFmtId="49" fontId="3" fillId="0" borderId="4" xfId="0" applyNumberFormat="1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Alignment="1" applyProtection="1">
      <alignment horizontal="left"/>
      <protection hidden="1"/>
    </xf>
    <xf numFmtId="1" fontId="0" fillId="0" borderId="7" xfId="0" applyNumberFormat="1" applyFont="1" applyFill="1" applyBorder="1" applyAlignment="1" applyProtection="1">
      <alignment horizontal="left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0" xfId="0" applyFill="1" applyBorder="1" applyProtection="1">
      <protection hidden="1"/>
    </xf>
    <xf numFmtId="49" fontId="3" fillId="6" borderId="1" xfId="0" applyNumberFormat="1" applyFont="1" applyFill="1" applyBorder="1" applyAlignment="1" applyProtection="1">
      <alignment horizontal="left"/>
      <protection hidden="1"/>
    </xf>
    <xf numFmtId="0" fontId="0" fillId="6" borderId="0" xfId="0" applyFill="1" applyBorder="1" applyAlignment="1" applyProtection="1"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49" fontId="3" fillId="6" borderId="6" xfId="0" applyNumberFormat="1" applyFont="1" applyFill="1" applyBorder="1" applyAlignment="1" applyProtection="1">
      <alignment horizontal="left"/>
      <protection hidden="1"/>
    </xf>
    <xf numFmtId="49" fontId="3" fillId="6" borderId="7" xfId="0" applyNumberFormat="1" applyFont="1" applyFill="1" applyBorder="1" applyAlignment="1" applyProtection="1">
      <alignment horizontal="left"/>
      <protection hidden="1"/>
    </xf>
    <xf numFmtId="44" fontId="0" fillId="6" borderId="8" xfId="0" applyNumberFormat="1" applyFill="1" applyBorder="1" applyAlignment="1" applyProtection="1">
      <alignment horizontal="left"/>
      <protection hidden="1"/>
    </xf>
    <xf numFmtId="44" fontId="8" fillId="6" borderId="0" xfId="2" applyFont="1" applyFill="1" applyBorder="1" applyAlignment="1" applyProtection="1">
      <protection hidden="1"/>
    </xf>
    <xf numFmtId="44" fontId="0" fillId="6" borderId="0" xfId="2" applyFont="1" applyFill="1" applyBorder="1" applyAlignment="1" applyProtection="1">
      <protection hidden="1"/>
    </xf>
    <xf numFmtId="0" fontId="2" fillId="3" borderId="11" xfId="0" applyNumberFormat="1" applyFont="1" applyFill="1" applyBorder="1" applyAlignment="1" applyProtection="1">
      <alignment horizontal="center"/>
      <protection hidden="1"/>
    </xf>
    <xf numFmtId="0" fontId="2" fillId="6" borderId="13" xfId="0" applyFont="1" applyFill="1" applyBorder="1" applyProtection="1">
      <protection hidden="1"/>
    </xf>
    <xf numFmtId="0" fontId="2" fillId="6" borderId="17" xfId="0" applyNumberFormat="1" applyFont="1" applyFill="1" applyBorder="1" applyProtection="1">
      <protection hidden="1"/>
    </xf>
    <xf numFmtId="0" fontId="2" fillId="6" borderId="12" xfId="0" applyFont="1" applyFill="1" applyBorder="1" applyProtection="1">
      <protection hidden="1"/>
    </xf>
    <xf numFmtId="0" fontId="2" fillId="7" borderId="15" xfId="0" applyFont="1" applyFill="1" applyBorder="1" applyProtection="1">
      <protection hidden="1"/>
    </xf>
    <xf numFmtId="44" fontId="2" fillId="5" borderId="8" xfId="2" applyNumberFormat="1" applyFont="1" applyFill="1" applyBorder="1" applyAlignment="1" applyProtection="1">
      <alignment horizontal="right"/>
      <protection hidden="1"/>
    </xf>
    <xf numFmtId="0" fontId="2" fillId="7" borderId="18" xfId="0" applyFont="1" applyFill="1" applyBorder="1" applyProtection="1">
      <protection hidden="1"/>
    </xf>
    <xf numFmtId="44" fontId="2" fillId="5" borderId="10" xfId="2" applyFont="1" applyFill="1" applyBorder="1" applyProtection="1">
      <protection hidden="1"/>
    </xf>
    <xf numFmtId="0" fontId="0" fillId="6" borderId="16" xfId="0" applyFill="1" applyBorder="1" applyProtection="1">
      <protection hidden="1"/>
    </xf>
    <xf numFmtId="44" fontId="0" fillId="6" borderId="5" xfId="2" applyFont="1" applyFill="1" applyBorder="1" applyAlignment="1" applyProtection="1">
      <protection hidden="1"/>
    </xf>
    <xf numFmtId="0" fontId="2" fillId="4" borderId="16" xfId="0" applyNumberFormat="1" applyFont="1" applyFill="1" applyBorder="1" applyAlignment="1" applyProtection="1">
      <alignment horizontal="center"/>
      <protection hidden="1"/>
    </xf>
    <xf numFmtId="0" fontId="2" fillId="6" borderId="17" xfId="0" applyFont="1" applyFill="1" applyBorder="1" applyProtection="1">
      <protection hidden="1"/>
    </xf>
    <xf numFmtId="44" fontId="2" fillId="5" borderId="8" xfId="2" applyFont="1" applyFill="1" applyBorder="1" applyAlignment="1" applyProtection="1">
      <alignment horizontal="left"/>
      <protection hidden="1"/>
    </xf>
    <xf numFmtId="44" fontId="2" fillId="5" borderId="8" xfId="2" applyFont="1" applyFill="1" applyBorder="1" applyProtection="1">
      <protection hidden="1"/>
    </xf>
    <xf numFmtId="0" fontId="2" fillId="6" borderId="0" xfId="0" applyFont="1" applyFill="1" applyBorder="1" applyAlignment="1" applyProtection="1">
      <alignment horizontal="center"/>
      <protection hidden="1"/>
    </xf>
    <xf numFmtId="164" fontId="0" fillId="6" borderId="8" xfId="0" applyNumberFormat="1" applyFill="1" applyBorder="1" applyProtection="1">
      <protection hidden="1"/>
    </xf>
    <xf numFmtId="1" fontId="0" fillId="6" borderId="0" xfId="0" applyNumberFormat="1" applyFill="1" applyBorder="1" applyAlignment="1" applyProtection="1">
      <alignment horizontal="center"/>
      <protection hidden="1"/>
    </xf>
    <xf numFmtId="0" fontId="2" fillId="5" borderId="11" xfId="0" applyNumberFormat="1" applyFont="1" applyFill="1" applyBorder="1" applyAlignment="1" applyProtection="1">
      <alignment horizontal="center"/>
      <protection hidden="1"/>
    </xf>
    <xf numFmtId="0" fontId="2" fillId="6" borderId="18" xfId="0" applyFont="1" applyFill="1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44" fontId="0" fillId="0" borderId="0" xfId="0" applyNumberFormat="1"/>
    <xf numFmtId="44" fontId="11" fillId="0" borderId="8" xfId="2" applyFont="1" applyFill="1" applyBorder="1" applyAlignment="1" applyProtection="1">
      <protection hidden="1"/>
    </xf>
    <xf numFmtId="44" fontId="0" fillId="8" borderId="3" xfId="2" applyFont="1" applyFill="1" applyBorder="1" applyProtection="1">
      <protection hidden="1"/>
    </xf>
    <xf numFmtId="44" fontId="0" fillId="8" borderId="5" xfId="2" applyFont="1" applyFill="1" applyBorder="1" applyProtection="1">
      <protection hidden="1"/>
    </xf>
    <xf numFmtId="44" fontId="0" fillId="8" borderId="3" xfId="2" applyFont="1" applyFill="1" applyBorder="1" applyAlignment="1" applyProtection="1">
      <alignment horizontal="left"/>
      <protection hidden="1"/>
    </xf>
    <xf numFmtId="44" fontId="0" fillId="8" borderId="5" xfId="2" applyFont="1" applyFill="1" applyBorder="1" applyAlignment="1" applyProtection="1">
      <alignment horizontal="left"/>
      <protection hidden="1"/>
    </xf>
    <xf numFmtId="44" fontId="0" fillId="8" borderId="10" xfId="2" applyFont="1" applyFill="1" applyBorder="1" applyAlignment="1" applyProtection="1">
      <alignment horizontal="left"/>
      <protection hidden="1"/>
    </xf>
    <xf numFmtId="10" fontId="1" fillId="8" borderId="14" xfId="1" applyNumberFormat="1" applyFont="1" applyFill="1" applyBorder="1" applyProtection="1">
      <protection hidden="1"/>
    </xf>
    <xf numFmtId="164" fontId="1" fillId="8" borderId="16" xfId="2" applyNumberFormat="1" applyFont="1" applyFill="1" applyBorder="1" applyProtection="1">
      <protection hidden="1"/>
    </xf>
    <xf numFmtId="44" fontId="2" fillId="8" borderId="11" xfId="2" applyFont="1" applyFill="1" applyBorder="1" applyProtection="1">
      <protection hidden="1"/>
    </xf>
    <xf numFmtId="164" fontId="0" fillId="8" borderId="14" xfId="0" applyNumberFormat="1" applyFill="1" applyBorder="1" applyProtection="1">
      <protection hidden="1"/>
    </xf>
    <xf numFmtId="9" fontId="1" fillId="8" borderId="16" xfId="1" applyNumberFormat="1" applyFont="1" applyFill="1" applyBorder="1" applyProtection="1">
      <protection hidden="1"/>
    </xf>
    <xf numFmtId="1" fontId="0" fillId="8" borderId="16" xfId="0" applyNumberFormat="1" applyFill="1" applyBorder="1" applyAlignment="1" applyProtection="1">
      <alignment horizontal="center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0" xfId="0" applyFill="1" applyBorder="1" applyProtection="1">
      <protection hidden="1"/>
    </xf>
    <xf numFmtId="44" fontId="0" fillId="0" borderId="0" xfId="0" applyNumberFormat="1" applyProtection="1">
      <protection locked="0"/>
    </xf>
    <xf numFmtId="10" fontId="0" fillId="8" borderId="16" xfId="0" applyNumberFormat="1" applyFill="1" applyBorder="1" applyProtection="1">
      <protection hidden="1"/>
    </xf>
    <xf numFmtId="49" fontId="5" fillId="2" borderId="21" xfId="0" applyNumberFormat="1" applyFont="1" applyFill="1" applyBorder="1" applyAlignment="1"/>
    <xf numFmtId="49" fontId="5" fillId="0" borderId="19" xfId="0" applyNumberFormat="1" applyFont="1" applyFill="1" applyBorder="1" applyAlignment="1"/>
    <xf numFmtId="49" fontId="11" fillId="0" borderId="19" xfId="0" applyNumberFormat="1" applyFont="1" applyFill="1" applyBorder="1" applyAlignment="1"/>
    <xf numFmtId="49" fontId="0" fillId="0" borderId="19" xfId="0" applyNumberFormat="1" applyFont="1" applyFill="1" applyBorder="1" applyAlignment="1"/>
    <xf numFmtId="49" fontId="0" fillId="0" borderId="2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7" fillId="2" borderId="21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4" fillId="0" borderId="19" xfId="0" applyNumberFormat="1" applyFont="1" applyFill="1" applyBorder="1" applyAlignment="1"/>
    <xf numFmtId="0" fontId="4" fillId="0" borderId="20" xfId="0" applyNumberFormat="1" applyFont="1" applyFill="1" applyBorder="1" applyAlignment="1"/>
    <xf numFmtId="164" fontId="5" fillId="2" borderId="3" xfId="0" applyNumberFormat="1" applyFont="1" applyFill="1" applyBorder="1" applyAlignment="1" applyProtection="1">
      <protection hidden="1"/>
    </xf>
    <xf numFmtId="49" fontId="3" fillId="0" borderId="12" xfId="0" applyNumberFormat="1" applyFont="1" applyFill="1" applyBorder="1" applyAlignment="1" applyProtection="1">
      <protection hidden="1"/>
    </xf>
    <xf numFmtId="9" fontId="0" fillId="0" borderId="5" xfId="5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protection hidden="1"/>
    </xf>
    <xf numFmtId="49" fontId="3" fillId="0" borderId="15" xfId="0" applyNumberFormat="1" applyFont="1" applyFill="1" applyBorder="1" applyAlignment="1" applyProtection="1">
      <protection hidden="1"/>
    </xf>
    <xf numFmtId="164" fontId="0" fillId="0" borderId="0" xfId="0" applyNumberFormat="1" applyFont="1" applyFill="1" applyBorder="1" applyAlignment="1" applyProtection="1">
      <protection hidden="1"/>
    </xf>
    <xf numFmtId="0" fontId="0" fillId="0" borderId="0" xfId="0" applyBorder="1"/>
    <xf numFmtId="49" fontId="5" fillId="0" borderId="0" xfId="0" applyNumberFormat="1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NumberFormat="1" applyFont="1" applyFill="1" applyBorder="1" applyAlignment="1" applyProtection="1">
      <alignment vertical="top"/>
      <protection hidden="1"/>
    </xf>
    <xf numFmtId="49" fontId="3" fillId="0" borderId="2" xfId="0" applyNumberFormat="1" applyFont="1" applyFill="1" applyBorder="1" applyAlignment="1" applyProtection="1">
      <alignment horizontal="left"/>
      <protection hidden="1"/>
    </xf>
    <xf numFmtId="49" fontId="0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Font="1" applyFill="1" applyBorder="1" applyAlignment="1" applyProtection="1">
      <alignment horizontal="left"/>
      <protection hidden="1"/>
    </xf>
    <xf numFmtId="49" fontId="4" fillId="0" borderId="7" xfId="0" applyNumberFormat="1" applyFont="1" applyFill="1" applyBorder="1" applyAlignment="1" applyProtection="1">
      <alignment horizontal="left"/>
      <protection hidden="1"/>
    </xf>
    <xf numFmtId="0" fontId="0" fillId="0" borderId="7" xfId="0" applyNumberFormat="1" applyFont="1" applyFill="1" applyBorder="1" applyAlignment="1" applyProtection="1">
      <alignment horizontal="left"/>
      <protection hidden="1"/>
    </xf>
    <xf numFmtId="49" fontId="3" fillId="0" borderId="7" xfId="0" applyNumberFormat="1" applyFont="1" applyFill="1" applyBorder="1" applyAlignment="1" applyProtection="1">
      <alignment horizontal="left"/>
      <protection hidden="1"/>
    </xf>
    <xf numFmtId="44" fontId="0" fillId="0" borderId="5" xfId="2" applyFont="1" applyFill="1" applyBorder="1" applyAlignment="1" applyProtection="1">
      <protection hidden="1"/>
    </xf>
    <xf numFmtId="44" fontId="6" fillId="2" borderId="3" xfId="2" applyFont="1" applyFill="1" applyBorder="1" applyAlignment="1" applyProtection="1">
      <protection hidden="1"/>
    </xf>
    <xf numFmtId="44" fontId="0" fillId="0" borderId="8" xfId="2" applyFont="1" applyFill="1" applyBorder="1" applyAlignment="1" applyProtection="1">
      <protection hidden="1"/>
    </xf>
    <xf numFmtId="44" fontId="0" fillId="2" borderId="5" xfId="2" applyFont="1" applyFill="1" applyBorder="1" applyAlignment="1" applyProtection="1">
      <protection hidden="1"/>
    </xf>
    <xf numFmtId="44" fontId="6" fillId="2" borderId="5" xfId="2" applyFont="1" applyFill="1" applyBorder="1" applyAlignment="1" applyProtection="1">
      <protection hidden="1"/>
    </xf>
    <xf numFmtId="0" fontId="9" fillId="2" borderId="21" xfId="0" applyFont="1" applyFill="1" applyBorder="1" applyAlignment="1" applyProtection="1">
      <protection hidden="1"/>
    </xf>
    <xf numFmtId="9" fontId="0" fillId="0" borderId="19" xfId="1" applyFont="1" applyFill="1" applyBorder="1" applyAlignment="1" applyProtection="1">
      <protection hidden="1"/>
    </xf>
    <xf numFmtId="0" fontId="0" fillId="0" borderId="19" xfId="0" applyNumberFormat="1" applyFont="1" applyFill="1" applyBorder="1" applyAlignment="1" applyProtection="1">
      <protection hidden="1"/>
    </xf>
    <xf numFmtId="0" fontId="0" fillId="0" borderId="19" xfId="0" applyFont="1" applyFill="1" applyBorder="1" applyAlignment="1" applyProtection="1">
      <protection hidden="1"/>
    </xf>
    <xf numFmtId="0" fontId="0" fillId="0" borderId="19" xfId="0" applyBorder="1"/>
    <xf numFmtId="0" fontId="0" fillId="0" borderId="20" xfId="0" applyBorder="1"/>
    <xf numFmtId="0" fontId="0" fillId="2" borderId="19" xfId="0" applyNumberFormat="1" applyFont="1" applyFill="1" applyBorder="1" applyAlignment="1" applyProtection="1">
      <protection hidden="1"/>
    </xf>
    <xf numFmtId="0" fontId="0" fillId="2" borderId="19" xfId="0" applyFill="1" applyBorder="1"/>
    <xf numFmtId="0" fontId="3" fillId="0" borderId="0" xfId="0" applyNumberFormat="1" applyFont="1" applyFill="1" applyBorder="1" applyAlignment="1" applyProtection="1">
      <alignment horizontal="left"/>
      <protection hidden="1"/>
    </xf>
    <xf numFmtId="0" fontId="0" fillId="6" borderId="21" xfId="0" applyFill="1" applyBorder="1" applyProtection="1">
      <protection hidden="1"/>
    </xf>
    <xf numFmtId="0" fontId="0" fillId="6" borderId="19" xfId="0" applyFill="1" applyBorder="1" applyProtection="1">
      <protection hidden="1"/>
    </xf>
    <xf numFmtId="0" fontId="0" fillId="6" borderId="20" xfId="0" applyFill="1" applyBorder="1" applyProtection="1">
      <protection hidden="1"/>
    </xf>
    <xf numFmtId="44" fontId="0" fillId="0" borderId="0" xfId="0" applyNumberFormat="1" applyFont="1" applyFill="1" applyBorder="1" applyAlignment="1" applyProtection="1">
      <protection hidden="1"/>
    </xf>
    <xf numFmtId="44" fontId="0" fillId="0" borderId="0" xfId="0" applyNumberFormat="1" applyFill="1" applyBorder="1"/>
    <xf numFmtId="0" fontId="9" fillId="0" borderId="0" xfId="0" applyFont="1" applyFill="1"/>
    <xf numFmtId="164" fontId="0" fillId="0" borderId="0" xfId="0" applyNumberFormat="1" applyFill="1" applyBorder="1"/>
    <xf numFmtId="0" fontId="2" fillId="6" borderId="21" xfId="0" applyFont="1" applyFill="1" applyBorder="1" applyAlignment="1" applyProtection="1">
      <alignment horizontal="center"/>
      <protection hidden="1"/>
    </xf>
    <xf numFmtId="1" fontId="0" fillId="8" borderId="22" xfId="0" applyNumberFormat="1" applyFill="1" applyBorder="1" applyAlignment="1" applyProtection="1">
      <alignment horizontal="center"/>
      <protection hidden="1"/>
    </xf>
    <xf numFmtId="44" fontId="0" fillId="0" borderId="0" xfId="2" applyFont="1" applyProtection="1">
      <protection locked="0"/>
    </xf>
    <xf numFmtId="44" fontId="0" fillId="0" borderId="0" xfId="2" applyFont="1" applyFill="1" applyBorder="1"/>
    <xf numFmtId="164" fontId="0" fillId="0" borderId="5" xfId="2" applyNumberFormat="1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alignment horizontal="right"/>
      <protection locked="0"/>
    </xf>
    <xf numFmtId="10" fontId="4" fillId="0" borderId="8" xfId="0" applyNumberFormat="1" applyFont="1" applyFill="1" applyBorder="1" applyAlignment="1" applyProtection="1">
      <alignment horizontal="right"/>
      <protection hidden="1"/>
    </xf>
    <xf numFmtId="9" fontId="12" fillId="0" borderId="5" xfId="1" applyFont="1" applyFill="1" applyBorder="1" applyAlignment="1">
      <alignment horizontal="right"/>
    </xf>
    <xf numFmtId="0" fontId="0" fillId="6" borderId="11" xfId="0" applyFill="1" applyBorder="1" applyProtection="1">
      <protection hidden="1"/>
    </xf>
    <xf numFmtId="49" fontId="4" fillId="0" borderId="0" xfId="0" applyNumberFormat="1" applyFont="1" applyAlignment="1" applyProtection="1">
      <alignment horizontal="left" vertical="top"/>
      <protection locked="0"/>
    </xf>
    <xf numFmtId="0" fontId="2" fillId="6" borderId="17" xfId="0" applyFont="1" applyFill="1" applyBorder="1" applyAlignment="1" applyProtection="1">
      <alignment horizontal="left"/>
      <protection hidden="1"/>
    </xf>
    <xf numFmtId="0" fontId="2" fillId="6" borderId="17" xfId="0" applyNumberFormat="1" applyFont="1" applyFill="1" applyBorder="1" applyAlignment="1" applyProtection="1">
      <alignment horizontal="left"/>
      <protection hidden="1"/>
    </xf>
    <xf numFmtId="0" fontId="2" fillId="8" borderId="21" xfId="0" applyNumberFormat="1" applyFont="1" applyFill="1" applyBorder="1" applyAlignment="1" applyProtection="1">
      <alignment horizontal="center"/>
      <protection hidden="1"/>
    </xf>
    <xf numFmtId="164" fontId="2" fillId="6" borderId="17" xfId="2" applyNumberFormat="1" applyFont="1" applyFill="1" applyBorder="1" applyAlignment="1" applyProtection="1">
      <alignment horizontal="left"/>
      <protection hidden="1"/>
    </xf>
    <xf numFmtId="10" fontId="1" fillId="8" borderId="20" xfId="1" applyNumberFormat="1" applyFont="1" applyFill="1" applyBorder="1" applyAlignment="1" applyProtection="1">
      <alignment horizontal="right"/>
      <protection hidden="1"/>
    </xf>
    <xf numFmtId="0" fontId="2" fillId="6" borderId="11" xfId="0" applyNumberFormat="1" applyFont="1" applyFill="1" applyBorder="1" applyAlignment="1" applyProtection="1">
      <alignment horizontal="left"/>
      <protection hidden="1"/>
    </xf>
    <xf numFmtId="10" fontId="0" fillId="8" borderId="20" xfId="1" applyNumberFormat="1" applyFont="1" applyFill="1" applyBorder="1" applyAlignment="1" applyProtection="1">
      <alignment horizontal="right"/>
      <protection hidden="1"/>
    </xf>
    <xf numFmtId="164" fontId="2" fillId="8" borderId="20" xfId="2" applyNumberFormat="1" applyFont="1" applyFill="1" applyBorder="1" applyAlignment="1" applyProtection="1">
      <alignment horizontal="right"/>
      <protection hidden="1"/>
    </xf>
    <xf numFmtId="165" fontId="4" fillId="3" borderId="5" xfId="0" applyNumberFormat="1" applyFont="1" applyFill="1" applyBorder="1" applyAlignment="1" applyProtection="1">
      <protection hidden="1"/>
    </xf>
    <xf numFmtId="49" fontId="4" fillId="0" borderId="0" xfId="0" applyNumberFormat="1" applyFont="1" applyFill="1" applyBorder="1" applyAlignment="1" applyProtection="1">
      <protection hidden="1"/>
    </xf>
    <xf numFmtId="10" fontId="4" fillId="0" borderId="0" xfId="0" applyNumberFormat="1" applyFont="1" applyFill="1" applyBorder="1" applyAlignment="1" applyProtection="1">
      <protection hidden="1"/>
    </xf>
    <xf numFmtId="49" fontId="3" fillId="3" borderId="12" xfId="0" applyNumberFormat="1" applyFont="1" applyFill="1" applyBorder="1" applyAlignment="1" applyProtection="1">
      <protection hidden="1"/>
    </xf>
    <xf numFmtId="49" fontId="3" fillId="3" borderId="15" xfId="0" applyNumberFormat="1" applyFont="1" applyFill="1" applyBorder="1" applyAlignment="1" applyProtection="1">
      <protection hidden="1"/>
    </xf>
    <xf numFmtId="165" fontId="3" fillId="3" borderId="5" xfId="0" applyNumberFormat="1" applyFont="1" applyFill="1" applyBorder="1" applyAlignment="1" applyProtection="1">
      <protection hidden="1"/>
    </xf>
    <xf numFmtId="10" fontId="3" fillId="3" borderId="8" xfId="0" applyNumberFormat="1" applyFont="1" applyFill="1" applyBorder="1" applyAlignme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44" fontId="0" fillId="0" borderId="0" xfId="2" applyFont="1" applyProtection="1">
      <protection hidden="1"/>
    </xf>
    <xf numFmtId="10" fontId="0" fillId="0" borderId="0" xfId="1" applyNumberFormat="1" applyFont="1" applyProtection="1">
      <protection hidden="1"/>
    </xf>
    <xf numFmtId="0" fontId="2" fillId="6" borderId="1" xfId="0" applyFont="1" applyFill="1" applyBorder="1" applyProtection="1">
      <protection hidden="1"/>
    </xf>
    <xf numFmtId="0" fontId="2" fillId="6" borderId="4" xfId="0" applyFont="1" applyFill="1" applyBorder="1" applyProtection="1">
      <protection hidden="1"/>
    </xf>
    <xf numFmtId="9" fontId="0" fillId="6" borderId="5" xfId="0" applyNumberFormat="1" applyFill="1" applyBorder="1" applyProtection="1">
      <protection hidden="1"/>
    </xf>
    <xf numFmtId="0" fontId="2" fillId="6" borderId="6" xfId="0" applyFont="1" applyFill="1" applyBorder="1" applyProtection="1">
      <protection hidden="1"/>
    </xf>
    <xf numFmtId="0" fontId="0" fillId="6" borderId="7" xfId="0" applyFill="1" applyBorder="1" applyProtection="1">
      <protection hidden="1"/>
    </xf>
    <xf numFmtId="9" fontId="0" fillId="6" borderId="8" xfId="0" applyNumberFormat="1" applyFill="1" applyBorder="1" applyProtection="1">
      <protection hidden="1"/>
    </xf>
    <xf numFmtId="0" fontId="2" fillId="6" borderId="12" xfId="0" applyNumberFormat="1" applyFont="1" applyFill="1" applyBorder="1" applyAlignment="1" applyProtection="1">
      <alignment horizontal="left"/>
      <protection hidden="1"/>
    </xf>
    <xf numFmtId="44" fontId="0" fillId="6" borderId="5" xfId="2" applyFont="1" applyFill="1" applyBorder="1" applyProtection="1">
      <protection hidden="1"/>
    </xf>
    <xf numFmtId="44" fontId="0" fillId="6" borderId="0" xfId="2" applyFont="1" applyFill="1" applyProtection="1">
      <protection hidden="1"/>
    </xf>
    <xf numFmtId="9" fontId="2" fillId="6" borderId="12" xfId="1" applyFont="1" applyFill="1" applyBorder="1" applyProtection="1">
      <protection hidden="1"/>
    </xf>
    <xf numFmtId="0" fontId="2" fillId="6" borderId="12" xfId="0" applyNumberFormat="1" applyFont="1" applyFill="1" applyBorder="1" applyProtection="1">
      <protection hidden="1"/>
    </xf>
    <xf numFmtId="44" fontId="0" fillId="6" borderId="5" xfId="0" applyNumberFormat="1" applyFill="1" applyBorder="1" applyProtection="1">
      <protection hidden="1"/>
    </xf>
    <xf numFmtId="0" fontId="2" fillId="7" borderId="6" xfId="0" applyFont="1" applyFill="1" applyBorder="1" applyProtection="1">
      <protection hidden="1"/>
    </xf>
    <xf numFmtId="44" fontId="2" fillId="5" borderId="8" xfId="0" applyNumberFormat="1" applyFont="1" applyFill="1" applyBorder="1" applyProtection="1">
      <protection hidden="1"/>
    </xf>
    <xf numFmtId="0" fontId="0" fillId="0" borderId="0" xfId="0" applyFill="1" applyProtection="1">
      <protection locked="0"/>
    </xf>
    <xf numFmtId="44" fontId="0" fillId="8" borderId="3" xfId="2" applyNumberFormat="1" applyFont="1" applyFill="1" applyBorder="1" applyAlignment="1" applyProtection="1">
      <alignment horizontal="right"/>
      <protection hidden="1"/>
    </xf>
    <xf numFmtId="44" fontId="0" fillId="8" borderId="5" xfId="2" applyNumberFormat="1" applyFont="1" applyFill="1" applyBorder="1" applyAlignment="1" applyProtection="1">
      <alignment horizontal="right"/>
      <protection hidden="1"/>
    </xf>
    <xf numFmtId="0" fontId="2" fillId="6" borderId="15" xfId="0" applyFont="1" applyFill="1" applyBorder="1" applyProtection="1">
      <protection hidden="1"/>
    </xf>
    <xf numFmtId="44" fontId="0" fillId="8" borderId="8" xfId="2" applyFont="1" applyFill="1" applyBorder="1" applyProtection="1">
      <protection hidden="1"/>
    </xf>
    <xf numFmtId="44" fontId="0" fillId="0" borderId="5" xfId="0" applyNumberFormat="1" applyBorder="1" applyProtection="1">
      <protection hidden="1"/>
    </xf>
    <xf numFmtId="44" fontId="0" fillId="8" borderId="10" xfId="2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49" fontId="5" fillId="2" borderId="18" xfId="0" applyNumberFormat="1" applyFont="1" applyFill="1" applyBorder="1" applyAlignment="1" applyProtection="1">
      <alignment horizontal="left" vertical="top"/>
      <protection hidden="1"/>
    </xf>
    <xf numFmtId="0" fontId="7" fillId="2" borderId="10" xfId="0" applyNumberFormat="1" applyFont="1" applyFill="1" applyBorder="1" applyAlignment="1" applyProtection="1">
      <alignment horizontal="left" vertical="top"/>
      <protection hidden="1"/>
    </xf>
    <xf numFmtId="0" fontId="0" fillId="0" borderId="0" xfId="0" applyNumberFormat="1" applyFont="1" applyFill="1" applyBorder="1" applyAlignment="1" applyProtection="1">
      <alignment horizontal="left" vertical="top"/>
      <protection hidden="1"/>
    </xf>
    <xf numFmtId="49" fontId="5" fillId="2" borderId="1" xfId="0" applyNumberFormat="1" applyFont="1" applyFill="1" applyBorder="1" applyAlignment="1" applyProtection="1">
      <alignment horizontal="left" vertical="top"/>
      <protection hidden="1"/>
    </xf>
    <xf numFmtId="0" fontId="0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Font="1" applyAlignment="1" applyProtection="1">
      <alignment horizontal="left" vertical="top"/>
      <protection hidden="1"/>
    </xf>
    <xf numFmtId="0" fontId="2" fillId="2" borderId="3" xfId="0" applyNumberFormat="1" applyFont="1" applyFill="1" applyBorder="1" applyAlignment="1" applyProtection="1">
      <alignment horizontal="left" vertical="top"/>
      <protection hidden="1"/>
    </xf>
    <xf numFmtId="0" fontId="2" fillId="9" borderId="18" xfId="0" applyFont="1" applyFill="1" applyBorder="1" applyProtection="1">
      <protection hidden="1"/>
    </xf>
    <xf numFmtId="44" fontId="2" fillId="9" borderId="10" xfId="2" applyFont="1" applyFill="1" applyBorder="1" applyProtection="1">
      <protection hidden="1"/>
    </xf>
    <xf numFmtId="49" fontId="3" fillId="0" borderId="13" xfId="0" applyNumberFormat="1" applyFont="1" applyFill="1" applyBorder="1" applyAlignment="1" applyProtection="1">
      <alignment horizontal="left" vertical="top"/>
      <protection hidden="1"/>
    </xf>
    <xf numFmtId="0" fontId="2" fillId="0" borderId="12" xfId="0" applyFont="1" applyFill="1" applyBorder="1" applyProtection="1">
      <protection hidden="1"/>
    </xf>
    <xf numFmtId="49" fontId="3" fillId="0" borderId="12" xfId="0" applyNumberFormat="1" applyFont="1" applyFill="1" applyBorder="1" applyAlignment="1" applyProtection="1">
      <alignment horizontal="left" vertical="top"/>
      <protection hidden="1"/>
    </xf>
    <xf numFmtId="0" fontId="3" fillId="0" borderId="12" xfId="0" applyFont="1" applyBorder="1" applyAlignment="1" applyProtection="1">
      <alignment horizontal="left" vertical="top"/>
      <protection hidden="1"/>
    </xf>
    <xf numFmtId="49" fontId="3" fillId="0" borderId="15" xfId="0" applyNumberFormat="1" applyFont="1" applyFill="1" applyBorder="1" applyAlignment="1" applyProtection="1">
      <alignment horizontal="left" vertical="top"/>
      <protection hidden="1"/>
    </xf>
    <xf numFmtId="0" fontId="2" fillId="3" borderId="13" xfId="0" applyFont="1" applyFill="1" applyBorder="1" applyProtection="1">
      <protection hidden="1"/>
    </xf>
    <xf numFmtId="164" fontId="2" fillId="3" borderId="3" xfId="2" applyNumberFormat="1" applyFont="1" applyFill="1" applyBorder="1" applyProtection="1">
      <protection hidden="1"/>
    </xf>
    <xf numFmtId="0" fontId="9" fillId="2" borderId="1" xfId="0" applyFont="1" applyFill="1" applyBorder="1" applyProtection="1">
      <protection hidden="1"/>
    </xf>
    <xf numFmtId="0" fontId="9" fillId="2" borderId="3" xfId="0" applyFont="1" applyFill="1" applyBorder="1" applyProtection="1">
      <protection hidden="1"/>
    </xf>
    <xf numFmtId="9" fontId="0" fillId="0" borderId="0" xfId="5" applyFont="1" applyFill="1" applyBorder="1" applyAlignment="1" applyProtection="1">
      <alignment horizontal="left" vertical="top"/>
      <protection hidden="1"/>
    </xf>
    <xf numFmtId="0" fontId="2" fillId="0" borderId="15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0" fillId="0" borderId="0" xfId="0" applyBorder="1" applyProtection="1">
      <protection hidden="1"/>
    </xf>
    <xf numFmtId="0" fontId="3" fillId="0" borderId="15" xfId="0" applyFont="1" applyBorder="1" applyAlignment="1" applyProtection="1">
      <alignment horizontal="left" vertical="top"/>
      <protection hidden="1"/>
    </xf>
    <xf numFmtId="0" fontId="0" fillId="0" borderId="0" xfId="0" applyFont="1" applyProtection="1">
      <protection hidden="1"/>
    </xf>
    <xf numFmtId="164" fontId="0" fillId="0" borderId="0" xfId="2" applyNumberFormat="1" applyFont="1" applyAlignment="1" applyProtection="1">
      <alignment horizontal="right"/>
      <protection hidden="1"/>
    </xf>
    <xf numFmtId="164" fontId="0" fillId="2" borderId="3" xfId="2" applyNumberFormat="1" applyFont="1" applyFill="1" applyBorder="1" applyAlignment="1" applyProtection="1">
      <alignment horizontal="right" vertical="top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hidden="1"/>
    </xf>
    <xf numFmtId="0" fontId="14" fillId="2" borderId="2" xfId="0" applyFont="1" applyFill="1" applyBorder="1" applyAlignment="1" applyProtection="1">
      <alignment horizontal="left" vertical="top"/>
      <protection hidden="1"/>
    </xf>
    <xf numFmtId="0" fontId="14" fillId="2" borderId="2" xfId="0" applyNumberFormat="1" applyFont="1" applyFill="1" applyBorder="1" applyAlignment="1" applyProtection="1">
      <alignment horizontal="left" vertical="top"/>
      <protection hidden="1"/>
    </xf>
    <xf numFmtId="0" fontId="14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Protection="1">
      <protection locked="0" hidden="1"/>
    </xf>
    <xf numFmtId="44" fontId="0" fillId="0" borderId="0" xfId="2" applyFont="1" applyProtection="1">
      <protection locked="0" hidden="1"/>
    </xf>
    <xf numFmtId="0" fontId="2" fillId="0" borderId="0" xfId="0" applyFont="1" applyProtection="1">
      <protection locked="0"/>
    </xf>
    <xf numFmtId="9" fontId="0" fillId="0" borderId="0" xfId="1" applyFont="1" applyProtection="1">
      <protection locked="0" hidden="1"/>
    </xf>
    <xf numFmtId="49" fontId="17" fillId="11" borderId="9" xfId="0" applyNumberFormat="1" applyFont="1" applyFill="1" applyBorder="1" applyAlignment="1" applyProtection="1">
      <protection hidden="1"/>
    </xf>
    <xf numFmtId="9" fontId="17" fillId="11" borderId="10" xfId="1" applyFont="1" applyFill="1" applyBorder="1" applyAlignment="1" applyProtection="1">
      <alignment horizontal="right"/>
      <protection hidden="1"/>
    </xf>
    <xf numFmtId="0" fontId="8" fillId="11" borderId="13" xfId="0" applyFont="1" applyFill="1" applyBorder="1" applyProtection="1">
      <protection hidden="1"/>
    </xf>
    <xf numFmtId="44" fontId="8" fillId="11" borderId="3" xfId="2" applyFont="1" applyFill="1" applyBorder="1" applyProtection="1">
      <protection hidden="1"/>
    </xf>
    <xf numFmtId="49" fontId="17" fillId="11" borderId="12" xfId="0" applyNumberFormat="1" applyFont="1" applyFill="1" applyBorder="1" applyAlignment="1" applyProtection="1">
      <protection hidden="1"/>
    </xf>
    <xf numFmtId="165" fontId="11" fillId="11" borderId="5" xfId="0" applyNumberFormat="1" applyFont="1" applyFill="1" applyBorder="1" applyAlignment="1" applyProtection="1">
      <protection hidden="1"/>
    </xf>
    <xf numFmtId="165" fontId="17" fillId="11" borderId="5" xfId="0" applyNumberFormat="1" applyFont="1" applyFill="1" applyBorder="1" applyAlignment="1" applyProtection="1">
      <protection hidden="1"/>
    </xf>
    <xf numFmtId="49" fontId="17" fillId="11" borderId="15" xfId="0" applyNumberFormat="1" applyFont="1" applyFill="1" applyBorder="1" applyAlignment="1" applyProtection="1">
      <protection hidden="1"/>
    </xf>
    <xf numFmtId="10" fontId="17" fillId="11" borderId="8" xfId="0" applyNumberFormat="1" applyFont="1" applyFill="1" applyBorder="1" applyAlignment="1" applyProtection="1">
      <protection hidden="1"/>
    </xf>
    <xf numFmtId="164" fontId="0" fillId="0" borderId="7" xfId="0" applyNumberFormat="1" applyFont="1" applyFill="1" applyBorder="1" applyAlignment="1"/>
    <xf numFmtId="49" fontId="4" fillId="0" borderId="0" xfId="0" applyNumberFormat="1" applyFont="1" applyFill="1" applyBorder="1" applyAlignment="1"/>
    <xf numFmtId="44" fontId="0" fillId="0" borderId="7" xfId="2" applyFont="1" applyBorder="1"/>
    <xf numFmtId="0" fontId="0" fillId="0" borderId="7" xfId="0" applyBorder="1"/>
    <xf numFmtId="44" fontId="0" fillId="6" borderId="5" xfId="2" applyNumberFormat="1" applyFont="1" applyFill="1" applyBorder="1" applyProtection="1">
      <protection hidden="1"/>
    </xf>
    <xf numFmtId="0" fontId="4" fillId="0" borderId="5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ont="1" applyBorder="1" applyAlignment="1" applyProtection="1">
      <alignment horizontal="left" vertical="top"/>
      <protection locked="0"/>
    </xf>
    <xf numFmtId="164" fontId="0" fillId="0" borderId="5" xfId="4" applyNumberFormat="1" applyFont="1" applyFill="1" applyBorder="1" applyAlignment="1" applyProtection="1">
      <alignment horizontal="left" vertical="top"/>
      <protection locked="0"/>
    </xf>
    <xf numFmtId="49" fontId="4" fillId="0" borderId="5" xfId="0" applyNumberFormat="1" applyFont="1" applyFill="1" applyBorder="1" applyAlignment="1" applyProtection="1">
      <alignment horizontal="left" vertical="top"/>
      <protection locked="0"/>
    </xf>
    <xf numFmtId="1" fontId="0" fillId="0" borderId="8" xfId="4" applyNumberFormat="1" applyFont="1" applyFill="1" applyBorder="1" applyAlignment="1" applyProtection="1">
      <alignment horizontal="left" vertical="top"/>
      <protection locked="0"/>
    </xf>
    <xf numFmtId="164" fontId="0" fillId="0" borderId="5" xfId="2" applyNumberFormat="1" applyFont="1" applyFill="1" applyBorder="1" applyAlignment="1" applyProtection="1">
      <alignment horizontal="right" vertical="top"/>
      <protection locked="0"/>
    </xf>
    <xf numFmtId="49" fontId="4" fillId="0" borderId="5" xfId="0" applyNumberFormat="1" applyFont="1" applyFill="1" applyBorder="1" applyAlignment="1" applyProtection="1">
      <alignment horizontal="right" vertical="top"/>
      <protection locked="0"/>
    </xf>
    <xf numFmtId="0" fontId="0" fillId="0" borderId="5" xfId="2" applyNumberFormat="1" applyFont="1" applyFill="1" applyBorder="1" applyAlignment="1" applyProtection="1">
      <alignment horizontal="right" vertical="top"/>
      <protection locked="0"/>
    </xf>
    <xf numFmtId="0" fontId="0" fillId="0" borderId="8" xfId="2" applyNumberFormat="1" applyFont="1" applyBorder="1" applyAlignment="1" applyProtection="1">
      <alignment horizontal="right" vertical="top"/>
      <protection locked="0"/>
    </xf>
    <xf numFmtId="164" fontId="0" fillId="0" borderId="5" xfId="0" applyNumberFormat="1" applyFill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 vertical="top"/>
      <protection locked="0"/>
    </xf>
    <xf numFmtId="14" fontId="0" fillId="0" borderId="5" xfId="0" applyNumberFormat="1" applyFont="1" applyFill="1" applyBorder="1" applyAlignment="1" applyProtection="1">
      <alignment horizontal="left" vertical="top"/>
      <protection locked="0"/>
    </xf>
    <xf numFmtId="164" fontId="0" fillId="0" borderId="8" xfId="2" applyNumberFormat="1" applyFont="1" applyFill="1" applyBorder="1" applyAlignment="1" applyProtection="1">
      <alignment horizontal="left" vertical="top"/>
      <protection locked="0"/>
    </xf>
    <xf numFmtId="0" fontId="0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Fill="1" applyBorder="1" applyProtection="1">
      <protection locked="0"/>
    </xf>
    <xf numFmtId="0" fontId="2" fillId="0" borderId="13" xfId="0" applyFont="1" applyFill="1" applyBorder="1" applyProtection="1">
      <protection hidden="1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2" fillId="0" borderId="12" xfId="0" applyFont="1" applyBorder="1" applyProtection="1">
      <protection locked="0"/>
    </xf>
    <xf numFmtId="0" fontId="2" fillId="0" borderId="12" xfId="0" applyFont="1" applyFill="1" applyBorder="1" applyProtection="1">
      <protection locked="0"/>
    </xf>
    <xf numFmtId="9" fontId="0" fillId="0" borderId="3" xfId="1" applyNumberFormat="1" applyFont="1" applyFill="1" applyBorder="1" applyAlignment="1" applyProtection="1">
      <protection hidden="1"/>
    </xf>
    <xf numFmtId="10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Fill="1" applyBorder="1" applyAlignment="1" applyProtection="1">
      <protection hidden="1"/>
    </xf>
    <xf numFmtId="9" fontId="0" fillId="0" borderId="5" xfId="1" applyNumberFormat="1" applyFont="1" applyBorder="1"/>
    <xf numFmtId="10" fontId="0" fillId="0" borderId="8" xfId="1" applyNumberFormat="1" applyFont="1" applyFill="1" applyBorder="1" applyAlignment="1" applyProtection="1">
      <protection hidden="1"/>
    </xf>
    <xf numFmtId="49" fontId="3" fillId="0" borderId="13" xfId="0" applyNumberFormat="1" applyFont="1" applyFill="1" applyBorder="1" applyAlignment="1" applyProtection="1">
      <protection hidden="1"/>
    </xf>
    <xf numFmtId="44" fontId="0" fillId="0" borderId="23" xfId="2" applyFont="1" applyFill="1" applyBorder="1" applyAlignment="1" applyProtection="1">
      <protection hidden="1"/>
    </xf>
    <xf numFmtId="44" fontId="0" fillId="0" borderId="24" xfId="2" applyFont="1" applyFill="1" applyBorder="1" applyAlignment="1" applyProtection="1">
      <protection hidden="1"/>
    </xf>
    <xf numFmtId="44" fontId="0" fillId="0" borderId="25" xfId="2" applyFont="1" applyFill="1" applyBorder="1" applyAlignment="1" applyProtection="1">
      <protection hidden="1"/>
    </xf>
    <xf numFmtId="0" fontId="8" fillId="12" borderId="13" xfId="0" applyFont="1" applyFill="1" applyBorder="1" applyProtection="1">
      <protection hidden="1"/>
    </xf>
    <xf numFmtId="44" fontId="8" fillId="12" borderId="3" xfId="2" applyFont="1" applyFill="1" applyBorder="1" applyProtection="1">
      <protection hidden="1"/>
    </xf>
    <xf numFmtId="49" fontId="17" fillId="12" borderId="12" xfId="0" applyNumberFormat="1" applyFont="1" applyFill="1" applyBorder="1" applyAlignment="1" applyProtection="1">
      <protection hidden="1"/>
    </xf>
    <xf numFmtId="165" fontId="11" fillId="12" borderId="5" xfId="0" applyNumberFormat="1" applyFont="1" applyFill="1" applyBorder="1" applyAlignment="1" applyProtection="1">
      <protection hidden="1"/>
    </xf>
    <xf numFmtId="165" fontId="17" fillId="12" borderId="5" xfId="0" applyNumberFormat="1" applyFont="1" applyFill="1" applyBorder="1" applyAlignment="1" applyProtection="1">
      <protection hidden="1"/>
    </xf>
    <xf numFmtId="49" fontId="17" fillId="12" borderId="15" xfId="0" applyNumberFormat="1" applyFont="1" applyFill="1" applyBorder="1" applyAlignment="1" applyProtection="1">
      <protection hidden="1"/>
    </xf>
    <xf numFmtId="10" fontId="17" fillId="12" borderId="8" xfId="0" applyNumberFormat="1" applyFont="1" applyFill="1" applyBorder="1" applyAlignment="1" applyProtection="1">
      <protection hidden="1"/>
    </xf>
    <xf numFmtId="44" fontId="2" fillId="5" borderId="13" xfId="2" applyFont="1" applyFill="1" applyBorder="1" applyProtection="1">
      <protection hidden="1"/>
    </xf>
    <xf numFmtId="44" fontId="0" fillId="5" borderId="5" xfId="1" applyNumberFormat="1" applyFont="1" applyFill="1" applyBorder="1" applyProtection="1">
      <protection hidden="1"/>
    </xf>
    <xf numFmtId="44" fontId="2" fillId="5" borderId="12" xfId="2" applyFont="1" applyFill="1" applyBorder="1" applyProtection="1">
      <protection hidden="1"/>
    </xf>
    <xf numFmtId="44" fontId="2" fillId="5" borderId="15" xfId="2" applyFont="1" applyFill="1" applyBorder="1" applyProtection="1">
      <protection hidden="1"/>
    </xf>
    <xf numFmtId="0" fontId="2" fillId="0" borderId="13" xfId="0" applyFont="1" applyBorder="1" applyProtection="1">
      <protection hidden="1"/>
    </xf>
    <xf numFmtId="49" fontId="3" fillId="0" borderId="0" xfId="0" applyNumberFormat="1" applyFont="1" applyFill="1" applyBorder="1" applyAlignment="1" applyProtection="1">
      <alignment horizontal="left" vertical="top"/>
      <protection hidden="1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>
      <protection hidden="1"/>
    </xf>
    <xf numFmtId="164" fontId="0" fillId="6" borderId="5" xfId="2" applyNumberFormat="1" applyFont="1" applyFill="1" applyBorder="1" applyProtection="1">
      <protection hidden="1"/>
    </xf>
    <xf numFmtId="44" fontId="2" fillId="10" borderId="13" xfId="2" applyFont="1" applyFill="1" applyBorder="1" applyProtection="1">
      <protection hidden="1"/>
    </xf>
    <xf numFmtId="44" fontId="0" fillId="10" borderId="5" xfId="1" applyNumberFormat="1" applyFont="1" applyFill="1" applyBorder="1" applyProtection="1">
      <protection hidden="1"/>
    </xf>
    <xf numFmtId="44" fontId="2" fillId="10" borderId="12" xfId="2" applyFont="1" applyFill="1" applyBorder="1" applyProtection="1">
      <protection hidden="1"/>
    </xf>
    <xf numFmtId="0" fontId="0" fillId="10" borderId="5" xfId="1" applyNumberFormat="1" applyFont="1" applyFill="1" applyBorder="1" applyAlignment="1" applyProtection="1">
      <alignment horizontal="right"/>
      <protection hidden="1"/>
    </xf>
    <xf numFmtId="44" fontId="2" fillId="10" borderId="15" xfId="2" applyFont="1" applyFill="1" applyBorder="1" applyProtection="1">
      <protection hidden="1"/>
    </xf>
    <xf numFmtId="1" fontId="2" fillId="10" borderId="5" xfId="1" applyNumberFormat="1" applyFont="1" applyFill="1" applyBorder="1" applyAlignment="1" applyProtection="1">
      <alignment horizontal="right"/>
      <protection hidden="1"/>
    </xf>
    <xf numFmtId="164" fontId="0" fillId="10" borderId="5" xfId="1" applyNumberFormat="1" applyFont="1" applyFill="1" applyBorder="1" applyProtection="1">
      <protection hidden="1"/>
    </xf>
    <xf numFmtId="164" fontId="0" fillId="10" borderId="8" xfId="2" applyNumberFormat="1" applyFont="1" applyFill="1" applyBorder="1" applyProtection="1">
      <protection hidden="1"/>
    </xf>
    <xf numFmtId="44" fontId="2" fillId="0" borderId="0" xfId="2" applyFont="1" applyFill="1" applyBorder="1" applyProtection="1">
      <protection hidden="1"/>
    </xf>
    <xf numFmtId="0" fontId="0" fillId="0" borderId="0" xfId="1" applyNumberFormat="1" applyFont="1" applyFill="1" applyBorder="1" applyAlignment="1" applyProtection="1">
      <alignment horizontal="right"/>
      <protection hidden="1"/>
    </xf>
    <xf numFmtId="44" fontId="0" fillId="5" borderId="3" xfId="1" applyNumberFormat="1" applyFont="1" applyFill="1" applyBorder="1" applyProtection="1">
      <protection hidden="1"/>
    </xf>
    <xf numFmtId="44" fontId="2" fillId="5" borderId="8" xfId="1" applyNumberFormat="1" applyFont="1" applyFill="1" applyBorder="1" applyAlignment="1" applyProtection="1">
      <alignment horizontal="right"/>
      <protection hidden="1"/>
    </xf>
    <xf numFmtId="0" fontId="0" fillId="0" borderId="5" xfId="0" applyFill="1" applyBorder="1" applyAlignment="1" applyProtection="1">
      <alignment horizontal="left"/>
      <protection locked="0"/>
    </xf>
    <xf numFmtId="164" fontId="0" fillId="0" borderId="5" xfId="2" applyNumberFormat="1" applyFont="1" applyFill="1" applyBorder="1" applyAlignment="1" applyProtection="1">
      <alignment horizontal="left"/>
      <protection locked="0"/>
    </xf>
    <xf numFmtId="164" fontId="0" fillId="0" borderId="3" xfId="2" applyNumberFormat="1" applyFont="1" applyFill="1" applyBorder="1" applyAlignment="1" applyProtection="1">
      <alignment horizontal="left" vertical="top"/>
      <protection locked="0"/>
    </xf>
    <xf numFmtId="164" fontId="0" fillId="0" borderId="5" xfId="2" applyNumberFormat="1" applyFont="1" applyFill="1" applyBorder="1" applyAlignment="1" applyProtection="1">
      <alignment horizontal="left" vertical="top"/>
      <protection locked="0"/>
    </xf>
    <xf numFmtId="9" fontId="0" fillId="0" borderId="5" xfId="0" applyNumberFormat="1" applyFill="1" applyBorder="1" applyAlignment="1" applyProtection="1">
      <alignment horizontal="left"/>
      <protection locked="0"/>
    </xf>
    <xf numFmtId="164" fontId="0" fillId="0" borderId="5" xfId="2" applyNumberFormat="1" applyFont="1" applyBorder="1" applyAlignment="1" applyProtection="1">
      <alignment horizontal="left"/>
      <protection locked="0"/>
    </xf>
    <xf numFmtId="164" fontId="0" fillId="0" borderId="3" xfId="2" applyNumberFormat="1" applyFont="1" applyBorder="1" applyAlignment="1" applyProtection="1">
      <alignment horizontal="left"/>
      <protection locked="0"/>
    </xf>
    <xf numFmtId="1" fontId="0" fillId="0" borderId="5" xfId="4" applyNumberFormat="1" applyFont="1" applyFill="1" applyBorder="1" applyAlignment="1" applyProtection="1">
      <alignment horizontal="left" vertical="top"/>
      <protection locked="0"/>
    </xf>
    <xf numFmtId="9" fontId="0" fillId="0" borderId="5" xfId="0" applyNumberFormat="1" applyFont="1" applyBorder="1" applyAlignment="1" applyProtection="1">
      <alignment horizontal="left" vertical="top"/>
      <protection locked="0"/>
    </xf>
    <xf numFmtId="9" fontId="0" fillId="0" borderId="8" xfId="1" applyFont="1" applyBorder="1" applyAlignment="1" applyProtection="1">
      <alignment horizontal="left"/>
      <protection locked="0"/>
    </xf>
    <xf numFmtId="0" fontId="0" fillId="0" borderId="5" xfId="4" applyNumberFormat="1" applyFont="1" applyFill="1" applyBorder="1" applyAlignment="1" applyProtection="1">
      <alignment horizontal="left" vertical="top"/>
      <protection locked="0"/>
    </xf>
    <xf numFmtId="164" fontId="1" fillId="0" borderId="3" xfId="2" applyNumberFormat="1" applyFont="1" applyFill="1" applyBorder="1" applyAlignment="1" applyProtection="1">
      <alignment horizontal="left" vertical="top"/>
      <protection locked="0"/>
    </xf>
    <xf numFmtId="164" fontId="1" fillId="0" borderId="5" xfId="2" applyNumberFormat="1" applyFont="1" applyFill="1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/>
      <protection locked="0"/>
    </xf>
    <xf numFmtId="14" fontId="0" fillId="0" borderId="8" xfId="0" applyNumberFormat="1" applyFont="1" applyBorder="1" applyAlignment="1" applyProtection="1">
      <alignment horizontal="left"/>
      <protection locked="0"/>
    </xf>
    <xf numFmtId="1" fontId="0" fillId="0" borderId="3" xfId="0" applyNumberFormat="1" applyFont="1" applyFill="1" applyBorder="1" applyAlignment="1" applyProtection="1">
      <alignment horizontal="right"/>
      <protection hidden="1"/>
    </xf>
    <xf numFmtId="9" fontId="0" fillId="0" borderId="5" xfId="1" applyFont="1" applyBorder="1"/>
    <xf numFmtId="9" fontId="0" fillId="0" borderId="8" xfId="0" applyNumberFormat="1" applyFont="1" applyFill="1" applyBorder="1" applyAlignment="1" applyProtection="1">
      <protection locked="0" hidden="1"/>
    </xf>
    <xf numFmtId="0" fontId="0" fillId="6" borderId="7" xfId="0" applyFill="1" applyBorder="1" applyAlignment="1" applyProtection="1">
      <alignment horizontal="left"/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49" fontId="3" fillId="0" borderId="12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4" borderId="18" xfId="0" applyFont="1" applyFill="1" applyBorder="1" applyProtection="1">
      <protection hidden="1"/>
    </xf>
    <xf numFmtId="44" fontId="0" fillId="4" borderId="10" xfId="0" applyNumberFormat="1" applyFill="1" applyBorder="1" applyProtection="1">
      <protection hidden="1"/>
    </xf>
    <xf numFmtId="49" fontId="17" fillId="12" borderId="9" xfId="0" applyNumberFormat="1" applyFont="1" applyFill="1" applyBorder="1" applyAlignment="1" applyProtection="1">
      <alignment horizontal="center"/>
      <protection hidden="1"/>
    </xf>
    <xf numFmtId="49" fontId="17" fillId="12" borderId="10" xfId="0" applyNumberFormat="1" applyFont="1" applyFill="1" applyBorder="1" applyAlignment="1" applyProtection="1">
      <alignment horizontal="center"/>
      <protection hidden="1"/>
    </xf>
    <xf numFmtId="49" fontId="3" fillId="3" borderId="9" xfId="0" applyNumberFormat="1" applyFont="1" applyFill="1" applyBorder="1" applyAlignment="1" applyProtection="1">
      <alignment horizontal="center"/>
      <protection hidden="1"/>
    </xf>
    <xf numFmtId="49" fontId="3" fillId="3" borderId="10" xfId="0" applyNumberFormat="1" applyFont="1" applyFill="1" applyBorder="1" applyAlignment="1" applyProtection="1">
      <alignment horizontal="center"/>
      <protection hidden="1"/>
    </xf>
    <xf numFmtId="44" fontId="2" fillId="5" borderId="9" xfId="2" applyFont="1" applyFill="1" applyBorder="1" applyAlignment="1" applyProtection="1">
      <alignment horizontal="center"/>
      <protection hidden="1"/>
    </xf>
    <xf numFmtId="44" fontId="2" fillId="5" borderId="10" xfId="2" applyFont="1" applyFill="1" applyBorder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left" vertical="top" wrapText="1"/>
      <protection locked="0"/>
    </xf>
    <xf numFmtId="0" fontId="0" fillId="8" borderId="2" xfId="0" applyFill="1" applyBorder="1" applyAlignment="1" applyProtection="1">
      <alignment horizontal="left" vertical="top" wrapText="1"/>
      <protection locked="0"/>
    </xf>
    <xf numFmtId="0" fontId="0" fillId="8" borderId="3" xfId="0" applyFill="1" applyBorder="1" applyAlignment="1" applyProtection="1">
      <alignment horizontal="left" vertical="top" wrapText="1"/>
      <protection locked="0"/>
    </xf>
    <xf numFmtId="0" fontId="0" fillId="8" borderId="4" xfId="0" applyFill="1" applyBorder="1" applyAlignment="1" applyProtection="1">
      <alignment horizontal="left" vertical="top" wrapText="1"/>
      <protection locked="0"/>
    </xf>
    <xf numFmtId="0" fontId="0" fillId="8" borderId="0" xfId="0" applyFill="1" applyBorder="1" applyAlignment="1" applyProtection="1">
      <alignment horizontal="left" vertical="top" wrapText="1"/>
      <protection locked="0"/>
    </xf>
    <xf numFmtId="0" fontId="0" fillId="8" borderId="5" xfId="0" applyFill="1" applyBorder="1" applyAlignment="1" applyProtection="1">
      <alignment horizontal="left" vertical="top" wrapText="1"/>
      <protection locked="0"/>
    </xf>
    <xf numFmtId="0" fontId="0" fillId="8" borderId="6" xfId="0" applyFill="1" applyBorder="1" applyAlignment="1" applyProtection="1">
      <alignment horizontal="left" vertical="top" wrapText="1"/>
      <protection locked="0"/>
    </xf>
    <xf numFmtId="0" fontId="0" fillId="8" borderId="7" xfId="0" applyFill="1" applyBorder="1" applyAlignment="1" applyProtection="1">
      <alignment horizontal="left" vertical="top" wrapText="1"/>
      <protection locked="0"/>
    </xf>
    <xf numFmtId="0" fontId="0" fillId="8" borderId="8" xfId="0" applyFill="1" applyBorder="1" applyAlignment="1" applyProtection="1">
      <alignment horizontal="left" vertical="top" wrapText="1"/>
      <protection locked="0"/>
    </xf>
    <xf numFmtId="0" fontId="8" fillId="5" borderId="9" xfId="0" applyFont="1" applyFill="1" applyBorder="1" applyAlignment="1" applyProtection="1">
      <alignment horizontal="center"/>
      <protection hidden="1"/>
    </xf>
    <xf numFmtId="0" fontId="8" fillId="5" borderId="10" xfId="0" applyFont="1" applyFill="1" applyBorder="1" applyAlignment="1" applyProtection="1">
      <alignment horizontal="center"/>
      <protection hidden="1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3" xfId="0" applyFill="1" applyBorder="1" applyAlignment="1" applyProtection="1">
      <alignment horizontal="left"/>
      <protection hidden="1"/>
    </xf>
    <xf numFmtId="0" fontId="8" fillId="4" borderId="6" xfId="0" applyFont="1" applyFill="1" applyBorder="1" applyAlignment="1" applyProtection="1">
      <alignment horizontal="center"/>
      <protection hidden="1"/>
    </xf>
    <xf numFmtId="0" fontId="8" fillId="4" borderId="8" xfId="0" applyFont="1" applyFill="1" applyBorder="1" applyAlignment="1" applyProtection="1">
      <alignment horizontal="center"/>
      <protection hidden="1"/>
    </xf>
    <xf numFmtId="0" fontId="8" fillId="3" borderId="6" xfId="0" applyFont="1" applyFill="1" applyBorder="1" applyAlignment="1" applyProtection="1">
      <alignment horizontal="center"/>
      <protection hidden="1"/>
    </xf>
    <xf numFmtId="0" fontId="8" fillId="3" borderId="8" xfId="0" applyFont="1" applyFill="1" applyBorder="1" applyAlignment="1" applyProtection="1">
      <alignment horizontal="center"/>
      <protection hidden="1"/>
    </xf>
    <xf numFmtId="44" fontId="18" fillId="2" borderId="9" xfId="2" applyFont="1" applyFill="1" applyBorder="1" applyAlignment="1" applyProtection="1">
      <alignment horizontal="center"/>
      <protection hidden="1"/>
    </xf>
    <xf numFmtId="44" fontId="18" fillId="2" borderId="10" xfId="2" applyFont="1" applyFill="1" applyBorder="1" applyAlignment="1" applyProtection="1">
      <alignment horizontal="center"/>
      <protection hidden="1"/>
    </xf>
    <xf numFmtId="0" fontId="8" fillId="10" borderId="9" xfId="0" applyFont="1" applyFill="1" applyBorder="1" applyAlignment="1" applyProtection="1">
      <alignment horizontal="left"/>
      <protection hidden="1"/>
    </xf>
    <xf numFmtId="0" fontId="8" fillId="10" borderId="10" xfId="0" applyFont="1" applyFill="1" applyBorder="1" applyAlignment="1" applyProtection="1">
      <alignment horizontal="left"/>
      <protection hidden="1"/>
    </xf>
    <xf numFmtId="0" fontId="8" fillId="10" borderId="9" xfId="0" applyFont="1" applyFill="1" applyBorder="1" applyProtection="1">
      <protection hidden="1"/>
    </xf>
    <xf numFmtId="0" fontId="8" fillId="10" borderId="10" xfId="0" applyFont="1" applyFill="1" applyBorder="1" applyProtection="1">
      <protection hidden="1"/>
    </xf>
    <xf numFmtId="0" fontId="0" fillId="6" borderId="0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0" fontId="4" fillId="0" borderId="2" xfId="0" applyNumberFormat="1" applyFont="1" applyFill="1" applyBorder="1" applyAlignment="1" applyProtection="1">
      <alignment horizontal="left"/>
      <protection hidden="1"/>
    </xf>
    <xf numFmtId="0" fontId="0" fillId="0" borderId="2" xfId="0" applyNumberFormat="1" applyFont="1" applyFill="1" applyBorder="1" applyAlignment="1" applyProtection="1">
      <alignment horizontal="left"/>
      <protection hidden="1"/>
    </xf>
    <xf numFmtId="49" fontId="4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</cellXfs>
  <cellStyles count="12">
    <cellStyle name="Currency" xfId="2" builtinId="4"/>
    <cellStyle name="Currency 2" xfId="4"/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3"/>
    <cellStyle name="Percent" xfId="1" builtinId="5"/>
    <cellStyle name="Percent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3" style="71" customWidth="1"/>
    <col min="2" max="2" width="25.5703125" style="71" customWidth="1"/>
    <col min="3" max="3" width="28" style="71" customWidth="1"/>
    <col min="4" max="4" width="3" style="71" customWidth="1"/>
    <col min="5" max="5" width="19.140625" style="71" bestFit="1" customWidth="1"/>
    <col min="6" max="6" width="24.140625" style="71" customWidth="1"/>
    <col min="7" max="7" width="3" style="71" customWidth="1"/>
    <col min="8" max="8" width="20.7109375" style="69" bestFit="1" customWidth="1"/>
    <col min="9" max="9" width="21" style="69" customWidth="1"/>
    <col min="10" max="10" width="3" style="69" customWidth="1"/>
    <col min="11" max="11" width="20.5703125" style="69" bestFit="1" customWidth="1"/>
    <col min="12" max="12" width="12.5703125" style="140" customWidth="1"/>
    <col min="13" max="13" width="3" style="69" customWidth="1"/>
    <col min="14" max="16384" width="8.85546875" style="69"/>
  </cols>
  <sheetData>
    <row r="1" spans="1:15" ht="15.75" thickBot="1" x14ac:dyDescent="0.3">
      <c r="A1" s="188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4"/>
    </row>
    <row r="2" spans="1:15" ht="15.75" thickBot="1" x14ac:dyDescent="0.3">
      <c r="A2" s="188"/>
      <c r="B2" s="189" t="s">
        <v>68</v>
      </c>
      <c r="C2" s="190" t="str">
        <f>IF(OR(NOT(ISERROR(SEARCH(("A"),C5))),NOT(ISERROR(SEARCH(("B"),C5))),NOT(ISERROR(SEARCH(("C0"),C5))),NOT(ISERROR(SEARCH(("21"),C5))),NOT(ISERROR(SEARCH(("R"),C5)))),"Residential","Not Residential")</f>
        <v>Not Residential</v>
      </c>
      <c r="D2" s="191"/>
      <c r="E2" s="192" t="s">
        <v>69</v>
      </c>
      <c r="F2" s="193"/>
      <c r="G2" s="194"/>
      <c r="H2" s="192" t="s">
        <v>137</v>
      </c>
      <c r="I2" s="195"/>
      <c r="J2" s="164"/>
      <c r="K2" s="196" t="s">
        <v>141</v>
      </c>
      <c r="L2" s="197" t="e">
        <f ca="1">SUM(Tables!B6:B8)</f>
        <v>#VALUE!</v>
      </c>
      <c r="M2" s="164"/>
    </row>
    <row r="3" spans="1:15" ht="15.75" thickBot="1" x14ac:dyDescent="0.3">
      <c r="A3" s="188"/>
      <c r="B3" s="198" t="s">
        <v>0</v>
      </c>
      <c r="C3" s="250"/>
      <c r="D3" s="191"/>
      <c r="E3" s="252" t="s">
        <v>144</v>
      </c>
      <c r="F3" s="253"/>
      <c r="G3" s="194"/>
      <c r="H3" s="198" t="s">
        <v>80</v>
      </c>
      <c r="I3" s="304"/>
      <c r="J3" s="164"/>
      <c r="K3" s="196" t="s">
        <v>142</v>
      </c>
      <c r="L3" s="197" t="e">
        <f ca="1">SUM(Tables!B6:B19)</f>
        <v>#VALUE!</v>
      </c>
      <c r="M3" s="164"/>
    </row>
    <row r="4" spans="1:15" ht="15.75" thickBot="1" x14ac:dyDescent="0.3">
      <c r="A4" s="188"/>
      <c r="B4" s="200" t="s">
        <v>183</v>
      </c>
      <c r="C4" s="237"/>
      <c r="D4" s="191"/>
      <c r="E4" s="199" t="s">
        <v>145</v>
      </c>
      <c r="F4" s="246"/>
      <c r="G4" s="194"/>
      <c r="H4" s="200" t="s">
        <v>26</v>
      </c>
      <c r="I4" s="305"/>
      <c r="J4" s="164"/>
      <c r="K4" s="164"/>
      <c r="L4" s="165"/>
      <c r="M4" s="164"/>
    </row>
    <row r="5" spans="1:15" ht="15.75" thickBot="1" x14ac:dyDescent="0.3">
      <c r="A5" s="188"/>
      <c r="B5" s="200" t="s">
        <v>2</v>
      </c>
      <c r="C5" s="237"/>
      <c r="D5" s="191"/>
      <c r="E5" s="200" t="s">
        <v>71</v>
      </c>
      <c r="F5" s="240"/>
      <c r="G5" s="194"/>
      <c r="H5" s="200" t="s">
        <v>85</v>
      </c>
      <c r="I5" s="305"/>
      <c r="J5" s="164"/>
      <c r="K5" s="318" t="s">
        <v>173</v>
      </c>
      <c r="L5" s="319"/>
      <c r="M5" s="164"/>
      <c r="O5" s="221"/>
    </row>
    <row r="6" spans="1:15" x14ac:dyDescent="0.25">
      <c r="A6" s="188"/>
      <c r="B6" s="201" t="s">
        <v>78</v>
      </c>
      <c r="C6" s="251"/>
      <c r="D6" s="191"/>
      <c r="E6" s="200" t="s">
        <v>73</v>
      </c>
      <c r="F6" s="240"/>
      <c r="G6" s="194"/>
      <c r="H6" s="200" t="s">
        <v>196</v>
      </c>
      <c r="I6" s="305"/>
      <c r="J6" s="164"/>
      <c r="K6" s="265" t="s">
        <v>167</v>
      </c>
      <c r="L6" s="266" t="e">
        <f ca="1">SUM(Tables!B6:B25)</f>
        <v>#VALUE!</v>
      </c>
      <c r="M6" s="164"/>
    </row>
    <row r="7" spans="1:15" x14ac:dyDescent="0.25">
      <c r="A7" s="188"/>
      <c r="B7" s="201" t="s">
        <v>75</v>
      </c>
      <c r="C7" s="238"/>
      <c r="D7" s="191"/>
      <c r="E7" s="200" t="s">
        <v>76</v>
      </c>
      <c r="F7" s="306"/>
      <c r="G7" s="194"/>
      <c r="H7" s="200" t="s">
        <v>190</v>
      </c>
      <c r="I7" s="305"/>
      <c r="J7" s="164"/>
      <c r="K7" s="267" t="s">
        <v>8</v>
      </c>
      <c r="L7" s="268" t="e">
        <f ca="1">'Flip Sheets'!C26</f>
        <v>#VALUE!</v>
      </c>
      <c r="M7" s="164"/>
    </row>
    <row r="8" spans="1:15" x14ac:dyDescent="0.25">
      <c r="A8" s="188"/>
      <c r="B8" s="201" t="s">
        <v>81</v>
      </c>
      <c r="C8" s="238"/>
      <c r="D8" s="191"/>
      <c r="E8" s="255" t="s">
        <v>184</v>
      </c>
      <c r="F8" s="293"/>
      <c r="G8" s="194"/>
      <c r="H8" s="200" t="s">
        <v>88</v>
      </c>
      <c r="I8" s="305"/>
      <c r="J8" s="164"/>
      <c r="K8" s="267" t="s">
        <v>17</v>
      </c>
      <c r="L8" s="268" t="e">
        <f ca="1">'Flip Sheets'!H23</f>
        <v>#VALUE!</v>
      </c>
      <c r="M8" s="164"/>
    </row>
    <row r="9" spans="1:15" x14ac:dyDescent="0.25">
      <c r="A9" s="188"/>
      <c r="B9" s="255" t="s">
        <v>182</v>
      </c>
      <c r="C9" s="293"/>
      <c r="D9" s="191"/>
      <c r="E9" s="200" t="s">
        <v>79</v>
      </c>
      <c r="F9" s="240"/>
      <c r="G9" s="194"/>
      <c r="H9" s="200" t="s">
        <v>96</v>
      </c>
      <c r="I9" s="305"/>
      <c r="J9" s="164"/>
      <c r="K9" s="267" t="s">
        <v>171</v>
      </c>
      <c r="L9" s="269" t="e">
        <f ca="1">'Flip Sheets'!F26</f>
        <v>#VALUE!</v>
      </c>
      <c r="M9" s="164"/>
    </row>
    <row r="10" spans="1:15" ht="15.75" thickBot="1" x14ac:dyDescent="0.3">
      <c r="A10" s="188"/>
      <c r="B10" s="255" t="s">
        <v>181</v>
      </c>
      <c r="C10" s="293"/>
      <c r="D10" s="191"/>
      <c r="E10" s="200" t="s">
        <v>82</v>
      </c>
      <c r="F10" s="240"/>
      <c r="G10" s="194"/>
      <c r="H10" s="200" t="s">
        <v>93</v>
      </c>
      <c r="I10" s="305"/>
      <c r="J10" s="164"/>
      <c r="K10" s="270" t="s">
        <v>143</v>
      </c>
      <c r="L10" s="271" t="e">
        <f ca="1">'Flip Sheets'!H25</f>
        <v>#VALUE!</v>
      </c>
      <c r="M10" s="164"/>
    </row>
    <row r="11" spans="1:15" ht="15.75" thickBot="1" x14ac:dyDescent="0.3">
      <c r="A11" s="188"/>
      <c r="B11" s="200" t="s">
        <v>86</v>
      </c>
      <c r="C11" s="294"/>
      <c r="D11" s="191"/>
      <c r="E11" s="200" t="s">
        <v>84</v>
      </c>
      <c r="F11" s="240"/>
      <c r="G11" s="194"/>
      <c r="H11" s="254" t="s">
        <v>185</v>
      </c>
      <c r="I11" s="305"/>
      <c r="J11" s="164"/>
      <c r="K11" s="157"/>
      <c r="L11" s="158"/>
      <c r="M11" s="164"/>
    </row>
    <row r="12" spans="1:15" ht="15.75" thickBot="1" x14ac:dyDescent="0.3">
      <c r="A12" s="188"/>
      <c r="B12" s="200" t="s">
        <v>83</v>
      </c>
      <c r="C12" s="303"/>
      <c r="D12" s="191"/>
      <c r="E12" s="200" t="s">
        <v>87</v>
      </c>
      <c r="F12" s="240"/>
      <c r="G12" s="194"/>
      <c r="H12" s="200" t="s">
        <v>189</v>
      </c>
      <c r="I12" s="305"/>
      <c r="J12" s="164"/>
      <c r="K12" s="320" t="s">
        <v>172</v>
      </c>
      <c r="L12" s="321"/>
      <c r="M12" s="164"/>
    </row>
    <row r="13" spans="1:15" x14ac:dyDescent="0.25">
      <c r="A13" s="188"/>
      <c r="B13" s="200" t="s">
        <v>89</v>
      </c>
      <c r="C13" s="240"/>
      <c r="D13" s="191"/>
      <c r="E13" s="201" t="s">
        <v>147</v>
      </c>
      <c r="F13" s="238"/>
      <c r="G13" s="164"/>
      <c r="H13" s="200" t="s">
        <v>186</v>
      </c>
      <c r="I13" s="240"/>
      <c r="J13" s="164"/>
      <c r="K13" s="203" t="s">
        <v>167</v>
      </c>
      <c r="L13" s="204">
        <f ca="1">C26+SUM(Tables!B9:B25)</f>
        <v>0</v>
      </c>
      <c r="M13" s="164"/>
    </row>
    <row r="14" spans="1:15" x14ac:dyDescent="0.25">
      <c r="A14" s="188"/>
      <c r="B14" s="199" t="s">
        <v>146</v>
      </c>
      <c r="C14" s="240" t="s">
        <v>67</v>
      </c>
      <c r="D14" s="207"/>
      <c r="E14" s="200" t="s">
        <v>95</v>
      </c>
      <c r="F14" s="247"/>
      <c r="G14" s="194"/>
      <c r="H14" s="200" t="s">
        <v>188</v>
      </c>
      <c r="I14" s="305"/>
      <c r="J14" s="164"/>
      <c r="K14" s="159" t="s">
        <v>8</v>
      </c>
      <c r="L14" s="156" t="e">
        <f ca="1">(L13+SUM('Flip Sheets'!$C$21:$C$25))</f>
        <v>#VALUE!</v>
      </c>
      <c r="M14" s="164"/>
    </row>
    <row r="15" spans="1:15" ht="15.75" thickBot="1" x14ac:dyDescent="0.3">
      <c r="A15" s="188"/>
      <c r="B15" s="202" t="s">
        <v>92</v>
      </c>
      <c r="C15" s="241"/>
      <c r="D15" s="207"/>
      <c r="E15" s="200" t="s">
        <v>98</v>
      </c>
      <c r="F15" s="247"/>
      <c r="G15" s="194"/>
      <c r="H15" s="254" t="s">
        <v>187</v>
      </c>
      <c r="I15" s="306"/>
      <c r="J15" s="164"/>
      <c r="K15" s="159" t="s">
        <v>17</v>
      </c>
      <c r="L15" s="156" t="e">
        <f ca="1">L14-Tables!F13</f>
        <v>#VALUE!</v>
      </c>
      <c r="M15" s="164"/>
    </row>
    <row r="16" spans="1:15" ht="15.75" thickBot="1" x14ac:dyDescent="0.3">
      <c r="A16" s="188"/>
      <c r="B16" s="194"/>
      <c r="C16" s="194"/>
      <c r="D16" s="210"/>
      <c r="E16" s="209" t="s">
        <v>128</v>
      </c>
      <c r="F16" s="306"/>
      <c r="G16" s="194"/>
      <c r="H16" s="200" t="s">
        <v>100</v>
      </c>
      <c r="I16" s="240"/>
      <c r="J16" s="164"/>
      <c r="K16" s="159" t="s">
        <v>171</v>
      </c>
      <c r="L16" s="161" t="e">
        <f ca="1">('Flip Sheets'!$F$18-SUM('Flip Sheets'!$F$19:$F$25)-(L13+SUM('Flip Sheets'!$C$21:$C$25)))</f>
        <v>#VALUE!</v>
      </c>
      <c r="M16" s="164"/>
    </row>
    <row r="17" spans="1:13" ht="15.75" thickBot="1" x14ac:dyDescent="0.3">
      <c r="A17" s="188"/>
      <c r="B17" s="205" t="s">
        <v>116</v>
      </c>
      <c r="C17" s="206"/>
      <c r="D17" s="207"/>
      <c r="E17" s="200" t="s">
        <v>91</v>
      </c>
      <c r="F17" s="248"/>
      <c r="G17" s="194"/>
      <c r="H17" s="200" t="s">
        <v>102</v>
      </c>
      <c r="I17" s="305"/>
      <c r="J17" s="164"/>
      <c r="K17" s="160" t="s">
        <v>143</v>
      </c>
      <c r="L17" s="162" t="e">
        <f ca="1">L16/L14</f>
        <v>#VALUE!</v>
      </c>
      <c r="M17" s="164"/>
    </row>
    <row r="18" spans="1:13" ht="15.75" thickBot="1" x14ac:dyDescent="0.3">
      <c r="A18" s="188"/>
      <c r="B18" s="198" t="s">
        <v>74</v>
      </c>
      <c r="C18" s="295"/>
      <c r="D18" s="191"/>
      <c r="E18" s="200" t="s">
        <v>105</v>
      </c>
      <c r="F18" s="239"/>
      <c r="G18" s="164"/>
      <c r="H18" s="208" t="s">
        <v>135</v>
      </c>
      <c r="I18" s="307"/>
      <c r="J18" s="164"/>
      <c r="K18" s="212"/>
      <c r="L18" s="165"/>
      <c r="M18" s="164"/>
    </row>
    <row r="19" spans="1:13" ht="15.75" thickBot="1" x14ac:dyDescent="0.3">
      <c r="A19" s="188"/>
      <c r="B19" s="255" t="s">
        <v>193</v>
      </c>
      <c r="C19" s="293" t="str">
        <f>IF(OR('Data Input'!C14="Yes",'Data Input'!C15&gt;0)*AND('Data Input'!F9&lt;&gt;"Yes",'Data Input'!F10&lt;&gt;"Yes",'Data Input'!F11&lt;&gt;"Yes",'Data Input'!C20&lt;&gt;"",'Data Input'!C20&gt;0),"Yes","No")</f>
        <v>No</v>
      </c>
      <c r="D19" s="191"/>
      <c r="E19" s="200" t="s">
        <v>106</v>
      </c>
      <c r="F19" s="248"/>
      <c r="G19" s="188"/>
      <c r="J19" s="164"/>
      <c r="K19" s="322" t="s">
        <v>194</v>
      </c>
      <c r="L19" s="323"/>
      <c r="M19" s="164"/>
    </row>
    <row r="20" spans="1:13" ht="15.75" thickBot="1" x14ac:dyDescent="0.3">
      <c r="A20" s="188"/>
      <c r="B20" s="200" t="s">
        <v>72</v>
      </c>
      <c r="C20" s="296"/>
      <c r="D20" s="191"/>
      <c r="E20" s="202" t="s">
        <v>107</v>
      </c>
      <c r="F20" s="249"/>
      <c r="G20" s="188"/>
      <c r="H20" s="164"/>
      <c r="I20" s="164"/>
      <c r="J20" s="164"/>
      <c r="K20" s="272" t="s">
        <v>41</v>
      </c>
      <c r="L20" s="291" t="e">
        <f ca="1">'Flip Sheets'!C33</f>
        <v>#VALUE!</v>
      </c>
      <c r="M20" s="164"/>
    </row>
    <row r="21" spans="1:13" ht="15.75" thickBot="1" x14ac:dyDescent="0.3">
      <c r="A21" s="188"/>
      <c r="B21" s="255" t="s">
        <v>192</v>
      </c>
      <c r="C21" s="297">
        <v>0.75</v>
      </c>
      <c r="D21" s="194"/>
      <c r="J21" s="164"/>
      <c r="K21" s="274" t="s">
        <v>22</v>
      </c>
      <c r="L21" s="273" t="e">
        <f ca="1">'Flip Sheets'!F33</f>
        <v>#VALUE!</v>
      </c>
      <c r="M21" s="164"/>
    </row>
    <row r="22" spans="1:13" ht="15.75" thickBot="1" x14ac:dyDescent="0.3">
      <c r="A22" s="188"/>
      <c r="B22" s="209" t="s">
        <v>63</v>
      </c>
      <c r="C22" s="298"/>
      <c r="D22" s="194"/>
      <c r="E22" s="215" t="s">
        <v>61</v>
      </c>
      <c r="F22" s="216"/>
      <c r="G22" s="217"/>
      <c r="H22" s="217"/>
      <c r="I22" s="218"/>
      <c r="J22" s="164"/>
      <c r="K22" s="275" t="s">
        <v>40</v>
      </c>
      <c r="L22" s="292" t="e">
        <f ca="1">'Flip Sheets'!H33</f>
        <v>#VALUE!</v>
      </c>
      <c r="M22" s="164"/>
    </row>
    <row r="23" spans="1:13" ht="15.75" thickBot="1" x14ac:dyDescent="0.3">
      <c r="A23" s="188"/>
      <c r="B23" s="211" t="s">
        <v>77</v>
      </c>
      <c r="C23" s="249"/>
      <c r="D23" s="194"/>
      <c r="E23" s="324"/>
      <c r="F23" s="325"/>
      <c r="G23" s="325"/>
      <c r="H23" s="325"/>
      <c r="I23" s="326"/>
      <c r="J23" s="164"/>
      <c r="K23" s="289"/>
      <c r="L23" s="290"/>
      <c r="M23" s="164"/>
    </row>
    <row r="24" spans="1:13" ht="15.75" thickBot="1" x14ac:dyDescent="0.3">
      <c r="A24" s="188"/>
      <c r="B24" s="164"/>
      <c r="C24" s="213"/>
      <c r="D24" s="194"/>
      <c r="E24" s="327"/>
      <c r="F24" s="328"/>
      <c r="G24" s="328"/>
      <c r="H24" s="328"/>
      <c r="I24" s="329"/>
      <c r="J24" s="164"/>
      <c r="K24" s="316" t="s">
        <v>178</v>
      </c>
      <c r="L24" s="317" t="e">
        <f ca="1">Tables!J22-Tables!J29</f>
        <v>#VALUE!</v>
      </c>
      <c r="M24" s="164"/>
    </row>
    <row r="25" spans="1:13" ht="15.75" thickBot="1" x14ac:dyDescent="0.3">
      <c r="A25" s="188"/>
      <c r="B25" s="192" t="s">
        <v>94</v>
      </c>
      <c r="C25" s="214"/>
      <c r="D25" s="194"/>
      <c r="E25" s="327"/>
      <c r="F25" s="328"/>
      <c r="G25" s="328"/>
      <c r="H25" s="328"/>
      <c r="I25" s="329"/>
      <c r="J25" s="164"/>
      <c r="K25" s="164"/>
      <c r="L25" s="165"/>
      <c r="M25" s="164"/>
    </row>
    <row r="26" spans="1:13" x14ac:dyDescent="0.25">
      <c r="A26" s="188"/>
      <c r="B26" s="276" t="s">
        <v>129</v>
      </c>
      <c r="C26" s="299"/>
      <c r="D26" s="194"/>
      <c r="E26" s="327"/>
      <c r="F26" s="328"/>
      <c r="G26" s="328"/>
      <c r="H26" s="328"/>
      <c r="I26" s="329"/>
      <c r="J26" s="164"/>
      <c r="M26" s="164"/>
    </row>
    <row r="27" spans="1:13" x14ac:dyDescent="0.25">
      <c r="A27" s="188"/>
      <c r="B27" s="200" t="s">
        <v>101</v>
      </c>
      <c r="C27" s="296"/>
      <c r="D27" s="194"/>
      <c r="E27" s="327"/>
      <c r="F27" s="328"/>
      <c r="G27" s="328"/>
      <c r="H27" s="328"/>
      <c r="I27" s="329"/>
      <c r="J27" s="164"/>
      <c r="K27" s="219"/>
      <c r="L27" s="220"/>
      <c r="M27" s="164"/>
    </row>
    <row r="28" spans="1:13" x14ac:dyDescent="0.25">
      <c r="A28" s="188"/>
      <c r="B28" s="200" t="s">
        <v>97</v>
      </c>
      <c r="C28" s="296"/>
      <c r="D28" s="194"/>
      <c r="E28" s="327"/>
      <c r="F28" s="328"/>
      <c r="G28" s="328"/>
      <c r="H28" s="328"/>
      <c r="I28" s="329"/>
      <c r="J28" s="164"/>
      <c r="K28" s="219"/>
      <c r="M28" s="164"/>
    </row>
    <row r="29" spans="1:13" x14ac:dyDescent="0.25">
      <c r="A29" s="188"/>
      <c r="B29" s="255" t="s">
        <v>195</v>
      </c>
      <c r="C29" s="240"/>
      <c r="D29" s="194"/>
      <c r="E29" s="327"/>
      <c r="F29" s="328"/>
      <c r="G29" s="328"/>
      <c r="H29" s="328"/>
      <c r="I29" s="329"/>
      <c r="J29" s="164"/>
      <c r="K29" s="219"/>
      <c r="L29" s="222"/>
      <c r="M29" s="164"/>
    </row>
    <row r="30" spans="1:13" x14ac:dyDescent="0.25">
      <c r="A30" s="188"/>
      <c r="B30" s="200" t="s">
        <v>99</v>
      </c>
      <c r="C30" s="300">
        <v>6</v>
      </c>
      <c r="D30" s="194"/>
      <c r="E30" s="327"/>
      <c r="F30" s="328"/>
      <c r="G30" s="328"/>
      <c r="H30" s="328"/>
      <c r="I30" s="329"/>
      <c r="J30" s="164"/>
      <c r="K30" s="219"/>
      <c r="L30" s="220"/>
      <c r="M30" s="164"/>
    </row>
    <row r="31" spans="1:13" x14ac:dyDescent="0.25">
      <c r="A31" s="188"/>
      <c r="B31" s="201" t="s">
        <v>130</v>
      </c>
      <c r="C31" s="301">
        <v>0.05</v>
      </c>
      <c r="D31" s="194"/>
      <c r="E31" s="327"/>
      <c r="F31" s="328"/>
      <c r="G31" s="328"/>
      <c r="H31" s="328"/>
      <c r="I31" s="329"/>
      <c r="J31" s="164"/>
      <c r="K31" s="219"/>
      <c r="L31" s="220"/>
      <c r="M31" s="164"/>
    </row>
    <row r="32" spans="1:13" ht="15.75" thickBot="1" x14ac:dyDescent="0.3">
      <c r="A32" s="188"/>
      <c r="B32" s="208" t="s">
        <v>136</v>
      </c>
      <c r="C32" s="302">
        <v>0.35</v>
      </c>
      <c r="D32" s="194"/>
      <c r="E32" s="330"/>
      <c r="F32" s="331"/>
      <c r="G32" s="331"/>
      <c r="H32" s="331"/>
      <c r="I32" s="332"/>
      <c r="J32" s="164"/>
      <c r="K32" s="219"/>
      <c r="L32" s="220"/>
      <c r="M32" s="164"/>
    </row>
    <row r="33" spans="4:13" x14ac:dyDescent="0.25">
      <c r="D33" s="69"/>
      <c r="E33" s="69"/>
      <c r="F33" s="69"/>
      <c r="G33" s="69"/>
    </row>
    <row r="34" spans="4:13" x14ac:dyDescent="0.25">
      <c r="J34" s="147"/>
      <c r="M34" s="147"/>
    </row>
  </sheetData>
  <sheetProtection algorithmName="SHA-512" hashValue="plRIxWnjwlPp/Gyc+sZf1BpkoQrRT8zKRaBxPrgANaelZPQYIe+JOeyFqmLYBHpYVxPB2VEv31DyQqIH6h63Mg==" saltValue="QXZ8wZvYmKXkCUN0nfdsbA==" spinCount="100000" sheet="1" formatCells="0" formatColumns="0" formatRows="0"/>
  <dataConsolidate/>
  <mergeCells count="4">
    <mergeCell ref="K5:L5"/>
    <mergeCell ref="K12:L12"/>
    <mergeCell ref="K19:L19"/>
    <mergeCell ref="E23:I32"/>
  </mergeCells>
  <phoneticPr fontId="13" type="noConversion"/>
  <dataValidations count="4">
    <dataValidation type="textLength" operator="greaterThan" allowBlank="1" showInputMessage="1" showErrorMessage="1" sqref="F12">
      <formula1>1</formula1>
    </dataValidation>
    <dataValidation type="decimal" operator="greaterThan" allowBlank="1" showInputMessage="1" showErrorMessage="1" sqref="F20 F18 C27:C28 I14 C12 C23 I17 C20 C18 C30 I3:I12">
      <formula1>-1000000</formula1>
    </dataValidation>
    <dataValidation type="whole" showInputMessage="1" showErrorMessage="1" sqref="C15">
      <formula1>0</formula1>
      <formula2>10</formula2>
    </dataValidation>
    <dataValidation type="date" operator="greaterThan" allowBlank="1" showInputMessage="1" showErrorMessage="1" sqref="I18">
      <formula1>1</formula1>
    </dataValidation>
  </dataValidations>
  <pageMargins left="0.7" right="0.7" top="0.75" bottom="0.75" header="0.3" footer="0.3"/>
  <pageSetup orientation="portrait" horizontalDpi="1200" verticalDpi="1200" r:id="rId1"/>
  <ignoredErrors>
    <ignoredError sqref="K4:L5 L19 K2 K3 K7:L12 K6 K14:L18 K13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Tables!$I$2:$I$8</xm:f>
          </x14:formula1>
          <xm:sqref>C13</xm:sqref>
        </x14:dataValidation>
        <x14:dataValidation type="list" showDropDown="1" showInputMessage="1" showErrorMessage="1">
          <x14:formula1>
            <xm:f>Tables!$J$2:$J$4</xm:f>
          </x14:formula1>
          <xm:sqref>F5:F6</xm:sqref>
        </x14:dataValidation>
        <x14:dataValidation type="list" showDropDown="1" showInputMessage="1" showErrorMessage="1">
          <x14:formula1>
            <xm:f>Tables!$J$2:$J$4</xm:f>
          </x14:formula1>
          <xm:sqref>C29</xm:sqref>
        </x14:dataValidation>
        <x14:dataValidation type="list" showDropDown="1" showInputMessage="1" showErrorMessage="1">
          <x14:formula1>
            <xm:f>Tables!$J$2:$J$4</xm:f>
          </x14:formula1>
          <xm:sqref>I16</xm:sqref>
        </x14:dataValidation>
        <x14:dataValidation type="list" showDropDown="1" showInputMessage="1" showErrorMessage="1">
          <x14:formula1>
            <xm:f>Tables!$J$2:$J$4</xm:f>
          </x14:formula1>
          <xm:sqref>C14</xm:sqref>
        </x14:dataValidation>
        <x14:dataValidation type="list" showDropDown="1" showInputMessage="1" showErrorMessage="1">
          <x14:formula1>
            <xm:f>Tables!$J$2:$J$4</xm:f>
          </x14:formula1>
          <xm:sqref>I13</xm:sqref>
        </x14:dataValidation>
        <x14:dataValidation type="list" showDropDown="1" showInputMessage="1" showErrorMessage="1">
          <x14:formula1>
            <xm:f>Tables!$J$2:$J$4</xm:f>
          </x14:formula1>
          <xm:sqref>F9:F11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sqref="A1:I41"/>
    </sheetView>
  </sheetViews>
  <sheetFormatPr defaultColWidth="8.85546875" defaultRowHeight="15" x14ac:dyDescent="0.25"/>
  <cols>
    <col min="1" max="1" width="2.7109375" style="69" customWidth="1"/>
    <col min="2" max="2" width="15.28515625" style="69" bestFit="1" customWidth="1"/>
    <col min="3" max="3" width="13.7109375" style="70" bestFit="1" customWidth="1"/>
    <col min="4" max="4" width="2.7109375" style="71" customWidth="1"/>
    <col min="5" max="5" width="14.7109375" style="69" bestFit="1" customWidth="1"/>
    <col min="6" max="6" width="13.7109375" style="69" bestFit="1" customWidth="1"/>
    <col min="7" max="7" width="2.7109375" style="71" customWidth="1"/>
    <col min="8" max="8" width="12.7109375" style="69" bestFit="1" customWidth="1"/>
    <col min="9" max="9" width="2.7109375" style="69" customWidth="1"/>
    <col min="10" max="16384" width="8.85546875" style="69"/>
  </cols>
  <sheetData>
    <row r="1" spans="1:12" ht="15.75" thickBot="1" x14ac:dyDescent="0.3">
      <c r="A1" s="39"/>
      <c r="B1" s="39"/>
      <c r="C1" s="40"/>
      <c r="D1" s="41"/>
      <c r="E1" s="39"/>
      <c r="F1" s="39"/>
      <c r="G1" s="41"/>
      <c r="H1" s="39"/>
      <c r="I1" s="39"/>
    </row>
    <row r="2" spans="1:12" x14ac:dyDescent="0.25">
      <c r="A2" s="39"/>
      <c r="B2" s="42" t="s">
        <v>0</v>
      </c>
      <c r="C2" s="335">
        <f>'Data Input'!C3</f>
        <v>0</v>
      </c>
      <c r="D2" s="335"/>
      <c r="E2" s="335"/>
      <c r="F2" s="336"/>
      <c r="G2" s="43"/>
      <c r="H2" s="44" t="s">
        <v>44</v>
      </c>
      <c r="I2" s="39"/>
    </row>
    <row r="3" spans="1:12" ht="15.75" thickBot="1" x14ac:dyDescent="0.3">
      <c r="A3" s="39"/>
      <c r="B3" s="45" t="s">
        <v>2</v>
      </c>
      <c r="C3" s="311">
        <f>'Data Input'!C4</f>
        <v>0</v>
      </c>
      <c r="D3" s="25"/>
      <c r="E3" s="46" t="s">
        <v>26</v>
      </c>
      <c r="F3" s="47">
        <f>'Data Input'!C11</f>
        <v>0</v>
      </c>
      <c r="G3" s="41"/>
      <c r="H3" s="84">
        <f>'Data Input'!C28</f>
        <v>0</v>
      </c>
      <c r="I3" s="39"/>
    </row>
    <row r="4" spans="1:12" ht="15.75" thickBot="1" x14ac:dyDescent="0.3">
      <c r="A4" s="39"/>
      <c r="B4" s="339" t="s">
        <v>38</v>
      </c>
      <c r="C4" s="340"/>
      <c r="D4" s="48"/>
      <c r="E4" s="339" t="s">
        <v>50</v>
      </c>
      <c r="F4" s="340"/>
      <c r="G4" s="49"/>
      <c r="H4" s="50" t="s">
        <v>42</v>
      </c>
      <c r="I4" s="39"/>
    </row>
    <row r="5" spans="1:12" x14ac:dyDescent="0.25">
      <c r="A5" s="39"/>
      <c r="B5" s="51" t="s">
        <v>117</v>
      </c>
      <c r="C5" s="182" t="e">
        <f ca="1">SUM(Tables!B6:B8)</f>
        <v>#VALUE!</v>
      </c>
      <c r="D5" s="48"/>
      <c r="E5" s="51" t="s">
        <v>43</v>
      </c>
      <c r="F5" s="74">
        <f>Tables!F6</f>
        <v>0</v>
      </c>
      <c r="G5" s="49"/>
      <c r="H5" s="52" t="s">
        <v>53</v>
      </c>
      <c r="I5" s="39"/>
    </row>
    <row r="6" spans="1:12" ht="15.75" thickBot="1" x14ac:dyDescent="0.3">
      <c r="A6" s="39"/>
      <c r="B6" s="53" t="s">
        <v>115</v>
      </c>
      <c r="C6" s="183">
        <f ca="1">SUM(Tables!B9:B19)</f>
        <v>0</v>
      </c>
      <c r="D6" s="48"/>
      <c r="E6" s="53" t="s">
        <v>7</v>
      </c>
      <c r="F6" s="75">
        <f>Tables!F7</f>
        <v>0</v>
      </c>
      <c r="G6" s="49"/>
      <c r="H6" s="80" t="e">
        <f ca="1">C11</f>
        <v>#VALUE!</v>
      </c>
      <c r="I6" s="39"/>
    </row>
    <row r="7" spans="1:12" x14ac:dyDescent="0.25">
      <c r="A7" s="39"/>
      <c r="B7" s="53" t="s">
        <v>116</v>
      </c>
      <c r="C7" s="183">
        <f>SUM(Tables!B21:B25)</f>
        <v>0</v>
      </c>
      <c r="D7" s="48"/>
      <c r="E7" s="53" t="s">
        <v>9</v>
      </c>
      <c r="F7" s="75">
        <f>Tables!F8</f>
        <v>0</v>
      </c>
      <c r="G7" s="49"/>
      <c r="H7" s="52" t="s">
        <v>49</v>
      </c>
      <c r="I7" s="39"/>
    </row>
    <row r="8" spans="1:12" ht="15.75" thickBot="1" x14ac:dyDescent="0.3">
      <c r="A8" s="39"/>
      <c r="B8" s="53" t="s">
        <v>21</v>
      </c>
      <c r="C8" s="183" t="e">
        <f ca="1">SUM(Tables!B27:B29)</f>
        <v>#VALUE!</v>
      </c>
      <c r="D8" s="48"/>
      <c r="E8" s="53" t="s">
        <v>21</v>
      </c>
      <c r="F8" s="75" t="e">
        <f>SUM(Tables!F9:F11)</f>
        <v>#VALUE!</v>
      </c>
      <c r="G8" s="49"/>
      <c r="H8" s="79" t="e">
        <f ca="1">F11/C11</f>
        <v>#VALUE!</v>
      </c>
      <c r="I8" s="39"/>
    </row>
    <row r="9" spans="1:12" x14ac:dyDescent="0.25">
      <c r="A9" s="39"/>
      <c r="B9" s="53" t="s">
        <v>47</v>
      </c>
      <c r="C9" s="183">
        <f>SUM(Tables!B31:B32)</f>
        <v>0</v>
      </c>
      <c r="D9" s="48"/>
      <c r="E9" s="53"/>
      <c r="F9" s="75"/>
      <c r="G9" s="49"/>
      <c r="H9" s="131"/>
      <c r="I9" s="39"/>
      <c r="L9" s="88"/>
    </row>
    <row r="10" spans="1:12" ht="15.75" thickBot="1" x14ac:dyDescent="0.3">
      <c r="A10" s="39"/>
      <c r="B10" s="53" t="s">
        <v>48</v>
      </c>
      <c r="C10" s="183">
        <f>SUM(Tables!B34:B36)</f>
        <v>0</v>
      </c>
      <c r="D10" s="48"/>
      <c r="E10" s="184"/>
      <c r="F10" s="185"/>
      <c r="G10" s="49"/>
      <c r="H10" s="132"/>
      <c r="I10" s="39"/>
    </row>
    <row r="11" spans="1:12" ht="15.75" thickBot="1" x14ac:dyDescent="0.3">
      <c r="A11" s="39"/>
      <c r="B11" s="54" t="s">
        <v>51</v>
      </c>
      <c r="C11" s="55" t="e">
        <f ca="1">SUM(C5:C10)</f>
        <v>#VALUE!</v>
      </c>
      <c r="D11" s="48"/>
      <c r="E11" s="56" t="s">
        <v>45</v>
      </c>
      <c r="F11" s="57" t="e">
        <f ca="1">F5-SUM(F6:F10)-C11</f>
        <v>#VALUE!</v>
      </c>
      <c r="G11" s="49"/>
      <c r="H11" s="133"/>
      <c r="I11" s="39"/>
    </row>
    <row r="12" spans="1:12" x14ac:dyDescent="0.25">
      <c r="A12" s="39"/>
      <c r="B12" s="39"/>
      <c r="C12" s="40"/>
      <c r="D12" s="41"/>
      <c r="E12" s="39"/>
      <c r="F12" s="39"/>
      <c r="G12" s="41"/>
      <c r="H12" s="39"/>
      <c r="I12" s="39"/>
    </row>
    <row r="13" spans="1:12" x14ac:dyDescent="0.25">
      <c r="A13" s="85"/>
      <c r="B13" s="85"/>
      <c r="C13" s="86"/>
      <c r="D13" s="87"/>
      <c r="E13" s="85"/>
      <c r="F13" s="85"/>
      <c r="G13" s="87"/>
      <c r="H13" s="85"/>
      <c r="I13" s="85"/>
    </row>
    <row r="14" spans="1:12" ht="15.75" thickBot="1" x14ac:dyDescent="0.3">
      <c r="A14" s="39"/>
      <c r="B14" s="39"/>
      <c r="C14" s="40"/>
      <c r="D14" s="41"/>
      <c r="E14" s="39"/>
      <c r="F14" s="39"/>
      <c r="G14" s="41"/>
      <c r="H14" s="39"/>
      <c r="I14" s="39"/>
    </row>
    <row r="15" spans="1:12" x14ac:dyDescent="0.25">
      <c r="A15" s="39"/>
      <c r="B15" s="42" t="s">
        <v>0</v>
      </c>
      <c r="C15" s="335">
        <f>'Data Input'!C3</f>
        <v>0</v>
      </c>
      <c r="D15" s="335"/>
      <c r="E15" s="335"/>
      <c r="F15" s="336"/>
      <c r="G15" s="43"/>
      <c r="H15" s="138" t="s">
        <v>44</v>
      </c>
      <c r="I15" s="39"/>
    </row>
    <row r="16" spans="1:12" ht="15.75" thickBot="1" x14ac:dyDescent="0.3">
      <c r="A16" s="39"/>
      <c r="B16" s="45" t="s">
        <v>2</v>
      </c>
      <c r="C16" s="311">
        <f>'Data Input'!C4</f>
        <v>0</v>
      </c>
      <c r="D16" s="25"/>
      <c r="E16" s="46" t="s">
        <v>26</v>
      </c>
      <c r="F16" s="47">
        <f>'Data Input'!C11</f>
        <v>0</v>
      </c>
      <c r="G16" s="41"/>
      <c r="H16" s="139">
        <f>'Data Input'!C28</f>
        <v>0</v>
      </c>
      <c r="I16" s="39"/>
    </row>
    <row r="17" spans="1:9" ht="15.75" thickBot="1" x14ac:dyDescent="0.3">
      <c r="A17" s="39"/>
      <c r="B17" s="337" t="s">
        <v>38</v>
      </c>
      <c r="C17" s="338"/>
      <c r="D17" s="48"/>
      <c r="E17" s="337" t="s">
        <v>50</v>
      </c>
      <c r="F17" s="338"/>
      <c r="G17" s="59"/>
      <c r="H17" s="60" t="s">
        <v>62</v>
      </c>
      <c r="I17" s="39"/>
    </row>
    <row r="18" spans="1:9" x14ac:dyDescent="0.25">
      <c r="A18" s="39"/>
      <c r="B18" s="51" t="s">
        <v>28</v>
      </c>
      <c r="C18" s="76" t="e">
        <f ca="1">SUM(Tables!B6:B8)</f>
        <v>#VALUE!</v>
      </c>
      <c r="D18" s="48"/>
      <c r="E18" s="51" t="s">
        <v>43</v>
      </c>
      <c r="F18" s="74">
        <f>Tables!F6</f>
        <v>0</v>
      </c>
      <c r="G18" s="59"/>
      <c r="H18" s="52" t="s">
        <v>6</v>
      </c>
      <c r="I18" s="39"/>
    </row>
    <row r="19" spans="1:9" ht="15.75" thickBot="1" x14ac:dyDescent="0.3">
      <c r="A19" s="39"/>
      <c r="B19" s="53" t="s">
        <v>46</v>
      </c>
      <c r="C19" s="77">
        <f ca="1">SUM(Tables!B9:B19)</f>
        <v>0</v>
      </c>
      <c r="D19" s="48"/>
      <c r="E19" s="53" t="s">
        <v>7</v>
      </c>
      <c r="F19" s="75">
        <f>Tables!F7</f>
        <v>0</v>
      </c>
      <c r="G19" s="59"/>
      <c r="H19" s="80">
        <f>Tables!F13</f>
        <v>0</v>
      </c>
      <c r="I19" s="39"/>
    </row>
    <row r="20" spans="1:9" x14ac:dyDescent="0.25">
      <c r="A20" s="39"/>
      <c r="B20" s="53" t="s">
        <v>116</v>
      </c>
      <c r="C20" s="77">
        <f>SUM(Tables!B21:B25)</f>
        <v>0</v>
      </c>
      <c r="D20" s="48"/>
      <c r="E20" s="53" t="s">
        <v>9</v>
      </c>
      <c r="F20" s="75">
        <f>Tables!F8</f>
        <v>0</v>
      </c>
      <c r="G20" s="59"/>
      <c r="H20" s="52" t="s">
        <v>12</v>
      </c>
      <c r="I20" s="39"/>
    </row>
    <row r="21" spans="1:9" ht="15.75" thickBot="1" x14ac:dyDescent="0.3">
      <c r="A21" s="39"/>
      <c r="B21" s="53" t="s">
        <v>21</v>
      </c>
      <c r="C21" s="186" t="e">
        <f ca="1">SUM(Tables!B27:B29)</f>
        <v>#VALUE!</v>
      </c>
      <c r="D21" s="48"/>
      <c r="E21" s="53" t="s">
        <v>21</v>
      </c>
      <c r="F21" s="75" t="e">
        <f>SUM(Tables!F9:F11)</f>
        <v>#VALUE!</v>
      </c>
      <c r="G21" s="59"/>
      <c r="H21" s="83" t="e">
        <f>H19/F18</f>
        <v>#DIV/0!</v>
      </c>
      <c r="I21" s="39"/>
    </row>
    <row r="22" spans="1:9" x14ac:dyDescent="0.25">
      <c r="A22" s="39"/>
      <c r="B22" s="53" t="s">
        <v>47</v>
      </c>
      <c r="C22" s="77">
        <f>SUM(Tables!B31:B32)</f>
        <v>0</v>
      </c>
      <c r="D22" s="48"/>
      <c r="E22" s="53"/>
      <c r="F22" s="75"/>
      <c r="G22" s="59"/>
      <c r="H22" s="61" t="s">
        <v>53</v>
      </c>
      <c r="I22" s="39"/>
    </row>
    <row r="23" spans="1:9" ht="15.75" thickBot="1" x14ac:dyDescent="0.3">
      <c r="A23" s="39"/>
      <c r="B23" s="53" t="s">
        <v>48</v>
      </c>
      <c r="C23" s="77">
        <f>SUM(Tables!B34:B36)</f>
        <v>0</v>
      </c>
      <c r="D23" s="48"/>
      <c r="E23" s="53"/>
      <c r="F23" s="75"/>
      <c r="G23" s="49"/>
      <c r="H23" s="82" t="e">
        <f ca="1">C26-H19</f>
        <v>#VALUE!</v>
      </c>
      <c r="I23" s="39"/>
    </row>
    <row r="24" spans="1:9" x14ac:dyDescent="0.25">
      <c r="A24" s="39"/>
      <c r="B24" s="53" t="s">
        <v>52</v>
      </c>
      <c r="C24" s="77" t="e">
        <f ca="1">SUM(Tables!F19:F21)</f>
        <v>#VALUE!</v>
      </c>
      <c r="D24" s="48"/>
      <c r="E24" s="53"/>
      <c r="F24" s="75"/>
      <c r="G24" s="49"/>
      <c r="H24" s="61" t="s">
        <v>49</v>
      </c>
      <c r="I24" s="39"/>
    </row>
    <row r="25" spans="1:9" ht="15.75" thickBot="1" x14ac:dyDescent="0.3">
      <c r="A25" s="39"/>
      <c r="B25" s="53" t="s">
        <v>15</v>
      </c>
      <c r="C25" s="77">
        <f>Tables!F22</f>
        <v>0</v>
      </c>
      <c r="D25" s="48"/>
      <c r="E25" s="53"/>
      <c r="F25" s="75"/>
      <c r="G25" s="49"/>
      <c r="H25" s="89" t="e">
        <f ca="1">F26/C26</f>
        <v>#VALUE!</v>
      </c>
      <c r="I25" s="39"/>
    </row>
    <row r="26" spans="1:9" ht="15.75" thickBot="1" x14ac:dyDescent="0.3">
      <c r="A26" s="39"/>
      <c r="B26" s="54" t="s">
        <v>51</v>
      </c>
      <c r="C26" s="62" t="e">
        <f ca="1">SUM(C18:C25)</f>
        <v>#VALUE!</v>
      </c>
      <c r="D26" s="48"/>
      <c r="E26" s="54" t="s">
        <v>45</v>
      </c>
      <c r="F26" s="63" t="e">
        <f ca="1">F18-SUM(F19:F25)-C26</f>
        <v>#VALUE!</v>
      </c>
      <c r="G26" s="49"/>
      <c r="H26" s="146"/>
      <c r="I26" s="39"/>
    </row>
    <row r="27" spans="1:9" x14ac:dyDescent="0.25">
      <c r="A27" s="39"/>
      <c r="B27" s="39"/>
      <c r="C27" s="40"/>
      <c r="D27" s="41"/>
      <c r="E27" s="39"/>
      <c r="F27" s="39"/>
      <c r="G27" s="41"/>
      <c r="H27" s="39"/>
      <c r="I27" s="39"/>
    </row>
    <row r="28" spans="1:9" x14ac:dyDescent="0.25">
      <c r="A28" s="85"/>
      <c r="B28" s="85"/>
      <c r="C28" s="86"/>
      <c r="D28" s="87"/>
      <c r="E28" s="85"/>
      <c r="F28" s="85"/>
      <c r="G28" s="87"/>
      <c r="H28" s="85"/>
      <c r="I28" s="85"/>
    </row>
    <row r="29" spans="1:9" ht="15.75" thickBot="1" x14ac:dyDescent="0.3">
      <c r="A29" s="39"/>
      <c r="B29" s="39"/>
      <c r="C29" s="40"/>
      <c r="D29" s="41"/>
      <c r="E29" s="39"/>
      <c r="F29" s="39"/>
      <c r="G29" s="41"/>
      <c r="H29" s="39"/>
      <c r="I29" s="39"/>
    </row>
    <row r="30" spans="1:9" x14ac:dyDescent="0.25">
      <c r="A30" s="39"/>
      <c r="B30" s="42" t="s">
        <v>0</v>
      </c>
      <c r="C30" s="335">
        <f>'Data Input'!C3</f>
        <v>0</v>
      </c>
      <c r="D30" s="335"/>
      <c r="E30" s="335"/>
      <c r="F30" s="336"/>
      <c r="G30" s="43"/>
      <c r="H30" s="64"/>
      <c r="I30" s="39"/>
    </row>
    <row r="31" spans="1:9" ht="15.75" thickBot="1" x14ac:dyDescent="0.3">
      <c r="A31" s="39"/>
      <c r="B31" s="45" t="s">
        <v>2</v>
      </c>
      <c r="C31" s="311">
        <f>'Data Input'!C4</f>
        <v>0</v>
      </c>
      <c r="D31" s="25"/>
      <c r="E31" s="46" t="s">
        <v>26</v>
      </c>
      <c r="F31" s="65">
        <f>'Data Input'!C11</f>
        <v>0</v>
      </c>
      <c r="G31" s="41"/>
      <c r="H31" s="66"/>
      <c r="I31" s="39"/>
    </row>
    <row r="32" spans="1:9" ht="15.75" thickBot="1" x14ac:dyDescent="0.3">
      <c r="A32" s="39"/>
      <c r="B32" s="333" t="s">
        <v>38</v>
      </c>
      <c r="C32" s="334"/>
      <c r="D32" s="48"/>
      <c r="E32" s="333" t="s">
        <v>22</v>
      </c>
      <c r="F32" s="334"/>
      <c r="G32" s="49"/>
      <c r="H32" s="67" t="s">
        <v>40</v>
      </c>
      <c r="I32" s="39"/>
    </row>
    <row r="33" spans="1:9" ht="15.75" thickBot="1" x14ac:dyDescent="0.3">
      <c r="A33" s="39"/>
      <c r="B33" s="68" t="s">
        <v>41</v>
      </c>
      <c r="C33" s="78" t="e">
        <f ca="1">SUM(Tables!B6:B25)</f>
        <v>#VALUE!</v>
      </c>
      <c r="D33" s="48"/>
      <c r="E33" s="68" t="s">
        <v>43</v>
      </c>
      <c r="F33" s="187" t="e">
        <f ca="1">Tables!J15</f>
        <v>#VALUE!</v>
      </c>
      <c r="G33" s="49"/>
      <c r="H33" s="81" t="e">
        <f ca="1">F33-C33</f>
        <v>#VALUE!</v>
      </c>
      <c r="I33" s="39"/>
    </row>
    <row r="34" spans="1:9" ht="15.75" thickBot="1" x14ac:dyDescent="0.3">
      <c r="A34" s="39"/>
      <c r="B34" s="39"/>
      <c r="C34" s="40"/>
      <c r="D34" s="41"/>
      <c r="E34" s="39"/>
      <c r="F34" s="39"/>
      <c r="G34" s="41"/>
      <c r="H34" s="39"/>
      <c r="I34" s="39"/>
    </row>
    <row r="35" spans="1:9" ht="15.75" thickBot="1" x14ac:dyDescent="0.3">
      <c r="A35" s="39"/>
      <c r="B35" s="333" t="s">
        <v>38</v>
      </c>
      <c r="C35" s="334"/>
      <c r="D35" s="48"/>
      <c r="E35" s="333" t="s">
        <v>50</v>
      </c>
      <c r="F35" s="334"/>
      <c r="G35" s="49"/>
      <c r="H35" s="67" t="s">
        <v>54</v>
      </c>
      <c r="I35" s="39"/>
    </row>
    <row r="36" spans="1:9" x14ac:dyDescent="0.25">
      <c r="A36" s="39"/>
      <c r="B36" s="51" t="s">
        <v>28</v>
      </c>
      <c r="C36" s="76" t="e">
        <f ca="1">F33</f>
        <v>#VALUE!</v>
      </c>
      <c r="D36" s="48"/>
      <c r="E36" s="51" t="s">
        <v>43</v>
      </c>
      <c r="F36" s="74">
        <f>Tables!F6</f>
        <v>0</v>
      </c>
      <c r="G36" s="49"/>
      <c r="H36" s="52" t="s">
        <v>53</v>
      </c>
      <c r="I36" s="39"/>
    </row>
    <row r="37" spans="1:9" ht="15.75" thickBot="1" x14ac:dyDescent="0.3">
      <c r="A37" s="39"/>
      <c r="B37" s="53" t="s">
        <v>21</v>
      </c>
      <c r="C37" s="77" t="e">
        <f ca="1">SUM(Tables!B27:B29)</f>
        <v>#VALUE!</v>
      </c>
      <c r="D37" s="48"/>
      <c r="E37" s="53" t="s">
        <v>7</v>
      </c>
      <c r="F37" s="75">
        <f>Tables!F7</f>
        <v>0</v>
      </c>
      <c r="G37" s="49"/>
      <c r="H37" s="80" t="e">
        <f ca="1">C40</f>
        <v>#VALUE!</v>
      </c>
      <c r="I37" s="39"/>
    </row>
    <row r="38" spans="1:9" x14ac:dyDescent="0.25">
      <c r="A38" s="39"/>
      <c r="B38" s="53" t="s">
        <v>47</v>
      </c>
      <c r="C38" s="77">
        <f>SUM(Tables!B31:B32)</f>
        <v>0</v>
      </c>
      <c r="D38" s="48"/>
      <c r="E38" s="53" t="s">
        <v>9</v>
      </c>
      <c r="F38" s="75">
        <f>Tables!F8</f>
        <v>0</v>
      </c>
      <c r="G38" s="49"/>
      <c r="H38" s="52" t="s">
        <v>49</v>
      </c>
      <c r="I38" s="39"/>
    </row>
    <row r="39" spans="1:9" x14ac:dyDescent="0.25">
      <c r="A39" s="39"/>
      <c r="B39" s="53" t="s">
        <v>48</v>
      </c>
      <c r="C39" s="77">
        <f>SUM(Tables!B34:B36)</f>
        <v>0</v>
      </c>
      <c r="D39" s="48"/>
      <c r="E39" s="53" t="s">
        <v>21</v>
      </c>
      <c r="F39" s="75" t="e">
        <f>SUM(Tables!F9:F11)</f>
        <v>#VALUE!</v>
      </c>
      <c r="G39" s="49"/>
      <c r="H39" s="79" t="e">
        <f ca="1">F40/C40</f>
        <v>#VALUE!</v>
      </c>
      <c r="I39" s="39"/>
    </row>
    <row r="40" spans="1:9" ht="15.75" thickBot="1" x14ac:dyDescent="0.3">
      <c r="A40" s="39"/>
      <c r="B40" s="54" t="s">
        <v>51</v>
      </c>
      <c r="C40" s="62" t="e">
        <f ca="1">SUM(C36:C39)</f>
        <v>#VALUE!</v>
      </c>
      <c r="D40" s="48"/>
      <c r="E40" s="54" t="s">
        <v>45</v>
      </c>
      <c r="F40" s="63" t="e">
        <f ca="1">F36-SUM(F38:F39)-C40</f>
        <v>#VALUE!</v>
      </c>
      <c r="G40" s="49"/>
      <c r="H40" s="58"/>
      <c r="I40" s="39"/>
    </row>
    <row r="41" spans="1:9" x14ac:dyDescent="0.25">
      <c r="A41" s="39"/>
      <c r="B41" s="39"/>
      <c r="C41" s="40"/>
      <c r="D41" s="41"/>
      <c r="E41" s="39"/>
      <c r="F41" s="39"/>
      <c r="G41" s="41"/>
      <c r="H41" s="39"/>
      <c r="I41" s="39"/>
    </row>
  </sheetData>
  <sheetProtection algorithmName="SHA-512" hashValue="6AkjZXVSFB0ziVOXcrpeHhh/HLATkbQVxrQZuEWcVLXwzsunA6rRgTpZldJaFHDBfmDujtzSf7DiifC4AGzaPQ==" saltValue="N+SbVL6VG7pgvFTwtEdyCA==" spinCount="100000" sheet="1" formatCells="0" formatColumns="0" formatRows="0"/>
  <mergeCells count="11">
    <mergeCell ref="C2:F2"/>
    <mergeCell ref="C15:F15"/>
    <mergeCell ref="B17:C17"/>
    <mergeCell ref="E17:F17"/>
    <mergeCell ref="B4:C4"/>
    <mergeCell ref="E4:F4"/>
    <mergeCell ref="B35:C35"/>
    <mergeCell ref="E35:F35"/>
    <mergeCell ref="C30:F30"/>
    <mergeCell ref="B32:C32"/>
    <mergeCell ref="E32:F32"/>
  </mergeCells>
  <conditionalFormatting sqref="E38:E39">
    <cfRule type="duplicateValues" dxfId="0" priority="2"/>
  </conditionalFormatting>
  <pageMargins left="0.7" right="0.7" top="0.75" bottom="0.75" header="0.3" footer="0.3"/>
  <pageSetup orientation="portrait" r:id="rId1"/>
  <ignoredErrors>
    <ignoredError sqref="C2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9"/>
  <sheetViews>
    <sheetView workbookViewId="0">
      <selection activeCell="C4" sqref="C4"/>
    </sheetView>
  </sheetViews>
  <sheetFormatPr defaultColWidth="11.140625" defaultRowHeight="15" x14ac:dyDescent="0.25"/>
  <cols>
    <col min="1" max="1" width="3" style="69" customWidth="1"/>
    <col min="2" max="2" width="16" style="69" bestFit="1" customWidth="1"/>
    <col min="3" max="3" width="15.7109375" style="69" bestFit="1" customWidth="1"/>
    <col min="4" max="4" width="3" style="69" customWidth="1"/>
    <col min="5" max="5" width="19.42578125" style="69" bestFit="1" customWidth="1"/>
    <col min="6" max="6" width="14.28515625" style="69" bestFit="1" customWidth="1"/>
    <col min="7" max="7" width="3" style="69" customWidth="1"/>
    <col min="8" max="8" width="16.42578125" style="70" bestFit="1" customWidth="1"/>
    <col min="9" max="9" width="3" style="69" customWidth="1"/>
    <col min="10" max="10" width="3" style="181" customWidth="1"/>
    <col min="11" max="11" width="6.140625" style="164" bestFit="1" customWidth="1"/>
    <col min="12" max="12" width="18.85546875" style="165" bestFit="1" customWidth="1"/>
    <col min="13" max="13" width="17.85546875" style="164" bestFit="1" customWidth="1"/>
    <col min="14" max="14" width="14.28515625" style="164" bestFit="1" customWidth="1"/>
    <col min="15" max="15" width="9.28515625" style="166" bestFit="1" customWidth="1"/>
    <col min="16" max="16384" width="11.140625" style="69"/>
  </cols>
  <sheetData>
    <row r="1" spans="1:15" ht="15.75" thickBot="1" x14ac:dyDescent="0.3">
      <c r="J1" s="163"/>
      <c r="K1" s="164" t="s">
        <v>148</v>
      </c>
      <c r="L1" s="164" t="s">
        <v>156</v>
      </c>
      <c r="M1" s="165" t="s">
        <v>157</v>
      </c>
      <c r="N1" s="165" t="s">
        <v>161</v>
      </c>
      <c r="O1" s="166" t="s">
        <v>49</v>
      </c>
    </row>
    <row r="2" spans="1:15" ht="15.75" thickBot="1" x14ac:dyDescent="0.3">
      <c r="B2" s="312" t="s">
        <v>103</v>
      </c>
      <c r="C2" s="313"/>
      <c r="E2" s="341" t="s">
        <v>197</v>
      </c>
      <c r="F2" s="342"/>
      <c r="J2" s="163"/>
      <c r="K2" s="164">
        <v>1</v>
      </c>
      <c r="L2" s="165">
        <f>-($C$18-M2)</f>
        <v>0</v>
      </c>
      <c r="M2" s="165">
        <f>-(C18*F12/12)</f>
        <v>0</v>
      </c>
      <c r="N2" s="165">
        <v>0</v>
      </c>
    </row>
    <row r="3" spans="1:15" x14ac:dyDescent="0.25">
      <c r="B3" s="314" t="s">
        <v>104</v>
      </c>
      <c r="C3" s="242"/>
      <c r="E3" s="281" t="s">
        <v>198</v>
      </c>
      <c r="F3" s="287">
        <f>C18</f>
        <v>0</v>
      </c>
      <c r="J3" s="163"/>
      <c r="K3" s="164">
        <v>2</v>
      </c>
      <c r="L3" s="165">
        <f>IF('Rental Model'!$C$3="No",(L2+M3),(L2+M3)+N3)</f>
        <v>-110</v>
      </c>
      <c r="M3" s="165">
        <f>(L2*$F$12/12)</f>
        <v>0</v>
      </c>
      <c r="N3" s="165">
        <f>IF('Rental Model'!$C$3="No",0,$F$15-SUM($F$16:$F$19))</f>
        <v>-110</v>
      </c>
      <c r="O3" s="166">
        <f t="shared" ref="O3:O34" si="0">(L3/$C$20)/K3*12</f>
        <v>-0.17516481486768543</v>
      </c>
    </row>
    <row r="4" spans="1:15" x14ac:dyDescent="0.25">
      <c r="B4" s="255" t="s">
        <v>176</v>
      </c>
      <c r="C4" s="243" t="s">
        <v>67</v>
      </c>
      <c r="E4" s="283" t="s">
        <v>199</v>
      </c>
      <c r="F4" s="282">
        <f>F20</f>
        <v>-110</v>
      </c>
      <c r="J4" s="163"/>
      <c r="K4" s="164">
        <v>3</v>
      </c>
      <c r="L4" s="165">
        <f>IF('Rental Model'!$C$3="No",(L3+M4),(L3+M4)+$F$20)</f>
        <v>-221.46666666666667</v>
      </c>
      <c r="M4" s="165">
        <f>(L3*$F$12/12)</f>
        <v>-1.4666666666666668</v>
      </c>
      <c r="N4" s="165">
        <f>IF('Rental Model'!$C$3="No",0,$F$15-SUM($F$16:$F$19))</f>
        <v>-110</v>
      </c>
      <c r="O4" s="166">
        <f t="shared" si="0"/>
        <v>-0.23511010706684893</v>
      </c>
    </row>
    <row r="5" spans="1:15" x14ac:dyDescent="0.25">
      <c r="B5" s="314" t="s">
        <v>138</v>
      </c>
      <c r="C5" s="242"/>
      <c r="E5" s="283" t="s">
        <v>165</v>
      </c>
      <c r="F5" s="286" t="e">
        <f>H12</f>
        <v>#N/A</v>
      </c>
      <c r="J5" s="163"/>
      <c r="K5" s="164">
        <v>4</v>
      </c>
      <c r="L5" s="165">
        <f>IF(L4&lt;0,(L4+M5)+N5,L4+N5)</f>
        <v>-334.41955555555558</v>
      </c>
      <c r="M5" s="165">
        <f t="shared" ref="M5:M29" si="1">IF(L4&lt;0,(L4*$F$12/12),0)</f>
        <v>-2.9528888888888889</v>
      </c>
      <c r="N5" s="165">
        <f t="shared" ref="N5:N16" si="2">F$20</f>
        <v>-110</v>
      </c>
      <c r="O5" s="166">
        <f t="shared" si="0"/>
        <v>-0.26626608880464792</v>
      </c>
    </row>
    <row r="6" spans="1:15" x14ac:dyDescent="0.25">
      <c r="B6" s="314" t="s">
        <v>140</v>
      </c>
      <c r="C6" s="244"/>
      <c r="E6" s="283" t="s">
        <v>174</v>
      </c>
      <c r="F6" s="284" t="e">
        <f>H14</f>
        <v>#N/A</v>
      </c>
      <c r="J6" s="163"/>
      <c r="K6" s="164">
        <v>5</v>
      </c>
      <c r="L6" s="165">
        <f t="shared" ref="L6:L69" si="3">IF(L5&lt;0,(L5+M6)+N6,L5+N6)</f>
        <v>-448.87848296296301</v>
      </c>
      <c r="M6" s="165">
        <f t="shared" si="1"/>
        <v>-4.4589274074074075</v>
      </c>
      <c r="N6" s="165">
        <f t="shared" si="2"/>
        <v>-110</v>
      </c>
      <c r="O6" s="166">
        <f t="shared" si="0"/>
        <v>-0.28591896860470872</v>
      </c>
    </row>
    <row r="7" spans="1:15" ht="15.75" thickBot="1" x14ac:dyDescent="0.3">
      <c r="B7" s="314" t="s">
        <v>139</v>
      </c>
      <c r="C7" s="242"/>
      <c r="E7" s="285" t="s">
        <v>170</v>
      </c>
      <c r="F7" s="288" t="e">
        <f>H16</f>
        <v>#N/A</v>
      </c>
      <c r="J7" s="163"/>
      <c r="K7" s="164">
        <v>6</v>
      </c>
      <c r="L7" s="165">
        <f t="shared" si="3"/>
        <v>-564.86352940246911</v>
      </c>
      <c r="M7" s="165">
        <f t="shared" si="1"/>
        <v>-5.9850464395061733</v>
      </c>
      <c r="N7" s="165">
        <f t="shared" si="2"/>
        <v>-110</v>
      </c>
      <c r="O7" s="166">
        <f t="shared" si="0"/>
        <v>-0.2998309562220936</v>
      </c>
    </row>
    <row r="8" spans="1:15" ht="15.75" thickBot="1" x14ac:dyDescent="0.3">
      <c r="B8" s="315" t="s">
        <v>131</v>
      </c>
      <c r="C8" s="245"/>
      <c r="J8" s="163"/>
      <c r="K8" s="164">
        <v>7</v>
      </c>
      <c r="L8" s="165">
        <f t="shared" si="3"/>
        <v>-682.39504312783538</v>
      </c>
      <c r="M8" s="165">
        <f t="shared" si="1"/>
        <v>-7.5315137253662554</v>
      </c>
      <c r="N8" s="165">
        <f t="shared" si="2"/>
        <v>-110</v>
      </c>
      <c r="O8" s="166">
        <f t="shared" si="0"/>
        <v>-0.31047169193795709</v>
      </c>
    </row>
    <row r="9" spans="1:15" x14ac:dyDescent="0.25">
      <c r="J9" s="163"/>
      <c r="K9" s="164">
        <v>8</v>
      </c>
      <c r="L9" s="165">
        <f t="shared" si="3"/>
        <v>-801.49364370287321</v>
      </c>
      <c r="M9" s="165">
        <f t="shared" si="1"/>
        <v>-9.0986005750378052</v>
      </c>
      <c r="N9" s="165">
        <f t="shared" si="2"/>
        <v>-110</v>
      </c>
      <c r="O9" s="166">
        <f t="shared" si="0"/>
        <v>-0.31907610390191005</v>
      </c>
    </row>
    <row r="10" spans="1:15" ht="15.75" thickBot="1" x14ac:dyDescent="0.3">
      <c r="A10" s="39"/>
      <c r="B10" s="39"/>
      <c r="C10" s="39"/>
      <c r="D10" s="39"/>
      <c r="E10" s="39"/>
      <c r="F10" s="39"/>
      <c r="G10" s="39"/>
      <c r="H10" s="40"/>
      <c r="I10" s="39"/>
      <c r="J10" s="163"/>
      <c r="K10" s="164">
        <v>9</v>
      </c>
      <c r="L10" s="165">
        <f t="shared" si="3"/>
        <v>-922.18022561891155</v>
      </c>
      <c r="M10" s="165">
        <f t="shared" si="1"/>
        <v>-10.686581916038309</v>
      </c>
      <c r="N10" s="165">
        <f t="shared" si="2"/>
        <v>-110</v>
      </c>
      <c r="O10" s="166">
        <f t="shared" si="0"/>
        <v>-0.3263303605963172</v>
      </c>
    </row>
    <row r="11" spans="1:15" x14ac:dyDescent="0.25">
      <c r="A11" s="39"/>
      <c r="B11" s="167" t="s">
        <v>151</v>
      </c>
      <c r="C11" s="335">
        <f>'Data Input'!C3</f>
        <v>0</v>
      </c>
      <c r="D11" s="335"/>
      <c r="E11" s="335"/>
      <c r="F11" s="336"/>
      <c r="G11" s="39"/>
      <c r="H11" s="148" t="s">
        <v>165</v>
      </c>
      <c r="I11" s="39"/>
      <c r="J11" s="163"/>
      <c r="K11" s="164">
        <v>10</v>
      </c>
      <c r="L11" s="165">
        <f t="shared" si="3"/>
        <v>-1044.475961960497</v>
      </c>
      <c r="M11" s="165">
        <f t="shared" si="1"/>
        <v>-12.295736341585489</v>
      </c>
      <c r="N11" s="165">
        <f t="shared" si="2"/>
        <v>-110</v>
      </c>
      <c r="O11" s="166">
        <f t="shared" si="0"/>
        <v>-0.33264625183737839</v>
      </c>
    </row>
    <row r="12" spans="1:15" ht="15.75" thickBot="1" x14ac:dyDescent="0.3">
      <c r="A12" s="39"/>
      <c r="B12" s="168" t="s">
        <v>152</v>
      </c>
      <c r="C12" s="347">
        <f>'Rental Model'!C6</f>
        <v>0</v>
      </c>
      <c r="D12" s="347"/>
      <c r="E12" s="41" t="s">
        <v>158</v>
      </c>
      <c r="F12" s="169">
        <v>0.16</v>
      </c>
      <c r="G12" s="39"/>
      <c r="H12" s="84" t="e">
        <f>MATCH(1,INDEX(--(L2:L61&gt;0),0),0)</f>
        <v>#N/A</v>
      </c>
      <c r="I12" s="39"/>
      <c r="J12" s="163"/>
      <c r="K12" s="164">
        <v>11</v>
      </c>
      <c r="L12" s="165">
        <f t="shared" si="3"/>
        <v>-1168.4023081199703</v>
      </c>
      <c r="M12" s="165">
        <f t="shared" si="1"/>
        <v>-13.926346159473292</v>
      </c>
      <c r="N12" s="165">
        <f t="shared" si="2"/>
        <v>-110</v>
      </c>
      <c r="O12" s="166">
        <f t="shared" si="0"/>
        <v>-0.33828590742613379</v>
      </c>
    </row>
    <row r="13" spans="1:15" ht="15.75" thickBot="1" x14ac:dyDescent="0.3">
      <c r="A13" s="39"/>
      <c r="B13" s="170" t="s">
        <v>155</v>
      </c>
      <c r="C13" s="348" t="e">
        <f>IF('Rental Model'!C8="",MATCH(1,INDEX(--(O2:O97&gt;F13),0),0),'Rental Model'!C7)</f>
        <v>#N/A</v>
      </c>
      <c r="D13" s="348"/>
      <c r="E13" s="171" t="s">
        <v>169</v>
      </c>
      <c r="F13" s="172">
        <v>0.18</v>
      </c>
      <c r="G13" s="39"/>
      <c r="H13" s="153" t="s">
        <v>175</v>
      </c>
      <c r="I13" s="39"/>
      <c r="K13" s="164">
        <v>12</v>
      </c>
      <c r="L13" s="165">
        <f t="shared" si="3"/>
        <v>-1293.9810055615699</v>
      </c>
      <c r="M13" s="165">
        <f t="shared" si="1"/>
        <v>-15.578697441599603</v>
      </c>
      <c r="N13" s="165">
        <f t="shared" si="2"/>
        <v>-110</v>
      </c>
      <c r="O13" s="166">
        <f t="shared" si="0"/>
        <v>-0.34342415648711183</v>
      </c>
    </row>
    <row r="14" spans="1:15" ht="15.75" thickBot="1" x14ac:dyDescent="0.3">
      <c r="A14" s="39"/>
      <c r="B14" s="343" t="s">
        <v>154</v>
      </c>
      <c r="C14" s="344"/>
      <c r="D14" s="39"/>
      <c r="E14" s="345" t="s">
        <v>160</v>
      </c>
      <c r="F14" s="346"/>
      <c r="G14" s="39"/>
      <c r="H14" s="150" t="e">
        <f>C13</f>
        <v>#N/A</v>
      </c>
      <c r="I14" s="39"/>
      <c r="K14" s="164">
        <v>13</v>
      </c>
      <c r="L14" s="165">
        <f t="shared" si="3"/>
        <v>-1421.2340856357241</v>
      </c>
      <c r="M14" s="165">
        <f t="shared" si="1"/>
        <v>-17.253080074154266</v>
      </c>
      <c r="N14" s="165">
        <f t="shared" si="2"/>
        <v>-110</v>
      </c>
      <c r="O14" s="166">
        <f t="shared" si="0"/>
        <v>-0.34818210558605012</v>
      </c>
    </row>
    <row r="15" spans="1:15" x14ac:dyDescent="0.25">
      <c r="A15" s="39"/>
      <c r="B15" s="173" t="s">
        <v>149</v>
      </c>
      <c r="C15" s="280">
        <f>'Rental Model'!C3</f>
        <v>0</v>
      </c>
      <c r="D15" s="175"/>
      <c r="E15" s="53" t="s">
        <v>161</v>
      </c>
      <c r="F15" s="280">
        <f>'Rental Model'!C7</f>
        <v>0</v>
      </c>
      <c r="G15" s="39"/>
      <c r="H15" s="151" t="s">
        <v>170</v>
      </c>
      <c r="I15" s="39"/>
      <c r="K15" s="164">
        <v>14</v>
      </c>
      <c r="L15" s="165">
        <f>IF(L14&lt;0,(L14+M15)+N15,L14+N15)</f>
        <v>-1550.1838734442003</v>
      </c>
      <c r="M15" s="165">
        <f t="shared" si="1"/>
        <v>-18.949787808476323</v>
      </c>
      <c r="N15" s="165">
        <f t="shared" si="2"/>
        <v>-110</v>
      </c>
      <c r="O15" s="166">
        <f t="shared" si="0"/>
        <v>-0.35264632623730502</v>
      </c>
    </row>
    <row r="16" spans="1:15" ht="15.75" thickBot="1" x14ac:dyDescent="0.3">
      <c r="A16" s="39"/>
      <c r="B16" s="176" t="s">
        <v>150</v>
      </c>
      <c r="C16" s="280">
        <f>'Rental Model'!C5</f>
        <v>0</v>
      </c>
      <c r="D16" s="175"/>
      <c r="E16" s="53" t="s">
        <v>164</v>
      </c>
      <c r="F16" s="236">
        <f>F15*0.1</f>
        <v>0</v>
      </c>
      <c r="G16" s="39"/>
      <c r="H16" s="155" t="e">
        <f>LOOKUP(C13,K2:K61,L2:L61)</f>
        <v>#N/A</v>
      </c>
      <c r="I16" s="39"/>
      <c r="K16" s="164">
        <v>15</v>
      </c>
      <c r="L16" s="165">
        <f t="shared" si="3"/>
        <v>-1680.8529917567896</v>
      </c>
      <c r="M16" s="165">
        <f t="shared" si="1"/>
        <v>-20.669118312589337</v>
      </c>
      <c r="N16" s="165">
        <f t="shared" si="2"/>
        <v>-110</v>
      </c>
      <c r="O16" s="166">
        <f t="shared" si="0"/>
        <v>-0.35688036741924034</v>
      </c>
    </row>
    <row r="17" spans="1:15" x14ac:dyDescent="0.25">
      <c r="A17" s="39"/>
      <c r="B17" s="177" t="s">
        <v>77</v>
      </c>
      <c r="C17" s="174">
        <f>'Data Input'!C22</f>
        <v>0</v>
      </c>
      <c r="D17" s="175"/>
      <c r="E17" s="53" t="s">
        <v>120</v>
      </c>
      <c r="F17" s="174">
        <v>85</v>
      </c>
      <c r="G17" s="39"/>
      <c r="H17" s="149" t="s">
        <v>166</v>
      </c>
      <c r="I17" s="39"/>
      <c r="K17" s="164">
        <v>16</v>
      </c>
      <c r="L17" s="165">
        <f t="shared" si="3"/>
        <v>-1815.4643649802135</v>
      </c>
      <c r="M17" s="165">
        <f t="shared" si="1"/>
        <v>-22.411373223423862</v>
      </c>
      <c r="N17" s="165">
        <f>$N$16*1.02</f>
        <v>-112.2</v>
      </c>
      <c r="O17" s="166">
        <f t="shared" si="0"/>
        <v>-0.36136986294390822</v>
      </c>
    </row>
    <row r="18" spans="1:15" ht="15.75" thickBot="1" x14ac:dyDescent="0.3">
      <c r="A18" s="39"/>
      <c r="B18" s="53" t="s">
        <v>153</v>
      </c>
      <c r="C18" s="280">
        <f>SUM(C15:C17)</f>
        <v>0</v>
      </c>
      <c r="D18" s="175"/>
      <c r="E18" s="53" t="s">
        <v>162</v>
      </c>
      <c r="F18" s="174">
        <f>50+((C12-1)*25)</f>
        <v>25</v>
      </c>
      <c r="G18" s="39"/>
      <c r="H18" s="152" t="e">
        <f>H16/C20/H14*12</f>
        <v>#N/A</v>
      </c>
      <c r="I18" s="39"/>
      <c r="K18" s="164">
        <v>17</v>
      </c>
      <c r="L18" s="165">
        <f t="shared" si="3"/>
        <v>-1951.8705565132832</v>
      </c>
      <c r="M18" s="165">
        <f t="shared" si="1"/>
        <v>-24.206191533069514</v>
      </c>
      <c r="N18" s="165">
        <f t="shared" ref="N18:N28" si="4">$N$16*1.02</f>
        <v>-112.2</v>
      </c>
      <c r="O18" s="166">
        <f t="shared" si="0"/>
        <v>-0.36566742746239078</v>
      </c>
    </row>
    <row r="19" spans="1:15" x14ac:dyDescent="0.25">
      <c r="A19" s="39"/>
      <c r="B19" s="53" t="s">
        <v>158</v>
      </c>
      <c r="C19" s="178">
        <f>-SUM(M2:M61)</f>
        <v>3767.8799849076163</v>
      </c>
      <c r="D19" s="39"/>
      <c r="E19" s="53" t="s">
        <v>163</v>
      </c>
      <c r="F19" s="174">
        <f>75*C12</f>
        <v>0</v>
      </c>
      <c r="G19" s="39"/>
      <c r="H19" s="148" t="s">
        <v>168</v>
      </c>
      <c r="I19" s="39"/>
      <c r="K19" s="164">
        <v>18</v>
      </c>
      <c r="L19" s="165">
        <f t="shared" si="3"/>
        <v>-2090.0954972667937</v>
      </c>
      <c r="M19" s="165">
        <f t="shared" si="1"/>
        <v>-26.024940753510446</v>
      </c>
      <c r="N19" s="165">
        <f t="shared" si="4"/>
        <v>-112.2</v>
      </c>
      <c r="O19" s="166">
        <f t="shared" si="0"/>
        <v>-0.36980928367123317</v>
      </c>
    </row>
    <row r="20" spans="1:15" ht="15.75" thickBot="1" x14ac:dyDescent="0.3">
      <c r="A20" s="39"/>
      <c r="B20" s="179" t="s">
        <v>41</v>
      </c>
      <c r="C20" s="180">
        <f>C18+C19</f>
        <v>3767.8799849076163</v>
      </c>
      <c r="D20" s="175"/>
      <c r="E20" s="179" t="s">
        <v>159</v>
      </c>
      <c r="F20" s="63">
        <f>F15-SUM(F16:F19)</f>
        <v>-110</v>
      </c>
      <c r="G20" s="39"/>
      <c r="H20" s="154" t="e">
        <f>H16/C20</f>
        <v>#N/A</v>
      </c>
      <c r="I20" s="39"/>
      <c r="K20" s="164">
        <v>19</v>
      </c>
      <c r="L20" s="165">
        <f t="shared" si="3"/>
        <v>-2230.1634372303506</v>
      </c>
      <c r="M20" s="165">
        <f t="shared" si="1"/>
        <v>-27.867939963557248</v>
      </c>
      <c r="N20" s="165">
        <f t="shared" si="4"/>
        <v>-112.2</v>
      </c>
      <c r="O20" s="166">
        <f t="shared" si="0"/>
        <v>-0.37382408192070365</v>
      </c>
    </row>
    <row r="21" spans="1:15" x14ac:dyDescent="0.25">
      <c r="A21" s="39"/>
      <c r="B21" s="39"/>
      <c r="C21" s="39"/>
      <c r="D21" s="39"/>
      <c r="E21" s="39"/>
      <c r="F21" s="39"/>
      <c r="G21" s="39"/>
      <c r="H21" s="40"/>
      <c r="I21" s="39"/>
      <c r="K21" s="164">
        <v>20</v>
      </c>
      <c r="L21" s="165">
        <f t="shared" si="3"/>
        <v>-2372.0989497267551</v>
      </c>
      <c r="M21" s="165">
        <f t="shared" si="1"/>
        <v>-29.735512496404677</v>
      </c>
      <c r="N21" s="165">
        <f t="shared" si="4"/>
        <v>-112.2</v>
      </c>
      <c r="O21" s="166">
        <f t="shared" si="0"/>
        <v>-0.37773479397883464</v>
      </c>
    </row>
    <row r="22" spans="1:15" x14ac:dyDescent="0.25">
      <c r="K22" s="164">
        <v>21</v>
      </c>
      <c r="L22" s="165">
        <f t="shared" si="3"/>
        <v>-2515.9269357231115</v>
      </c>
      <c r="M22" s="165">
        <f t="shared" si="1"/>
        <v>-31.627985996356738</v>
      </c>
      <c r="N22" s="165">
        <f t="shared" si="4"/>
        <v>-112.2</v>
      </c>
      <c r="O22" s="166">
        <f t="shared" si="0"/>
        <v>-0.38156006572862505</v>
      </c>
    </row>
    <row r="23" spans="1:15" x14ac:dyDescent="0.25">
      <c r="K23" s="164">
        <v>22</v>
      </c>
      <c r="L23" s="165">
        <f t="shared" si="3"/>
        <v>-2661.6726281994193</v>
      </c>
      <c r="M23" s="165">
        <f t="shared" si="1"/>
        <v>-33.545692476308155</v>
      </c>
      <c r="N23" s="165">
        <f t="shared" si="4"/>
        <v>-112.2</v>
      </c>
      <c r="O23" s="166">
        <f t="shared" si="0"/>
        <v>-0.38531520095614624</v>
      </c>
    </row>
    <row r="24" spans="1:15" x14ac:dyDescent="0.25">
      <c r="K24" s="164">
        <v>23</v>
      </c>
      <c r="L24" s="165">
        <f t="shared" si="3"/>
        <v>-2809.3615965754111</v>
      </c>
      <c r="M24" s="165">
        <f t="shared" si="1"/>
        <v>-35.488968375992258</v>
      </c>
      <c r="N24" s="165">
        <f t="shared" si="4"/>
        <v>-112.2</v>
      </c>
      <c r="O24" s="166">
        <f t="shared" si="0"/>
        <v>-0.38901288850633764</v>
      </c>
    </row>
    <row r="25" spans="1:15" x14ac:dyDescent="0.25">
      <c r="K25" s="164">
        <v>24</v>
      </c>
      <c r="L25" s="165">
        <f t="shared" si="3"/>
        <v>-2959.0197511964166</v>
      </c>
      <c r="M25" s="165">
        <f t="shared" si="1"/>
        <v>-37.458154621005484</v>
      </c>
      <c r="N25" s="165">
        <f t="shared" si="4"/>
        <v>-112.2</v>
      </c>
      <c r="O25" s="166">
        <f t="shared" si="0"/>
        <v>-0.39266374765768552</v>
      </c>
    </row>
    <row r="26" spans="1:15" x14ac:dyDescent="0.25">
      <c r="K26" s="164">
        <v>25</v>
      </c>
      <c r="L26" s="165">
        <f t="shared" si="3"/>
        <v>-3110.6733478790352</v>
      </c>
      <c r="M26" s="165">
        <f t="shared" si="1"/>
        <v>-39.453596682618887</v>
      </c>
      <c r="N26" s="165">
        <f t="shared" si="4"/>
        <v>-112.2</v>
      </c>
      <c r="O26" s="166">
        <f t="shared" si="0"/>
        <v>-0.39627674261459961</v>
      </c>
    </row>
    <row r="27" spans="1:15" x14ac:dyDescent="0.25">
      <c r="K27" s="164">
        <v>26</v>
      </c>
      <c r="L27" s="165">
        <f t="shared" si="3"/>
        <v>-3264.3489925174222</v>
      </c>
      <c r="M27" s="165">
        <f t="shared" si="1"/>
        <v>-41.475644638387138</v>
      </c>
      <c r="N27" s="165">
        <f t="shared" si="4"/>
        <v>-112.2</v>
      </c>
      <c r="O27" s="166">
        <f t="shared" si="0"/>
        <v>-0.39985950135512571</v>
      </c>
    </row>
    <row r="28" spans="1:15" x14ac:dyDescent="0.25">
      <c r="K28" s="164">
        <v>27</v>
      </c>
      <c r="L28" s="165">
        <f t="shared" si="3"/>
        <v>-3420.0736457509875</v>
      </c>
      <c r="M28" s="165">
        <f t="shared" si="1"/>
        <v>-43.52465323356563</v>
      </c>
      <c r="N28" s="165">
        <f t="shared" si="4"/>
        <v>-112.2</v>
      </c>
      <c r="O28" s="166">
        <f t="shared" si="0"/>
        <v>-0.40341856363085637</v>
      </c>
    </row>
    <row r="29" spans="1:15" x14ac:dyDescent="0.25">
      <c r="K29" s="164">
        <v>28</v>
      </c>
      <c r="L29" s="165">
        <f t="shared" si="3"/>
        <v>-3580.118627694334</v>
      </c>
      <c r="M29" s="165">
        <f t="shared" si="1"/>
        <v>-45.600981943346504</v>
      </c>
      <c r="N29" s="165">
        <f>$N$28*1.02</f>
        <v>-114.444</v>
      </c>
      <c r="O29" s="166">
        <f t="shared" si="0"/>
        <v>-0.40721481598988962</v>
      </c>
    </row>
    <row r="30" spans="1:15" x14ac:dyDescent="0.25">
      <c r="K30" s="164">
        <v>29</v>
      </c>
      <c r="L30" s="165">
        <f t="shared" si="3"/>
        <v>-3748.2644071097488</v>
      </c>
      <c r="M30" s="165">
        <f t="shared" ref="M30:M61" si="5">IF(L29&lt;0,(L29*0.18/12),0)</f>
        <v>-53.701779415415011</v>
      </c>
      <c r="N30" s="165">
        <f t="shared" ref="N30:N39" si="6">$N$28*1.02</f>
        <v>-114.444</v>
      </c>
      <c r="O30" s="166">
        <f t="shared" si="0"/>
        <v>-0.41163889714514978</v>
      </c>
    </row>
    <row r="31" spans="1:15" x14ac:dyDescent="0.25">
      <c r="K31" s="164">
        <v>30</v>
      </c>
      <c r="L31" s="165">
        <f t="shared" si="3"/>
        <v>-3918.9323732163953</v>
      </c>
      <c r="M31" s="165">
        <f t="shared" si="5"/>
        <v>-56.22396610664623</v>
      </c>
      <c r="N31" s="165">
        <f t="shared" si="6"/>
        <v>-114.444</v>
      </c>
      <c r="O31" s="166">
        <f t="shared" si="0"/>
        <v>-0.41603579614147213</v>
      </c>
    </row>
    <row r="32" spans="1:15" x14ac:dyDescent="0.25">
      <c r="K32" s="164">
        <v>31</v>
      </c>
      <c r="L32" s="165">
        <f t="shared" si="3"/>
        <v>-4092.1603588146413</v>
      </c>
      <c r="M32" s="165">
        <f t="shared" si="5"/>
        <v>-58.783985598245927</v>
      </c>
      <c r="N32" s="165">
        <f t="shared" si="6"/>
        <v>-114.444</v>
      </c>
      <c r="O32" s="166">
        <f t="shared" si="0"/>
        <v>-0.42041203029950014</v>
      </c>
    </row>
    <row r="33" spans="11:15" x14ac:dyDescent="0.25">
      <c r="K33" s="164">
        <v>32</v>
      </c>
      <c r="L33" s="165">
        <f t="shared" si="3"/>
        <v>-4267.9867641968613</v>
      </c>
      <c r="M33" s="165">
        <f t="shared" si="5"/>
        <v>-61.382405382219616</v>
      </c>
      <c r="N33" s="165">
        <f t="shared" si="6"/>
        <v>-114.444</v>
      </c>
      <c r="O33" s="166">
        <f t="shared" si="0"/>
        <v>-0.42477335875470168</v>
      </c>
    </row>
    <row r="34" spans="11:15" x14ac:dyDescent="0.25">
      <c r="K34" s="164">
        <v>33</v>
      </c>
      <c r="L34" s="165">
        <f t="shared" si="3"/>
        <v>-4446.4505656598149</v>
      </c>
      <c r="M34" s="165">
        <f t="shared" si="5"/>
        <v>-64.019801462952913</v>
      </c>
      <c r="N34" s="165">
        <f t="shared" si="6"/>
        <v>-114.444</v>
      </c>
      <c r="O34" s="166">
        <f t="shared" si="0"/>
        <v>-0.4291248981554362</v>
      </c>
    </row>
    <row r="35" spans="11:15" x14ac:dyDescent="0.25">
      <c r="K35" s="164">
        <v>34</v>
      </c>
      <c r="L35" s="165">
        <f t="shared" si="3"/>
        <v>-4627.5913241447124</v>
      </c>
      <c r="M35" s="165">
        <f t="shared" si="5"/>
        <v>-66.696758484897217</v>
      </c>
      <c r="N35" s="165">
        <f t="shared" si="6"/>
        <v>-114.444</v>
      </c>
      <c r="O35" s="166">
        <f t="shared" ref="O35:O66" si="7">(L35/$C$20)/K35*12</f>
        <v>-0.43347121795567689</v>
      </c>
    </row>
    <row r="36" spans="11:15" x14ac:dyDescent="0.25">
      <c r="K36" s="164">
        <v>35</v>
      </c>
      <c r="L36" s="165">
        <f t="shared" si="3"/>
        <v>-4811.4491940068838</v>
      </c>
      <c r="M36" s="165">
        <f t="shared" si="5"/>
        <v>-69.413869862170685</v>
      </c>
      <c r="N36" s="165">
        <f t="shared" si="6"/>
        <v>-114.444</v>
      </c>
      <c r="O36" s="166">
        <f t="shared" si="7"/>
        <v>-0.43781641938363125</v>
      </c>
    </row>
    <row r="37" spans="11:15" x14ac:dyDescent="0.25">
      <c r="K37" s="164">
        <v>36</v>
      </c>
      <c r="L37" s="165">
        <f t="shared" si="3"/>
        <v>-4998.064931916987</v>
      </c>
      <c r="M37" s="165">
        <f t="shared" si="5"/>
        <v>-72.171737910103261</v>
      </c>
      <c r="N37" s="165">
        <f t="shared" si="6"/>
        <v>-114.444</v>
      </c>
      <c r="O37" s="166">
        <f t="shared" si="7"/>
        <v>-0.44216420126056055</v>
      </c>
    </row>
    <row r="38" spans="11:15" x14ac:dyDescent="0.25">
      <c r="K38" s="164">
        <v>37</v>
      </c>
      <c r="L38" s="165">
        <f t="shared" si="3"/>
        <v>-5187.4799058957424</v>
      </c>
      <c r="M38" s="165">
        <f t="shared" si="5"/>
        <v>-74.970973978754799</v>
      </c>
      <c r="N38" s="165">
        <f t="shared" si="6"/>
        <v>-114.444</v>
      </c>
      <c r="O38" s="166">
        <f t="shared" si="7"/>
        <v>-0.44651791515777195</v>
      </c>
    </row>
    <row r="39" spans="11:15" x14ac:dyDescent="0.25">
      <c r="K39" s="164">
        <v>38</v>
      </c>
      <c r="L39" s="165">
        <f t="shared" si="3"/>
        <v>-5379.7361044841791</v>
      </c>
      <c r="M39" s="165">
        <f t="shared" si="5"/>
        <v>-77.812198588436132</v>
      </c>
      <c r="N39" s="165">
        <f t="shared" si="6"/>
        <v>-114.444</v>
      </c>
      <c r="O39" s="166">
        <f t="shared" si="7"/>
        <v>-0.45088061185596862</v>
      </c>
    </row>
    <row r="40" spans="11:15" x14ac:dyDescent="0.25">
      <c r="K40" s="164">
        <v>39</v>
      </c>
      <c r="L40" s="165">
        <f t="shared" si="3"/>
        <v>-5574.8761460514424</v>
      </c>
      <c r="M40" s="165">
        <f t="shared" si="5"/>
        <v>-80.696041567262682</v>
      </c>
      <c r="N40" s="165">
        <f>$N$28*1.02</f>
        <v>-114.444</v>
      </c>
      <c r="O40" s="166">
        <f t="shared" si="7"/>
        <v>-0.45525508066824083</v>
      </c>
    </row>
    <row r="41" spans="11:15" x14ac:dyDescent="0.25">
      <c r="K41" s="164">
        <v>40</v>
      </c>
      <c r="L41" s="165">
        <f t="shared" si="3"/>
        <v>-5775.2321682422134</v>
      </c>
      <c r="M41" s="165">
        <f t="shared" si="5"/>
        <v>-83.623142190771631</v>
      </c>
      <c r="N41" s="165">
        <f>$N$40*1.02</f>
        <v>-116.73288000000001</v>
      </c>
      <c r="O41" s="166">
        <f t="shared" si="7"/>
        <v>-0.45982612434911313</v>
      </c>
    </row>
    <row r="42" spans="11:15" x14ac:dyDescent="0.25">
      <c r="K42" s="164">
        <v>41</v>
      </c>
      <c r="L42" s="165">
        <f t="shared" si="3"/>
        <v>-5978.5935307658465</v>
      </c>
      <c r="M42" s="165">
        <f t="shared" si="5"/>
        <v>-86.628482523633195</v>
      </c>
      <c r="N42" s="165">
        <f t="shared" ref="N42:N52" si="8">$N$40*1.02</f>
        <v>-116.73288000000001</v>
      </c>
      <c r="O42" s="166">
        <f t="shared" si="7"/>
        <v>-0.46440764034844406</v>
      </c>
    </row>
    <row r="43" spans="11:15" x14ac:dyDescent="0.25">
      <c r="K43" s="164">
        <v>42</v>
      </c>
      <c r="L43" s="165">
        <f t="shared" si="3"/>
        <v>-6185.0053137273335</v>
      </c>
      <c r="M43" s="165">
        <f t="shared" si="5"/>
        <v>-89.678902961487708</v>
      </c>
      <c r="N43" s="165">
        <f t="shared" si="8"/>
        <v>-116.73288000000001</v>
      </c>
      <c r="O43" s="166">
        <f t="shared" si="7"/>
        <v>-0.46900229901935031</v>
      </c>
    </row>
    <row r="44" spans="11:15" x14ac:dyDescent="0.25">
      <c r="K44" s="164">
        <v>43</v>
      </c>
      <c r="L44" s="165">
        <f t="shared" si="3"/>
        <v>-6394.5132734332428</v>
      </c>
      <c r="M44" s="165">
        <f t="shared" si="5"/>
        <v>-92.775079705910002</v>
      </c>
      <c r="N44" s="165">
        <f t="shared" si="8"/>
        <v>-116.73288000000001</v>
      </c>
      <c r="O44" s="166">
        <f t="shared" si="7"/>
        <v>-0.47361257239318866</v>
      </c>
    </row>
    <row r="45" spans="11:15" x14ac:dyDescent="0.25">
      <c r="K45" s="164">
        <v>44</v>
      </c>
      <c r="L45" s="165">
        <f t="shared" si="3"/>
        <v>-6607.1638525347407</v>
      </c>
      <c r="M45" s="165">
        <f t="shared" si="5"/>
        <v>-95.917699101498627</v>
      </c>
      <c r="N45" s="165">
        <f t="shared" si="8"/>
        <v>-116.73288000000001</v>
      </c>
      <c r="O45" s="166">
        <f t="shared" si="7"/>
        <v>-0.47824075745029387</v>
      </c>
    </row>
    <row r="46" spans="11:15" x14ac:dyDescent="0.25">
      <c r="K46" s="164">
        <v>45</v>
      </c>
      <c r="L46" s="165">
        <f t="shared" si="3"/>
        <v>-6823.0041903227611</v>
      </c>
      <c r="M46" s="165">
        <f t="shared" si="5"/>
        <v>-99.107457788021108</v>
      </c>
      <c r="N46" s="165">
        <f t="shared" si="8"/>
        <v>-116.73288000000001</v>
      </c>
      <c r="O46" s="166">
        <f t="shared" si="7"/>
        <v>-0.48288899629871851</v>
      </c>
    </row>
    <row r="47" spans="11:15" x14ac:dyDescent="0.25">
      <c r="K47" s="164">
        <v>46</v>
      </c>
      <c r="L47" s="165">
        <f t="shared" si="3"/>
        <v>-7042.0821331776024</v>
      </c>
      <c r="M47" s="165">
        <f t="shared" si="5"/>
        <v>-102.3450628548414</v>
      </c>
      <c r="N47" s="165">
        <f t="shared" si="8"/>
        <v>-116.73288000000001</v>
      </c>
      <c r="O47" s="166">
        <f t="shared" si="7"/>
        <v>-0.48755929373165618</v>
      </c>
    </row>
    <row r="48" spans="11:15" x14ac:dyDescent="0.25">
      <c r="K48" s="164">
        <v>47</v>
      </c>
      <c r="L48" s="165">
        <f t="shared" si="3"/>
        <v>-7264.4462451752661</v>
      </c>
      <c r="M48" s="165">
        <f t="shared" si="5"/>
        <v>-105.63123199766403</v>
      </c>
      <c r="N48" s="165">
        <f t="shared" si="8"/>
        <v>-116.73288000000001</v>
      </c>
      <c r="O48" s="166">
        <f t="shared" si="7"/>
        <v>-0.49225353255411147</v>
      </c>
    </row>
    <row r="49" spans="11:15" x14ac:dyDescent="0.25">
      <c r="K49" s="164">
        <v>48</v>
      </c>
      <c r="L49" s="165">
        <f t="shared" si="3"/>
        <v>-7490.145818852895</v>
      </c>
      <c r="M49" s="165">
        <f t="shared" si="5"/>
        <v>-108.966693677629</v>
      </c>
      <c r="N49" s="165">
        <f t="shared" si="8"/>
        <v>-116.73288000000001</v>
      </c>
      <c r="O49" s="166">
        <f t="shared" si="7"/>
        <v>-0.49697348700429378</v>
      </c>
    </row>
    <row r="50" spans="11:15" x14ac:dyDescent="0.25">
      <c r="K50" s="164">
        <v>49</v>
      </c>
      <c r="L50" s="165">
        <f t="shared" si="3"/>
        <v>-7719.2308861356878</v>
      </c>
      <c r="M50" s="165">
        <f t="shared" si="5"/>
        <v>-112.35218728279342</v>
      </c>
      <c r="N50" s="165">
        <f t="shared" si="8"/>
        <v>-116.73288000000001</v>
      </c>
      <c r="O50" s="166">
        <f t="shared" si="7"/>
        <v>-0.50172083454206939</v>
      </c>
    </row>
    <row r="51" spans="11:15" x14ac:dyDescent="0.25">
      <c r="K51" s="164">
        <v>50</v>
      </c>
      <c r="L51" s="165">
        <f t="shared" si="3"/>
        <v>-7951.7522294277223</v>
      </c>
      <c r="M51" s="165">
        <f t="shared" si="5"/>
        <v>-115.78846329203532</v>
      </c>
      <c r="N51" s="165">
        <f t="shared" si="8"/>
        <v>-116.73288000000001</v>
      </c>
      <c r="O51" s="166">
        <f t="shared" si="7"/>
        <v>-0.5064971662332407</v>
      </c>
    </row>
    <row r="52" spans="11:15" x14ac:dyDescent="0.25">
      <c r="K52" s="164">
        <v>51</v>
      </c>
      <c r="L52" s="165">
        <f t="shared" si="3"/>
        <v>-8187.761392869138</v>
      </c>
      <c r="M52" s="165">
        <f t="shared" si="5"/>
        <v>-119.27628344141583</v>
      </c>
      <c r="N52" s="165">
        <f t="shared" si="8"/>
        <v>-116.73288000000001</v>
      </c>
      <c r="O52" s="166">
        <f t="shared" si="7"/>
        <v>-0.51130399592253295</v>
      </c>
    </row>
    <row r="53" spans="11:15" x14ac:dyDescent="0.25">
      <c r="K53" s="164">
        <v>52</v>
      </c>
      <c r="L53" s="165">
        <f t="shared" si="3"/>
        <v>-8429.6453513621746</v>
      </c>
      <c r="M53" s="165">
        <f t="shared" si="5"/>
        <v>-122.81642089303706</v>
      </c>
      <c r="N53" s="165">
        <f>$N$52*1.02</f>
        <v>-119.06753760000001</v>
      </c>
      <c r="O53" s="166">
        <f t="shared" si="7"/>
        <v>-0.51628575782223785</v>
      </c>
    </row>
    <row r="54" spans="11:15" x14ac:dyDescent="0.25">
      <c r="K54" s="164">
        <v>53</v>
      </c>
      <c r="L54" s="165">
        <f t="shared" si="3"/>
        <v>-8675.1575692326078</v>
      </c>
      <c r="M54" s="165">
        <f t="shared" si="5"/>
        <v>-126.44468027043261</v>
      </c>
      <c r="N54" s="165">
        <f t="shared" ref="N54:N64" si="9">$N$52*1.02</f>
        <v>-119.06753760000001</v>
      </c>
      <c r="O54" s="166">
        <f t="shared" si="7"/>
        <v>-0.52129755388083354</v>
      </c>
    </row>
    <row r="55" spans="11:15" x14ac:dyDescent="0.25">
      <c r="K55" s="164">
        <v>54</v>
      </c>
      <c r="L55" s="165">
        <f t="shared" si="3"/>
        <v>-8924.3524703710973</v>
      </c>
      <c r="M55" s="165">
        <f t="shared" si="5"/>
        <v>-130.12736353848911</v>
      </c>
      <c r="N55" s="165">
        <f t="shared" si="9"/>
        <v>-119.06753760000001</v>
      </c>
      <c r="O55" s="166">
        <f t="shared" si="7"/>
        <v>-0.52634092534899812</v>
      </c>
    </row>
    <row r="56" spans="11:15" x14ac:dyDescent="0.25">
      <c r="K56" s="164">
        <v>55</v>
      </c>
      <c r="L56" s="165">
        <f t="shared" si="3"/>
        <v>-9177.2852950266642</v>
      </c>
      <c r="M56" s="165">
        <f t="shared" si="5"/>
        <v>-133.86528705556645</v>
      </c>
      <c r="N56" s="165">
        <f t="shared" si="9"/>
        <v>-119.06753760000001</v>
      </c>
      <c r="O56" s="166">
        <f t="shared" si="7"/>
        <v>-0.53141734865827361</v>
      </c>
    </row>
    <row r="57" spans="11:15" x14ac:dyDescent="0.25">
      <c r="K57" s="164">
        <v>56</v>
      </c>
      <c r="L57" s="165">
        <f t="shared" si="3"/>
        <v>-9434.0121120520635</v>
      </c>
      <c r="M57" s="165">
        <f t="shared" si="5"/>
        <v>-137.65927942539994</v>
      </c>
      <c r="N57" s="165">
        <f t="shared" si="9"/>
        <v>-119.06753760000001</v>
      </c>
      <c r="O57" s="166">
        <f t="shared" si="7"/>
        <v>-0.53652824190490311</v>
      </c>
    </row>
    <row r="58" spans="11:15" x14ac:dyDescent="0.25">
      <c r="K58" s="164">
        <v>57</v>
      </c>
      <c r="L58" s="165">
        <f t="shared" si="3"/>
        <v>-9694.5898313328435</v>
      </c>
      <c r="M58" s="165">
        <f t="shared" si="5"/>
        <v>-141.51018168078096</v>
      </c>
      <c r="N58" s="165">
        <f t="shared" si="9"/>
        <v>-119.06753760000001</v>
      </c>
      <c r="O58" s="166">
        <f t="shared" si="7"/>
        <v>-0.54167497066142367</v>
      </c>
    </row>
    <row r="59" spans="11:15" x14ac:dyDescent="0.25">
      <c r="K59" s="164">
        <v>58</v>
      </c>
      <c r="L59" s="165">
        <f t="shared" si="3"/>
        <v>-9959.0762164028365</v>
      </c>
      <c r="M59" s="165">
        <f t="shared" si="5"/>
        <v>-145.41884746999264</v>
      </c>
      <c r="N59" s="165">
        <f t="shared" si="9"/>
        <v>-119.06753760000001</v>
      </c>
      <c r="O59" s="166">
        <f t="shared" si="7"/>
        <v>-0.54685885319729532</v>
      </c>
    </row>
    <row r="60" spans="11:15" x14ac:dyDescent="0.25">
      <c r="K60" s="164">
        <v>59</v>
      </c>
      <c r="L60" s="165">
        <f t="shared" si="3"/>
        <v>-10227.529897248878</v>
      </c>
      <c r="M60" s="165">
        <f t="shared" si="5"/>
        <v>-149.38614324604254</v>
      </c>
      <c r="N60" s="165">
        <f t="shared" si="9"/>
        <v>-119.06753760000001</v>
      </c>
      <c r="O60" s="166">
        <f t="shared" si="7"/>
        <v>-0.55208116517883432</v>
      </c>
    </row>
    <row r="61" spans="11:15" x14ac:dyDescent="0.25">
      <c r="K61" s="164">
        <v>60</v>
      </c>
      <c r="L61" s="165">
        <f t="shared" si="3"/>
        <v>-10500.010383307612</v>
      </c>
      <c r="M61" s="165">
        <f t="shared" si="5"/>
        <v>-153.41294845873315</v>
      </c>
      <c r="N61" s="165">
        <f t="shared" si="9"/>
        <v>-119.06753760000001</v>
      </c>
      <c r="O61" s="166">
        <f t="shared" si="7"/>
        <v>-0.55734314390934925</v>
      </c>
    </row>
    <row r="62" spans="11:15" x14ac:dyDescent="0.25">
      <c r="K62" s="164">
        <v>61</v>
      </c>
      <c r="L62" s="165">
        <f t="shared" si="3"/>
        <v>-10776.578076657226</v>
      </c>
      <c r="M62" s="165">
        <f t="shared" ref="M62:M97" si="10">IF(L61&lt;0,(L61*0.18/12),0)</f>
        <v>-157.50015574961418</v>
      </c>
      <c r="N62" s="165">
        <f t="shared" si="9"/>
        <v>-119.06753760000001</v>
      </c>
      <c r="O62" s="166">
        <f t="shared" si="7"/>
        <v>-0.56264599216239075</v>
      </c>
    </row>
    <row r="63" spans="11:15" x14ac:dyDescent="0.25">
      <c r="K63" s="164">
        <v>62</v>
      </c>
      <c r="L63" s="165">
        <f t="shared" si="3"/>
        <v>-11057.294285407084</v>
      </c>
      <c r="M63" s="165">
        <f t="shared" si="10"/>
        <v>-161.64867114985839</v>
      </c>
      <c r="N63" s="165">
        <f t="shared" si="9"/>
        <v>-119.06753760000001</v>
      </c>
      <c r="O63" s="166">
        <f t="shared" si="7"/>
        <v>-0.56799088165420764</v>
      </c>
    </row>
    <row r="64" spans="11:15" x14ac:dyDescent="0.25">
      <c r="K64" s="164">
        <v>63</v>
      </c>
      <c r="L64" s="165">
        <f t="shared" si="3"/>
        <v>-11342.221237288191</v>
      </c>
      <c r="M64" s="165">
        <f t="shared" si="10"/>
        <v>-165.85941428110627</v>
      </c>
      <c r="N64" s="165">
        <f t="shared" si="9"/>
        <v>-119.06753760000001</v>
      </c>
      <c r="O64" s="166">
        <f t="shared" si="7"/>
        <v>-0.57337895619564683</v>
      </c>
    </row>
    <row r="65" spans="11:15" x14ac:dyDescent="0.25">
      <c r="K65" s="164">
        <v>64</v>
      </c>
      <c r="L65" s="165">
        <f t="shared" si="3"/>
        <v>-11633.803444199515</v>
      </c>
      <c r="M65" s="165">
        <f t="shared" si="10"/>
        <v>-170.13331855932287</v>
      </c>
      <c r="N65" s="165">
        <f>$N$64*1.02</f>
        <v>-121.44888835200001</v>
      </c>
      <c r="O65" s="166">
        <f t="shared" si="7"/>
        <v>-0.57892983707677537</v>
      </c>
    </row>
    <row r="66" spans="11:15" x14ac:dyDescent="0.25">
      <c r="K66" s="164">
        <v>65</v>
      </c>
      <c r="L66" s="165">
        <f t="shared" si="3"/>
        <v>-11929.759384214509</v>
      </c>
      <c r="M66" s="165">
        <f t="shared" si="10"/>
        <v>-174.50705166299272</v>
      </c>
      <c r="N66" s="165">
        <f t="shared" ref="N66:N76" si="11">$N$64*1.02</f>
        <v>-121.44888835200001</v>
      </c>
      <c r="O66" s="166">
        <f t="shared" si="7"/>
        <v>-0.58452422208446642</v>
      </c>
    </row>
    <row r="67" spans="11:15" x14ac:dyDescent="0.25">
      <c r="K67" s="164">
        <v>66</v>
      </c>
      <c r="L67" s="165">
        <f t="shared" si="3"/>
        <v>-12230.154663329728</v>
      </c>
      <c r="M67" s="165">
        <f t="shared" si="10"/>
        <v>-178.94639076321764</v>
      </c>
      <c r="N67" s="165">
        <f t="shared" si="11"/>
        <v>-121.44888835200001</v>
      </c>
      <c r="O67" s="166">
        <f t="shared" ref="O67:O98" si="12">(L67/$C$20)/K67*12</f>
        <v>-0.5901632995606918</v>
      </c>
    </row>
    <row r="68" spans="11:15" x14ac:dyDescent="0.25">
      <c r="K68" s="164">
        <v>67</v>
      </c>
      <c r="L68" s="165">
        <f t="shared" si="3"/>
        <v>-12535.055871631674</v>
      </c>
      <c r="M68" s="165">
        <f t="shared" si="10"/>
        <v>-183.45231994994592</v>
      </c>
      <c r="N68" s="165">
        <f t="shared" si="11"/>
        <v>-121.44888835200001</v>
      </c>
      <c r="O68" s="166">
        <f t="shared" si="12"/>
        <v>-0.59584823367990658</v>
      </c>
    </row>
    <row r="69" spans="11:15" x14ac:dyDescent="0.25">
      <c r="K69" s="164">
        <v>68</v>
      </c>
      <c r="L69" s="165">
        <f t="shared" si="3"/>
        <v>-12844.530598058149</v>
      </c>
      <c r="M69" s="165">
        <f t="shared" si="10"/>
        <v>-188.0258380744751</v>
      </c>
      <c r="N69" s="165">
        <f t="shared" si="11"/>
        <v>-121.44888835200001</v>
      </c>
      <c r="O69" s="166">
        <f t="shared" si="12"/>
        <v>-0.60158016691742688</v>
      </c>
    </row>
    <row r="70" spans="11:15" x14ac:dyDescent="0.25">
      <c r="K70" s="164">
        <v>69</v>
      </c>
      <c r="L70" s="165">
        <f t="shared" ref="L70:L100" si="13">IF(L69&lt;0,(L69+M70)+N70,L69+N70)</f>
        <v>-13158.647445381022</v>
      </c>
      <c r="M70" s="165">
        <f t="shared" si="10"/>
        <v>-192.66795897087221</v>
      </c>
      <c r="N70" s="165">
        <f t="shared" si="11"/>
        <v>-121.44888835200001</v>
      </c>
      <c r="O70" s="166">
        <f t="shared" si="12"/>
        <v>-0.60736022231338826</v>
      </c>
    </row>
    <row r="71" spans="11:15" x14ac:dyDescent="0.25">
      <c r="K71" s="164">
        <v>70</v>
      </c>
      <c r="L71" s="165">
        <f t="shared" si="13"/>
        <v>-13477.476045413738</v>
      </c>
      <c r="M71" s="165">
        <f t="shared" si="10"/>
        <v>-197.37971168071533</v>
      </c>
      <c r="N71" s="165">
        <f t="shared" si="11"/>
        <v>-121.44888835200001</v>
      </c>
      <c r="O71" s="166">
        <f t="shared" si="12"/>
        <v>-0.61318950555287333</v>
      </c>
    </row>
    <row r="72" spans="11:15" x14ac:dyDescent="0.25">
      <c r="K72" s="164">
        <v>71</v>
      </c>
      <c r="L72" s="165">
        <f t="shared" si="13"/>
        <v>-13801.087074446945</v>
      </c>
      <c r="M72" s="165">
        <f t="shared" si="10"/>
        <v>-202.16214068120607</v>
      </c>
      <c r="N72" s="165">
        <f t="shared" si="11"/>
        <v>-121.44888835200001</v>
      </c>
      <c r="O72" s="166">
        <f t="shared" si="12"/>
        <v>-0.619069106880488</v>
      </c>
    </row>
    <row r="73" spans="11:15" x14ac:dyDescent="0.25">
      <c r="K73" s="164">
        <v>72</v>
      </c>
      <c r="L73" s="165">
        <f t="shared" si="13"/>
        <v>-14129.55226891565</v>
      </c>
      <c r="M73" s="165">
        <f t="shared" si="10"/>
        <v>-207.01630611670416</v>
      </c>
      <c r="N73" s="165">
        <f t="shared" si="11"/>
        <v>-121.44888835200001</v>
      </c>
      <c r="O73" s="166">
        <f t="shared" si="12"/>
        <v>-0.62500010286563001</v>
      </c>
    </row>
    <row r="74" spans="11:15" x14ac:dyDescent="0.25">
      <c r="K74" s="164">
        <v>73</v>
      </c>
      <c r="L74" s="165">
        <f t="shared" si="13"/>
        <v>-14462.944441301384</v>
      </c>
      <c r="M74" s="165">
        <f t="shared" si="10"/>
        <v>-211.94328403373473</v>
      </c>
      <c r="N74" s="165">
        <f t="shared" si="11"/>
        <v>-121.44888835200001</v>
      </c>
      <c r="O74" s="166">
        <f t="shared" si="12"/>
        <v>-0.63098355803292083</v>
      </c>
    </row>
    <row r="75" spans="11:15" x14ac:dyDescent="0.25">
      <c r="K75" s="164">
        <v>74</v>
      </c>
      <c r="L75" s="165">
        <f t="shared" si="13"/>
        <v>-14801.337496272907</v>
      </c>
      <c r="M75" s="165">
        <f t="shared" si="10"/>
        <v>-216.94416661952076</v>
      </c>
      <c r="N75" s="165">
        <f t="shared" si="11"/>
        <v>-121.44888835200001</v>
      </c>
      <c r="O75" s="166">
        <f t="shared" si="12"/>
        <v>-0.63702052637070627</v>
      </c>
    </row>
    <row r="76" spans="11:15" x14ac:dyDescent="0.25">
      <c r="K76" s="164">
        <v>75</v>
      </c>
      <c r="L76" s="165">
        <f t="shared" si="13"/>
        <v>-15144.806447069001</v>
      </c>
      <c r="M76" s="165">
        <f t="shared" si="10"/>
        <v>-222.02006244409358</v>
      </c>
      <c r="N76" s="165">
        <f t="shared" si="11"/>
        <v>-121.44888835200001</v>
      </c>
      <c r="O76" s="166">
        <f t="shared" si="12"/>
        <v>-0.64311205272915639</v>
      </c>
    </row>
    <row r="77" spans="11:15" x14ac:dyDescent="0.25">
      <c r="K77" s="164">
        <v>76</v>
      </c>
      <c r="L77" s="165">
        <f t="shared" si="13"/>
        <v>-15495.856409894077</v>
      </c>
      <c r="M77" s="165">
        <f t="shared" si="10"/>
        <v>-227.17209670603498</v>
      </c>
      <c r="N77" s="165">
        <f>$N$76*1.02</f>
        <v>-123.87786611904001</v>
      </c>
      <c r="O77" s="166">
        <f t="shared" si="12"/>
        <v>-0.64936096154433798</v>
      </c>
    </row>
    <row r="78" spans="11:15" x14ac:dyDescent="0.25">
      <c r="K78" s="164">
        <v>77</v>
      </c>
      <c r="L78" s="165">
        <f t="shared" si="13"/>
        <v>-15852.17212216153</v>
      </c>
      <c r="M78" s="165">
        <f t="shared" si="10"/>
        <v>-232.43784614841115</v>
      </c>
      <c r="N78" s="165">
        <f t="shared" ref="N78:N88" si="14">$N$76*1.02</f>
        <v>-123.87786611904001</v>
      </c>
      <c r="O78" s="166">
        <f t="shared" si="12"/>
        <v>-0.65566535892068689</v>
      </c>
    </row>
    <row r="79" spans="11:15" x14ac:dyDescent="0.25">
      <c r="K79" s="164">
        <v>78</v>
      </c>
      <c r="L79" s="165">
        <f t="shared" si="13"/>
        <v>-16213.832570112994</v>
      </c>
      <c r="M79" s="165">
        <f t="shared" si="10"/>
        <v>-237.78258183242292</v>
      </c>
      <c r="N79" s="165">
        <f t="shared" si="14"/>
        <v>-123.87786611904001</v>
      </c>
      <c r="O79" s="166">
        <f t="shared" si="12"/>
        <v>-0.66202633576678116</v>
      </c>
    </row>
    <row r="80" spans="11:15" x14ac:dyDescent="0.25">
      <c r="K80" s="164">
        <v>79</v>
      </c>
      <c r="L80" s="165">
        <f t="shared" si="13"/>
        <v>-16580.917924783731</v>
      </c>
      <c r="M80" s="165">
        <f t="shared" si="10"/>
        <v>-243.20748855169492</v>
      </c>
      <c r="N80" s="165">
        <f t="shared" si="14"/>
        <v>-123.87786611904001</v>
      </c>
      <c r="O80" s="166">
        <f t="shared" si="12"/>
        <v>-0.66844497551922422</v>
      </c>
    </row>
    <row r="81" spans="11:15" x14ac:dyDescent="0.25">
      <c r="K81" s="164">
        <v>80</v>
      </c>
      <c r="L81" s="165">
        <f t="shared" si="13"/>
        <v>-16953.509559774528</v>
      </c>
      <c r="M81" s="165">
        <f t="shared" si="10"/>
        <v>-248.71376887175597</v>
      </c>
      <c r="N81" s="165">
        <f t="shared" si="14"/>
        <v>-123.87786611904001</v>
      </c>
      <c r="O81" s="166">
        <f t="shared" si="12"/>
        <v>-0.67492235531714551</v>
      </c>
    </row>
    <row r="82" spans="11:15" x14ac:dyDescent="0.25">
      <c r="K82" s="164">
        <v>81</v>
      </c>
      <c r="L82" s="165">
        <f t="shared" si="13"/>
        <v>-17331.690069290187</v>
      </c>
      <c r="M82" s="165">
        <f t="shared" si="10"/>
        <v>-254.3026433966179</v>
      </c>
      <c r="N82" s="165">
        <f t="shared" si="14"/>
        <v>-123.87786611904001</v>
      </c>
      <c r="O82" s="166">
        <f t="shared" si="12"/>
        <v>-0.68145954710018364</v>
      </c>
    </row>
    <row r="83" spans="11:15" x14ac:dyDescent="0.25">
      <c r="K83" s="164">
        <v>82</v>
      </c>
      <c r="L83" s="165">
        <f t="shared" si="13"/>
        <v>-17715.543286448581</v>
      </c>
      <c r="M83" s="165">
        <f t="shared" si="10"/>
        <v>-259.9753510393528</v>
      </c>
      <c r="N83" s="165">
        <f t="shared" si="14"/>
        <v>-123.87786611904001</v>
      </c>
      <c r="O83" s="166">
        <f t="shared" si="12"/>
        <v>-0.68805761863663706</v>
      </c>
    </row>
    <row r="84" spans="11:15" x14ac:dyDescent="0.25">
      <c r="K84" s="164">
        <v>83</v>
      </c>
      <c r="L84" s="165">
        <f t="shared" si="13"/>
        <v>-18105.15430186435</v>
      </c>
      <c r="M84" s="165">
        <f t="shared" si="10"/>
        <v>-265.7331492967287</v>
      </c>
      <c r="N84" s="165">
        <f t="shared" si="14"/>
        <v>-123.87786611904001</v>
      </c>
      <c r="O84" s="166">
        <f t="shared" si="12"/>
        <v>-0.69471763448783075</v>
      </c>
    </row>
    <row r="85" spans="11:15" x14ac:dyDescent="0.25">
      <c r="K85" s="164">
        <v>84</v>
      </c>
      <c r="L85" s="165">
        <f t="shared" si="13"/>
        <v>-18500.609482511354</v>
      </c>
      <c r="M85" s="165">
        <f t="shared" si="10"/>
        <v>-271.57731452796526</v>
      </c>
      <c r="N85" s="165">
        <f t="shared" si="14"/>
        <v>-123.87786611904001</v>
      </c>
      <c r="O85" s="166">
        <f t="shared" si="12"/>
        <v>-0.70144065691416613</v>
      </c>
    </row>
    <row r="86" spans="11:15" x14ac:dyDescent="0.25">
      <c r="K86" s="164">
        <v>85</v>
      </c>
      <c r="L86" s="165">
        <f t="shared" si="13"/>
        <v>-18901.996490868067</v>
      </c>
      <c r="M86" s="165">
        <f t="shared" si="10"/>
        <v>-277.50914223767029</v>
      </c>
      <c r="N86" s="165">
        <f t="shared" si="14"/>
        <v>-123.87786611904001</v>
      </c>
      <c r="O86" s="166">
        <f t="shared" si="12"/>
        <v>-0.70822774672781708</v>
      </c>
    </row>
    <row r="87" spans="11:15" x14ac:dyDescent="0.25">
      <c r="K87" s="164">
        <v>86</v>
      </c>
      <c r="L87" s="165">
        <f t="shared" si="13"/>
        <v>-19309.40430435013</v>
      </c>
      <c r="M87" s="165">
        <f t="shared" si="10"/>
        <v>-283.52994736302099</v>
      </c>
      <c r="N87" s="165">
        <f t="shared" si="14"/>
        <v>-123.87786611904001</v>
      </c>
      <c r="O87" s="166">
        <f t="shared" si="12"/>
        <v>-0.7150799640965706</v>
      </c>
    </row>
    <row r="88" spans="11:15" x14ac:dyDescent="0.25">
      <c r="K88" s="164">
        <v>87</v>
      </c>
      <c r="L88" s="165">
        <f t="shared" si="13"/>
        <v>-19722.923235034421</v>
      </c>
      <c r="M88" s="165">
        <f t="shared" si="10"/>
        <v>-289.64106456525195</v>
      </c>
      <c r="N88" s="165">
        <f t="shared" si="14"/>
        <v>-123.87786611904001</v>
      </c>
      <c r="O88" s="166">
        <f t="shared" si="12"/>
        <v>-0.72199836930289985</v>
      </c>
    </row>
    <row r="89" spans="11:15" x14ac:dyDescent="0.25">
      <c r="K89" s="164">
        <v>88</v>
      </c>
      <c r="L89" s="165">
        <f t="shared" si="13"/>
        <v>-20145.122507001361</v>
      </c>
      <c r="M89" s="165">
        <f t="shared" si="10"/>
        <v>-295.84384852551631</v>
      </c>
      <c r="N89" s="165">
        <f>$N$88*1.02</f>
        <v>-126.35542344142081</v>
      </c>
      <c r="O89" s="166">
        <f t="shared" si="12"/>
        <v>-0.72907368893093727</v>
      </c>
    </row>
    <row r="90" spans="11:15" x14ac:dyDescent="0.25">
      <c r="K90" s="164">
        <v>89</v>
      </c>
      <c r="L90" s="165">
        <f t="shared" si="13"/>
        <v>-20573.654768047803</v>
      </c>
      <c r="M90" s="165">
        <f t="shared" si="10"/>
        <v>-302.17683760502041</v>
      </c>
      <c r="N90" s="165">
        <f t="shared" ref="N90:N100" si="15">$N$88*1.02</f>
        <v>-126.35542344142081</v>
      </c>
      <c r="O90" s="166">
        <f t="shared" si="12"/>
        <v>-0.73621663505551938</v>
      </c>
    </row>
    <row r="91" spans="11:15" x14ac:dyDescent="0.25">
      <c r="K91" s="164">
        <v>90</v>
      </c>
      <c r="L91" s="165">
        <f t="shared" si="13"/>
        <v>-21008.615013009941</v>
      </c>
      <c r="M91" s="165">
        <f t="shared" si="10"/>
        <v>-308.60482152071705</v>
      </c>
      <c r="N91" s="165">
        <f t="shared" si="15"/>
        <v>-126.35542344142081</v>
      </c>
      <c r="O91" s="166">
        <f t="shared" si="12"/>
        <v>-0.743428315026336</v>
      </c>
    </row>
    <row r="92" spans="11:15" x14ac:dyDescent="0.25">
      <c r="K92" s="164">
        <v>91</v>
      </c>
      <c r="L92" s="165">
        <f t="shared" si="13"/>
        <v>-21450.099661646513</v>
      </c>
      <c r="M92" s="165">
        <f t="shared" si="10"/>
        <v>-315.1292251951491</v>
      </c>
      <c r="N92" s="165">
        <f t="shared" si="15"/>
        <v>-126.35542344142081</v>
      </c>
      <c r="O92" s="166">
        <f t="shared" si="12"/>
        <v>-0.75070983738775499</v>
      </c>
    </row>
    <row r="93" spans="11:15" x14ac:dyDescent="0.25">
      <c r="K93" s="164">
        <v>92</v>
      </c>
      <c r="L93" s="165">
        <f t="shared" si="13"/>
        <v>-21898.206580012633</v>
      </c>
      <c r="M93" s="165">
        <f t="shared" si="10"/>
        <v>-321.75149492469768</v>
      </c>
      <c r="N93" s="165">
        <f t="shared" si="15"/>
        <v>-126.35542344142081</v>
      </c>
      <c r="O93" s="166">
        <f t="shared" si="12"/>
        <v>-0.75806231255380307</v>
      </c>
    </row>
    <row r="94" spans="11:15" x14ac:dyDescent="0.25">
      <c r="K94" s="164">
        <v>93</v>
      </c>
      <c r="L94" s="165">
        <f t="shared" si="13"/>
        <v>-22353.035102154245</v>
      </c>
      <c r="M94" s="165">
        <f t="shared" si="10"/>
        <v>-328.4730987001895</v>
      </c>
      <c r="N94" s="165">
        <f t="shared" si="15"/>
        <v>-126.35542344142081</v>
      </c>
      <c r="O94" s="166">
        <f t="shared" si="12"/>
        <v>-0.76548685345058098</v>
      </c>
    </row>
    <row r="95" spans="11:15" x14ac:dyDescent="0.25">
      <c r="K95" s="164">
        <v>94</v>
      </c>
      <c r="L95" s="165">
        <f t="shared" si="13"/>
        <v>-22814.686052127981</v>
      </c>
      <c r="M95" s="165">
        <f t="shared" si="10"/>
        <v>-335.29552653231366</v>
      </c>
      <c r="N95" s="165">
        <f t="shared" si="15"/>
        <v>-126.35542344142081</v>
      </c>
      <c r="O95" s="166">
        <f t="shared" si="12"/>
        <v>-0.77298457612869687</v>
      </c>
    </row>
    <row r="96" spans="11:15" x14ac:dyDescent="0.25">
      <c r="K96" s="164">
        <v>95</v>
      </c>
      <c r="L96" s="165">
        <f t="shared" si="13"/>
        <v>-23283.261766351323</v>
      </c>
      <c r="M96" s="165">
        <f t="shared" si="10"/>
        <v>-342.22029078191969</v>
      </c>
      <c r="N96" s="165">
        <f t="shared" si="15"/>
        <v>-126.35542344142081</v>
      </c>
      <c r="O96" s="166">
        <f t="shared" si="12"/>
        <v>-0.78055660034809338</v>
      </c>
    </row>
    <row r="97" spans="11:15" x14ac:dyDescent="0.25">
      <c r="K97" s="164">
        <v>96</v>
      </c>
      <c r="L97" s="165">
        <f t="shared" si="13"/>
        <v>-23758.866116288016</v>
      </c>
      <c r="M97" s="165">
        <f t="shared" si="10"/>
        <v>-349.24892649526981</v>
      </c>
      <c r="N97" s="165">
        <f t="shared" si="15"/>
        <v>-126.35542344142081</v>
      </c>
      <c r="O97" s="166">
        <f t="shared" si="12"/>
        <v>-0.7882040501374461</v>
      </c>
    </row>
    <row r="98" spans="11:15" x14ac:dyDescent="0.25">
      <c r="K98" s="164">
        <v>97</v>
      </c>
      <c r="L98" s="165">
        <f t="shared" si="13"/>
        <v>-24241.60453147376</v>
      </c>
      <c r="M98" s="165">
        <f t="shared" ref="M98:M113" si="16">IF(L97&lt;0,(L97*0.18/12),0)</f>
        <v>-356.38299174432024</v>
      </c>
      <c r="N98" s="165">
        <f t="shared" si="15"/>
        <v>-126.35542344142081</v>
      </c>
      <c r="O98" s="166">
        <f t="shared" si="12"/>
        <v>-0.79592805433013036</v>
      </c>
    </row>
    <row r="99" spans="11:15" x14ac:dyDescent="0.25">
      <c r="K99" s="164">
        <v>98</v>
      </c>
      <c r="L99" s="165">
        <f t="shared" si="13"/>
        <v>-24731.584022887288</v>
      </c>
      <c r="M99" s="165">
        <f t="shared" si="16"/>
        <v>-363.62406797210639</v>
      </c>
      <c r="N99" s="165">
        <f t="shared" si="15"/>
        <v>-126.35542344142081</v>
      </c>
      <c r="O99" s="166">
        <f t="shared" ref="O99:O128" si="17">(L99/$C$20)/K99*12</f>
        <v>-0.8037297470786009</v>
      </c>
    </row>
    <row r="100" spans="11:15" x14ac:dyDescent="0.25">
      <c r="K100" s="164">
        <v>99</v>
      </c>
      <c r="L100" s="165">
        <f t="shared" si="13"/>
        <v>-25228.913206672019</v>
      </c>
      <c r="M100" s="165">
        <f t="shared" si="16"/>
        <v>-370.97376034330932</v>
      </c>
      <c r="N100" s="165">
        <f t="shared" si="15"/>
        <v>-126.35542344142081</v>
      </c>
      <c r="O100" s="166">
        <f t="shared" si="17"/>
        <v>-0.81161026834887207</v>
      </c>
    </row>
    <row r="101" spans="11:15" x14ac:dyDescent="0.25">
      <c r="K101" s="164">
        <v>100</v>
      </c>
      <c r="L101" s="165">
        <f t="shared" ref="L101:L130" si="18">IF(L100&lt;0,(L100+M101)+N101,L100+N101)</f>
        <v>-25731.224770891142</v>
      </c>
      <c r="M101" s="165">
        <f t="shared" si="16"/>
        <v>-378.43369810008022</v>
      </c>
      <c r="N101" s="165">
        <f t="shared" ref="N101:N121" si="19">$N$76*1.02</f>
        <v>-123.87786611904001</v>
      </c>
      <c r="O101" s="166">
        <f t="shared" si="17"/>
        <v>-0.81949185878399067</v>
      </c>
    </row>
    <row r="102" spans="11:15" x14ac:dyDescent="0.25">
      <c r="K102" s="164">
        <v>101</v>
      </c>
      <c r="L102" s="165">
        <f t="shared" si="18"/>
        <v>-26241.071008573548</v>
      </c>
      <c r="M102" s="165">
        <f t="shared" si="16"/>
        <v>-385.9683715633671</v>
      </c>
      <c r="N102" s="165">
        <f t="shared" si="19"/>
        <v>-123.87786611904001</v>
      </c>
      <c r="O102" s="166">
        <f t="shared" si="17"/>
        <v>-0.82745496762314552</v>
      </c>
    </row>
    <row r="103" spans="11:15" x14ac:dyDescent="0.25">
      <c r="K103" s="164">
        <v>102</v>
      </c>
      <c r="L103" s="165">
        <f t="shared" si="18"/>
        <v>-26758.564939821194</v>
      </c>
      <c r="M103" s="165">
        <f t="shared" si="16"/>
        <v>-393.61606512860322</v>
      </c>
      <c r="N103" s="165">
        <f t="shared" si="19"/>
        <v>-123.87786611904001</v>
      </c>
      <c r="O103" s="166">
        <f t="shared" si="17"/>
        <v>-0.83550072616911186</v>
      </c>
    </row>
    <row r="104" spans="11:15" x14ac:dyDescent="0.25">
      <c r="K104" s="164">
        <v>103</v>
      </c>
      <c r="L104" s="165">
        <f t="shared" si="18"/>
        <v>-27283.821280037551</v>
      </c>
      <c r="M104" s="165">
        <f t="shared" si="16"/>
        <v>-401.37847409731791</v>
      </c>
      <c r="N104" s="165">
        <f t="shared" si="19"/>
        <v>-123.87786611904001</v>
      </c>
      <c r="O104" s="166">
        <f t="shared" si="17"/>
        <v>-0.84363027421020198</v>
      </c>
    </row>
    <row r="105" spans="11:15" x14ac:dyDescent="0.25">
      <c r="K105" s="164">
        <v>104</v>
      </c>
      <c r="L105" s="165">
        <f t="shared" si="18"/>
        <v>-27819.434022679536</v>
      </c>
      <c r="M105" s="165">
        <f t="shared" si="16"/>
        <v>-409.25731920056324</v>
      </c>
      <c r="N105" s="165">
        <f t="shared" ref="N105:N116" si="20">$N$88*1.02</f>
        <v>-126.35542344142081</v>
      </c>
      <c r="O105" s="166">
        <f t="shared" si="17"/>
        <v>-0.85192063117245631</v>
      </c>
    </row>
    <row r="106" spans="11:15" x14ac:dyDescent="0.25">
      <c r="K106" s="164">
        <v>105</v>
      </c>
      <c r="L106" s="165">
        <f t="shared" si="18"/>
        <v>-28363.080956461152</v>
      </c>
      <c r="M106" s="165">
        <f t="shared" si="16"/>
        <v>-417.29151034019304</v>
      </c>
      <c r="N106" s="165">
        <f t="shared" si="20"/>
        <v>-126.35542344142081</v>
      </c>
      <c r="O106" s="166">
        <f t="shared" si="17"/>
        <v>-0.86029676620185147</v>
      </c>
    </row>
    <row r="107" spans="11:15" x14ac:dyDescent="0.25">
      <c r="K107" s="164">
        <v>106</v>
      </c>
      <c r="L107" s="165">
        <f t="shared" si="18"/>
        <v>-28914.882594249491</v>
      </c>
      <c r="M107" s="165">
        <f t="shared" si="16"/>
        <v>-425.44621434691726</v>
      </c>
      <c r="N107" s="165">
        <f t="shared" si="20"/>
        <v>-126.35542344142081</v>
      </c>
      <c r="O107" s="166">
        <f t="shared" si="17"/>
        <v>-0.86875987247728514</v>
      </c>
    </row>
    <row r="108" spans="11:15" x14ac:dyDescent="0.25">
      <c r="K108" s="164">
        <v>107</v>
      </c>
      <c r="L108" s="165">
        <f t="shared" si="18"/>
        <v>-29474.961256604656</v>
      </c>
      <c r="M108" s="165">
        <f t="shared" si="16"/>
        <v>-433.72323891374236</v>
      </c>
      <c r="N108" s="165">
        <f t="shared" si="20"/>
        <v>-126.35542344142081</v>
      </c>
      <c r="O108" s="166">
        <f t="shared" si="17"/>
        <v>-0.87731115237814028</v>
      </c>
    </row>
    <row r="109" spans="11:15" x14ac:dyDescent="0.25">
      <c r="K109" s="164">
        <v>108</v>
      </c>
      <c r="L109" s="165">
        <f t="shared" si="18"/>
        <v>-30043.441098895149</v>
      </c>
      <c r="M109" s="165">
        <f t="shared" si="16"/>
        <v>-442.1244188490698</v>
      </c>
      <c r="N109" s="165">
        <f t="shared" si="20"/>
        <v>-126.35542344142081</v>
      </c>
      <c r="O109" s="166">
        <f t="shared" si="17"/>
        <v>-0.88595181785794286</v>
      </c>
    </row>
    <row r="110" spans="11:15" x14ac:dyDescent="0.25">
      <c r="K110" s="164">
        <v>109</v>
      </c>
      <c r="L110" s="165">
        <f t="shared" si="18"/>
        <v>-30620.44813882</v>
      </c>
      <c r="M110" s="165">
        <f t="shared" si="16"/>
        <v>-450.65161648342723</v>
      </c>
      <c r="N110" s="165">
        <f t="shared" si="20"/>
        <v>-126.35542344142081</v>
      </c>
      <c r="O110" s="166">
        <f t="shared" si="17"/>
        <v>-0.89468309080933595</v>
      </c>
    </row>
    <row r="111" spans="11:15" x14ac:dyDescent="0.25">
      <c r="K111" s="164">
        <v>110</v>
      </c>
      <c r="L111" s="165">
        <f t="shared" si="18"/>
        <v>-31206.110284343722</v>
      </c>
      <c r="M111" s="165">
        <f t="shared" si="16"/>
        <v>-459.30672208229998</v>
      </c>
      <c r="N111" s="165">
        <f t="shared" si="20"/>
        <v>-126.35542344142081</v>
      </c>
      <c r="O111" s="166">
        <f t="shared" si="17"/>
        <v>-0.90350620342109789</v>
      </c>
    </row>
    <row r="112" spans="11:15" x14ac:dyDescent="0.25">
      <c r="K112" s="164">
        <v>111</v>
      </c>
      <c r="L112" s="165">
        <f t="shared" si="18"/>
        <v>-31800.557362050302</v>
      </c>
      <c r="M112" s="165">
        <f t="shared" si="16"/>
        <v>-468.0916542651558</v>
      </c>
      <c r="N112" s="165">
        <f t="shared" si="20"/>
        <v>-126.35542344142081</v>
      </c>
      <c r="O112" s="166">
        <f t="shared" si="17"/>
        <v>-0.91242239852788742</v>
      </c>
    </row>
    <row r="113" spans="11:15" x14ac:dyDescent="0.25">
      <c r="K113" s="164">
        <v>112</v>
      </c>
      <c r="L113" s="165">
        <f t="shared" si="18"/>
        <v>-32403.921145922479</v>
      </c>
      <c r="M113" s="165">
        <f t="shared" si="16"/>
        <v>-477.00836043075452</v>
      </c>
      <c r="N113" s="165">
        <f t="shared" si="20"/>
        <v>-126.35542344142081</v>
      </c>
      <c r="O113" s="166">
        <f t="shared" si="17"/>
        <v>-0.92143292995334225</v>
      </c>
    </row>
    <row r="114" spans="11:15" x14ac:dyDescent="0.25">
      <c r="K114" s="164">
        <v>113</v>
      </c>
      <c r="L114" s="165">
        <f t="shared" si="18"/>
        <v>-33016.335386552732</v>
      </c>
      <c r="M114" s="165">
        <f t="shared" ref="M114:M143" si="21">IF(L113&lt;0,(L113*0.18/12),0)</f>
        <v>-486.05881718883717</v>
      </c>
      <c r="N114" s="165">
        <f t="shared" si="20"/>
        <v>-126.35542344142081</v>
      </c>
      <c r="O114" s="166">
        <f t="shared" si="17"/>
        <v>-0.93053906284713128</v>
      </c>
    </row>
    <row r="115" spans="11:15" x14ac:dyDescent="0.25">
      <c r="K115" s="164">
        <v>114</v>
      </c>
      <c r="L115" s="165">
        <f t="shared" si="18"/>
        <v>-33637.935840792445</v>
      </c>
      <c r="M115" s="165">
        <f t="shared" si="21"/>
        <v>-495.245030798291</v>
      </c>
      <c r="N115" s="165">
        <f t="shared" si="20"/>
        <v>-126.35542344142081</v>
      </c>
      <c r="O115" s="166">
        <f t="shared" si="17"/>
        <v>-0.93974207401650545</v>
      </c>
    </row>
    <row r="116" spans="11:15" x14ac:dyDescent="0.25">
      <c r="K116" s="164">
        <v>115</v>
      </c>
      <c r="L116" s="165">
        <f t="shared" si="18"/>
        <v>-34268.860301845751</v>
      </c>
      <c r="M116" s="165">
        <f t="shared" si="21"/>
        <v>-504.56903761188664</v>
      </c>
      <c r="N116" s="165">
        <f t="shared" si="20"/>
        <v>-126.35542344142081</v>
      </c>
      <c r="O116" s="166">
        <f t="shared" si="17"/>
        <v>-0.94904325225286734</v>
      </c>
    </row>
    <row r="117" spans="11:15" x14ac:dyDescent="0.25">
      <c r="K117" s="164">
        <v>116</v>
      </c>
      <c r="L117" s="165">
        <f t="shared" si="18"/>
        <v>-34906.771072492476</v>
      </c>
      <c r="M117" s="165">
        <f t="shared" si="21"/>
        <v>-514.03290452768624</v>
      </c>
      <c r="N117" s="165">
        <f t="shared" si="19"/>
        <v>-123.87786611904001</v>
      </c>
      <c r="O117" s="166">
        <f t="shared" si="17"/>
        <v>-0.95837587657395329</v>
      </c>
    </row>
    <row r="118" spans="11:15" x14ac:dyDescent="0.25">
      <c r="K118" s="164">
        <v>117</v>
      </c>
      <c r="L118" s="165">
        <f t="shared" si="18"/>
        <v>-35554.250504698903</v>
      </c>
      <c r="M118" s="165">
        <f t="shared" si="21"/>
        <v>-523.60156608738714</v>
      </c>
      <c r="N118" s="165">
        <f t="shared" si="19"/>
        <v>-123.87786611904001</v>
      </c>
      <c r="O118" s="166">
        <f t="shared" si="17"/>
        <v>-0.96780943394170871</v>
      </c>
    </row>
    <row r="119" spans="11:15" x14ac:dyDescent="0.25">
      <c r="K119" s="164">
        <v>118</v>
      </c>
      <c r="L119" s="165">
        <f t="shared" si="18"/>
        <v>-36211.442128388422</v>
      </c>
      <c r="M119" s="165">
        <f t="shared" si="21"/>
        <v>-533.31375757048352</v>
      </c>
      <c r="N119" s="165">
        <f t="shared" si="19"/>
        <v>-123.87786611904001</v>
      </c>
      <c r="O119" s="166">
        <f t="shared" si="17"/>
        <v>-0.97734523212805291</v>
      </c>
    </row>
    <row r="120" spans="11:15" x14ac:dyDescent="0.25">
      <c r="K120" s="164">
        <v>119</v>
      </c>
      <c r="L120" s="165">
        <f t="shared" si="18"/>
        <v>-36878.491626433286</v>
      </c>
      <c r="M120" s="165">
        <f t="shared" si="21"/>
        <v>-543.17163192582632</v>
      </c>
      <c r="N120" s="165">
        <f t="shared" si="19"/>
        <v>-123.87786611904001</v>
      </c>
      <c r="O120" s="166">
        <f t="shared" si="17"/>
        <v>-0.98698459256587834</v>
      </c>
    </row>
    <row r="121" spans="11:15" x14ac:dyDescent="0.25">
      <c r="K121" s="164">
        <v>120</v>
      </c>
      <c r="L121" s="165">
        <f t="shared" si="18"/>
        <v>-37555.546866948825</v>
      </c>
      <c r="M121" s="165">
        <f t="shared" si="21"/>
        <v>-553.1773743964992</v>
      </c>
      <c r="N121" s="165">
        <f t="shared" si="19"/>
        <v>-123.87786611904001</v>
      </c>
      <c r="O121" s="166">
        <f t="shared" si="17"/>
        <v>-0.99672885063693539</v>
      </c>
    </row>
    <row r="122" spans="11:15" x14ac:dyDescent="0.25">
      <c r="K122" s="164">
        <v>121</v>
      </c>
      <c r="L122" s="165">
        <f t="shared" si="18"/>
        <v>-38245.235493394473</v>
      </c>
      <c r="M122" s="165">
        <f t="shared" si="21"/>
        <v>-563.33320300423236</v>
      </c>
      <c r="N122" s="165">
        <f t="shared" ref="N122:N185" si="22">$N$88*1.02</f>
        <v>-126.35542344142081</v>
      </c>
      <c r="O122" s="166">
        <f t="shared" si="17"/>
        <v>-1.0066445672083359</v>
      </c>
    </row>
    <row r="123" spans="11:15" x14ac:dyDescent="0.25">
      <c r="K123" s="164">
        <v>122</v>
      </c>
      <c r="L123" s="165">
        <f t="shared" si="18"/>
        <v>-38945.26944923681</v>
      </c>
      <c r="M123" s="165">
        <f t="shared" si="21"/>
        <v>-573.67853240091711</v>
      </c>
      <c r="N123" s="165">
        <f t="shared" si="22"/>
        <v>-126.35542344142081</v>
      </c>
      <c r="O123" s="166">
        <f t="shared" si="17"/>
        <v>-1.0166677962813251</v>
      </c>
    </row>
    <row r="124" spans="11:15" x14ac:dyDescent="0.25">
      <c r="K124" s="164">
        <v>123</v>
      </c>
      <c r="L124" s="165">
        <f t="shared" si="18"/>
        <v>-39655.803914416778</v>
      </c>
      <c r="M124" s="165">
        <f t="shared" si="21"/>
        <v>-584.1790417385522</v>
      </c>
      <c r="N124" s="165">
        <f t="shared" si="22"/>
        <v>-126.35542344142081</v>
      </c>
      <c r="O124" s="166">
        <f t="shared" si="17"/>
        <v>-1.0267999336434666</v>
      </c>
    </row>
    <row r="125" spans="11:15" x14ac:dyDescent="0.25">
      <c r="K125" s="164">
        <v>124</v>
      </c>
      <c r="L125" s="165">
        <f t="shared" si="18"/>
        <v>-40376.996396574446</v>
      </c>
      <c r="M125" s="165">
        <f t="shared" si="21"/>
        <v>-594.83705871625159</v>
      </c>
      <c r="N125" s="165">
        <f t="shared" si="22"/>
        <v>-126.35542344142081</v>
      </c>
      <c r="O125" s="166">
        <f t="shared" si="17"/>
        <v>-1.0370423898415198</v>
      </c>
    </row>
    <row r="126" spans="11:15" x14ac:dyDescent="0.25">
      <c r="K126" s="164">
        <v>125</v>
      </c>
      <c r="L126" s="165">
        <f t="shared" si="18"/>
        <v>-41109.006765964485</v>
      </c>
      <c r="M126" s="165">
        <f t="shared" si="21"/>
        <v>-605.65494594861673</v>
      </c>
      <c r="N126" s="165">
        <f t="shared" si="22"/>
        <v>-126.35542344142081</v>
      </c>
      <c r="O126" s="166">
        <f t="shared" si="17"/>
        <v>-1.0473965904806686</v>
      </c>
    </row>
    <row r="127" spans="11:15" x14ac:dyDescent="0.25">
      <c r="K127" s="164">
        <v>126</v>
      </c>
      <c r="L127" s="165">
        <f t="shared" si="18"/>
        <v>-41851.997290895371</v>
      </c>
      <c r="M127" s="165">
        <f t="shared" si="21"/>
        <v>-616.63510148946727</v>
      </c>
      <c r="N127" s="165">
        <f t="shared" si="22"/>
        <v>-126.35542344142081</v>
      </c>
      <c r="O127" s="166">
        <f t="shared" si="17"/>
        <v>-1.0578639765227358</v>
      </c>
    </row>
    <row r="128" spans="11:15" x14ac:dyDescent="0.25">
      <c r="K128" s="164">
        <v>127</v>
      </c>
      <c r="L128" s="165">
        <f t="shared" si="18"/>
        <v>-42606.132673700224</v>
      </c>
      <c r="M128" s="165">
        <f t="shared" si="21"/>
        <v>-627.77995936343052</v>
      </c>
      <c r="N128" s="165">
        <f t="shared" si="22"/>
        <v>-126.35542344142081</v>
      </c>
      <c r="O128" s="166">
        <f t="shared" si="17"/>
        <v>-1.0684460045836426</v>
      </c>
    </row>
    <row r="129" spans="11:15" x14ac:dyDescent="0.25">
      <c r="K129" s="164">
        <v>128</v>
      </c>
      <c r="L129" s="165">
        <f t="shared" si="18"/>
        <v>-43371.580087247145</v>
      </c>
      <c r="M129" s="165">
        <f t="shared" si="21"/>
        <v>-639.09199010550333</v>
      </c>
      <c r="N129" s="165">
        <f t="shared" si="22"/>
        <v>-126.35542344142081</v>
      </c>
      <c r="O129" s="166">
        <f t="shared" ref="O129:O192" si="23">(L129/$C$20)/K129*12</f>
        <v>-1.0791441472303462</v>
      </c>
    </row>
    <row r="130" spans="11:15" x14ac:dyDescent="0.25">
      <c r="K130" s="164">
        <v>129</v>
      </c>
      <c r="L130" s="165">
        <f t="shared" si="18"/>
        <v>-44148.509211997269</v>
      </c>
      <c r="M130" s="165">
        <f t="shared" si="21"/>
        <v>-650.5737013087072</v>
      </c>
      <c r="N130" s="165">
        <f t="shared" si="22"/>
        <v>-126.35542344142081</v>
      </c>
      <c r="O130" s="166">
        <f t="shared" si="23"/>
        <v>-1.0899598932774921</v>
      </c>
    </row>
    <row r="131" spans="11:15" x14ac:dyDescent="0.25">
      <c r="K131" s="164">
        <v>130</v>
      </c>
      <c r="L131" s="165">
        <f t="shared" ref="L131:L194" si="24">IF(L130&lt;0,(L130+M131)+N131,L130+N131)</f>
        <v>-44934.614716296266</v>
      </c>
      <c r="M131" s="165">
        <f t="shared" si="21"/>
        <v>-662.22763817995894</v>
      </c>
      <c r="N131" s="165">
        <f t="shared" ref="N131:N194" si="25">$N$76*1.02</f>
        <v>-123.87786611904001</v>
      </c>
      <c r="O131" s="166">
        <f t="shared" si="23"/>
        <v>-1.1008340514588544</v>
      </c>
    </row>
    <row r="132" spans="11:15" x14ac:dyDescent="0.25">
      <c r="K132" s="164">
        <v>131</v>
      </c>
      <c r="L132" s="165">
        <f t="shared" si="24"/>
        <v>-45732.511803159745</v>
      </c>
      <c r="M132" s="165">
        <f t="shared" si="21"/>
        <v>-674.01922074444394</v>
      </c>
      <c r="N132" s="165">
        <f t="shared" si="25"/>
        <v>-123.87786611904001</v>
      </c>
      <c r="O132" s="166">
        <f t="shared" si="23"/>
        <v>-1.1118288637660951</v>
      </c>
    </row>
    <row r="133" spans="11:15" x14ac:dyDescent="0.25">
      <c r="K133" s="164">
        <v>132</v>
      </c>
      <c r="L133" s="165">
        <f t="shared" si="24"/>
        <v>-46542.377346326175</v>
      </c>
      <c r="M133" s="165">
        <f t="shared" si="21"/>
        <v>-685.98767704739612</v>
      </c>
      <c r="N133" s="165">
        <f t="shared" si="25"/>
        <v>-123.87786611904001</v>
      </c>
      <c r="O133" s="166">
        <f t="shared" si="23"/>
        <v>-1.1229458555607688</v>
      </c>
    </row>
    <row r="134" spans="11:15" x14ac:dyDescent="0.25">
      <c r="K134" s="164">
        <v>133</v>
      </c>
      <c r="L134" s="165">
        <f t="shared" si="24"/>
        <v>-47364.390872640106</v>
      </c>
      <c r="M134" s="165">
        <f t="shared" si="21"/>
        <v>-698.13566019489269</v>
      </c>
      <c r="N134" s="165">
        <f t="shared" si="25"/>
        <v>-123.87786611904001</v>
      </c>
      <c r="O134" s="166">
        <f t="shared" si="23"/>
        <v>-1.1341865698601086</v>
      </c>
    </row>
    <row r="135" spans="11:15" x14ac:dyDescent="0.25">
      <c r="K135" s="164">
        <v>134</v>
      </c>
      <c r="L135" s="165">
        <f t="shared" si="24"/>
        <v>-48201.212159171126</v>
      </c>
      <c r="M135" s="165">
        <f t="shared" si="21"/>
        <v>-710.4658630896015</v>
      </c>
      <c r="N135" s="165">
        <f t="shared" ref="N135:N198" si="26">$N$88*1.02</f>
        <v>-126.35542344142081</v>
      </c>
      <c r="O135" s="166">
        <f t="shared" si="23"/>
        <v>-1.1456114524096659</v>
      </c>
    </row>
    <row r="136" spans="11:15" x14ac:dyDescent="0.25">
      <c r="K136" s="164">
        <v>135</v>
      </c>
      <c r="L136" s="165">
        <f t="shared" si="24"/>
        <v>-49050.585765000113</v>
      </c>
      <c r="M136" s="165">
        <f t="shared" si="21"/>
        <v>-723.01818238756687</v>
      </c>
      <c r="N136" s="165">
        <f t="shared" si="26"/>
        <v>-126.35542344142081</v>
      </c>
      <c r="O136" s="166">
        <f t="shared" si="23"/>
        <v>-1.1571632019768043</v>
      </c>
    </row>
    <row r="137" spans="11:15" x14ac:dyDescent="0.25">
      <c r="K137" s="164">
        <v>136</v>
      </c>
      <c r="L137" s="165">
        <f t="shared" si="24"/>
        <v>-49912.699974916533</v>
      </c>
      <c r="M137" s="165">
        <f t="shared" si="21"/>
        <v>-735.75878647500167</v>
      </c>
      <c r="N137" s="165">
        <f t="shared" si="26"/>
        <v>-126.35542344142081</v>
      </c>
      <c r="O137" s="166">
        <f t="shared" si="23"/>
        <v>-1.1688434292316285</v>
      </c>
    </row>
    <row r="138" spans="11:15" x14ac:dyDescent="0.25">
      <c r="K138" s="164">
        <v>137</v>
      </c>
      <c r="L138" s="165">
        <f t="shared" si="24"/>
        <v>-50787.745897981702</v>
      </c>
      <c r="M138" s="165">
        <f t="shared" si="21"/>
        <v>-748.690499623748</v>
      </c>
      <c r="N138" s="165">
        <f t="shared" si="26"/>
        <v>-126.35542344142081</v>
      </c>
      <c r="O138" s="166">
        <f t="shared" si="23"/>
        <v>-1.1806537634727294</v>
      </c>
    </row>
    <row r="139" spans="11:15" x14ac:dyDescent="0.25">
      <c r="K139" s="164">
        <v>138</v>
      </c>
      <c r="L139" s="165">
        <f t="shared" si="24"/>
        <v>-51675.917509892846</v>
      </c>
      <c r="M139" s="165">
        <f t="shared" si="21"/>
        <v>-761.81618846972549</v>
      </c>
      <c r="N139" s="165">
        <f t="shared" si="26"/>
        <v>-126.35542344142081</v>
      </c>
      <c r="O139" s="166">
        <f t="shared" si="23"/>
        <v>-1.1925958529299296</v>
      </c>
    </row>
    <row r="140" spans="11:15" x14ac:dyDescent="0.25">
      <c r="K140" s="164">
        <v>139</v>
      </c>
      <c r="L140" s="165">
        <f t="shared" si="24"/>
        <v>-52577.411695982657</v>
      </c>
      <c r="M140" s="165">
        <f t="shared" si="21"/>
        <v>-775.13876264839257</v>
      </c>
      <c r="N140" s="165">
        <f t="shared" si="26"/>
        <v>-126.35542344142081</v>
      </c>
      <c r="O140" s="166">
        <f t="shared" si="23"/>
        <v>-1.2046713650685259</v>
      </c>
    </row>
    <row r="141" spans="11:15" x14ac:dyDescent="0.25">
      <c r="K141" s="164">
        <v>140</v>
      </c>
      <c r="L141" s="165">
        <f t="shared" si="24"/>
        <v>-53492.428294863814</v>
      </c>
      <c r="M141" s="165">
        <f t="shared" si="21"/>
        <v>-788.66117543973985</v>
      </c>
      <c r="N141" s="165">
        <f t="shared" si="26"/>
        <v>-126.35542344142081</v>
      </c>
      <c r="O141" s="166">
        <f t="shared" si="23"/>
        <v>-1.2168819868951632</v>
      </c>
    </row>
    <row r="142" spans="11:15" x14ac:dyDescent="0.25">
      <c r="K142" s="164">
        <v>141</v>
      </c>
      <c r="L142" s="165">
        <f t="shared" si="24"/>
        <v>-54421.170142728188</v>
      </c>
      <c r="M142" s="165">
        <f t="shared" si="21"/>
        <v>-802.38642442295713</v>
      </c>
      <c r="N142" s="165">
        <f t="shared" si="26"/>
        <v>-126.35542344142081</v>
      </c>
      <c r="O142" s="166">
        <f t="shared" si="23"/>
        <v>-1.2292294252654794</v>
      </c>
    </row>
    <row r="143" spans="11:15" x14ac:dyDescent="0.25">
      <c r="K143" s="164">
        <v>142</v>
      </c>
      <c r="L143" s="165">
        <f t="shared" si="24"/>
        <v>-55363.843118310528</v>
      </c>
      <c r="M143" s="165">
        <f t="shared" si="21"/>
        <v>-816.31755214092288</v>
      </c>
      <c r="N143" s="165">
        <f t="shared" si="26"/>
        <v>-126.35542344142081</v>
      </c>
      <c r="O143" s="166">
        <f t="shared" si="23"/>
        <v>-1.2417154071936549</v>
      </c>
    </row>
    <row r="144" spans="11:15" x14ac:dyDescent="0.25">
      <c r="K144" s="164">
        <v>143</v>
      </c>
      <c r="L144" s="165">
        <f t="shared" si="24"/>
        <v>-56320.656188526606</v>
      </c>
      <c r="M144" s="165">
        <f t="shared" ref="M144:M207" si="27">IF(L143&lt;0,(L143*0.18/12),0)</f>
        <v>-830.45764677465786</v>
      </c>
      <c r="N144" s="165">
        <f t="shared" si="26"/>
        <v>-126.35542344142081</v>
      </c>
      <c r="O144" s="166">
        <f t="shared" si="23"/>
        <v>-1.2543416801639955</v>
      </c>
    </row>
    <row r="145" spans="11:15" x14ac:dyDescent="0.25">
      <c r="K145" s="164">
        <v>144</v>
      </c>
      <c r="L145" s="165">
        <f t="shared" si="24"/>
        <v>-57291.821454795921</v>
      </c>
      <c r="M145" s="165">
        <f t="shared" si="27"/>
        <v>-844.80984282789905</v>
      </c>
      <c r="N145" s="165">
        <f t="shared" si="26"/>
        <v>-126.35542344142081</v>
      </c>
      <c r="O145" s="166">
        <f t="shared" si="23"/>
        <v>-1.2671100124446737</v>
      </c>
    </row>
    <row r="146" spans="11:15" x14ac:dyDescent="0.25">
      <c r="K146" s="164">
        <v>145</v>
      </c>
      <c r="L146" s="165">
        <f t="shared" si="24"/>
        <v>-58277.554200059276</v>
      </c>
      <c r="M146" s="165">
        <f t="shared" si="27"/>
        <v>-859.37732182193884</v>
      </c>
      <c r="N146" s="165">
        <f t="shared" si="26"/>
        <v>-126.35542344142081</v>
      </c>
      <c r="O146" s="166">
        <f t="shared" si="23"/>
        <v>-1.2800221934037477</v>
      </c>
    </row>
    <row r="147" spans="11:15" x14ac:dyDescent="0.25">
      <c r="K147" s="164">
        <v>146</v>
      </c>
      <c r="L147" s="165">
        <f t="shared" si="24"/>
        <v>-59275.595379179205</v>
      </c>
      <c r="M147" s="165">
        <f t="shared" si="27"/>
        <v>-874.16331300088905</v>
      </c>
      <c r="N147" s="165">
        <f t="shared" si="25"/>
        <v>-123.87786611904001</v>
      </c>
      <c r="O147" s="166">
        <f t="shared" si="23"/>
        <v>-1.2930259888873916</v>
      </c>
    </row>
    <row r="148" spans="11:15" x14ac:dyDescent="0.25">
      <c r="K148" s="164">
        <v>147</v>
      </c>
      <c r="L148" s="165">
        <f t="shared" si="24"/>
        <v>-60288.607175985933</v>
      </c>
      <c r="M148" s="165">
        <f t="shared" si="27"/>
        <v>-889.13393068768801</v>
      </c>
      <c r="N148" s="165">
        <f t="shared" si="25"/>
        <v>-123.87786611904001</v>
      </c>
      <c r="O148" s="166">
        <f t="shared" si="23"/>
        <v>-1.3061772065073824</v>
      </c>
    </row>
    <row r="149" spans="11:15" x14ac:dyDescent="0.25">
      <c r="K149" s="164">
        <v>148</v>
      </c>
      <c r="L149" s="165">
        <f t="shared" si="24"/>
        <v>-61316.814149744758</v>
      </c>
      <c r="M149" s="165">
        <f t="shared" si="27"/>
        <v>-904.32910763978896</v>
      </c>
      <c r="N149" s="165">
        <f t="shared" si="25"/>
        <v>-123.87786611904001</v>
      </c>
      <c r="O149" s="166">
        <f t="shared" si="23"/>
        <v>-1.3194776902722747</v>
      </c>
    </row>
    <row r="150" spans="11:15" x14ac:dyDescent="0.25">
      <c r="K150" s="164">
        <v>149</v>
      </c>
      <c r="L150" s="165">
        <f t="shared" si="24"/>
        <v>-62360.444228109969</v>
      </c>
      <c r="M150" s="165">
        <f t="shared" si="27"/>
        <v>-919.75221224617133</v>
      </c>
      <c r="N150" s="165">
        <f t="shared" si="25"/>
        <v>-123.87786611904001</v>
      </c>
      <c r="O150" s="166">
        <f t="shared" si="23"/>
        <v>-1.3329293066849914</v>
      </c>
    </row>
    <row r="151" spans="11:15" x14ac:dyDescent="0.25">
      <c r="K151" s="164">
        <v>150</v>
      </c>
      <c r="L151" s="165">
        <f t="shared" si="24"/>
        <v>-63419.728757650657</v>
      </c>
      <c r="M151" s="165">
        <f t="shared" si="27"/>
        <v>-935.40666342164957</v>
      </c>
      <c r="N151" s="165">
        <f t="shared" si="25"/>
        <v>-123.87786611904001</v>
      </c>
      <c r="O151" s="166">
        <f t="shared" si="23"/>
        <v>-1.3465339450657821</v>
      </c>
    </row>
    <row r="152" spans="11:15" x14ac:dyDescent="0.25">
      <c r="K152" s="164">
        <v>151</v>
      </c>
      <c r="L152" s="165">
        <f t="shared" si="24"/>
        <v>-64497.380112456834</v>
      </c>
      <c r="M152" s="165">
        <f t="shared" si="27"/>
        <v>-951.29593136475978</v>
      </c>
      <c r="N152" s="165">
        <f t="shared" si="22"/>
        <v>-126.35542344142081</v>
      </c>
      <c r="O152" s="166">
        <f t="shared" si="23"/>
        <v>-1.3603457732509618</v>
      </c>
    </row>
    <row r="153" spans="11:15" x14ac:dyDescent="0.25">
      <c r="K153" s="164">
        <v>152</v>
      </c>
      <c r="L153" s="165">
        <f t="shared" si="24"/>
        <v>-65591.196237585114</v>
      </c>
      <c r="M153" s="165">
        <f t="shared" si="27"/>
        <v>-967.46070168685253</v>
      </c>
      <c r="N153" s="165">
        <f t="shared" si="22"/>
        <v>-126.35542344142081</v>
      </c>
      <c r="O153" s="166">
        <f t="shared" si="23"/>
        <v>-1.3743145629074907</v>
      </c>
    </row>
    <row r="154" spans="11:15" x14ac:dyDescent="0.25">
      <c r="K154" s="164">
        <v>153</v>
      </c>
      <c r="L154" s="165">
        <f t="shared" si="24"/>
        <v>-66701.419604590308</v>
      </c>
      <c r="M154" s="165">
        <f t="shared" si="27"/>
        <v>-983.86794356377675</v>
      </c>
      <c r="N154" s="165">
        <f t="shared" si="22"/>
        <v>-126.35542344142081</v>
      </c>
      <c r="O154" s="166">
        <f t="shared" si="23"/>
        <v>-1.3884422835947552</v>
      </c>
    </row>
    <row r="155" spans="11:15" x14ac:dyDescent="0.25">
      <c r="K155" s="164">
        <v>154</v>
      </c>
      <c r="L155" s="165">
        <f t="shared" si="24"/>
        <v>-67828.296322100578</v>
      </c>
      <c r="M155" s="165">
        <f t="shared" si="27"/>
        <v>-1000.5212940688547</v>
      </c>
      <c r="N155" s="165">
        <f t="shared" si="22"/>
        <v>-126.35542344142081</v>
      </c>
      <c r="O155" s="166">
        <f t="shared" si="23"/>
        <v>-1.4027309289316714</v>
      </c>
    </row>
    <row r="156" spans="11:15" x14ac:dyDescent="0.25">
      <c r="K156" s="164">
        <v>155</v>
      </c>
      <c r="L156" s="165">
        <f t="shared" si="24"/>
        <v>-68972.076190373511</v>
      </c>
      <c r="M156" s="165">
        <f t="shared" si="27"/>
        <v>-1017.4244448315086</v>
      </c>
      <c r="N156" s="165">
        <f t="shared" si="22"/>
        <v>-126.35542344142081</v>
      </c>
      <c r="O156" s="166">
        <f t="shared" si="23"/>
        <v>-1.4171825169415448</v>
      </c>
    </row>
    <row r="157" spans="11:15" x14ac:dyDescent="0.25">
      <c r="K157" s="164">
        <v>156</v>
      </c>
      <c r="L157" s="165">
        <f t="shared" si="24"/>
        <v>-70133.012756670534</v>
      </c>
      <c r="M157" s="165">
        <f t="shared" si="27"/>
        <v>-1034.5811428556026</v>
      </c>
      <c r="N157" s="165">
        <f t="shared" si="22"/>
        <v>-126.35542344142081</v>
      </c>
      <c r="O157" s="166">
        <f t="shared" si="23"/>
        <v>-1.4317990904003748</v>
      </c>
    </row>
    <row r="158" spans="11:15" x14ac:dyDescent="0.25">
      <c r="K158" s="164">
        <v>157</v>
      </c>
      <c r="L158" s="165">
        <f t="shared" si="24"/>
        <v>-71311.363371462008</v>
      </c>
      <c r="M158" s="165">
        <f t="shared" si="27"/>
        <v>-1051.9951913500579</v>
      </c>
      <c r="N158" s="165">
        <f t="shared" si="22"/>
        <v>-126.35542344142081</v>
      </c>
      <c r="O158" s="166">
        <f t="shared" si="23"/>
        <v>-1.4465827171886956</v>
      </c>
    </row>
    <row r="159" spans="11:15" x14ac:dyDescent="0.25">
      <c r="K159" s="164">
        <v>158</v>
      </c>
      <c r="L159" s="165">
        <f t="shared" si="24"/>
        <v>-72507.389245475351</v>
      </c>
      <c r="M159" s="165">
        <f t="shared" si="27"/>
        <v>-1069.6704505719301</v>
      </c>
      <c r="N159" s="165">
        <f t="shared" si="22"/>
        <v>-126.35542344142081</v>
      </c>
      <c r="O159" s="166">
        <f t="shared" si="23"/>
        <v>-1.4615354906470537</v>
      </c>
    </row>
    <row r="160" spans="11:15" x14ac:dyDescent="0.25">
      <c r="K160" s="164">
        <v>159</v>
      </c>
      <c r="L160" s="165">
        <f t="shared" si="24"/>
        <v>-73721.355507598899</v>
      </c>
      <c r="M160" s="165">
        <f t="shared" si="27"/>
        <v>-1087.6108386821302</v>
      </c>
      <c r="N160" s="165">
        <f t="shared" si="22"/>
        <v>-126.35542344142081</v>
      </c>
      <c r="O160" s="166">
        <f t="shared" si="23"/>
        <v>-1.4766595299352068</v>
      </c>
    </row>
    <row r="161" spans="11:15" x14ac:dyDescent="0.25">
      <c r="K161" s="164">
        <v>160</v>
      </c>
      <c r="L161" s="165">
        <f t="shared" si="24"/>
        <v>-74951.053706331921</v>
      </c>
      <c r="M161" s="165">
        <f t="shared" si="27"/>
        <v>-1105.8203326139835</v>
      </c>
      <c r="N161" s="165">
        <f t="shared" si="25"/>
        <v>-123.87786611904001</v>
      </c>
      <c r="O161" s="166">
        <f t="shared" si="23"/>
        <v>-1.4919076643872247</v>
      </c>
    </row>
    <row r="162" spans="11:15" x14ac:dyDescent="0.25">
      <c r="K162" s="164">
        <v>161</v>
      </c>
      <c r="L162" s="165">
        <f t="shared" si="24"/>
        <v>-76199.197378045938</v>
      </c>
      <c r="M162" s="165">
        <f t="shared" si="27"/>
        <v>-1124.2658055949787</v>
      </c>
      <c r="N162" s="165">
        <f t="shared" si="25"/>
        <v>-123.87786611904001</v>
      </c>
      <c r="O162" s="166">
        <f t="shared" si="23"/>
        <v>-1.5073312593779375</v>
      </c>
    </row>
    <row r="163" spans="11:15" x14ac:dyDescent="0.25">
      <c r="K163" s="164">
        <v>162</v>
      </c>
      <c r="L163" s="165">
        <f t="shared" si="24"/>
        <v>-77466.063204835678</v>
      </c>
      <c r="M163" s="165">
        <f t="shared" si="27"/>
        <v>-1142.9879606706891</v>
      </c>
      <c r="N163" s="165">
        <f t="shared" si="25"/>
        <v>-123.87786611904001</v>
      </c>
      <c r="O163" s="166">
        <f t="shared" si="23"/>
        <v>-1.5229325050284466</v>
      </c>
    </row>
    <row r="164" spans="11:15" x14ac:dyDescent="0.25">
      <c r="K164" s="164">
        <v>163</v>
      </c>
      <c r="L164" s="165">
        <f t="shared" si="24"/>
        <v>-78751.932019027256</v>
      </c>
      <c r="M164" s="165">
        <f t="shared" si="27"/>
        <v>-1161.9909480725353</v>
      </c>
      <c r="N164" s="165">
        <f t="shared" si="25"/>
        <v>-123.87786611904001</v>
      </c>
      <c r="O164" s="166">
        <f t="shared" si="23"/>
        <v>-1.5387136188048476</v>
      </c>
    </row>
    <row r="165" spans="11:15" x14ac:dyDescent="0.25">
      <c r="K165" s="164">
        <v>164</v>
      </c>
      <c r="L165" s="165">
        <f t="shared" si="24"/>
        <v>-80059.566422754084</v>
      </c>
      <c r="M165" s="165">
        <f t="shared" si="27"/>
        <v>-1181.2789802854088</v>
      </c>
      <c r="N165" s="165">
        <f t="shared" si="26"/>
        <v>-126.35542344142081</v>
      </c>
      <c r="O165" s="166">
        <f t="shared" si="23"/>
        <v>-1.5547249590719385</v>
      </c>
    </row>
    <row r="166" spans="11:15" x14ac:dyDescent="0.25">
      <c r="K166" s="164">
        <v>165</v>
      </c>
      <c r="L166" s="165">
        <f t="shared" si="24"/>
        <v>-81386.815342536807</v>
      </c>
      <c r="M166" s="165">
        <f t="shared" si="27"/>
        <v>-1200.8934963413112</v>
      </c>
      <c r="N166" s="165">
        <f t="shared" si="26"/>
        <v>-126.35542344142081</v>
      </c>
      <c r="O166" s="166">
        <f t="shared" si="23"/>
        <v>-1.5709208200711804</v>
      </c>
    </row>
    <row r="167" spans="11:15" x14ac:dyDescent="0.25">
      <c r="K167" s="164">
        <v>166</v>
      </c>
      <c r="L167" s="165">
        <f t="shared" si="24"/>
        <v>-82733.972996116281</v>
      </c>
      <c r="M167" s="165">
        <f t="shared" si="27"/>
        <v>-1220.8022301380522</v>
      </c>
      <c r="N167" s="165">
        <f t="shared" si="26"/>
        <v>-126.35542344142081</v>
      </c>
      <c r="O167" s="166">
        <f t="shared" si="23"/>
        <v>-1.5873035118436796</v>
      </c>
    </row>
    <row r="168" spans="11:15" x14ac:dyDescent="0.25">
      <c r="K168" s="164">
        <v>167</v>
      </c>
      <c r="L168" s="165">
        <f t="shared" si="24"/>
        <v>-84101.338014499444</v>
      </c>
      <c r="M168" s="165">
        <f t="shared" si="27"/>
        <v>-1241.0095949417441</v>
      </c>
      <c r="N168" s="165">
        <f t="shared" si="26"/>
        <v>-126.35542344142081</v>
      </c>
      <c r="O168" s="166">
        <f t="shared" si="23"/>
        <v>-1.6038753732645001</v>
      </c>
    </row>
    <row r="169" spans="11:15" x14ac:dyDescent="0.25">
      <c r="K169" s="164">
        <v>168</v>
      </c>
      <c r="L169" s="165">
        <f t="shared" si="24"/>
        <v>-85489.213508158355</v>
      </c>
      <c r="M169" s="165">
        <f t="shared" si="27"/>
        <v>-1261.5200702174916</v>
      </c>
      <c r="N169" s="165">
        <f t="shared" si="26"/>
        <v>-126.35542344142081</v>
      </c>
      <c r="O169" s="166">
        <f t="shared" si="23"/>
        <v>-1.6206387724394582</v>
      </c>
    </row>
    <row r="170" spans="11:15" x14ac:dyDescent="0.25">
      <c r="K170" s="164">
        <v>169</v>
      </c>
      <c r="L170" s="165">
        <f t="shared" si="24"/>
        <v>-86897.907134222143</v>
      </c>
      <c r="M170" s="165">
        <f t="shared" si="27"/>
        <v>-1282.3382026223753</v>
      </c>
      <c r="N170" s="165">
        <f t="shared" si="26"/>
        <v>-126.35542344142081</v>
      </c>
      <c r="O170" s="166">
        <f t="shared" si="23"/>
        <v>-1.6375961071065459</v>
      </c>
    </row>
    <row r="171" spans="11:15" x14ac:dyDescent="0.25">
      <c r="K171" s="164">
        <v>170</v>
      </c>
      <c r="L171" s="165">
        <f t="shared" si="24"/>
        <v>-88327.731164676894</v>
      </c>
      <c r="M171" s="165">
        <f t="shared" si="27"/>
        <v>-1303.4686070133321</v>
      </c>
      <c r="N171" s="165">
        <f t="shared" si="26"/>
        <v>-126.35542344142081</v>
      </c>
      <c r="O171" s="166">
        <f t="shared" si="23"/>
        <v>-1.6547498050420661</v>
      </c>
    </row>
    <row r="172" spans="11:15" x14ac:dyDescent="0.25">
      <c r="K172" s="164">
        <v>171</v>
      </c>
      <c r="L172" s="165">
        <f t="shared" si="24"/>
        <v>-89779.002555588464</v>
      </c>
      <c r="M172" s="165">
        <f t="shared" si="27"/>
        <v>-1324.9159674701534</v>
      </c>
      <c r="N172" s="165">
        <f t="shared" si="26"/>
        <v>-126.35542344142081</v>
      </c>
      <c r="O172" s="166">
        <f t="shared" si="23"/>
        <v>-1.6721023244715696</v>
      </c>
    </row>
    <row r="173" spans="11:15" x14ac:dyDescent="0.25">
      <c r="K173" s="164">
        <v>172</v>
      </c>
      <c r="L173" s="165">
        <f t="shared" si="24"/>
        <v>-91252.043017363714</v>
      </c>
      <c r="M173" s="165">
        <f t="shared" si="27"/>
        <v>-1346.6850383338269</v>
      </c>
      <c r="N173" s="165">
        <f t="shared" si="26"/>
        <v>-126.35542344142081</v>
      </c>
      <c r="O173" s="166">
        <f t="shared" si="23"/>
        <v>-1.6896561544856854</v>
      </c>
    </row>
    <row r="174" spans="11:15" x14ac:dyDescent="0.25">
      <c r="K174" s="164">
        <v>173</v>
      </c>
      <c r="L174" s="165">
        <f t="shared" si="24"/>
        <v>-92747.179086065589</v>
      </c>
      <c r="M174" s="165">
        <f t="shared" si="27"/>
        <v>-1368.7806452604557</v>
      </c>
      <c r="N174" s="165">
        <f t="shared" si="26"/>
        <v>-126.35542344142081</v>
      </c>
      <c r="O174" s="166">
        <f t="shared" si="23"/>
        <v>-1.7074138154609297</v>
      </c>
    </row>
    <row r="175" spans="11:15" x14ac:dyDescent="0.25">
      <c r="K175" s="164">
        <v>174</v>
      </c>
      <c r="L175" s="165">
        <f t="shared" si="24"/>
        <v>-94264.742195797997</v>
      </c>
      <c r="M175" s="165">
        <f t="shared" si="27"/>
        <v>-1391.2076862909837</v>
      </c>
      <c r="N175" s="165">
        <f t="shared" si="26"/>
        <v>-126.35542344142081</v>
      </c>
      <c r="O175" s="166">
        <f t="shared" si="23"/>
        <v>-1.7253778594855853</v>
      </c>
    </row>
    <row r="176" spans="11:15" x14ac:dyDescent="0.25">
      <c r="K176" s="164">
        <v>175</v>
      </c>
      <c r="L176" s="165">
        <f t="shared" si="24"/>
        <v>-95805.06875217639</v>
      </c>
      <c r="M176" s="165">
        <f t="shared" si="27"/>
        <v>-1413.97113293697</v>
      </c>
      <c r="N176" s="165">
        <f t="shared" si="26"/>
        <v>-126.35542344142081</v>
      </c>
      <c r="O176" s="166">
        <f t="shared" si="23"/>
        <v>-1.7435508707907381</v>
      </c>
    </row>
    <row r="177" spans="11:15" x14ac:dyDescent="0.25">
      <c r="K177" s="164">
        <v>176</v>
      </c>
      <c r="L177" s="165">
        <f t="shared" si="24"/>
        <v>-97366.022649578081</v>
      </c>
      <c r="M177" s="165">
        <f t="shared" si="27"/>
        <v>-1437.0760312826458</v>
      </c>
      <c r="N177" s="165">
        <f t="shared" si="25"/>
        <v>-123.87786611904001</v>
      </c>
      <c r="O177" s="166">
        <f t="shared" si="23"/>
        <v>-1.7618906334520879</v>
      </c>
    </row>
    <row r="178" spans="11:15" x14ac:dyDescent="0.25">
      <c r="K178" s="164">
        <v>177</v>
      </c>
      <c r="L178" s="165">
        <f t="shared" si="24"/>
        <v>-98950.390855440797</v>
      </c>
      <c r="M178" s="165">
        <f t="shared" si="27"/>
        <v>-1460.490339743671</v>
      </c>
      <c r="N178" s="165">
        <f t="shared" si="25"/>
        <v>-123.87786611904001</v>
      </c>
      <c r="O178" s="166">
        <f t="shared" si="23"/>
        <v>-1.7804444679279303</v>
      </c>
    </row>
    <row r="179" spans="11:15" x14ac:dyDescent="0.25">
      <c r="K179" s="164">
        <v>178</v>
      </c>
      <c r="L179" s="165">
        <f t="shared" si="24"/>
        <v>-100558.52458439146</v>
      </c>
      <c r="M179" s="165">
        <f t="shared" si="27"/>
        <v>-1484.2558628316119</v>
      </c>
      <c r="N179" s="165">
        <f t="shared" si="25"/>
        <v>-123.87786611904001</v>
      </c>
      <c r="O179" s="166">
        <f t="shared" si="23"/>
        <v>-1.7992150502750279</v>
      </c>
    </row>
    <row r="180" spans="11:15" x14ac:dyDescent="0.25">
      <c r="K180" s="164">
        <v>179</v>
      </c>
      <c r="L180" s="165">
        <f t="shared" si="24"/>
        <v>-102190.78031927638</v>
      </c>
      <c r="M180" s="165">
        <f t="shared" si="27"/>
        <v>-1508.3778687658717</v>
      </c>
      <c r="N180" s="165">
        <f t="shared" si="25"/>
        <v>-123.87786611904001</v>
      </c>
      <c r="O180" s="166">
        <f t="shared" si="23"/>
        <v>-1.8182050904835307</v>
      </c>
    </row>
    <row r="181" spans="11:15" x14ac:dyDescent="0.25">
      <c r="K181" s="164">
        <v>180</v>
      </c>
      <c r="L181" s="165">
        <f t="shared" si="24"/>
        <v>-103847.51989018457</v>
      </c>
      <c r="M181" s="165">
        <f t="shared" si="27"/>
        <v>-1532.8617047891457</v>
      </c>
      <c r="N181" s="165">
        <f t="shared" si="25"/>
        <v>-123.87786611904001</v>
      </c>
      <c r="O181" s="166">
        <f t="shared" si="23"/>
        <v>-1.837417332932572</v>
      </c>
    </row>
    <row r="182" spans="11:15" x14ac:dyDescent="0.25">
      <c r="K182" s="164">
        <v>181</v>
      </c>
      <c r="L182" s="165">
        <f t="shared" si="24"/>
        <v>-105531.58811197877</v>
      </c>
      <c r="M182" s="165">
        <f t="shared" si="27"/>
        <v>-1557.7127983527687</v>
      </c>
      <c r="N182" s="165">
        <f t="shared" si="22"/>
        <v>-126.35542344142081</v>
      </c>
      <c r="O182" s="166">
        <f t="shared" si="23"/>
        <v>-1.8568981511127667</v>
      </c>
    </row>
    <row r="183" spans="11:15" x14ac:dyDescent="0.25">
      <c r="K183" s="164">
        <v>182</v>
      </c>
      <c r="L183" s="165">
        <f t="shared" si="24"/>
        <v>-107240.91735709987</v>
      </c>
      <c r="M183" s="165">
        <f t="shared" si="27"/>
        <v>-1582.9738216796814</v>
      </c>
      <c r="N183" s="165">
        <f t="shared" si="22"/>
        <v>-126.35542344142081</v>
      </c>
      <c r="O183" s="166">
        <f t="shared" si="23"/>
        <v>-1.8766069365731419</v>
      </c>
    </row>
    <row r="184" spans="11:15" x14ac:dyDescent="0.25">
      <c r="K184" s="164">
        <v>183</v>
      </c>
      <c r="L184" s="165">
        <f t="shared" si="24"/>
        <v>-108975.88654089779</v>
      </c>
      <c r="M184" s="165">
        <f t="shared" si="27"/>
        <v>-1608.6137603564978</v>
      </c>
      <c r="N184" s="165">
        <f t="shared" si="22"/>
        <v>-126.35542344142081</v>
      </c>
      <c r="O184" s="166">
        <f t="shared" si="23"/>
        <v>-1.8965465465452811</v>
      </c>
    </row>
    <row r="185" spans="11:15" x14ac:dyDescent="0.25">
      <c r="K185" s="164">
        <v>184</v>
      </c>
      <c r="L185" s="165">
        <f t="shared" si="24"/>
        <v>-110736.88026245267</v>
      </c>
      <c r="M185" s="165">
        <f t="shared" si="27"/>
        <v>-1634.6382981134668</v>
      </c>
      <c r="N185" s="165">
        <f t="shared" si="22"/>
        <v>-126.35542344142081</v>
      </c>
      <c r="O185" s="166">
        <f t="shared" si="23"/>
        <v>-1.9167198745254517</v>
      </c>
    </row>
    <row r="186" spans="11:15" x14ac:dyDescent="0.25">
      <c r="K186" s="164">
        <v>185</v>
      </c>
      <c r="L186" s="165">
        <f t="shared" si="24"/>
        <v>-112524.28888983087</v>
      </c>
      <c r="M186" s="165">
        <f t="shared" si="27"/>
        <v>-1661.0532039367899</v>
      </c>
      <c r="N186" s="165">
        <f t="shared" ref="N186:N249" si="28">$N$88*1.02</f>
        <v>-126.35542344142081</v>
      </c>
      <c r="O186" s="166">
        <f t="shared" si="23"/>
        <v>-1.9371298507621795</v>
      </c>
    </row>
    <row r="187" spans="11:15" x14ac:dyDescent="0.25">
      <c r="K187" s="164">
        <v>186</v>
      </c>
      <c r="L187" s="165">
        <f t="shared" si="24"/>
        <v>-114338.50864661975</v>
      </c>
      <c r="M187" s="165">
        <f t="shared" si="27"/>
        <v>-1687.8643333474631</v>
      </c>
      <c r="N187" s="165">
        <f t="shared" si="28"/>
        <v>-126.35542344142081</v>
      </c>
      <c r="O187" s="166">
        <f t="shared" si="23"/>
        <v>-1.9577794427499904</v>
      </c>
    </row>
    <row r="188" spans="11:15" x14ac:dyDescent="0.25">
      <c r="K188" s="164">
        <v>187</v>
      </c>
      <c r="L188" s="165">
        <f t="shared" si="24"/>
        <v>-116179.94169976047</v>
      </c>
      <c r="M188" s="165">
        <f t="shared" si="27"/>
        <v>-1715.0776296992963</v>
      </c>
      <c r="N188" s="165">
        <f t="shared" si="28"/>
        <v>-126.35542344142081</v>
      </c>
      <c r="O188" s="166">
        <f t="shared" si="23"/>
        <v>-1.9786716557294146</v>
      </c>
    </row>
    <row r="189" spans="11:15" x14ac:dyDescent="0.25">
      <c r="K189" s="164">
        <v>188</v>
      </c>
      <c r="L189" s="165">
        <f t="shared" si="24"/>
        <v>-118048.9962486983</v>
      </c>
      <c r="M189" s="165">
        <f t="shared" si="27"/>
        <v>-1742.6991254964071</v>
      </c>
      <c r="N189" s="165">
        <f t="shared" si="28"/>
        <v>-126.35542344142081</v>
      </c>
      <c r="O189" s="166">
        <f t="shared" si="23"/>
        <v>-1.9998095331933587</v>
      </c>
    </row>
    <row r="190" spans="11:15" x14ac:dyDescent="0.25">
      <c r="K190" s="164">
        <v>189</v>
      </c>
      <c r="L190" s="165">
        <f t="shared" si="24"/>
        <v>-119946.0866158702</v>
      </c>
      <c r="M190" s="165">
        <f t="shared" si="27"/>
        <v>-1770.7349437304745</v>
      </c>
      <c r="N190" s="165">
        <f t="shared" si="28"/>
        <v>-126.35542344142081</v>
      </c>
      <c r="O190" s="166">
        <f t="shared" si="23"/>
        <v>-2.0211961573999293</v>
      </c>
    </row>
    <row r="191" spans="11:15" x14ac:dyDescent="0.25">
      <c r="K191" s="164">
        <v>190</v>
      </c>
      <c r="L191" s="165">
        <f t="shared" si="24"/>
        <v>-121869.15578122729</v>
      </c>
      <c r="M191" s="165">
        <f t="shared" si="27"/>
        <v>-1799.191299238053</v>
      </c>
      <c r="N191" s="165">
        <f t="shared" si="25"/>
        <v>-123.87786611904001</v>
      </c>
      <c r="O191" s="166">
        <f t="shared" si="23"/>
        <v>-2.0427931206219898</v>
      </c>
    </row>
    <row r="192" spans="11:15" x14ac:dyDescent="0.25">
      <c r="K192" s="164">
        <v>191</v>
      </c>
      <c r="L192" s="165">
        <f t="shared" si="24"/>
        <v>-123821.07098406475</v>
      </c>
      <c r="M192" s="165">
        <f t="shared" si="27"/>
        <v>-1828.0373367184093</v>
      </c>
      <c r="N192" s="165">
        <f t="shared" si="25"/>
        <v>-123.87786611904001</v>
      </c>
      <c r="O192" s="166">
        <f t="shared" si="23"/>
        <v>-2.0646449286665622</v>
      </c>
    </row>
    <row r="193" spans="11:15" x14ac:dyDescent="0.25">
      <c r="K193" s="164">
        <v>192</v>
      </c>
      <c r="L193" s="165">
        <f t="shared" si="24"/>
        <v>-125802.26491494477</v>
      </c>
      <c r="M193" s="165">
        <f t="shared" si="27"/>
        <v>-1857.3160647609711</v>
      </c>
      <c r="N193" s="165">
        <f t="shared" si="25"/>
        <v>-123.87786611904001</v>
      </c>
      <c r="O193" s="166">
        <f t="shared" ref="O193:O256" si="29">(L193/$C$20)/K193*12</f>
        <v>-2.0867547768713846</v>
      </c>
    </row>
    <row r="194" spans="11:15" x14ac:dyDescent="0.25">
      <c r="K194" s="164">
        <v>193</v>
      </c>
      <c r="L194" s="165">
        <f t="shared" si="24"/>
        <v>-127813.17675478799</v>
      </c>
      <c r="M194" s="165">
        <f t="shared" si="27"/>
        <v>-1887.0339737241713</v>
      </c>
      <c r="N194" s="165">
        <f t="shared" si="25"/>
        <v>-123.87786611904001</v>
      </c>
      <c r="O194" s="166">
        <f t="shared" si="29"/>
        <v>-2.1091259014510779</v>
      </c>
    </row>
    <row r="195" spans="11:15" x14ac:dyDescent="0.25">
      <c r="K195" s="164">
        <v>194</v>
      </c>
      <c r="L195" s="165">
        <f t="shared" ref="L195:L258" si="30">IF(L194&lt;0,(L194+M195)+N195,L194+N195)</f>
        <v>-129856.72982955123</v>
      </c>
      <c r="M195" s="165">
        <f t="shared" si="27"/>
        <v>-1917.1976513218196</v>
      </c>
      <c r="N195" s="165">
        <f t="shared" si="26"/>
        <v>-126.35542344142081</v>
      </c>
      <c r="O195" s="166">
        <f t="shared" si="29"/>
        <v>-2.1318022530380869</v>
      </c>
    </row>
    <row r="196" spans="11:15" x14ac:dyDescent="0.25">
      <c r="K196" s="164">
        <v>195</v>
      </c>
      <c r="L196" s="165">
        <f t="shared" si="30"/>
        <v>-131930.93620043591</v>
      </c>
      <c r="M196" s="165">
        <f t="shared" si="27"/>
        <v>-1947.8509474432685</v>
      </c>
      <c r="N196" s="165">
        <f t="shared" si="26"/>
        <v>-126.35542344142081</v>
      </c>
      <c r="O196" s="166">
        <f t="shared" si="29"/>
        <v>-2.154746668053126</v>
      </c>
    </row>
    <row r="197" spans="11:15" x14ac:dyDescent="0.25">
      <c r="K197" s="164">
        <v>196</v>
      </c>
      <c r="L197" s="165">
        <f t="shared" si="30"/>
        <v>-134036.25566688387</v>
      </c>
      <c r="M197" s="165">
        <f t="shared" si="27"/>
        <v>-1978.9640430065385</v>
      </c>
      <c r="N197" s="165">
        <f t="shared" si="26"/>
        <v>-126.35542344142081</v>
      </c>
      <c r="O197" s="166">
        <f t="shared" si="29"/>
        <v>-2.1779625147910453</v>
      </c>
    </row>
    <row r="198" spans="11:15" x14ac:dyDescent="0.25">
      <c r="K198" s="164">
        <v>197</v>
      </c>
      <c r="L198" s="165">
        <f t="shared" si="30"/>
        <v>-136173.15492532853</v>
      </c>
      <c r="M198" s="165">
        <f t="shared" si="27"/>
        <v>-2010.543835003258</v>
      </c>
      <c r="N198" s="165">
        <f t="shared" si="26"/>
        <v>-126.35542344142081</v>
      </c>
      <c r="O198" s="166">
        <f t="shared" si="29"/>
        <v>-2.2014532046556363</v>
      </c>
    </row>
    <row r="199" spans="11:15" x14ac:dyDescent="0.25">
      <c r="K199" s="164">
        <v>198</v>
      </c>
      <c r="L199" s="165">
        <f t="shared" si="30"/>
        <v>-138342.10767264987</v>
      </c>
      <c r="M199" s="165">
        <f t="shared" si="27"/>
        <v>-2042.5973238799279</v>
      </c>
      <c r="N199" s="165">
        <f t="shared" ref="N199:N262" si="31">$N$88*1.02</f>
        <v>-126.35542344142081</v>
      </c>
      <c r="O199" s="166">
        <f t="shared" si="29"/>
        <v>-2.2252221927350893</v>
      </c>
    </row>
    <row r="200" spans="11:15" x14ac:dyDescent="0.25">
      <c r="K200" s="164">
        <v>199</v>
      </c>
      <c r="L200" s="165">
        <f t="shared" si="30"/>
        <v>-140543.59471118104</v>
      </c>
      <c r="M200" s="165">
        <f t="shared" si="27"/>
        <v>-2075.1316150897478</v>
      </c>
      <c r="N200" s="165">
        <f t="shared" si="31"/>
        <v>-126.35542344142081</v>
      </c>
      <c r="O200" s="166">
        <f t="shared" si="29"/>
        <v>-2.2492729783849281</v>
      </c>
    </row>
    <row r="201" spans="11:15" x14ac:dyDescent="0.25">
      <c r="K201" s="164">
        <v>200</v>
      </c>
      <c r="L201" s="165">
        <f t="shared" si="30"/>
        <v>-142778.10405529017</v>
      </c>
      <c r="M201" s="165">
        <f t="shared" si="27"/>
        <v>-2108.1539206677157</v>
      </c>
      <c r="N201" s="165">
        <f t="shared" si="31"/>
        <v>-126.35542344142081</v>
      </c>
      <c r="O201" s="166">
        <f t="shared" si="29"/>
        <v>-2.2736091058185481</v>
      </c>
    </row>
    <row r="202" spans="11:15" x14ac:dyDescent="0.25">
      <c r="K202" s="164">
        <v>201</v>
      </c>
      <c r="L202" s="165">
        <f t="shared" si="30"/>
        <v>-145046.13103956095</v>
      </c>
      <c r="M202" s="165">
        <f t="shared" si="27"/>
        <v>-2141.6715608293525</v>
      </c>
      <c r="N202" s="165">
        <f t="shared" si="31"/>
        <v>-126.35542344142081</v>
      </c>
      <c r="O202" s="166">
        <f t="shared" si="29"/>
        <v>-2.2982341647054483</v>
      </c>
    </row>
    <row r="203" spans="11:15" x14ac:dyDescent="0.25">
      <c r="K203" s="164">
        <v>202</v>
      </c>
      <c r="L203" s="165">
        <f t="shared" si="30"/>
        <v>-147348.17842859577</v>
      </c>
      <c r="M203" s="165">
        <f t="shared" si="27"/>
        <v>-2175.6919655934139</v>
      </c>
      <c r="N203" s="165">
        <f t="shared" si="31"/>
        <v>-126.35542344142081</v>
      </c>
      <c r="O203" s="166">
        <f t="shared" si="29"/>
        <v>-2.323151790777287</v>
      </c>
    </row>
    <row r="204" spans="11:15" x14ac:dyDescent="0.25">
      <c r="K204" s="164">
        <v>203</v>
      </c>
      <c r="L204" s="165">
        <f t="shared" si="30"/>
        <v>-149684.75652846613</v>
      </c>
      <c r="M204" s="165">
        <f t="shared" si="27"/>
        <v>-2210.2226764289367</v>
      </c>
      <c r="N204" s="165">
        <f t="shared" si="31"/>
        <v>-126.35542344142081</v>
      </c>
      <c r="O204" s="166">
        <f t="shared" si="29"/>
        <v>-2.3483656664418575</v>
      </c>
    </row>
    <row r="205" spans="11:15" x14ac:dyDescent="0.25">
      <c r="K205" s="164">
        <v>204</v>
      </c>
      <c r="L205" s="165">
        <f t="shared" si="30"/>
        <v>-152056.38329983453</v>
      </c>
      <c r="M205" s="165">
        <f t="shared" si="27"/>
        <v>-2245.2713479269919</v>
      </c>
      <c r="N205" s="165">
        <f t="shared" si="31"/>
        <v>-126.35542344142081</v>
      </c>
      <c r="O205" s="166">
        <f t="shared" si="29"/>
        <v>-2.3738795214051098</v>
      </c>
    </row>
    <row r="206" spans="11:15" x14ac:dyDescent="0.25">
      <c r="K206" s="164">
        <v>205</v>
      </c>
      <c r="L206" s="165">
        <f t="shared" si="30"/>
        <v>-154463.58447277348</v>
      </c>
      <c r="M206" s="165">
        <f t="shared" si="27"/>
        <v>-2280.8457494975178</v>
      </c>
      <c r="N206" s="165">
        <f t="shared" si="31"/>
        <v>-126.35542344142081</v>
      </c>
      <c r="O206" s="166">
        <f t="shared" si="29"/>
        <v>-2.3996971333013262</v>
      </c>
    </row>
    <row r="207" spans="11:15" x14ac:dyDescent="0.25">
      <c r="K207" s="164">
        <v>206</v>
      </c>
      <c r="L207" s="165">
        <f t="shared" si="30"/>
        <v>-156904.4161059841</v>
      </c>
      <c r="M207" s="165">
        <f t="shared" si="27"/>
        <v>-2316.953767091602</v>
      </c>
      <c r="N207" s="165">
        <f t="shared" ref="N207:N270" si="32">$N$76*1.02</f>
        <v>-123.87786611904001</v>
      </c>
      <c r="O207" s="166">
        <f t="shared" si="29"/>
        <v>-2.4257840246360978</v>
      </c>
    </row>
    <row r="208" spans="11:15" x14ac:dyDescent="0.25">
      <c r="K208" s="164">
        <v>207</v>
      </c>
      <c r="L208" s="165">
        <f t="shared" si="30"/>
        <v>-159381.86021369288</v>
      </c>
      <c r="M208" s="165">
        <f t="shared" ref="M208:M271" si="33">IF(L207&lt;0,(L207*0.18/12),0)</f>
        <v>-2353.5662415897614</v>
      </c>
      <c r="N208" s="165">
        <f t="shared" si="32"/>
        <v>-123.87786611904001</v>
      </c>
      <c r="O208" s="166">
        <f t="shared" si="29"/>
        <v>-2.4521821728237887</v>
      </c>
    </row>
    <row r="209" spans="11:15" x14ac:dyDescent="0.25">
      <c r="K209" s="164">
        <v>208</v>
      </c>
      <c r="L209" s="165">
        <f t="shared" si="30"/>
        <v>-161896.46598301732</v>
      </c>
      <c r="M209" s="165">
        <f t="shared" si="33"/>
        <v>-2390.7279032053934</v>
      </c>
      <c r="N209" s="165">
        <f t="shared" si="32"/>
        <v>-123.87786611904001</v>
      </c>
      <c r="O209" s="166">
        <f t="shared" si="29"/>
        <v>-2.4788954975216573</v>
      </c>
    </row>
    <row r="210" spans="11:15" x14ac:dyDescent="0.25">
      <c r="K210" s="164">
        <v>209</v>
      </c>
      <c r="L210" s="165">
        <f t="shared" si="30"/>
        <v>-164448.7908388816</v>
      </c>
      <c r="M210" s="165">
        <f t="shared" si="33"/>
        <v>-2428.4469897452595</v>
      </c>
      <c r="N210" s="165">
        <f t="shared" si="32"/>
        <v>-123.87786611904001</v>
      </c>
      <c r="O210" s="166">
        <f t="shared" si="29"/>
        <v>-2.5059279689001674</v>
      </c>
    </row>
    <row r="211" spans="11:15" x14ac:dyDescent="0.25">
      <c r="K211" s="164">
        <v>210</v>
      </c>
      <c r="L211" s="165">
        <f t="shared" si="30"/>
        <v>-167039.40056758386</v>
      </c>
      <c r="M211" s="165">
        <f t="shared" si="33"/>
        <v>-2466.731862583224</v>
      </c>
      <c r="N211" s="165">
        <f t="shared" si="32"/>
        <v>-123.87786611904001</v>
      </c>
      <c r="O211" s="166">
        <f t="shared" si="29"/>
        <v>-2.5332836083142838</v>
      </c>
    </row>
    <row r="212" spans="11:15" x14ac:dyDescent="0.25">
      <c r="K212" s="164">
        <v>211</v>
      </c>
      <c r="L212" s="165">
        <f t="shared" si="30"/>
        <v>-169671.34699953903</v>
      </c>
      <c r="M212" s="165">
        <f t="shared" si="33"/>
        <v>-2505.591008513758</v>
      </c>
      <c r="N212" s="165">
        <f t="shared" si="28"/>
        <v>-126.35542344142081</v>
      </c>
      <c r="O212" s="166">
        <f t="shared" si="29"/>
        <v>-2.5610038850086232</v>
      </c>
    </row>
    <row r="213" spans="11:15" x14ac:dyDescent="0.25">
      <c r="K213" s="164">
        <v>212</v>
      </c>
      <c r="L213" s="165">
        <f t="shared" si="30"/>
        <v>-172342.77262797355</v>
      </c>
      <c r="M213" s="165">
        <f t="shared" si="33"/>
        <v>-2545.0702049930856</v>
      </c>
      <c r="N213" s="165">
        <f t="shared" si="28"/>
        <v>-126.35542344142081</v>
      </c>
      <c r="O213" s="166">
        <f t="shared" si="29"/>
        <v>-2.5890557342334981</v>
      </c>
    </row>
    <row r="214" spans="11:15" x14ac:dyDescent="0.25">
      <c r="K214" s="164">
        <v>213</v>
      </c>
      <c r="L214" s="165">
        <f t="shared" si="30"/>
        <v>-175054.26964083457</v>
      </c>
      <c r="M214" s="165">
        <f t="shared" si="33"/>
        <v>-2585.141589419603</v>
      </c>
      <c r="N214" s="165">
        <f t="shared" si="28"/>
        <v>-126.35542344142081</v>
      </c>
      <c r="O214" s="166">
        <f t="shared" si="29"/>
        <v>-2.6174433404553712</v>
      </c>
    </row>
    <row r="215" spans="11:15" x14ac:dyDescent="0.25">
      <c r="K215" s="164">
        <v>214</v>
      </c>
      <c r="L215" s="165">
        <f t="shared" si="30"/>
        <v>-177806.4391088885</v>
      </c>
      <c r="M215" s="165">
        <f t="shared" si="33"/>
        <v>-2625.8140446125185</v>
      </c>
      <c r="N215" s="165">
        <f t="shared" si="28"/>
        <v>-126.35542344142081</v>
      </c>
      <c r="O215" s="166">
        <f t="shared" si="29"/>
        <v>-2.6461709421232658</v>
      </c>
    </row>
    <row r="216" spans="11:15" x14ac:dyDescent="0.25">
      <c r="K216" s="164">
        <v>215</v>
      </c>
      <c r="L216" s="165">
        <f t="shared" si="30"/>
        <v>-180599.89111896325</v>
      </c>
      <c r="M216" s="165">
        <f t="shared" si="33"/>
        <v>-2667.0965866333277</v>
      </c>
      <c r="N216" s="165">
        <f t="shared" si="28"/>
        <v>-126.35542344142081</v>
      </c>
      <c r="O216" s="166">
        <f t="shared" si="29"/>
        <v>-2.6752428323870903</v>
      </c>
    </row>
    <row r="217" spans="11:15" x14ac:dyDescent="0.25">
      <c r="K217" s="164">
        <v>216</v>
      </c>
      <c r="L217" s="165">
        <f t="shared" si="30"/>
        <v>-183435.24490918912</v>
      </c>
      <c r="M217" s="165">
        <f t="shared" si="33"/>
        <v>-2708.9983667844485</v>
      </c>
      <c r="N217" s="165">
        <f t="shared" si="28"/>
        <v>-126.35542344142081</v>
      </c>
      <c r="O217" s="166">
        <f t="shared" si="29"/>
        <v>-2.7046633598254752</v>
      </c>
    </row>
    <row r="218" spans="11:15" x14ac:dyDescent="0.25">
      <c r="K218" s="164">
        <v>217</v>
      </c>
      <c r="L218" s="165">
        <f t="shared" si="30"/>
        <v>-186313.12900626837</v>
      </c>
      <c r="M218" s="165">
        <f t="shared" si="33"/>
        <v>-2751.5286736378366</v>
      </c>
      <c r="N218" s="165">
        <f t="shared" si="28"/>
        <v>-126.35542344142081</v>
      </c>
      <c r="O218" s="166">
        <f t="shared" si="29"/>
        <v>-2.7344369291832589</v>
      </c>
    </row>
    <row r="219" spans="11:15" x14ac:dyDescent="0.25">
      <c r="K219" s="164">
        <v>218</v>
      </c>
      <c r="L219" s="165">
        <f t="shared" si="30"/>
        <v>-189234.18136480381</v>
      </c>
      <c r="M219" s="165">
        <f t="shared" si="33"/>
        <v>-2794.6969350940253</v>
      </c>
      <c r="N219" s="165">
        <f t="shared" si="28"/>
        <v>-126.35542344142081</v>
      </c>
      <c r="O219" s="166">
        <f t="shared" si="29"/>
        <v>-2.7645680021187546</v>
      </c>
    </row>
    <row r="220" spans="11:15" x14ac:dyDescent="0.25">
      <c r="K220" s="164">
        <v>219</v>
      </c>
      <c r="L220" s="165">
        <f t="shared" si="30"/>
        <v>-192199.04950871729</v>
      </c>
      <c r="M220" s="165">
        <f t="shared" si="33"/>
        <v>-2838.512720472057</v>
      </c>
      <c r="N220" s="165">
        <f t="shared" si="28"/>
        <v>-126.35542344142081</v>
      </c>
      <c r="O220" s="166">
        <f t="shared" si="29"/>
        <v>-2.7950610979609443</v>
      </c>
    </row>
    <row r="221" spans="11:15" x14ac:dyDescent="0.25">
      <c r="K221" s="164">
        <v>220</v>
      </c>
      <c r="L221" s="165">
        <f t="shared" si="30"/>
        <v>-195205.91311746708</v>
      </c>
      <c r="M221" s="165">
        <f t="shared" si="33"/>
        <v>-2882.985742630759</v>
      </c>
      <c r="N221" s="165">
        <f t="shared" si="32"/>
        <v>-123.87786611904001</v>
      </c>
      <c r="O221" s="166">
        <f t="shared" si="29"/>
        <v>-2.825884928289141</v>
      </c>
    </row>
    <row r="222" spans="11:15" x14ac:dyDescent="0.25">
      <c r="K222" s="164">
        <v>221</v>
      </c>
      <c r="L222" s="165">
        <f t="shared" si="30"/>
        <v>-198257.87968034812</v>
      </c>
      <c r="M222" s="165">
        <f t="shared" si="33"/>
        <v>-2928.0886967620063</v>
      </c>
      <c r="N222" s="165">
        <f t="shared" si="32"/>
        <v>-123.87786611904001</v>
      </c>
      <c r="O222" s="166">
        <f t="shared" si="29"/>
        <v>-2.8570797852956016</v>
      </c>
    </row>
    <row r="223" spans="11:15" x14ac:dyDescent="0.25">
      <c r="K223" s="164">
        <v>222</v>
      </c>
      <c r="L223" s="165">
        <f t="shared" si="30"/>
        <v>-201355.62574167238</v>
      </c>
      <c r="M223" s="165">
        <f t="shared" si="33"/>
        <v>-2973.8681952052216</v>
      </c>
      <c r="N223" s="165">
        <f t="shared" si="32"/>
        <v>-123.87786611904001</v>
      </c>
      <c r="O223" s="166">
        <f t="shared" si="29"/>
        <v>-2.8886503608195739</v>
      </c>
    </row>
    <row r="224" spans="11:15" x14ac:dyDescent="0.25">
      <c r="K224" s="164">
        <v>223</v>
      </c>
      <c r="L224" s="165">
        <f t="shared" si="30"/>
        <v>-204499.8379939165</v>
      </c>
      <c r="M224" s="165">
        <f t="shared" si="33"/>
        <v>-3020.3343861250855</v>
      </c>
      <c r="N224" s="165">
        <f t="shared" si="32"/>
        <v>-123.87786611904001</v>
      </c>
      <c r="O224" s="166">
        <f t="shared" si="29"/>
        <v>-2.9206014074746065</v>
      </c>
    </row>
    <row r="225" spans="11:15" x14ac:dyDescent="0.25">
      <c r="K225" s="164">
        <v>224</v>
      </c>
      <c r="L225" s="165">
        <f t="shared" si="30"/>
        <v>-207693.69098726666</v>
      </c>
      <c r="M225" s="165">
        <f t="shared" si="33"/>
        <v>-3067.4975699087477</v>
      </c>
      <c r="N225" s="165">
        <f t="shared" si="31"/>
        <v>-126.35542344142081</v>
      </c>
      <c r="O225" s="166">
        <f t="shared" si="29"/>
        <v>-2.9529729651762038</v>
      </c>
    </row>
    <row r="226" spans="11:15" x14ac:dyDescent="0.25">
      <c r="K226" s="164">
        <v>225</v>
      </c>
      <c r="L226" s="165">
        <f t="shared" si="30"/>
        <v>-210935.45177551708</v>
      </c>
      <c r="M226" s="165">
        <f t="shared" si="33"/>
        <v>-3115.4053648089998</v>
      </c>
      <c r="N226" s="165">
        <f t="shared" si="31"/>
        <v>-126.35542344142081</v>
      </c>
      <c r="O226" s="166">
        <f t="shared" si="29"/>
        <v>-2.9857348977204072</v>
      </c>
    </row>
    <row r="227" spans="11:15" x14ac:dyDescent="0.25">
      <c r="K227" s="164">
        <v>226</v>
      </c>
      <c r="L227" s="165">
        <f t="shared" si="30"/>
        <v>-214225.83897559126</v>
      </c>
      <c r="M227" s="165">
        <f t="shared" si="33"/>
        <v>-3164.0317766327557</v>
      </c>
      <c r="N227" s="165">
        <f t="shared" si="31"/>
        <v>-126.35542344142081</v>
      </c>
      <c r="O227" s="166">
        <f t="shared" si="29"/>
        <v>-3.0188921499625128</v>
      </c>
    </row>
    <row r="228" spans="11:15" x14ac:dyDescent="0.25">
      <c r="K228" s="164">
        <v>227</v>
      </c>
      <c r="L228" s="165">
        <f t="shared" si="30"/>
        <v>-217565.58198366655</v>
      </c>
      <c r="M228" s="165">
        <f t="shared" si="33"/>
        <v>-3213.3875846338688</v>
      </c>
      <c r="N228" s="165">
        <f t="shared" si="31"/>
        <v>-126.35542344142081</v>
      </c>
      <c r="O228" s="166">
        <f t="shared" si="29"/>
        <v>-3.0524497308569636</v>
      </c>
    </row>
    <row r="229" spans="11:15" x14ac:dyDescent="0.25">
      <c r="K229" s="164">
        <v>228</v>
      </c>
      <c r="L229" s="165">
        <f t="shared" si="30"/>
        <v>-220955.42113686298</v>
      </c>
      <c r="M229" s="165">
        <f t="shared" si="33"/>
        <v>-3263.483729754998</v>
      </c>
      <c r="N229" s="165">
        <f t="shared" si="31"/>
        <v>-126.35542344142081</v>
      </c>
      <c r="O229" s="166">
        <f t="shared" si="29"/>
        <v>-3.0864127143102129</v>
      </c>
    </row>
    <row r="230" spans="11:15" x14ac:dyDescent="0.25">
      <c r="K230" s="164">
        <v>229</v>
      </c>
      <c r="L230" s="165">
        <f t="shared" si="30"/>
        <v>-224396.10787735734</v>
      </c>
      <c r="M230" s="165">
        <f t="shared" si="33"/>
        <v>-3314.3313170529441</v>
      </c>
      <c r="N230" s="165">
        <f t="shared" si="31"/>
        <v>-126.35542344142081</v>
      </c>
      <c r="O230" s="166">
        <f t="shared" si="29"/>
        <v>-3.1207862400449753</v>
      </c>
    </row>
    <row r="231" spans="11:15" x14ac:dyDescent="0.25">
      <c r="K231" s="164">
        <v>230</v>
      </c>
      <c r="L231" s="165">
        <f t="shared" si="30"/>
        <v>-227888.40491895913</v>
      </c>
      <c r="M231" s="165">
        <f t="shared" si="33"/>
        <v>-3365.9416181603597</v>
      </c>
      <c r="N231" s="165">
        <f t="shared" si="31"/>
        <v>-126.35542344142081</v>
      </c>
      <c r="O231" s="166">
        <f t="shared" si="29"/>
        <v>-3.1555755144760163</v>
      </c>
    </row>
    <row r="232" spans="11:15" x14ac:dyDescent="0.25">
      <c r="K232" s="164">
        <v>231</v>
      </c>
      <c r="L232" s="165">
        <f t="shared" si="30"/>
        <v>-231433.08641618493</v>
      </c>
      <c r="M232" s="165">
        <f t="shared" si="33"/>
        <v>-3418.3260737843866</v>
      </c>
      <c r="N232" s="165">
        <f t="shared" si="31"/>
        <v>-126.35542344142081</v>
      </c>
      <c r="O232" s="166">
        <f t="shared" si="29"/>
        <v>-3.1907858115976446</v>
      </c>
    </row>
    <row r="233" spans="11:15" x14ac:dyDescent="0.25">
      <c r="K233" s="164">
        <v>232</v>
      </c>
      <c r="L233" s="165">
        <f t="shared" si="30"/>
        <v>-235030.93813586913</v>
      </c>
      <c r="M233" s="165">
        <f t="shared" si="33"/>
        <v>-3471.496296242774</v>
      </c>
      <c r="N233" s="165">
        <f t="shared" si="31"/>
        <v>-126.35542344142081</v>
      </c>
      <c r="O233" s="166">
        <f t="shared" si="29"/>
        <v>-3.2264224738830674</v>
      </c>
    </row>
    <row r="234" spans="11:15" x14ac:dyDescent="0.25">
      <c r="K234" s="164">
        <v>233</v>
      </c>
      <c r="L234" s="165">
        <f t="shared" si="30"/>
        <v>-238682.75763134859</v>
      </c>
      <c r="M234" s="165">
        <f t="shared" si="33"/>
        <v>-3525.4640720380371</v>
      </c>
      <c r="N234" s="165">
        <f t="shared" si="31"/>
        <v>-126.35542344142081</v>
      </c>
      <c r="O234" s="166">
        <f t="shared" si="29"/>
        <v>-3.2624909131957711</v>
      </c>
    </row>
    <row r="235" spans="11:15" x14ac:dyDescent="0.25">
      <c r="K235" s="164">
        <v>234</v>
      </c>
      <c r="L235" s="165">
        <f t="shared" si="30"/>
        <v>-242389.35441926023</v>
      </c>
      <c r="M235" s="165">
        <f t="shared" si="33"/>
        <v>-3580.2413644702287</v>
      </c>
      <c r="N235" s="165">
        <f t="shared" si="31"/>
        <v>-126.35542344142081</v>
      </c>
      <c r="O235" s="166">
        <f t="shared" si="29"/>
        <v>-3.2989966117130924</v>
      </c>
    </row>
    <row r="236" spans="11:15" x14ac:dyDescent="0.25">
      <c r="K236" s="164">
        <v>235</v>
      </c>
      <c r="L236" s="165">
        <f t="shared" si="30"/>
        <v>-246151.55015899055</v>
      </c>
      <c r="M236" s="165">
        <f t="shared" si="33"/>
        <v>-3635.8403162889031</v>
      </c>
      <c r="N236" s="165">
        <f t="shared" si="31"/>
        <v>-126.35542344142081</v>
      </c>
      <c r="O236" s="166">
        <f t="shared" si="29"/>
        <v>-3.3359451228621566</v>
      </c>
    </row>
    <row r="237" spans="11:15" x14ac:dyDescent="0.25">
      <c r="K237" s="164">
        <v>236</v>
      </c>
      <c r="L237" s="165">
        <f t="shared" si="30"/>
        <v>-249967.70127749443</v>
      </c>
      <c r="M237" s="165">
        <f t="shared" si="33"/>
        <v>-3692.2732523848576</v>
      </c>
      <c r="N237" s="165">
        <f t="shared" si="32"/>
        <v>-123.87786611904001</v>
      </c>
      <c r="O237" s="166">
        <f t="shared" si="29"/>
        <v>-3.3733086376866881</v>
      </c>
    </row>
    <row r="238" spans="11:15" x14ac:dyDescent="0.25">
      <c r="K238" s="164">
        <v>237</v>
      </c>
      <c r="L238" s="165">
        <f t="shared" si="30"/>
        <v>-253841.09466277587</v>
      </c>
      <c r="M238" s="165">
        <f t="shared" si="33"/>
        <v>-3749.5155191624162</v>
      </c>
      <c r="N238" s="165">
        <f t="shared" si="32"/>
        <v>-123.87786611904001</v>
      </c>
      <c r="O238" s="166">
        <f t="shared" si="29"/>
        <v>-3.4111260722988677</v>
      </c>
    </row>
    <row r="239" spans="11:15" x14ac:dyDescent="0.25">
      <c r="K239" s="164">
        <v>238</v>
      </c>
      <c r="L239" s="165">
        <f t="shared" si="30"/>
        <v>-257772.58894883655</v>
      </c>
      <c r="M239" s="165">
        <f t="shared" si="33"/>
        <v>-3807.616419941638</v>
      </c>
      <c r="N239" s="165">
        <f t="shared" si="32"/>
        <v>-123.87786611904001</v>
      </c>
      <c r="O239" s="166">
        <f t="shared" si="29"/>
        <v>-3.449403194895869</v>
      </c>
    </row>
    <row r="240" spans="11:15" x14ac:dyDescent="0.25">
      <c r="K240" s="164">
        <v>239</v>
      </c>
      <c r="L240" s="165">
        <f t="shared" si="30"/>
        <v>-261763.05564918811</v>
      </c>
      <c r="M240" s="165">
        <f t="shared" si="33"/>
        <v>-3866.5888342325484</v>
      </c>
      <c r="N240" s="165">
        <f t="shared" si="32"/>
        <v>-123.87786611904001</v>
      </c>
      <c r="O240" s="166">
        <f t="shared" si="29"/>
        <v>-3.4881458487630037</v>
      </c>
    </row>
    <row r="241" spans="11:15" x14ac:dyDescent="0.25">
      <c r="K241" s="164">
        <v>240</v>
      </c>
      <c r="L241" s="165">
        <f t="shared" si="30"/>
        <v>-265813.37935004494</v>
      </c>
      <c r="M241" s="165">
        <f t="shared" si="33"/>
        <v>-3926.4458347378218</v>
      </c>
      <c r="N241" s="165">
        <f t="shared" si="32"/>
        <v>-123.87786611904001</v>
      </c>
      <c r="O241" s="166">
        <f t="shared" si="29"/>
        <v>-3.5273599532730655</v>
      </c>
    </row>
    <row r="242" spans="11:15" x14ac:dyDescent="0.25">
      <c r="K242" s="164">
        <v>241</v>
      </c>
      <c r="L242" s="165">
        <f t="shared" si="30"/>
        <v>-269926.93546373706</v>
      </c>
      <c r="M242" s="165">
        <f t="shared" si="33"/>
        <v>-3987.2006902506741</v>
      </c>
      <c r="N242" s="165">
        <f t="shared" si="28"/>
        <v>-126.35542344142081</v>
      </c>
      <c r="O242" s="166">
        <f t="shared" si="29"/>
        <v>-3.5670842458172145</v>
      </c>
    </row>
    <row r="243" spans="11:15" x14ac:dyDescent="0.25">
      <c r="K243" s="164">
        <v>242</v>
      </c>
      <c r="L243" s="165">
        <f t="shared" si="30"/>
        <v>-274102.19491913455</v>
      </c>
      <c r="M243" s="165">
        <f t="shared" si="33"/>
        <v>-4048.9040319560554</v>
      </c>
      <c r="N243" s="165">
        <f t="shared" si="28"/>
        <v>-126.35542344142081</v>
      </c>
      <c r="O243" s="166">
        <f t="shared" si="29"/>
        <v>-3.6072922785752386</v>
      </c>
    </row>
    <row r="244" spans="11:15" x14ac:dyDescent="0.25">
      <c r="K244" s="164">
        <v>243</v>
      </c>
      <c r="L244" s="165">
        <f t="shared" si="30"/>
        <v>-278340.08326636301</v>
      </c>
      <c r="M244" s="165">
        <f t="shared" si="33"/>
        <v>-4111.5329237870183</v>
      </c>
      <c r="N244" s="165">
        <f t="shared" si="28"/>
        <v>-126.35542344142081</v>
      </c>
      <c r="O244" s="166">
        <f t="shared" si="29"/>
        <v>-3.6479902099220824</v>
      </c>
    </row>
    <row r="245" spans="11:15" x14ac:dyDescent="0.25">
      <c r="K245" s="164">
        <v>244</v>
      </c>
      <c r="L245" s="165">
        <f t="shared" si="30"/>
        <v>-282641.53993879992</v>
      </c>
      <c r="M245" s="165">
        <f t="shared" si="33"/>
        <v>-4175.1012489954455</v>
      </c>
      <c r="N245" s="165">
        <f t="shared" si="28"/>
        <v>-126.35542344142081</v>
      </c>
      <c r="O245" s="166">
        <f t="shared" si="29"/>
        <v>-3.6891842784871391</v>
      </c>
    </row>
    <row r="246" spans="11:15" x14ac:dyDescent="0.25">
      <c r="K246" s="164">
        <v>245</v>
      </c>
      <c r="L246" s="165">
        <f t="shared" si="30"/>
        <v>-287007.51846132334</v>
      </c>
      <c r="M246" s="165">
        <f t="shared" si="33"/>
        <v>-4239.6230990819986</v>
      </c>
      <c r="N246" s="165">
        <f t="shared" si="28"/>
        <v>-126.35542344142081</v>
      </c>
      <c r="O246" s="166">
        <f t="shared" si="29"/>
        <v>-3.7308808042234891</v>
      </c>
    </row>
    <row r="247" spans="11:15" x14ac:dyDescent="0.25">
      <c r="K247" s="164">
        <v>246</v>
      </c>
      <c r="L247" s="165">
        <f t="shared" si="30"/>
        <v>-291438.98666168464</v>
      </c>
      <c r="M247" s="165">
        <f t="shared" si="33"/>
        <v>-4305.1127769198501</v>
      </c>
      <c r="N247" s="165">
        <f t="shared" si="28"/>
        <v>-126.35542344142081</v>
      </c>
      <c r="O247" s="166">
        <f t="shared" si="29"/>
        <v>-3.773086189491488</v>
      </c>
    </row>
    <row r="248" spans="11:15" x14ac:dyDescent="0.25">
      <c r="K248" s="164">
        <v>247</v>
      </c>
      <c r="L248" s="165">
        <f t="shared" si="30"/>
        <v>-295936.92688505136</v>
      </c>
      <c r="M248" s="165">
        <f t="shared" si="33"/>
        <v>-4371.5847999252692</v>
      </c>
      <c r="N248" s="165">
        <f t="shared" si="28"/>
        <v>-126.35542344142081</v>
      </c>
      <c r="O248" s="166">
        <f t="shared" si="29"/>
        <v>-3.8158069201569225</v>
      </c>
    </row>
    <row r="249" spans="11:15" x14ac:dyDescent="0.25">
      <c r="K249" s="164">
        <v>248</v>
      </c>
      <c r="L249" s="165">
        <f t="shared" si="30"/>
        <v>-300502.33621176856</v>
      </c>
      <c r="M249" s="165">
        <f t="shared" si="33"/>
        <v>-4439.0539032757706</v>
      </c>
      <c r="N249" s="165">
        <f t="shared" si="28"/>
        <v>-126.35542344142081</v>
      </c>
      <c r="O249" s="166">
        <f t="shared" si="29"/>
        <v>-3.8590495667039155</v>
      </c>
    </row>
    <row r="250" spans="11:15" x14ac:dyDescent="0.25">
      <c r="K250" s="164">
        <v>249</v>
      </c>
      <c r="L250" s="165">
        <f t="shared" si="30"/>
        <v>-305136.22667838656</v>
      </c>
      <c r="M250" s="165">
        <f t="shared" si="33"/>
        <v>-4507.5350431765282</v>
      </c>
      <c r="N250" s="165">
        <f t="shared" ref="N250:N310" si="34">$N$88*1.02</f>
        <v>-126.35542344142081</v>
      </c>
      <c r="O250" s="166">
        <f t="shared" si="29"/>
        <v>-3.9028207853628096</v>
      </c>
    </row>
    <row r="251" spans="11:15" x14ac:dyDescent="0.25">
      <c r="K251" s="164">
        <v>250</v>
      </c>
      <c r="L251" s="165">
        <f t="shared" si="30"/>
        <v>-309837.1479446814</v>
      </c>
      <c r="M251" s="165">
        <f t="shared" si="33"/>
        <v>-4577.0434001757985</v>
      </c>
      <c r="N251" s="165">
        <f t="shared" si="32"/>
        <v>-123.87786611904001</v>
      </c>
      <c r="O251" s="166">
        <f t="shared" si="29"/>
        <v>-3.94709575700813</v>
      </c>
    </row>
    <row r="252" spans="11:15" x14ac:dyDescent="0.25">
      <c r="K252" s="164">
        <v>251</v>
      </c>
      <c r="L252" s="165">
        <f t="shared" si="30"/>
        <v>-314608.58302997064</v>
      </c>
      <c r="M252" s="165">
        <f t="shared" si="33"/>
        <v>-4647.5572191702204</v>
      </c>
      <c r="N252" s="165">
        <f t="shared" si="32"/>
        <v>-123.87786611904001</v>
      </c>
      <c r="O252" s="166">
        <f t="shared" si="29"/>
        <v>-3.9919126549967152</v>
      </c>
    </row>
    <row r="253" spans="11:15" x14ac:dyDescent="0.25">
      <c r="K253" s="164">
        <v>252</v>
      </c>
      <c r="L253" s="165">
        <f t="shared" si="30"/>
        <v>-319451.58964153921</v>
      </c>
      <c r="M253" s="165">
        <f t="shared" si="33"/>
        <v>-4719.1287454495596</v>
      </c>
      <c r="N253" s="165">
        <f t="shared" si="32"/>
        <v>-123.87786611904001</v>
      </c>
      <c r="O253" s="166">
        <f t="shared" si="29"/>
        <v>-4.0372783952920663</v>
      </c>
    </row>
    <row r="254" spans="11:15" x14ac:dyDescent="0.25">
      <c r="K254" s="164">
        <v>253</v>
      </c>
      <c r="L254" s="165">
        <f t="shared" si="30"/>
        <v>-324367.2413522813</v>
      </c>
      <c r="M254" s="165">
        <f t="shared" si="33"/>
        <v>-4791.7738446230878</v>
      </c>
      <c r="N254" s="165">
        <f t="shared" si="32"/>
        <v>-123.87786611904001</v>
      </c>
      <c r="O254" s="166">
        <f t="shared" si="29"/>
        <v>-4.0831999842338629</v>
      </c>
    </row>
    <row r="255" spans="11:15" x14ac:dyDescent="0.25">
      <c r="K255" s="164">
        <v>254</v>
      </c>
      <c r="L255" s="165">
        <f t="shared" si="30"/>
        <v>-329359.10539600695</v>
      </c>
      <c r="M255" s="165">
        <f t="shared" si="33"/>
        <v>-4865.5086202842194</v>
      </c>
      <c r="N255" s="165">
        <f t="shared" si="31"/>
        <v>-126.35542344142081</v>
      </c>
      <c r="O255" s="166">
        <f t="shared" si="29"/>
        <v>-4.1297155849447424</v>
      </c>
    </row>
    <row r="256" spans="11:15" x14ac:dyDescent="0.25">
      <c r="K256" s="164">
        <v>255</v>
      </c>
      <c r="L256" s="165">
        <f t="shared" si="30"/>
        <v>-334425.84740038851</v>
      </c>
      <c r="M256" s="165">
        <f t="shared" si="33"/>
        <v>-4940.3865809401041</v>
      </c>
      <c r="N256" s="165">
        <f t="shared" si="31"/>
        <v>-126.35542344142081</v>
      </c>
      <c r="O256" s="166">
        <f t="shared" si="29"/>
        <v>-4.1768015434479775</v>
      </c>
    </row>
    <row r="257" spans="11:15" x14ac:dyDescent="0.25">
      <c r="K257" s="164">
        <v>256</v>
      </c>
      <c r="L257" s="165">
        <f t="shared" si="30"/>
        <v>-339568.59053483576</v>
      </c>
      <c r="M257" s="165">
        <f t="shared" si="33"/>
        <v>-5016.3877110058274</v>
      </c>
      <c r="N257" s="165">
        <f t="shared" si="31"/>
        <v>-126.35542344142081</v>
      </c>
      <c r="O257" s="166">
        <f t="shared" ref="O257:O320" si="35">(L257/$C$20)/K257*12</f>
        <v>-4.224465148857627</v>
      </c>
    </row>
    <row r="258" spans="11:15" x14ac:dyDescent="0.25">
      <c r="K258" s="164">
        <v>257</v>
      </c>
      <c r="L258" s="165">
        <f t="shared" si="30"/>
        <v>-344788.47481629974</v>
      </c>
      <c r="M258" s="165">
        <f t="shared" si="33"/>
        <v>-5093.528858022536</v>
      </c>
      <c r="N258" s="165">
        <f t="shared" si="31"/>
        <v>-126.35542344142081</v>
      </c>
      <c r="O258" s="166">
        <f t="shared" si="35"/>
        <v>-4.2727137856178823</v>
      </c>
    </row>
    <row r="259" spans="11:15" x14ac:dyDescent="0.25">
      <c r="K259" s="164">
        <v>258</v>
      </c>
      <c r="L259" s="165">
        <f t="shared" ref="L259:L322" si="36">IF(L258&lt;0,(L258+M259)+N259,L258+N259)</f>
        <v>-350086.65736198571</v>
      </c>
      <c r="M259" s="165">
        <f t="shared" si="33"/>
        <v>-5171.8271222444955</v>
      </c>
      <c r="N259" s="165">
        <f t="shared" si="31"/>
        <v>-126.35542344142081</v>
      </c>
      <c r="O259" s="166">
        <f t="shared" si="35"/>
        <v>-4.3215549347751265</v>
      </c>
    </row>
    <row r="260" spans="11:15" x14ac:dyDescent="0.25">
      <c r="K260" s="164">
        <v>259</v>
      </c>
      <c r="L260" s="165">
        <f t="shared" si="36"/>
        <v>-355464.31264585693</v>
      </c>
      <c r="M260" s="165">
        <f t="shared" si="33"/>
        <v>-5251.2998604297854</v>
      </c>
      <c r="N260" s="165">
        <f t="shared" si="31"/>
        <v>-126.35542344142081</v>
      </c>
      <c r="O260" s="166">
        <f t="shared" si="35"/>
        <v>-4.3709961752671518</v>
      </c>
    </row>
    <row r="261" spans="11:15" x14ac:dyDescent="0.25">
      <c r="K261" s="164">
        <v>260</v>
      </c>
      <c r="L261" s="165">
        <f t="shared" si="36"/>
        <v>-360922.6327589862</v>
      </c>
      <c r="M261" s="165">
        <f t="shared" si="33"/>
        <v>-5331.9646896878539</v>
      </c>
      <c r="N261" s="165">
        <f t="shared" si="31"/>
        <v>-126.35542344142081</v>
      </c>
      <c r="O261" s="166">
        <f t="shared" si="35"/>
        <v>-4.421045185229751</v>
      </c>
    </row>
    <row r="262" spans="11:15" x14ac:dyDescent="0.25">
      <c r="K262" s="164">
        <v>261</v>
      </c>
      <c r="L262" s="165">
        <f t="shared" si="36"/>
        <v>-366462.82767381246</v>
      </c>
      <c r="M262" s="165">
        <f t="shared" si="33"/>
        <v>-5413.8394913847924</v>
      </c>
      <c r="N262" s="165">
        <f t="shared" si="31"/>
        <v>-126.35542344142081</v>
      </c>
      <c r="O262" s="166">
        <f t="shared" si="35"/>
        <v>-4.4717097433209236</v>
      </c>
    </row>
    <row r="263" spans="11:15" x14ac:dyDescent="0.25">
      <c r="K263" s="164">
        <v>262</v>
      </c>
      <c r="L263" s="165">
        <f t="shared" si="36"/>
        <v>-372086.12551236112</v>
      </c>
      <c r="M263" s="165">
        <f t="shared" si="33"/>
        <v>-5496.9424151071871</v>
      </c>
      <c r="N263" s="165">
        <f t="shared" ref="N263:N326" si="37">$N$88*1.02</f>
        <v>-126.35542344142081</v>
      </c>
      <c r="O263" s="166">
        <f t="shared" si="35"/>
        <v>-4.5229977300629498</v>
      </c>
    </row>
    <row r="264" spans="11:15" x14ac:dyDescent="0.25">
      <c r="K264" s="164">
        <v>263</v>
      </c>
      <c r="L264" s="165">
        <f t="shared" si="36"/>
        <v>-377793.77281848801</v>
      </c>
      <c r="M264" s="165">
        <f t="shared" si="33"/>
        <v>-5581.2918826854175</v>
      </c>
      <c r="N264" s="165">
        <f t="shared" si="37"/>
        <v>-126.35542344142081</v>
      </c>
      <c r="O264" s="166">
        <f t="shared" si="35"/>
        <v>-4.5749171292025483</v>
      </c>
    </row>
    <row r="265" spans="11:15" x14ac:dyDescent="0.25">
      <c r="K265" s="164">
        <v>264</v>
      </c>
      <c r="L265" s="165">
        <f t="shared" si="36"/>
        <v>-383587.0348342068</v>
      </c>
      <c r="M265" s="165">
        <f t="shared" si="33"/>
        <v>-5666.9065922773198</v>
      </c>
      <c r="N265" s="165">
        <f t="shared" si="37"/>
        <v>-126.35542344142081</v>
      </c>
      <c r="O265" s="166">
        <f t="shared" si="35"/>
        <v>-4.6274760290894106</v>
      </c>
    </row>
    <row r="266" spans="11:15" x14ac:dyDescent="0.25">
      <c r="K266" s="164">
        <v>265</v>
      </c>
      <c r="L266" s="165">
        <f t="shared" si="36"/>
        <v>-389467.19578016136</v>
      </c>
      <c r="M266" s="165">
        <f t="shared" si="33"/>
        <v>-5753.805522513102</v>
      </c>
      <c r="N266" s="165">
        <f t="shared" si="37"/>
        <v>-126.35542344142081</v>
      </c>
      <c r="O266" s="166">
        <f t="shared" si="35"/>
        <v>-4.6806826240733148</v>
      </c>
    </row>
    <row r="267" spans="11:15" x14ac:dyDescent="0.25">
      <c r="K267" s="164">
        <v>266</v>
      </c>
      <c r="L267" s="165">
        <f t="shared" si="36"/>
        <v>-395433.08158298279</v>
      </c>
      <c r="M267" s="165">
        <f t="shared" si="33"/>
        <v>-5842.00793670242</v>
      </c>
      <c r="N267" s="165">
        <f t="shared" si="32"/>
        <v>-123.87786611904001</v>
      </c>
      <c r="O267" s="166">
        <f t="shared" si="35"/>
        <v>-4.7345155521559485</v>
      </c>
    </row>
    <row r="268" spans="11:15" x14ac:dyDescent="0.25">
      <c r="K268" s="164">
        <v>267</v>
      </c>
      <c r="L268" s="165">
        <f t="shared" si="36"/>
        <v>-401488.45567284658</v>
      </c>
      <c r="M268" s="165">
        <f t="shared" si="33"/>
        <v>-5931.4962237447407</v>
      </c>
      <c r="N268" s="165">
        <f t="shared" si="32"/>
        <v>-123.87786611904001</v>
      </c>
      <c r="O268" s="166">
        <f t="shared" si="35"/>
        <v>-4.7890126666290156</v>
      </c>
    </row>
    <row r="269" spans="11:15" x14ac:dyDescent="0.25">
      <c r="K269" s="164">
        <v>268</v>
      </c>
      <c r="L269" s="165">
        <f t="shared" si="36"/>
        <v>-407634.66037405829</v>
      </c>
      <c r="M269" s="165">
        <f t="shared" si="33"/>
        <v>-6022.3268350926983</v>
      </c>
      <c r="N269" s="165">
        <f t="shared" si="32"/>
        <v>-123.87786611904001</v>
      </c>
      <c r="O269" s="166">
        <f t="shared" si="35"/>
        <v>-4.8441824842655192</v>
      </c>
    </row>
    <row r="270" spans="11:15" x14ac:dyDescent="0.25">
      <c r="K270" s="164">
        <v>269</v>
      </c>
      <c r="L270" s="165">
        <f t="shared" si="36"/>
        <v>-413873.05814578821</v>
      </c>
      <c r="M270" s="165">
        <f t="shared" si="33"/>
        <v>-6114.519905610875</v>
      </c>
      <c r="N270" s="165">
        <f t="shared" si="32"/>
        <v>-123.87786611904001</v>
      </c>
      <c r="O270" s="166">
        <f t="shared" si="35"/>
        <v>-4.900033633580926</v>
      </c>
    </row>
    <row r="271" spans="11:15" x14ac:dyDescent="0.25">
      <c r="K271" s="164">
        <v>270</v>
      </c>
      <c r="L271" s="165">
        <f t="shared" si="36"/>
        <v>-420205.03188409406</v>
      </c>
      <c r="M271" s="165">
        <f t="shared" si="33"/>
        <v>-6208.0958721868228</v>
      </c>
      <c r="N271" s="165">
        <f t="shared" ref="N271:N331" si="38">$N$76*1.02</f>
        <v>-123.87786611904001</v>
      </c>
      <c r="O271" s="166">
        <f t="shared" si="35"/>
        <v>-4.9565748563264096</v>
      </c>
    </row>
    <row r="272" spans="11:15" x14ac:dyDescent="0.25">
      <c r="K272" s="164">
        <v>271</v>
      </c>
      <c r="L272" s="165">
        <f t="shared" si="36"/>
        <v>-426634.4627857969</v>
      </c>
      <c r="M272" s="165">
        <f t="shared" ref="M272:M335" si="39">IF(L271&lt;0,(L271*0.18/12),0)</f>
        <v>-6303.0754782614104</v>
      </c>
      <c r="N272" s="165">
        <f t="shared" si="34"/>
        <v>-126.35542344142081</v>
      </c>
      <c r="O272" s="166">
        <f t="shared" si="35"/>
        <v>-5.0138441254645114</v>
      </c>
    </row>
    <row r="273" spans="11:15" x14ac:dyDescent="0.25">
      <c r="K273" s="164">
        <v>272</v>
      </c>
      <c r="L273" s="165">
        <f t="shared" si="36"/>
        <v>-433160.33515102533</v>
      </c>
      <c r="M273" s="165">
        <f t="shared" si="39"/>
        <v>-6399.5169417869538</v>
      </c>
      <c r="N273" s="165">
        <f t="shared" si="34"/>
        <v>-126.35542344142081</v>
      </c>
      <c r="O273" s="166">
        <f t="shared" si="35"/>
        <v>-5.0718215183659039</v>
      </c>
    </row>
    <row r="274" spans="11:15" x14ac:dyDescent="0.25">
      <c r="K274" s="164">
        <v>273</v>
      </c>
      <c r="L274" s="165">
        <f t="shared" si="36"/>
        <v>-439784.09560173214</v>
      </c>
      <c r="M274" s="165">
        <f t="shared" si="39"/>
        <v>-6497.4050272653794</v>
      </c>
      <c r="N274" s="165">
        <f t="shared" si="34"/>
        <v>-126.35542344142081</v>
      </c>
      <c r="O274" s="166">
        <f t="shared" si="35"/>
        <v>-5.1305161297256001</v>
      </c>
    </row>
    <row r="275" spans="11:15" x14ac:dyDescent="0.25">
      <c r="K275" s="164">
        <v>274</v>
      </c>
      <c r="L275" s="165">
        <f t="shared" si="36"/>
        <v>-446507.2124591996</v>
      </c>
      <c r="M275" s="165">
        <f t="shared" si="39"/>
        <v>-6596.7614340259825</v>
      </c>
      <c r="N275" s="165">
        <f t="shared" si="34"/>
        <v>-126.35542344142081</v>
      </c>
      <c r="O275" s="166">
        <f t="shared" si="35"/>
        <v>-5.1899371736895814</v>
      </c>
    </row>
    <row r="276" spans="11:15" x14ac:dyDescent="0.25">
      <c r="K276" s="164">
        <v>275</v>
      </c>
      <c r="L276" s="165">
        <f t="shared" si="36"/>
        <v>-453331.17606952903</v>
      </c>
      <c r="M276" s="165">
        <f t="shared" si="39"/>
        <v>-6697.6081868879928</v>
      </c>
      <c r="N276" s="165">
        <f t="shared" si="34"/>
        <v>-126.35542344142081</v>
      </c>
      <c r="O276" s="166">
        <f t="shared" si="35"/>
        <v>-5.2500939854525068</v>
      </c>
    </row>
    <row r="277" spans="11:15" x14ac:dyDescent="0.25">
      <c r="K277" s="164">
        <v>276</v>
      </c>
      <c r="L277" s="165">
        <f t="shared" si="36"/>
        <v>-460257.49913401343</v>
      </c>
      <c r="M277" s="165">
        <f t="shared" si="39"/>
        <v>-6799.9676410429347</v>
      </c>
      <c r="N277" s="165">
        <f t="shared" si="34"/>
        <v>-126.35542344142081</v>
      </c>
      <c r="O277" s="166">
        <f t="shared" si="35"/>
        <v>-5.3109960228770321</v>
      </c>
    </row>
    <row r="278" spans="11:15" x14ac:dyDescent="0.25">
      <c r="K278" s="164">
        <v>277</v>
      </c>
      <c r="L278" s="165">
        <f t="shared" si="36"/>
        <v>-467287.71704446507</v>
      </c>
      <c r="M278" s="165">
        <f t="shared" si="39"/>
        <v>-6903.8624870102003</v>
      </c>
      <c r="N278" s="165">
        <f t="shared" si="34"/>
        <v>-126.35542344142081</v>
      </c>
      <c r="O278" s="166">
        <f t="shared" si="35"/>
        <v>-5.3726528681350239</v>
      </c>
    </row>
    <row r="279" spans="11:15" x14ac:dyDescent="0.25">
      <c r="K279" s="164">
        <v>278</v>
      </c>
      <c r="L279" s="165">
        <f t="shared" si="36"/>
        <v>-474423.38822357351</v>
      </c>
      <c r="M279" s="165">
        <f t="shared" si="39"/>
        <v>-7009.3157556669757</v>
      </c>
      <c r="N279" s="165">
        <f t="shared" si="34"/>
        <v>-126.35542344142081</v>
      </c>
      <c r="O279" s="166">
        <f t="shared" si="35"/>
        <v>-5.4350742293709811</v>
      </c>
    </row>
    <row r="280" spans="11:15" x14ac:dyDescent="0.25">
      <c r="K280" s="164">
        <v>279</v>
      </c>
      <c r="L280" s="165">
        <f t="shared" si="36"/>
        <v>-481666.09447036858</v>
      </c>
      <c r="M280" s="165">
        <f t="shared" si="39"/>
        <v>-7116.3508233536022</v>
      </c>
      <c r="N280" s="165">
        <f t="shared" si="34"/>
        <v>-126.35542344142081</v>
      </c>
      <c r="O280" s="166">
        <f t="shared" si="35"/>
        <v>-5.4982699423879566</v>
      </c>
    </row>
    <row r="281" spans="11:15" x14ac:dyDescent="0.25">
      <c r="K281" s="164">
        <v>280</v>
      </c>
      <c r="L281" s="165">
        <f t="shared" si="36"/>
        <v>-489014.96375354315</v>
      </c>
      <c r="M281" s="165">
        <f t="shared" si="39"/>
        <v>-7224.9914170555285</v>
      </c>
      <c r="N281" s="165">
        <f t="shared" si="38"/>
        <v>-123.87786611904001</v>
      </c>
      <c r="O281" s="166">
        <f t="shared" si="35"/>
        <v>-5.5622217917803436</v>
      </c>
    </row>
    <row r="282" spans="11:15" x14ac:dyDescent="0.25">
      <c r="K282" s="164">
        <v>281</v>
      </c>
      <c r="L282" s="165">
        <f t="shared" si="36"/>
        <v>-496474.06607596535</v>
      </c>
      <c r="M282" s="165">
        <f t="shared" si="39"/>
        <v>-7335.2244563031463</v>
      </c>
      <c r="N282" s="165">
        <f t="shared" si="38"/>
        <v>-123.87786611904001</v>
      </c>
      <c r="O282" s="166">
        <f t="shared" si="35"/>
        <v>-5.6269678337627624</v>
      </c>
    </row>
    <row r="283" spans="11:15" x14ac:dyDescent="0.25">
      <c r="K283" s="164">
        <v>282</v>
      </c>
      <c r="L283" s="165">
        <f t="shared" si="36"/>
        <v>-504045.05493322387</v>
      </c>
      <c r="M283" s="165">
        <f t="shared" si="39"/>
        <v>-7447.1109911394806</v>
      </c>
      <c r="N283" s="165">
        <f t="shared" si="38"/>
        <v>-123.87786611904001</v>
      </c>
      <c r="O283" s="166">
        <f t="shared" si="35"/>
        <v>-5.6925182935106697</v>
      </c>
    </row>
    <row r="284" spans="11:15" x14ac:dyDescent="0.25">
      <c r="K284" s="164">
        <v>283</v>
      </c>
      <c r="L284" s="165">
        <f t="shared" si="36"/>
        <v>-511729.60862334125</v>
      </c>
      <c r="M284" s="165">
        <f t="shared" si="39"/>
        <v>-7560.6758239983574</v>
      </c>
      <c r="N284" s="165">
        <f t="shared" si="38"/>
        <v>-123.87786611904001</v>
      </c>
      <c r="O284" s="166">
        <f t="shared" si="35"/>
        <v>-5.7588835307947761</v>
      </c>
    </row>
    <row r="285" spans="11:15" x14ac:dyDescent="0.25">
      <c r="K285" s="164">
        <v>284</v>
      </c>
      <c r="L285" s="165">
        <f t="shared" si="36"/>
        <v>-519531.90817613283</v>
      </c>
      <c r="M285" s="165">
        <f t="shared" si="39"/>
        <v>-7675.9441293501186</v>
      </c>
      <c r="N285" s="165">
        <f t="shared" si="37"/>
        <v>-126.35542344142081</v>
      </c>
      <c r="O285" s="166">
        <f t="shared" si="35"/>
        <v>-5.8261018254499142</v>
      </c>
    </row>
    <row r="286" spans="11:15" x14ac:dyDescent="0.25">
      <c r="K286" s="164">
        <v>285</v>
      </c>
      <c r="L286" s="165">
        <f t="shared" si="36"/>
        <v>-527451.24222221621</v>
      </c>
      <c r="M286" s="165">
        <f t="shared" si="39"/>
        <v>-7792.9786226419919</v>
      </c>
      <c r="N286" s="165">
        <f t="shared" si="37"/>
        <v>-126.35542344142081</v>
      </c>
      <c r="O286" s="166">
        <f t="shared" si="35"/>
        <v>-5.8941562485221821</v>
      </c>
    </row>
    <row r="287" spans="11:15" x14ac:dyDescent="0.25">
      <c r="K287" s="164">
        <v>286</v>
      </c>
      <c r="L287" s="165">
        <f t="shared" si="36"/>
        <v>-535489.36627899087</v>
      </c>
      <c r="M287" s="165">
        <f t="shared" si="39"/>
        <v>-7911.7686333332431</v>
      </c>
      <c r="N287" s="165">
        <f t="shared" si="37"/>
        <v>-126.35542344142081</v>
      </c>
      <c r="O287" s="166">
        <f t="shared" si="35"/>
        <v>-5.9630575783772173</v>
      </c>
    </row>
    <row r="288" spans="11:15" x14ac:dyDescent="0.25">
      <c r="K288" s="164">
        <v>287</v>
      </c>
      <c r="L288" s="165">
        <f t="shared" si="36"/>
        <v>-543648.06219661713</v>
      </c>
      <c r="M288" s="165">
        <f t="shared" si="39"/>
        <v>-8032.340494184863</v>
      </c>
      <c r="N288" s="165">
        <f t="shared" si="37"/>
        <v>-126.35542344142081</v>
      </c>
      <c r="O288" s="166">
        <f t="shared" si="35"/>
        <v>-6.0328167353719593</v>
      </c>
    </row>
    <row r="289" spans="11:15" x14ac:dyDescent="0.25">
      <c r="K289" s="164">
        <v>288</v>
      </c>
      <c r="L289" s="165">
        <f t="shared" si="36"/>
        <v>-551929.13855300774</v>
      </c>
      <c r="M289" s="165">
        <f t="shared" si="39"/>
        <v>-8154.7209329492571</v>
      </c>
      <c r="N289" s="165">
        <f t="shared" si="37"/>
        <v>-126.35542344142081</v>
      </c>
      <c r="O289" s="166">
        <f t="shared" si="35"/>
        <v>-6.1034447837574941</v>
      </c>
    </row>
    <row r="290" spans="11:15" x14ac:dyDescent="0.25">
      <c r="K290" s="164">
        <v>289</v>
      </c>
      <c r="L290" s="165">
        <f t="shared" si="36"/>
        <v>-560334.43105474429</v>
      </c>
      <c r="M290" s="165">
        <f t="shared" si="39"/>
        <v>-8278.9370782951155</v>
      </c>
      <c r="N290" s="165">
        <f t="shared" si="37"/>
        <v>-126.35542344142081</v>
      </c>
      <c r="O290" s="166">
        <f t="shared" si="35"/>
        <v>-6.1749529336076838</v>
      </c>
    </row>
    <row r="291" spans="11:15" x14ac:dyDescent="0.25">
      <c r="K291" s="164">
        <v>290</v>
      </c>
      <c r="L291" s="165">
        <f t="shared" si="36"/>
        <v>-568865.80294400686</v>
      </c>
      <c r="M291" s="165">
        <f t="shared" si="39"/>
        <v>-8405.0164658211634</v>
      </c>
      <c r="N291" s="165">
        <f t="shared" si="37"/>
        <v>-126.35542344142081</v>
      </c>
      <c r="O291" s="166">
        <f t="shared" si="35"/>
        <v>-6.24735254277393</v>
      </c>
    </row>
    <row r="292" spans="11:15" x14ac:dyDescent="0.25">
      <c r="K292" s="164">
        <v>291</v>
      </c>
      <c r="L292" s="165">
        <f t="shared" si="36"/>
        <v>-577525.14541160839</v>
      </c>
      <c r="M292" s="165">
        <f t="shared" si="39"/>
        <v>-8532.9870441601033</v>
      </c>
      <c r="N292" s="165">
        <f t="shared" si="37"/>
        <v>-126.35542344142081</v>
      </c>
      <c r="O292" s="166">
        <f t="shared" si="35"/>
        <v>-6.3206551188664477</v>
      </c>
    </row>
    <row r="293" spans="11:15" x14ac:dyDescent="0.25">
      <c r="K293" s="164">
        <v>292</v>
      </c>
      <c r="L293" s="165">
        <f t="shared" si="36"/>
        <v>-586314.3780162239</v>
      </c>
      <c r="M293" s="165">
        <f t="shared" si="39"/>
        <v>-8662.8771811741262</v>
      </c>
      <c r="N293" s="165">
        <f t="shared" si="37"/>
        <v>-126.35542344142081</v>
      </c>
      <c r="O293" s="166">
        <f t="shared" si="35"/>
        <v>-6.3948723212623912</v>
      </c>
    </row>
    <row r="294" spans="11:15" x14ac:dyDescent="0.25">
      <c r="K294" s="164">
        <v>293</v>
      </c>
      <c r="L294" s="165">
        <f t="shared" si="36"/>
        <v>-595235.44910990866</v>
      </c>
      <c r="M294" s="165">
        <f t="shared" si="39"/>
        <v>-8794.7156702433585</v>
      </c>
      <c r="N294" s="165">
        <f t="shared" si="37"/>
        <v>-126.35542344142081</v>
      </c>
      <c r="O294" s="166">
        <f t="shared" si="35"/>
        <v>-6.4700159631412202</v>
      </c>
    </row>
    <row r="295" spans="11:15" x14ac:dyDescent="0.25">
      <c r="K295" s="164">
        <v>294</v>
      </c>
      <c r="L295" s="165">
        <f t="shared" si="36"/>
        <v>-604290.33626999869</v>
      </c>
      <c r="M295" s="165">
        <f t="shared" si="39"/>
        <v>-8928.5317366486288</v>
      </c>
      <c r="N295" s="165">
        <f t="shared" si="37"/>
        <v>-126.35542344142081</v>
      </c>
      <c r="O295" s="166">
        <f t="shared" si="35"/>
        <v>-6.5460980135476632</v>
      </c>
    </row>
    <row r="296" spans="11:15" x14ac:dyDescent="0.25">
      <c r="K296" s="164">
        <v>295</v>
      </c>
      <c r="L296" s="165">
        <f t="shared" si="36"/>
        <v>-613481.04673749011</v>
      </c>
      <c r="M296" s="165">
        <f t="shared" si="39"/>
        <v>-9064.3550440499803</v>
      </c>
      <c r="N296" s="165">
        <f t="shared" si="37"/>
        <v>-126.35542344142081</v>
      </c>
      <c r="O296" s="166">
        <f t="shared" si="35"/>
        <v>-6.6231305994826704</v>
      </c>
    </row>
    <row r="297" spans="11:15" x14ac:dyDescent="0.25">
      <c r="K297" s="164">
        <v>296</v>
      </c>
      <c r="L297" s="165">
        <f t="shared" si="36"/>
        <v>-622807.14030467148</v>
      </c>
      <c r="M297" s="165">
        <f t="shared" si="39"/>
        <v>-9202.2157010623505</v>
      </c>
      <c r="N297" s="165">
        <f t="shared" si="38"/>
        <v>-123.87786611904001</v>
      </c>
      <c r="O297" s="166">
        <f t="shared" si="35"/>
        <v>-6.7010993507211527</v>
      </c>
    </row>
    <row r="298" spans="11:15" x14ac:dyDescent="0.25">
      <c r="K298" s="164">
        <v>297</v>
      </c>
      <c r="L298" s="165">
        <f t="shared" si="36"/>
        <v>-632273.12527536054</v>
      </c>
      <c r="M298" s="165">
        <f t="shared" si="39"/>
        <v>-9342.1071045700719</v>
      </c>
      <c r="N298" s="165">
        <f t="shared" si="38"/>
        <v>-123.87786611904001</v>
      </c>
      <c r="O298" s="166">
        <f t="shared" si="35"/>
        <v>-6.7800431548620388</v>
      </c>
    </row>
    <row r="299" spans="11:15" x14ac:dyDescent="0.25">
      <c r="K299" s="164">
        <v>298</v>
      </c>
      <c r="L299" s="165">
        <f t="shared" si="36"/>
        <v>-641881.10002061003</v>
      </c>
      <c r="M299" s="165">
        <f t="shared" si="39"/>
        <v>-9484.0968791304076</v>
      </c>
      <c r="N299" s="165">
        <f t="shared" si="38"/>
        <v>-123.87786611904001</v>
      </c>
      <c r="O299" s="166">
        <f t="shared" si="35"/>
        <v>-6.8599746218533522</v>
      </c>
    </row>
    <row r="300" spans="11:15" x14ac:dyDescent="0.25">
      <c r="K300" s="164">
        <v>299</v>
      </c>
      <c r="L300" s="165">
        <f t="shared" si="36"/>
        <v>-651633.19438703824</v>
      </c>
      <c r="M300" s="165">
        <f t="shared" si="39"/>
        <v>-9628.2165003091504</v>
      </c>
      <c r="N300" s="165">
        <f t="shared" si="38"/>
        <v>-123.87786611904001</v>
      </c>
      <c r="O300" s="166">
        <f t="shared" si="35"/>
        <v>-6.9409065282118583</v>
      </c>
    </row>
    <row r="301" spans="11:15" x14ac:dyDescent="0.25">
      <c r="K301" s="164">
        <v>300</v>
      </c>
      <c r="L301" s="165">
        <f t="shared" si="36"/>
        <v>-661531.57016896282</v>
      </c>
      <c r="M301" s="165">
        <f t="shared" si="39"/>
        <v>-9774.4979158055739</v>
      </c>
      <c r="N301" s="165">
        <f t="shared" si="38"/>
        <v>-123.87786611904001</v>
      </c>
      <c r="O301" s="166">
        <f t="shared" si="35"/>
        <v>-7.0228518192591283</v>
      </c>
    </row>
    <row r="302" spans="11:15" x14ac:dyDescent="0.25">
      <c r="K302" s="164">
        <v>301</v>
      </c>
      <c r="L302" s="165">
        <f t="shared" si="36"/>
        <v>-671580.89914493868</v>
      </c>
      <c r="M302" s="165">
        <f t="shared" si="39"/>
        <v>-9922.9735525344422</v>
      </c>
      <c r="N302" s="165">
        <f t="shared" si="34"/>
        <v>-126.35542344142081</v>
      </c>
      <c r="O302" s="166">
        <f t="shared" si="35"/>
        <v>-7.1058498258771916</v>
      </c>
    </row>
    <row r="303" spans="11:15" x14ac:dyDescent="0.25">
      <c r="K303" s="164">
        <v>302</v>
      </c>
      <c r="L303" s="165">
        <f t="shared" si="36"/>
        <v>-681780.9680555542</v>
      </c>
      <c r="M303" s="165">
        <f t="shared" si="39"/>
        <v>-10073.71348717408</v>
      </c>
      <c r="N303" s="165">
        <f t="shared" si="34"/>
        <v>-126.35542344142081</v>
      </c>
      <c r="O303" s="166">
        <f t="shared" si="35"/>
        <v>-7.1898878416473515</v>
      </c>
    </row>
    <row r="304" spans="11:15" x14ac:dyDescent="0.25">
      <c r="K304" s="164">
        <v>303</v>
      </c>
      <c r="L304" s="165">
        <f t="shared" si="36"/>
        <v>-692134.03799982893</v>
      </c>
      <c r="M304" s="165">
        <f t="shared" si="39"/>
        <v>-10226.714520833313</v>
      </c>
      <c r="N304" s="165">
        <f t="shared" si="34"/>
        <v>-126.35542344142081</v>
      </c>
      <c r="O304" s="166">
        <f t="shared" si="35"/>
        <v>-7.274979335725388</v>
      </c>
    </row>
    <row r="305" spans="11:15" x14ac:dyDescent="0.25">
      <c r="K305" s="164">
        <v>304</v>
      </c>
      <c r="L305" s="165">
        <f t="shared" si="36"/>
        <v>-702642.4039932678</v>
      </c>
      <c r="M305" s="165">
        <f t="shared" si="39"/>
        <v>-10382.010569997434</v>
      </c>
      <c r="N305" s="165">
        <f t="shared" si="34"/>
        <v>-126.35542344142081</v>
      </c>
      <c r="O305" s="166">
        <f t="shared" si="35"/>
        <v>-7.3611379553628105</v>
      </c>
    </row>
    <row r="306" spans="11:15" x14ac:dyDescent="0.25">
      <c r="K306" s="164">
        <v>305</v>
      </c>
      <c r="L306" s="165">
        <f t="shared" si="36"/>
        <v>-713308.39547660819</v>
      </c>
      <c r="M306" s="165">
        <f t="shared" si="39"/>
        <v>-10539.636059899016</v>
      </c>
      <c r="N306" s="165">
        <f t="shared" si="34"/>
        <v>-126.35542344142081</v>
      </c>
      <c r="O306" s="166">
        <f t="shared" si="35"/>
        <v>-7.4483775282996012</v>
      </c>
    </row>
    <row r="307" spans="11:15" x14ac:dyDescent="0.25">
      <c r="K307" s="164">
        <v>306</v>
      </c>
      <c r="L307" s="165">
        <f t="shared" si="36"/>
        <v>-724134.3768321987</v>
      </c>
      <c r="M307" s="165">
        <f t="shared" si="39"/>
        <v>-10699.625932149122</v>
      </c>
      <c r="N307" s="165">
        <f t="shared" si="34"/>
        <v>-126.35542344142081</v>
      </c>
      <c r="O307" s="166">
        <f t="shared" si="35"/>
        <v>-7.5367120651894748</v>
      </c>
    </row>
    <row r="308" spans="11:15" x14ac:dyDescent="0.25">
      <c r="K308" s="164">
        <v>307</v>
      </c>
      <c r="L308" s="165">
        <f t="shared" si="36"/>
        <v>-735122.74790812307</v>
      </c>
      <c r="M308" s="165">
        <f t="shared" si="39"/>
        <v>-10862.01565248298</v>
      </c>
      <c r="N308" s="165">
        <f t="shared" si="34"/>
        <v>-126.35542344142081</v>
      </c>
      <c r="O308" s="166">
        <f t="shared" si="35"/>
        <v>-7.6261557620580742</v>
      </c>
    </row>
    <row r="309" spans="11:15" x14ac:dyDescent="0.25">
      <c r="K309" s="164">
        <v>308</v>
      </c>
      <c r="L309" s="165">
        <f t="shared" si="36"/>
        <v>-746275.94455018628</v>
      </c>
      <c r="M309" s="165">
        <f t="shared" si="39"/>
        <v>-11026.841218621847</v>
      </c>
      <c r="N309" s="165">
        <f t="shared" si="34"/>
        <v>-126.35542344142081</v>
      </c>
      <c r="O309" s="166">
        <f t="shared" si="35"/>
        <v>-7.7167230027945966</v>
      </c>
    </row>
    <row r="310" spans="11:15" x14ac:dyDescent="0.25">
      <c r="K310" s="164">
        <v>309</v>
      </c>
      <c r="L310" s="165">
        <f t="shared" si="36"/>
        <v>-757596.43914188049</v>
      </c>
      <c r="M310" s="165">
        <f t="shared" si="39"/>
        <v>-11194.139168252796</v>
      </c>
      <c r="N310" s="165">
        <f t="shared" si="34"/>
        <v>-126.35542344142081</v>
      </c>
      <c r="O310" s="166">
        <f t="shared" si="35"/>
        <v>-7.8084283616772705</v>
      </c>
    </row>
    <row r="311" spans="11:15" x14ac:dyDescent="0.25">
      <c r="K311" s="164">
        <v>310</v>
      </c>
      <c r="L311" s="165">
        <f t="shared" si="36"/>
        <v>-769084.26359512773</v>
      </c>
      <c r="M311" s="165">
        <f t="shared" si="39"/>
        <v>-11363.946587128206</v>
      </c>
      <c r="N311" s="165">
        <f t="shared" si="38"/>
        <v>-123.87786611904001</v>
      </c>
      <c r="O311" s="166">
        <f t="shared" si="35"/>
        <v>-7.9012611525097212</v>
      </c>
    </row>
    <row r="312" spans="11:15" x14ac:dyDescent="0.25">
      <c r="K312" s="164">
        <v>311</v>
      </c>
      <c r="L312" s="165">
        <f t="shared" si="36"/>
        <v>-780744.40541517374</v>
      </c>
      <c r="M312" s="165">
        <f t="shared" si="39"/>
        <v>-11536.263953926915</v>
      </c>
      <c r="N312" s="165">
        <f t="shared" si="38"/>
        <v>-123.87786611904001</v>
      </c>
      <c r="O312" s="166">
        <f t="shared" si="35"/>
        <v>-7.9952615745998266</v>
      </c>
    </row>
    <row r="313" spans="11:15" x14ac:dyDescent="0.25">
      <c r="K313" s="164">
        <v>312</v>
      </c>
      <c r="L313" s="165">
        <f t="shared" si="36"/>
        <v>-792579.44936252036</v>
      </c>
      <c r="M313" s="165">
        <f t="shared" si="39"/>
        <v>-11711.166081227604</v>
      </c>
      <c r="N313" s="165">
        <f t="shared" si="38"/>
        <v>-123.87786611904001</v>
      </c>
      <c r="O313" s="166">
        <f t="shared" si="35"/>
        <v>-8.0904447852865928</v>
      </c>
    </row>
    <row r="314" spans="11:15" x14ac:dyDescent="0.25">
      <c r="K314" s="164">
        <v>313</v>
      </c>
      <c r="L314" s="165">
        <f t="shared" si="36"/>
        <v>-804592.01896907715</v>
      </c>
      <c r="M314" s="165">
        <f t="shared" si="39"/>
        <v>-11888.691740437805</v>
      </c>
      <c r="N314" s="165">
        <f t="shared" si="38"/>
        <v>-123.87786611904001</v>
      </c>
      <c r="O314" s="166">
        <f t="shared" si="35"/>
        <v>-8.1868261427090125</v>
      </c>
    </row>
    <row r="315" spans="11:15" x14ac:dyDescent="0.25">
      <c r="K315" s="164">
        <v>314</v>
      </c>
      <c r="L315" s="165">
        <f t="shared" si="36"/>
        <v>-816787.25467705471</v>
      </c>
      <c r="M315" s="165">
        <f t="shared" si="39"/>
        <v>-12068.880284536157</v>
      </c>
      <c r="N315" s="165">
        <f t="shared" si="37"/>
        <v>-126.35542344142081</v>
      </c>
      <c r="O315" s="166">
        <f t="shared" si="35"/>
        <v>-8.2844463376833417</v>
      </c>
    </row>
    <row r="316" spans="11:15" x14ac:dyDescent="0.25">
      <c r="K316" s="164">
        <v>315</v>
      </c>
      <c r="L316" s="165">
        <f t="shared" si="36"/>
        <v>-829165.41892065189</v>
      </c>
      <c r="M316" s="165">
        <f t="shared" si="39"/>
        <v>-12251.80882015582</v>
      </c>
      <c r="N316" s="165">
        <f t="shared" si="37"/>
        <v>-126.35542344142081</v>
      </c>
      <c r="O316" s="166">
        <f t="shared" si="35"/>
        <v>-8.3832962251037699</v>
      </c>
    </row>
    <row r="317" spans="11:15" x14ac:dyDescent="0.25">
      <c r="K317" s="164">
        <v>316</v>
      </c>
      <c r="L317" s="165">
        <f t="shared" si="36"/>
        <v>-841729.25562790304</v>
      </c>
      <c r="M317" s="165">
        <f t="shared" si="39"/>
        <v>-12437.481283809779</v>
      </c>
      <c r="N317" s="165">
        <f t="shared" si="37"/>
        <v>-126.35542344142081</v>
      </c>
      <c r="O317" s="166">
        <f t="shared" si="35"/>
        <v>-8.4833917854301681</v>
      </c>
    </row>
    <row r="318" spans="11:15" x14ac:dyDescent="0.25">
      <c r="K318" s="164">
        <v>317</v>
      </c>
      <c r="L318" s="165">
        <f t="shared" si="36"/>
        <v>-854481.54988576297</v>
      </c>
      <c r="M318" s="165">
        <f t="shared" si="39"/>
        <v>-12625.938834418545</v>
      </c>
      <c r="N318" s="165">
        <f t="shared" si="37"/>
        <v>-126.35542344142081</v>
      </c>
      <c r="O318" s="166">
        <f t="shared" si="35"/>
        <v>-8.5847492109889654</v>
      </c>
    </row>
    <row r="319" spans="11:15" x14ac:dyDescent="0.25">
      <c r="K319" s="164">
        <v>318</v>
      </c>
      <c r="L319" s="165">
        <f t="shared" si="36"/>
        <v>-867425.12855749077</v>
      </c>
      <c r="M319" s="165">
        <f t="shared" si="39"/>
        <v>-12817.223248286444</v>
      </c>
      <c r="N319" s="165">
        <f t="shared" si="37"/>
        <v>-126.35542344142081</v>
      </c>
      <c r="O319" s="166">
        <f t="shared" si="35"/>
        <v>-8.6873849088251074</v>
      </c>
    </row>
    <row r="320" spans="11:15" x14ac:dyDescent="0.25">
      <c r="K320" s="164">
        <v>319</v>
      </c>
      <c r="L320" s="165">
        <f t="shared" si="36"/>
        <v>-880562.86090929457</v>
      </c>
      <c r="M320" s="165">
        <f t="shared" si="39"/>
        <v>-13011.376928362361</v>
      </c>
      <c r="N320" s="165">
        <f t="shared" si="37"/>
        <v>-126.35542344142081</v>
      </c>
      <c r="O320" s="166">
        <f t="shared" si="35"/>
        <v>-8.7913155035928199</v>
      </c>
    </row>
    <row r="321" spans="11:15" x14ac:dyDescent="0.25">
      <c r="K321" s="164">
        <v>320</v>
      </c>
      <c r="L321" s="165">
        <f t="shared" si="36"/>
        <v>-893897.65924637532</v>
      </c>
      <c r="M321" s="165">
        <f t="shared" si="39"/>
        <v>-13208.442913639417</v>
      </c>
      <c r="N321" s="165">
        <f t="shared" si="37"/>
        <v>-126.35542344142081</v>
      </c>
      <c r="O321" s="166">
        <f t="shared" ref="O321:O361" si="40">(L321/$C$20)/K321*12</f>
        <v>-8.8965578404857215</v>
      </c>
    </row>
    <row r="322" spans="11:15" x14ac:dyDescent="0.25">
      <c r="K322" s="164">
        <v>321</v>
      </c>
      <c r="L322" s="165">
        <f t="shared" si="36"/>
        <v>-907432.47955851234</v>
      </c>
      <c r="M322" s="165">
        <f t="shared" si="39"/>
        <v>-13408.464888695629</v>
      </c>
      <c r="N322" s="165">
        <f t="shared" si="37"/>
        <v>-126.35542344142081</v>
      </c>
      <c r="O322" s="166">
        <f t="shared" si="40"/>
        <v>-9.0031289882068286</v>
      </c>
    </row>
    <row r="323" spans="11:15" x14ac:dyDescent="0.25">
      <c r="K323" s="164">
        <v>322</v>
      </c>
      <c r="L323" s="165">
        <f t="shared" ref="L323:L361" si="41">IF(L322&lt;0,(L322+M323)+N323,L322+N323)</f>
        <v>-921170.32217533141</v>
      </c>
      <c r="M323" s="165">
        <f t="shared" si="39"/>
        <v>-13611.487193377683</v>
      </c>
      <c r="N323" s="165">
        <f t="shared" si="37"/>
        <v>-126.35542344142081</v>
      </c>
      <c r="O323" s="166">
        <f t="shared" si="40"/>
        <v>-9.1110462419789986</v>
      </c>
    </row>
    <row r="324" spans="11:15" x14ac:dyDescent="0.25">
      <c r="K324" s="164">
        <v>323</v>
      </c>
      <c r="L324" s="165">
        <f t="shared" si="41"/>
        <v>-935114.23243140278</v>
      </c>
      <c r="M324" s="165">
        <f t="shared" si="39"/>
        <v>-13817.55483262997</v>
      </c>
      <c r="N324" s="165">
        <f t="shared" si="37"/>
        <v>-126.35542344142081</v>
      </c>
      <c r="O324" s="166">
        <f t="shared" si="40"/>
        <v>-9.2203271265963664</v>
      </c>
    </row>
    <row r="325" spans="11:15" x14ac:dyDescent="0.25">
      <c r="K325" s="164">
        <v>324</v>
      </c>
      <c r="L325" s="165">
        <f t="shared" si="41"/>
        <v>-949267.30134131527</v>
      </c>
      <c r="M325" s="165">
        <f t="shared" si="39"/>
        <v>-14026.713486471041</v>
      </c>
      <c r="N325" s="165">
        <f t="shared" si="37"/>
        <v>-126.35542344142081</v>
      </c>
      <c r="O325" s="166">
        <f t="shared" si="40"/>
        <v>-9.3309893995173319</v>
      </c>
    </row>
    <row r="326" spans="11:15" x14ac:dyDescent="0.25">
      <c r="K326" s="164">
        <v>325</v>
      </c>
      <c r="L326" s="165">
        <f t="shared" si="41"/>
        <v>-963632.66628487641</v>
      </c>
      <c r="M326" s="165">
        <f t="shared" si="39"/>
        <v>-14239.009520119727</v>
      </c>
      <c r="N326" s="165">
        <f t="shared" si="37"/>
        <v>-126.35542344142081</v>
      </c>
      <c r="O326" s="166">
        <f t="shared" si="40"/>
        <v>-9.4430510539996906</v>
      </c>
    </row>
    <row r="327" spans="11:15" x14ac:dyDescent="0.25">
      <c r="K327" s="164">
        <v>326</v>
      </c>
      <c r="L327" s="165">
        <f t="shared" si="41"/>
        <v>-978211.03414526861</v>
      </c>
      <c r="M327" s="165">
        <f t="shared" si="39"/>
        <v>-14454.489994273144</v>
      </c>
      <c r="N327" s="165">
        <f t="shared" si="38"/>
        <v>-123.87786611904001</v>
      </c>
      <c r="O327" s="166">
        <f t="shared" si="40"/>
        <v>-9.5565061181027922</v>
      </c>
    </row>
    <row r="328" spans="11:15" x14ac:dyDescent="0.25">
      <c r="K328" s="164">
        <v>327</v>
      </c>
      <c r="L328" s="165">
        <f t="shared" si="41"/>
        <v>-993008.07752356667</v>
      </c>
      <c r="M328" s="165">
        <f t="shared" si="39"/>
        <v>-14673.16551217903</v>
      </c>
      <c r="N328" s="165">
        <f t="shared" si="38"/>
        <v>-123.87786611904001</v>
      </c>
      <c r="O328" s="166">
        <f t="shared" si="40"/>
        <v>-9.6713970565210889</v>
      </c>
    </row>
    <row r="329" spans="11:15" x14ac:dyDescent="0.25">
      <c r="K329" s="164">
        <v>328</v>
      </c>
      <c r="L329" s="165">
        <f t="shared" si="41"/>
        <v>-1008027.0765525392</v>
      </c>
      <c r="M329" s="165">
        <f t="shared" si="39"/>
        <v>-14895.1211628535</v>
      </c>
      <c r="N329" s="165">
        <f t="shared" si="38"/>
        <v>-123.87786611904001</v>
      </c>
      <c r="O329" s="166">
        <f t="shared" si="40"/>
        <v>-9.7877425856951064</v>
      </c>
    </row>
    <row r="330" spans="11:15" x14ac:dyDescent="0.25">
      <c r="K330" s="164">
        <v>329</v>
      </c>
      <c r="L330" s="165">
        <f t="shared" si="41"/>
        <v>-1023271.3605669463</v>
      </c>
      <c r="M330" s="165">
        <f t="shared" si="39"/>
        <v>-15120.406148288088</v>
      </c>
      <c r="N330" s="165">
        <f t="shared" si="38"/>
        <v>-123.87786611904001</v>
      </c>
      <c r="O330" s="166">
        <f t="shared" si="40"/>
        <v>-9.9055616707993224</v>
      </c>
    </row>
    <row r="331" spans="11:15" x14ac:dyDescent="0.25">
      <c r="K331" s="164">
        <v>330</v>
      </c>
      <c r="L331" s="165">
        <f t="shared" si="41"/>
        <v>-1038744.3088415696</v>
      </c>
      <c r="M331" s="165">
        <f t="shared" si="39"/>
        <v>-15349.070408504194</v>
      </c>
      <c r="N331" s="165">
        <f t="shared" si="38"/>
        <v>-123.87786611904001</v>
      </c>
      <c r="O331" s="166">
        <f t="shared" si="40"/>
        <v>-10.024873529096165</v>
      </c>
    </row>
    <row r="332" spans="11:15" x14ac:dyDescent="0.25">
      <c r="K332" s="164">
        <v>331</v>
      </c>
      <c r="L332" s="165">
        <f t="shared" si="41"/>
        <v>-1054451.8288976345</v>
      </c>
      <c r="M332" s="165">
        <f t="shared" si="39"/>
        <v>-15581.164632623542</v>
      </c>
      <c r="N332" s="165">
        <f t="shared" ref="N332:N340" si="42">$N$88*1.02</f>
        <v>-126.35542344142081</v>
      </c>
      <c r="O332" s="166">
        <f t="shared" si="40"/>
        <v>-10.145721471889399</v>
      </c>
    </row>
    <row r="333" spans="11:15" x14ac:dyDescent="0.25">
      <c r="K333" s="164">
        <v>332</v>
      </c>
      <c r="L333" s="165">
        <f t="shared" si="41"/>
        <v>-1070394.9617545404</v>
      </c>
      <c r="M333" s="165">
        <f t="shared" si="39"/>
        <v>-15816.777433464516</v>
      </c>
      <c r="N333" s="165">
        <f t="shared" si="42"/>
        <v>-126.35542344142081</v>
      </c>
      <c r="O333" s="166">
        <f t="shared" si="40"/>
        <v>-10.268101605204672</v>
      </c>
    </row>
    <row r="334" spans="11:15" x14ac:dyDescent="0.25">
      <c r="K334" s="164">
        <v>333</v>
      </c>
      <c r="L334" s="165">
        <f t="shared" si="41"/>
        <v>-1086577.2416043</v>
      </c>
      <c r="M334" s="165">
        <f t="shared" si="39"/>
        <v>-16055.924426318104</v>
      </c>
      <c r="N334" s="165">
        <f t="shared" si="42"/>
        <v>-126.35542344142081</v>
      </c>
      <c r="O334" s="166">
        <f t="shared" si="40"/>
        <v>-10.392033926566066</v>
      </c>
    </row>
    <row r="335" spans="11:15" x14ac:dyDescent="0.25">
      <c r="K335" s="164">
        <v>334</v>
      </c>
      <c r="L335" s="165">
        <f t="shared" si="41"/>
        <v>-1103002.2556518058</v>
      </c>
      <c r="M335" s="165">
        <f t="shared" si="39"/>
        <v>-16298.658624064499</v>
      </c>
      <c r="N335" s="165">
        <f t="shared" si="42"/>
        <v>-126.35542344142081</v>
      </c>
      <c r="O335" s="166">
        <f t="shared" si="40"/>
        <v>-10.517538699503973</v>
      </c>
    </row>
    <row r="336" spans="11:15" x14ac:dyDescent="0.25">
      <c r="K336" s="164">
        <v>335</v>
      </c>
      <c r="L336" s="165">
        <f t="shared" si="41"/>
        <v>-1119673.6449100242</v>
      </c>
      <c r="M336" s="165">
        <f t="shared" ref="M336:M361" si="43">IF(L335&lt;0,(L335*0.18/12),0)</f>
        <v>-16545.033834777085</v>
      </c>
      <c r="N336" s="165">
        <f t="shared" si="42"/>
        <v>-126.35542344142081</v>
      </c>
      <c r="O336" s="166">
        <f t="shared" si="40"/>
        <v>-10.644636457144692</v>
      </c>
    </row>
    <row r="337" spans="11:15" x14ac:dyDescent="0.25">
      <c r="K337" s="164">
        <v>336</v>
      </c>
      <c r="L337" s="165">
        <f t="shared" si="41"/>
        <v>-1136595.105007116</v>
      </c>
      <c r="M337" s="165">
        <f t="shared" si="43"/>
        <v>-16795.104673650363</v>
      </c>
      <c r="N337" s="165">
        <f t="shared" si="42"/>
        <v>-126.35542344142081</v>
      </c>
      <c r="O337" s="166">
        <f t="shared" si="40"/>
        <v>-10.77334800584897</v>
      </c>
    </row>
    <row r="338" spans="11:15" x14ac:dyDescent="0.25">
      <c r="K338" s="164">
        <v>337</v>
      </c>
      <c r="L338" s="165">
        <f t="shared" si="41"/>
        <v>-1153770.3870056642</v>
      </c>
      <c r="M338" s="165">
        <f t="shared" si="43"/>
        <v>-17048.92657510674</v>
      </c>
      <c r="N338" s="165">
        <f t="shared" si="42"/>
        <v>-126.35542344142081</v>
      </c>
      <c r="O338" s="166">
        <f t="shared" si="40"/>
        <v>-10.903694428900184</v>
      </c>
    </row>
    <row r="339" spans="11:15" x14ac:dyDescent="0.25">
      <c r="K339" s="164">
        <v>338</v>
      </c>
      <c r="L339" s="165">
        <f t="shared" si="41"/>
        <v>-1171203.2982341906</v>
      </c>
      <c r="M339" s="165">
        <f t="shared" si="43"/>
        <v>-17306.555805084961</v>
      </c>
      <c r="N339" s="165">
        <f t="shared" si="42"/>
        <v>-126.35542344142081</v>
      </c>
      <c r="O339" s="166">
        <f t="shared" si="40"/>
        <v>-11.03569709024285</v>
      </c>
    </row>
    <row r="340" spans="11:15" x14ac:dyDescent="0.25">
      <c r="K340" s="164">
        <v>339</v>
      </c>
      <c r="L340" s="165">
        <f t="shared" si="41"/>
        <v>-1188897.7031311449</v>
      </c>
      <c r="M340" s="165">
        <f t="shared" si="43"/>
        <v>-17568.049473512856</v>
      </c>
      <c r="N340" s="165">
        <f t="shared" si="42"/>
        <v>-126.35542344142081</v>
      </c>
      <c r="O340" s="166">
        <f t="shared" si="40"/>
        <v>-11.169377638272106</v>
      </c>
    </row>
    <row r="341" spans="11:15" x14ac:dyDescent="0.25">
      <c r="K341" s="164">
        <v>340</v>
      </c>
      <c r="L341" s="165">
        <f t="shared" si="41"/>
        <v>-1206855.0465442312</v>
      </c>
      <c r="M341" s="165">
        <f t="shared" si="43"/>
        <v>-17833.465546967174</v>
      </c>
      <c r="N341" s="165">
        <f t="shared" ref="N341:N361" si="44">$N$76*1.02</f>
        <v>-123.87786611904001</v>
      </c>
      <c r="O341" s="166">
        <f t="shared" si="40"/>
        <v>-11.304734802141827</v>
      </c>
    </row>
    <row r="342" spans="11:15" x14ac:dyDescent="0.25">
      <c r="K342" s="164">
        <v>341</v>
      </c>
      <c r="L342" s="165">
        <f t="shared" si="41"/>
        <v>-1225081.7501085137</v>
      </c>
      <c r="M342" s="165">
        <f t="shared" si="43"/>
        <v>-18102.825698163466</v>
      </c>
      <c r="N342" s="165">
        <f t="shared" si="44"/>
        <v>-123.87786611904001</v>
      </c>
      <c r="O342" s="166">
        <f t="shared" si="40"/>
        <v>-11.441813807280077</v>
      </c>
    </row>
    <row r="343" spans="11:15" x14ac:dyDescent="0.25">
      <c r="K343" s="164">
        <v>342</v>
      </c>
      <c r="L343" s="165">
        <f t="shared" si="41"/>
        <v>-1243581.8542262607</v>
      </c>
      <c r="M343" s="165">
        <f t="shared" si="43"/>
        <v>-18376.226251627708</v>
      </c>
      <c r="N343" s="165">
        <f t="shared" si="44"/>
        <v>-123.87786611904001</v>
      </c>
      <c r="O343" s="166">
        <f t="shared" si="40"/>
        <v>-11.580637175351193</v>
      </c>
    </row>
    <row r="344" spans="11:15" x14ac:dyDescent="0.25">
      <c r="K344" s="164">
        <v>343</v>
      </c>
      <c r="L344" s="165">
        <f t="shared" si="41"/>
        <v>-1262359.4599057736</v>
      </c>
      <c r="M344" s="165">
        <f t="shared" si="43"/>
        <v>-18653.727813393907</v>
      </c>
      <c r="N344" s="165">
        <f t="shared" si="44"/>
        <v>-123.87786611904001</v>
      </c>
      <c r="O344" s="166">
        <f t="shared" si="40"/>
        <v>-11.721227728113767</v>
      </c>
    </row>
    <row r="345" spans="11:15" x14ac:dyDescent="0.25">
      <c r="K345" s="164">
        <v>344</v>
      </c>
      <c r="L345" s="165">
        <f t="shared" si="41"/>
        <v>-1281421.2072278017</v>
      </c>
      <c r="M345" s="165">
        <f t="shared" si="43"/>
        <v>-18935.391898586604</v>
      </c>
      <c r="N345" s="165">
        <f t="shared" ref="N345:N356" si="45">$N$88*1.02</f>
        <v>-126.35542344142081</v>
      </c>
      <c r="O345" s="166">
        <f t="shared" si="40"/>
        <v>-11.86363152915348</v>
      </c>
    </row>
    <row r="346" spans="11:15" x14ac:dyDescent="0.25">
      <c r="K346" s="164">
        <v>345</v>
      </c>
      <c r="L346" s="165">
        <f t="shared" si="41"/>
        <v>-1300768.8807596602</v>
      </c>
      <c r="M346" s="165">
        <f t="shared" si="43"/>
        <v>-19221.318108417025</v>
      </c>
      <c r="N346" s="165">
        <f t="shared" si="45"/>
        <v>-126.35542344142081</v>
      </c>
      <c r="O346" s="166">
        <f t="shared" si="40"/>
        <v>-12.007849285054665</v>
      </c>
    </row>
    <row r="347" spans="11:15" x14ac:dyDescent="0.25">
      <c r="K347" s="164">
        <v>346</v>
      </c>
      <c r="L347" s="165">
        <f t="shared" si="41"/>
        <v>-1320406.7693944965</v>
      </c>
      <c r="M347" s="165">
        <f t="shared" si="43"/>
        <v>-19511.533211394901</v>
      </c>
      <c r="N347" s="165">
        <f t="shared" si="45"/>
        <v>-126.35542344142081</v>
      </c>
      <c r="O347" s="166">
        <f t="shared" si="40"/>
        <v>-12.153904745718632</v>
      </c>
    </row>
    <row r="348" spans="11:15" x14ac:dyDescent="0.25">
      <c r="K348" s="164">
        <v>347</v>
      </c>
      <c r="L348" s="165">
        <f t="shared" si="41"/>
        <v>-1340339.2263588554</v>
      </c>
      <c r="M348" s="165">
        <f t="shared" si="43"/>
        <v>-19806.101540917447</v>
      </c>
      <c r="N348" s="165">
        <f t="shared" si="45"/>
        <v>-126.35542344142081</v>
      </c>
      <c r="O348" s="166">
        <f t="shared" si="40"/>
        <v>-12.301821977733592</v>
      </c>
    </row>
    <row r="349" spans="11:15" x14ac:dyDescent="0.25">
      <c r="K349" s="164">
        <v>348</v>
      </c>
      <c r="L349" s="165">
        <f t="shared" si="41"/>
        <v>-1360570.6701776795</v>
      </c>
      <c r="M349" s="165">
        <f t="shared" si="43"/>
        <v>-20105.088395382831</v>
      </c>
      <c r="N349" s="165">
        <f t="shared" si="45"/>
        <v>-126.35542344142081</v>
      </c>
      <c r="O349" s="166">
        <f t="shared" si="40"/>
        <v>-12.451625368656007</v>
      </c>
    </row>
    <row r="350" spans="11:15" x14ac:dyDescent="0.25">
      <c r="K350" s="164">
        <v>349</v>
      </c>
      <c r="L350" s="165">
        <f t="shared" si="41"/>
        <v>-1381105.5856537861</v>
      </c>
      <c r="M350" s="165">
        <f t="shared" si="43"/>
        <v>-20408.560052665194</v>
      </c>
      <c r="N350" s="165">
        <f t="shared" si="45"/>
        <v>-126.35542344142081</v>
      </c>
      <c r="O350" s="166">
        <f t="shared" si="40"/>
        <v>-12.60333963135044</v>
      </c>
    </row>
    <row r="351" spans="11:15" x14ac:dyDescent="0.25">
      <c r="K351" s="164">
        <v>350</v>
      </c>
      <c r="L351" s="165">
        <f t="shared" si="41"/>
        <v>-1401948.5248620342</v>
      </c>
      <c r="M351" s="165">
        <f t="shared" si="43"/>
        <v>-20716.583784806789</v>
      </c>
      <c r="N351" s="165">
        <f t="shared" si="45"/>
        <v>-126.35542344142081</v>
      </c>
      <c r="O351" s="166">
        <f t="shared" si="40"/>
        <v>-12.756989808388724</v>
      </c>
    </row>
    <row r="352" spans="11:15" x14ac:dyDescent="0.25">
      <c r="K352" s="164">
        <v>351</v>
      </c>
      <c r="L352" s="165">
        <f t="shared" si="41"/>
        <v>-1423104.1081584061</v>
      </c>
      <c r="M352" s="165">
        <f t="shared" si="43"/>
        <v>-21029.227872930514</v>
      </c>
      <c r="N352" s="165">
        <f t="shared" si="45"/>
        <v>-126.35542344142081</v>
      </c>
      <c r="O352" s="166">
        <f t="shared" si="40"/>
        <v>-12.912601276509182</v>
      </c>
    </row>
    <row r="353" spans="11:15" x14ac:dyDescent="0.25">
      <c r="K353" s="164">
        <v>352</v>
      </c>
      <c r="L353" s="165">
        <f t="shared" si="41"/>
        <v>-1444577.0252042236</v>
      </c>
      <c r="M353" s="165">
        <f t="shared" si="43"/>
        <v>-21346.561622376092</v>
      </c>
      <c r="N353" s="165">
        <f t="shared" si="45"/>
        <v>-126.35542344142081</v>
      </c>
      <c r="O353" s="166">
        <f t="shared" si="40"/>
        <v>-13.070199751136858</v>
      </c>
    </row>
    <row r="354" spans="11:15" x14ac:dyDescent="0.25">
      <c r="K354" s="164">
        <v>353</v>
      </c>
      <c r="L354" s="165">
        <f t="shared" si="41"/>
        <v>-1466372.0360057284</v>
      </c>
      <c r="M354" s="165">
        <f t="shared" si="43"/>
        <v>-21668.655378063351</v>
      </c>
      <c r="N354" s="165">
        <f t="shared" si="45"/>
        <v>-126.35542344142081</v>
      </c>
      <c r="O354" s="166">
        <f t="shared" si="40"/>
        <v>-13.229811290965458</v>
      </c>
    </row>
    <row r="355" spans="11:15" x14ac:dyDescent="0.25">
      <c r="K355" s="164">
        <v>354</v>
      </c>
      <c r="L355" s="165">
        <f t="shared" si="41"/>
        <v>-1488493.9719692557</v>
      </c>
      <c r="M355" s="165">
        <f t="shared" si="43"/>
        <v>-21995.580540085924</v>
      </c>
      <c r="N355" s="165">
        <f t="shared" si="45"/>
        <v>-126.35542344142081</v>
      </c>
      <c r="O355" s="166">
        <f t="shared" si="40"/>
        <v>-13.391462302601973</v>
      </c>
    </row>
    <row r="356" spans="11:15" x14ac:dyDescent="0.25">
      <c r="K356" s="164">
        <v>355</v>
      </c>
      <c r="L356" s="165">
        <f t="shared" si="41"/>
        <v>-1510947.7369722358</v>
      </c>
      <c r="M356" s="165">
        <f t="shared" si="43"/>
        <v>-22327.409579538838</v>
      </c>
      <c r="N356" s="165">
        <f t="shared" si="45"/>
        <v>-126.35542344142081</v>
      </c>
      <c r="O356" s="166">
        <f t="shared" si="40"/>
        <v>-13.555179545274774</v>
      </c>
    </row>
    <row r="357" spans="11:15" x14ac:dyDescent="0.25">
      <c r="K357" s="164">
        <v>356</v>
      </c>
      <c r="L357" s="165">
        <f t="shared" si="41"/>
        <v>-1533735.8308929384</v>
      </c>
      <c r="M357" s="165">
        <f t="shared" si="43"/>
        <v>-22664.216054583536</v>
      </c>
      <c r="N357" s="165">
        <f t="shared" si="44"/>
        <v>-123.87786611904001</v>
      </c>
      <c r="O357" s="166">
        <f t="shared" si="40"/>
        <v>-13.720967971108134</v>
      </c>
    </row>
    <row r="358" spans="11:15" x14ac:dyDescent="0.25">
      <c r="K358" s="164">
        <v>357</v>
      </c>
      <c r="L358" s="165">
        <f t="shared" si="41"/>
        <v>-1556865.7462224516</v>
      </c>
      <c r="M358" s="165">
        <f t="shared" si="43"/>
        <v>-23006.037463394077</v>
      </c>
      <c r="N358" s="165">
        <f t="shared" si="44"/>
        <v>-123.87786611904001</v>
      </c>
      <c r="O358" s="166">
        <f t="shared" si="40"/>
        <v>-13.888877016088447</v>
      </c>
    </row>
    <row r="359" spans="11:15" x14ac:dyDescent="0.25">
      <c r="K359" s="164">
        <v>358</v>
      </c>
      <c r="L359" s="165">
        <f t="shared" si="41"/>
        <v>-1580342.6102819075</v>
      </c>
      <c r="M359" s="165">
        <f t="shared" si="43"/>
        <v>-23352.986193336776</v>
      </c>
      <c r="N359" s="165">
        <f t="shared" si="44"/>
        <v>-123.87786611904001</v>
      </c>
      <c r="O359" s="166">
        <f t="shared" si="40"/>
        <v>-14.058934522983499</v>
      </c>
    </row>
    <row r="360" spans="11:15" x14ac:dyDescent="0.25">
      <c r="K360" s="164">
        <v>359</v>
      </c>
      <c r="L360" s="165">
        <f t="shared" si="41"/>
        <v>-1604171.6273022552</v>
      </c>
      <c r="M360" s="165">
        <f t="shared" si="43"/>
        <v>-23705.139154228611</v>
      </c>
      <c r="N360" s="165">
        <f t="shared" si="44"/>
        <v>-123.87786611904001</v>
      </c>
      <c r="O360" s="166">
        <f t="shared" si="40"/>
        <v>-14.231168706629184</v>
      </c>
    </row>
    <row r="361" spans="11:15" x14ac:dyDescent="0.25">
      <c r="K361" s="164">
        <v>360</v>
      </c>
      <c r="L361" s="165">
        <f t="shared" si="41"/>
        <v>-1628358.0795779082</v>
      </c>
      <c r="M361" s="165">
        <f t="shared" si="43"/>
        <v>-24062.574409533827</v>
      </c>
      <c r="N361" s="165">
        <f t="shared" si="44"/>
        <v>-123.87786611904001</v>
      </c>
      <c r="O361" s="166">
        <f t="shared" si="40"/>
        <v>-14.405608158967881</v>
      </c>
    </row>
    <row r="362" spans="11:15" x14ac:dyDescent="0.25">
      <c r="M362" s="165"/>
      <c r="N362" s="165"/>
    </row>
    <row r="363" spans="11:15" x14ac:dyDescent="0.25">
      <c r="M363" s="165"/>
      <c r="N363" s="165"/>
    </row>
    <row r="364" spans="11:15" x14ac:dyDescent="0.25">
      <c r="M364" s="165"/>
      <c r="N364" s="165"/>
    </row>
    <row r="365" spans="11:15" x14ac:dyDescent="0.25">
      <c r="M365" s="165"/>
      <c r="N365" s="165"/>
    </row>
    <row r="366" spans="11:15" x14ac:dyDescent="0.25">
      <c r="M366" s="165"/>
      <c r="N366" s="165"/>
    </row>
    <row r="367" spans="11:15" x14ac:dyDescent="0.25">
      <c r="M367" s="165"/>
      <c r="N367" s="165"/>
    </row>
    <row r="368" spans="11:15" x14ac:dyDescent="0.25">
      <c r="M368" s="165"/>
      <c r="N368" s="165"/>
    </row>
    <row r="369" spans="13:14" x14ac:dyDescent="0.25">
      <c r="M369" s="165"/>
      <c r="N369" s="165"/>
    </row>
    <row r="370" spans="13:14" x14ac:dyDescent="0.25">
      <c r="M370" s="165"/>
      <c r="N370" s="165"/>
    </row>
    <row r="371" spans="13:14" x14ac:dyDescent="0.25">
      <c r="M371" s="165"/>
      <c r="N371" s="165"/>
    </row>
    <row r="372" spans="13:14" x14ac:dyDescent="0.25">
      <c r="M372" s="165"/>
      <c r="N372" s="165"/>
    </row>
    <row r="373" spans="13:14" x14ac:dyDescent="0.25">
      <c r="M373" s="165"/>
      <c r="N373" s="165"/>
    </row>
    <row r="374" spans="13:14" x14ac:dyDescent="0.25">
      <c r="M374" s="165"/>
      <c r="N374" s="165"/>
    </row>
    <row r="375" spans="13:14" x14ac:dyDescent="0.25">
      <c r="M375" s="165"/>
      <c r="N375" s="165"/>
    </row>
    <row r="376" spans="13:14" x14ac:dyDescent="0.25">
      <c r="M376" s="165"/>
      <c r="N376" s="165"/>
    </row>
    <row r="377" spans="13:14" x14ac:dyDescent="0.25">
      <c r="M377" s="165"/>
      <c r="N377" s="165"/>
    </row>
    <row r="378" spans="13:14" x14ac:dyDescent="0.25">
      <c r="M378" s="165"/>
      <c r="N378" s="165"/>
    </row>
    <row r="379" spans="13:14" x14ac:dyDescent="0.25">
      <c r="M379" s="165"/>
      <c r="N379" s="165"/>
    </row>
    <row r="380" spans="13:14" x14ac:dyDescent="0.25">
      <c r="M380" s="165"/>
      <c r="N380" s="165"/>
    </row>
    <row r="381" spans="13:14" x14ac:dyDescent="0.25">
      <c r="M381" s="165"/>
      <c r="N381" s="165"/>
    </row>
    <row r="382" spans="13:14" x14ac:dyDescent="0.25">
      <c r="M382" s="165"/>
      <c r="N382" s="165"/>
    </row>
    <row r="383" spans="13:14" x14ac:dyDescent="0.25">
      <c r="M383" s="165"/>
      <c r="N383" s="165"/>
    </row>
    <row r="384" spans="13:14" x14ac:dyDescent="0.25">
      <c r="M384" s="165"/>
      <c r="N384" s="165"/>
    </row>
    <row r="385" spans="13:14" x14ac:dyDescent="0.25">
      <c r="M385" s="165"/>
      <c r="N385" s="165"/>
    </row>
    <row r="386" spans="13:14" x14ac:dyDescent="0.25">
      <c r="M386" s="165"/>
      <c r="N386" s="165"/>
    </row>
    <row r="387" spans="13:14" x14ac:dyDescent="0.25">
      <c r="M387" s="165"/>
      <c r="N387" s="165"/>
    </row>
    <row r="388" spans="13:14" x14ac:dyDescent="0.25">
      <c r="M388" s="165"/>
      <c r="N388" s="165"/>
    </row>
    <row r="389" spans="13:14" x14ac:dyDescent="0.25">
      <c r="M389" s="165"/>
      <c r="N389" s="165"/>
    </row>
    <row r="390" spans="13:14" x14ac:dyDescent="0.25">
      <c r="M390" s="165"/>
      <c r="N390" s="165"/>
    </row>
    <row r="391" spans="13:14" x14ac:dyDescent="0.25">
      <c r="M391" s="165"/>
      <c r="N391" s="165"/>
    </row>
    <row r="392" spans="13:14" x14ac:dyDescent="0.25">
      <c r="M392" s="165"/>
      <c r="N392" s="165"/>
    </row>
    <row r="393" spans="13:14" x14ac:dyDescent="0.25">
      <c r="M393" s="165"/>
      <c r="N393" s="165"/>
    </row>
    <row r="394" spans="13:14" x14ac:dyDescent="0.25">
      <c r="M394" s="165"/>
      <c r="N394" s="165"/>
    </row>
    <row r="395" spans="13:14" x14ac:dyDescent="0.25">
      <c r="M395" s="165"/>
      <c r="N395" s="165"/>
    </row>
    <row r="396" spans="13:14" x14ac:dyDescent="0.25">
      <c r="M396" s="165"/>
      <c r="N396" s="165"/>
    </row>
    <row r="397" spans="13:14" x14ac:dyDescent="0.25">
      <c r="M397" s="165"/>
      <c r="N397" s="165"/>
    </row>
    <row r="398" spans="13:14" x14ac:dyDescent="0.25">
      <c r="M398" s="165"/>
      <c r="N398" s="165"/>
    </row>
    <row r="399" spans="13:14" x14ac:dyDescent="0.25">
      <c r="M399" s="165"/>
      <c r="N399" s="165"/>
    </row>
  </sheetData>
  <sheetProtection algorithmName="SHA-512" hashValue="USKhN21OsdBmDjMPKyQq12q59eVbU1OsewfbHTd+HLPRYTTm139LpgrtGQUrdySyZ0uiPR3+PUmAnmy6LhObgQ==" saltValue="QELTceuVSn1jYsCTscPt7w==" spinCount="100000" sheet="1" formatCells="0" formatColumns="0" formatRows="0"/>
  <mergeCells count="6">
    <mergeCell ref="E2:F2"/>
    <mergeCell ref="B14:C14"/>
    <mergeCell ref="E14:F14"/>
    <mergeCell ref="C11:F11"/>
    <mergeCell ref="C12:D12"/>
    <mergeCell ref="C13:D13"/>
  </mergeCells>
  <dataValidations count="1">
    <dataValidation type="decimal" operator="greaterThan" allowBlank="1" showInputMessage="1" showErrorMessage="1" sqref="C3 C5:C7">
      <formula1>-1000000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DropDown="1" showInputMessage="1" showErrorMessage="1">
          <x14:formula1>
            <xm:f>Tables!$J$2:$J$4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29" sqref="E29"/>
    </sheetView>
  </sheetViews>
  <sheetFormatPr defaultColWidth="8.85546875" defaultRowHeight="15" x14ac:dyDescent="0.25"/>
  <cols>
    <col min="1" max="1" width="18.28515625" bestFit="1" customWidth="1"/>
    <col min="2" max="2" width="12.140625" bestFit="1" customWidth="1"/>
    <col min="3" max="3" width="9.85546875" bestFit="1" customWidth="1"/>
    <col min="4" max="4" width="11" bestFit="1" customWidth="1"/>
    <col min="5" max="5" width="17.140625" bestFit="1" customWidth="1"/>
    <col min="6" max="6" width="13" bestFit="1" customWidth="1"/>
    <col min="7" max="7" width="4.28515625" bestFit="1" customWidth="1"/>
    <col min="8" max="8" width="3.7109375" customWidth="1"/>
    <col min="9" max="9" width="18.28515625" bestFit="1" customWidth="1"/>
    <col min="10" max="10" width="12.140625" bestFit="1" customWidth="1"/>
    <col min="11" max="11" width="4.7109375" customWidth="1"/>
    <col min="12" max="12" width="13.42578125" style="72" bestFit="1" customWidth="1"/>
    <col min="13" max="13" width="13.42578125" bestFit="1" customWidth="1"/>
    <col min="14" max="14" width="12.28515625" bestFit="1" customWidth="1"/>
    <col min="15" max="15" width="9.42578125" bestFit="1" customWidth="1"/>
    <col min="16" max="16" width="18.42578125" bestFit="1" customWidth="1"/>
    <col min="17" max="17" width="13.28515625" bestFit="1" customWidth="1"/>
    <col min="18" max="18" width="17.7109375" bestFit="1" customWidth="1"/>
    <col min="19" max="19" width="12.140625" bestFit="1" customWidth="1"/>
  </cols>
  <sheetData>
    <row r="1" spans="1:17" x14ac:dyDescent="0.25">
      <c r="A1" s="35" t="s">
        <v>0</v>
      </c>
      <c r="B1" s="349">
        <f>'Data Input'!C3</f>
        <v>0</v>
      </c>
      <c r="C1" s="350"/>
      <c r="D1" s="350"/>
      <c r="E1" s="350"/>
      <c r="F1" s="110" t="s">
        <v>132</v>
      </c>
      <c r="G1" s="308">
        <f>'Data Input'!C30</f>
        <v>6</v>
      </c>
      <c r="I1" s="90" t="s">
        <v>108</v>
      </c>
      <c r="J1" s="96" t="s">
        <v>65</v>
      </c>
      <c r="L1" s="352" t="s">
        <v>27</v>
      </c>
      <c r="M1" s="353"/>
      <c r="N1" s="5"/>
      <c r="O1" s="5"/>
      <c r="P1" s="5"/>
      <c r="Q1" s="6"/>
    </row>
    <row r="2" spans="1:17" x14ac:dyDescent="0.25">
      <c r="A2" s="36" t="s">
        <v>2</v>
      </c>
      <c r="B2" s="37">
        <f>'Data Input'!C4</f>
        <v>0</v>
      </c>
      <c r="C2" s="111"/>
      <c r="D2" s="130" t="str">
        <f>'Data Input'!C2</f>
        <v>Not Residential</v>
      </c>
      <c r="E2" s="113"/>
      <c r="F2" s="112" t="s">
        <v>133</v>
      </c>
      <c r="G2" s="309">
        <f>'Data Input'!C32</f>
        <v>0.35</v>
      </c>
      <c r="I2" s="91"/>
      <c r="J2" s="97"/>
      <c r="L2" s="7" t="s">
        <v>28</v>
      </c>
      <c r="M2" s="351" t="s">
        <v>29</v>
      </c>
      <c r="N2" s="351"/>
      <c r="O2" s="354" t="s">
        <v>30</v>
      </c>
      <c r="P2" s="354"/>
      <c r="Q2" s="8"/>
    </row>
    <row r="3" spans="1:17" ht="15.75" thickBot="1" x14ac:dyDescent="0.3">
      <c r="A3" s="29" t="s">
        <v>134</v>
      </c>
      <c r="B3" s="114">
        <f>'Data Input'!C13</f>
        <v>0</v>
      </c>
      <c r="C3" s="115"/>
      <c r="D3" s="116" t="s">
        <v>92</v>
      </c>
      <c r="E3" s="38">
        <f>'Data Input'!C15</f>
        <v>0</v>
      </c>
      <c r="F3" s="116" t="s">
        <v>1</v>
      </c>
      <c r="G3" s="310">
        <v>0</v>
      </c>
      <c r="I3" s="92" t="s">
        <v>109</v>
      </c>
      <c r="J3" s="98" t="s">
        <v>66</v>
      </c>
      <c r="L3" s="9" t="e">
        <f ca="1">Tables!B6</f>
        <v>#VALUE!</v>
      </c>
      <c r="M3" s="355" t="e">
        <f ca="1">IF(Tables!F13&gt;=Tables!B6,Tables!B6,Tables!F13)</f>
        <v>#VALUE!</v>
      </c>
      <c r="N3" s="355"/>
      <c r="O3" s="355" t="e">
        <f ca="1">Tables!F13-Tables!M3</f>
        <v>#VALUE!</v>
      </c>
      <c r="P3" s="355"/>
      <c r="Q3" s="8"/>
    </row>
    <row r="4" spans="1:17" ht="15.75" thickBot="1" x14ac:dyDescent="0.3">
      <c r="I4" s="93" t="s">
        <v>110</v>
      </c>
      <c r="J4" s="99" t="s">
        <v>67</v>
      </c>
      <c r="L4" s="10"/>
      <c r="M4" s="1"/>
      <c r="N4" s="1"/>
      <c r="O4" s="1"/>
      <c r="P4" s="1"/>
      <c r="Q4" s="11"/>
    </row>
    <row r="5" spans="1:17" ht="15.75" thickBot="1" x14ac:dyDescent="0.3">
      <c r="A5" s="3" t="s">
        <v>114</v>
      </c>
      <c r="B5" s="100"/>
      <c r="C5" s="122" t="s">
        <v>70</v>
      </c>
      <c r="E5" s="3" t="s">
        <v>3</v>
      </c>
      <c r="F5" s="100"/>
      <c r="I5" s="93" t="s">
        <v>111</v>
      </c>
      <c r="L5" s="12" t="s">
        <v>31</v>
      </c>
      <c r="M5" s="13" t="s">
        <v>32</v>
      </c>
      <c r="N5" s="13" t="s">
        <v>33</v>
      </c>
      <c r="O5" s="13" t="s">
        <v>14</v>
      </c>
      <c r="P5" s="13" t="s">
        <v>34</v>
      </c>
      <c r="Q5" s="14" t="s">
        <v>35</v>
      </c>
    </row>
    <row r="6" spans="1:17" x14ac:dyDescent="0.25">
      <c r="A6" s="261" t="s">
        <v>117</v>
      </c>
      <c r="B6" s="262" t="e">
        <f ca="1">(F6-SUM(B7:B19,B21:B25,B28:B29,B31:B32,B34:B36,F7:F11)-(SUM(B7:B19,B21:B25,B28:B29,B31:B32,B34:B36)*G2))/((G2*1.0058)+1.0058)</f>
        <v>#VALUE!</v>
      </c>
      <c r="C6" s="256">
        <v>1</v>
      </c>
      <c r="E6" s="101" t="s">
        <v>5</v>
      </c>
      <c r="F6" s="117">
        <f>'Data Input'!C27</f>
        <v>0</v>
      </c>
      <c r="I6" s="93" t="s">
        <v>90</v>
      </c>
      <c r="L6" s="15">
        <v>35001</v>
      </c>
      <c r="M6" s="16">
        <v>50000</v>
      </c>
      <c r="N6" s="17">
        <v>6.6700000000000006E-3</v>
      </c>
      <c r="O6" s="17">
        <v>5.5500000000000002E-3</v>
      </c>
      <c r="P6" s="16">
        <f>((M6-L6)*N6)+402</f>
        <v>502.04333000000003</v>
      </c>
      <c r="Q6" s="18">
        <f>((M6-L6)*O6)+344</f>
        <v>427.24445000000003</v>
      </c>
    </row>
    <row r="7" spans="1:17" x14ac:dyDescent="0.25">
      <c r="A7" s="200" t="s">
        <v>80</v>
      </c>
      <c r="B7" s="263">
        <f>'Data Input'!I3*(1+(C7*'Data Input'!C30))</f>
        <v>0</v>
      </c>
      <c r="C7" s="257">
        <f>0.09/12</f>
        <v>7.4999999999999997E-3</v>
      </c>
      <c r="E7" s="101" t="s">
        <v>7</v>
      </c>
      <c r="F7" s="117">
        <v>0</v>
      </c>
      <c r="I7" s="93" t="s">
        <v>112</v>
      </c>
      <c r="L7" s="15">
        <v>50001</v>
      </c>
      <c r="M7" s="16">
        <v>100000</v>
      </c>
      <c r="N7" s="17">
        <v>5.4300000000000008E-3</v>
      </c>
      <c r="O7" s="17">
        <v>4.5399999999999998E-3</v>
      </c>
      <c r="P7" s="16">
        <f t="shared" ref="P7:P12" si="0">((M7-L7)*N7)+P6</f>
        <v>773.53790000000004</v>
      </c>
      <c r="Q7" s="18">
        <f t="shared" ref="Q7:Q12" si="1">((M7-L7)*O7)+Q6</f>
        <v>654.23991000000001</v>
      </c>
    </row>
    <row r="8" spans="1:17" ht="15.75" thickBot="1" x14ac:dyDescent="0.3">
      <c r="A8" s="200" t="s">
        <v>26</v>
      </c>
      <c r="B8" s="263">
        <f>'Data Input'!I4*C8</f>
        <v>0</v>
      </c>
      <c r="C8" s="258">
        <v>1</v>
      </c>
      <c r="E8" s="101" t="s">
        <v>9</v>
      </c>
      <c r="F8" s="117">
        <f>F6*'Data Input'!C31</f>
        <v>0</v>
      </c>
      <c r="I8" s="94" t="s">
        <v>113</v>
      </c>
      <c r="L8" s="15">
        <v>100001</v>
      </c>
      <c r="M8" s="16">
        <v>500000</v>
      </c>
      <c r="N8" s="17">
        <v>4.3600000000000002E-3</v>
      </c>
      <c r="O8" s="17">
        <v>3.64E-3</v>
      </c>
      <c r="P8" s="16">
        <f t="shared" si="0"/>
        <v>2517.5335400000004</v>
      </c>
      <c r="Q8" s="18">
        <f t="shared" si="1"/>
        <v>2110.2362700000003</v>
      </c>
    </row>
    <row r="9" spans="1:17" ht="15.75" thickBot="1" x14ac:dyDescent="0.3">
      <c r="A9" s="200" t="s">
        <v>85</v>
      </c>
      <c r="B9" s="263">
        <f>'Data Input'!I5*C9</f>
        <v>0</v>
      </c>
      <c r="C9" s="258">
        <v>1</v>
      </c>
      <c r="E9" s="101" t="s">
        <v>10</v>
      </c>
      <c r="F9" s="117" t="e">
        <f>(IF('Data Input'!C2="Residential",IF(AND(F6&gt;0,F6&lt;=500000),"1%",IF(F6&gt;500000,"1.425%","")),IF(AND(F6&gt;0,F6&lt;=500000),"1.425%",IF(F6&gt;500000,"2.625%","")))+0.4%)*F6</f>
        <v>#VALUE!</v>
      </c>
      <c r="I9" s="95"/>
      <c r="L9" s="15">
        <v>500001</v>
      </c>
      <c r="M9" s="16">
        <v>1000000</v>
      </c>
      <c r="N9" s="17">
        <v>3.98E-3</v>
      </c>
      <c r="O9" s="17">
        <v>3.31E-3</v>
      </c>
      <c r="P9" s="16">
        <f t="shared" si="0"/>
        <v>4507.5295600000009</v>
      </c>
      <c r="Q9" s="18">
        <f t="shared" si="1"/>
        <v>3765.2329600000003</v>
      </c>
    </row>
    <row r="10" spans="1:17" x14ac:dyDescent="0.25">
      <c r="A10" s="200" t="s">
        <v>191</v>
      </c>
      <c r="B10" s="263">
        <f>'Data Input'!I6*C10</f>
        <v>0</v>
      </c>
      <c r="C10" s="258">
        <v>1</v>
      </c>
      <c r="E10" s="101" t="s">
        <v>11</v>
      </c>
      <c r="F10" s="117">
        <v>1250</v>
      </c>
      <c r="I10" s="27" t="s">
        <v>10</v>
      </c>
      <c r="J10" s="26"/>
      <c r="L10" s="15">
        <v>1000001</v>
      </c>
      <c r="M10" s="16">
        <v>5000000</v>
      </c>
      <c r="N10" s="17">
        <v>3.6600000000000001E-3</v>
      </c>
      <c r="O10" s="17">
        <v>3.0500000000000002E-3</v>
      </c>
      <c r="P10" s="16">
        <f t="shared" si="0"/>
        <v>19147.525900000001</v>
      </c>
      <c r="Q10" s="18">
        <f t="shared" si="1"/>
        <v>15965.229910000002</v>
      </c>
    </row>
    <row r="11" spans="1:17" ht="15.75" thickBot="1" x14ac:dyDescent="0.3">
      <c r="A11" s="200" t="s">
        <v>190</v>
      </c>
      <c r="B11" s="263">
        <f>'Data Input'!I7*C11</f>
        <v>0</v>
      </c>
      <c r="C11" s="258">
        <v>1</v>
      </c>
      <c r="E11" s="101" t="s">
        <v>13</v>
      </c>
      <c r="F11" s="117">
        <v>500</v>
      </c>
      <c r="I11" s="33" t="s">
        <v>60</v>
      </c>
      <c r="J11" s="34" t="str">
        <f>IF(OR(NOT(ISERROR(SEARCH(("A"),'Data Input'!C4))),NOT(ISERROR(SEARCH(("B"),'Data Input'!C4))),NOT(ISERROR(SEARCH(("C0"),'Data Input'!C4))),NOT(ISERROR(SEARCH(("21"),'Data Input'!C4))),NOT(ISERROR(SEARCH(("R"),'Data Input'!C4)))),"Residential","Not Residential")</f>
        <v>Not Residential</v>
      </c>
      <c r="L11" s="15">
        <v>5000001</v>
      </c>
      <c r="M11" s="16">
        <v>10000000</v>
      </c>
      <c r="N11" s="17">
        <v>3.2499999999999999E-3</v>
      </c>
      <c r="O11" s="17">
        <v>2.7100000000000002E-3</v>
      </c>
      <c r="P11" s="16">
        <f t="shared" si="0"/>
        <v>35397.522649999999</v>
      </c>
      <c r="Q11" s="18">
        <f t="shared" si="1"/>
        <v>29515.227200000001</v>
      </c>
    </row>
    <row r="12" spans="1:17" ht="15.75" thickBot="1" x14ac:dyDescent="0.3">
      <c r="A12" s="200" t="s">
        <v>88</v>
      </c>
      <c r="B12" s="263">
        <f>'Data Input'!I8*C12</f>
        <v>0</v>
      </c>
      <c r="C12" s="258">
        <v>1</v>
      </c>
      <c r="E12" s="3" t="s">
        <v>4</v>
      </c>
      <c r="F12" s="118"/>
      <c r="L12" s="15">
        <v>10000001</v>
      </c>
      <c r="M12" s="16">
        <v>15000000</v>
      </c>
      <c r="N12" s="17">
        <v>3.0699999999999998E-3</v>
      </c>
      <c r="O12" s="17">
        <v>2.5500000000000002E-3</v>
      </c>
      <c r="P12" s="16">
        <f t="shared" si="0"/>
        <v>50747.51958</v>
      </c>
      <c r="Q12" s="18">
        <f t="shared" si="1"/>
        <v>42265.224650000004</v>
      </c>
    </row>
    <row r="13" spans="1:17" x14ac:dyDescent="0.25">
      <c r="A13" s="200" t="s">
        <v>96</v>
      </c>
      <c r="B13" s="263">
        <f>'Data Input'!I9*C13</f>
        <v>0</v>
      </c>
      <c r="C13" s="258">
        <v>0.15</v>
      </c>
      <c r="E13" s="101" t="s">
        <v>6</v>
      </c>
      <c r="F13" s="117">
        <f>F6*F17</f>
        <v>0</v>
      </c>
      <c r="I13" s="30" t="s">
        <v>57</v>
      </c>
      <c r="J13" s="28"/>
      <c r="L13" s="15">
        <v>15000001</v>
      </c>
      <c r="M13" s="16"/>
      <c r="N13" s="17">
        <v>2.7599999999999999E-3</v>
      </c>
      <c r="O13" s="17">
        <v>2.31E-3</v>
      </c>
      <c r="P13" s="16"/>
      <c r="Q13" s="18"/>
    </row>
    <row r="14" spans="1:17" x14ac:dyDescent="0.25">
      <c r="A14" s="200" t="s">
        <v>93</v>
      </c>
      <c r="B14" s="263">
        <f>'Data Input'!I10*C14</f>
        <v>0</v>
      </c>
      <c r="C14" s="258">
        <v>0.4</v>
      </c>
      <c r="E14" s="101" t="s">
        <v>118</v>
      </c>
      <c r="F14" s="102">
        <v>0.12</v>
      </c>
      <c r="I14" s="31" t="s">
        <v>58</v>
      </c>
      <c r="J14" s="145">
        <v>0.15</v>
      </c>
      <c r="L14" s="10"/>
      <c r="M14" s="1"/>
      <c r="N14" s="1"/>
      <c r="O14" s="1"/>
      <c r="P14" s="1"/>
      <c r="Q14" s="11"/>
    </row>
    <row r="15" spans="1:17" ht="15.75" thickBot="1" x14ac:dyDescent="0.3">
      <c r="A15" s="254" t="s">
        <v>185</v>
      </c>
      <c r="B15" s="263">
        <f>'Data Input'!I11*C15</f>
        <v>0</v>
      </c>
      <c r="C15" s="259">
        <f>IF('Data Input'!I11&lt;12500,100%,0%)</f>
        <v>1</v>
      </c>
      <c r="E15" s="101" t="s">
        <v>64</v>
      </c>
      <c r="F15" s="21">
        <v>2</v>
      </c>
      <c r="I15" s="32" t="s">
        <v>22</v>
      </c>
      <c r="J15" s="73" t="e">
        <f ca="1">(Tables!F6-SUM(Tables!B27:B36,Tables!F7:F11)-(SUM(Tables!B27:B36)*Tables!J14))/((Tables!J14*1)+1)</f>
        <v>#VALUE!</v>
      </c>
      <c r="L15" s="12" t="s">
        <v>33</v>
      </c>
      <c r="M15" s="351" t="s">
        <v>180</v>
      </c>
      <c r="N15" s="351"/>
      <c r="O15" s="106"/>
      <c r="P15" s="233" t="s">
        <v>36</v>
      </c>
      <c r="Q15" s="14" t="s">
        <v>37</v>
      </c>
    </row>
    <row r="16" spans="1:17" ht="15.75" thickBot="1" x14ac:dyDescent="0.3">
      <c r="A16" s="200" t="s">
        <v>189</v>
      </c>
      <c r="B16" s="263">
        <f>'Data Input'!I12*C16</f>
        <v>0</v>
      </c>
      <c r="C16" s="259">
        <f>IF('Data Input'!I12&lt;12500,100%,0%)</f>
        <v>1</v>
      </c>
      <c r="E16" s="101" t="s">
        <v>119</v>
      </c>
      <c r="F16" s="21">
        <v>12</v>
      </c>
      <c r="L16" s="19" t="e">
        <f ca="1">IF(L3&lt;L6,402,IF(L3&lt;=M6,(L3-L6)*N6,IF(L3&lt;=M7,(L3-L7)*N7+P6,IF(L3&lt;=M8,(L3-L8)*N8+P7,IF(L3&lt;=M9,(L3-L9)*N9+P8,IF(L3&lt;=M10,(L3-L10)*N10+P9,IF(L3&lt;=M11,(L3-L11)*N11+P10,IF(L3&lt;=M12,(L3-L12)*N12+P11,IF(L3&gt;=L13,(L3-L13)*N13+P12,"")))))))))</f>
        <v>#VALUE!</v>
      </c>
      <c r="M16" s="234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</f>
        <v>#VALUE!</v>
      </c>
      <c r="N16" s="232" t="e">
        <f ca="1">IF(M3&lt;$L$6,402,IF(M3&lt;=$M$6,(M3-$L$6)*$O$6,IF(M3&lt;=$M$7,(M3-$L$7)*$O$7+$Q$6,IF(M3&lt;=$M$8,(M3-$L$8)*$O$8+$Q$7,IF(M3&lt;=$M$9,(M3-$L$9)*$O$9+$Q$8,IF(M3&lt;=$M$10,(M3-$L$10)*$O$10+$Q$9,IF(M3&lt;=$M$11,(M3-$L$11)*$O$11+$Q$10,IF(M3&lt;=$M$12,(M3-$L$12)*$O$12+$Q$11,IF(M3&gt;=$L$13,(M3-$L$13)*$O$13+$Q$12,"")))))))))*0.3</f>
        <v>#VALUE!</v>
      </c>
      <c r="O16" s="235"/>
      <c r="P16" s="232" t="e">
        <f ca="1">IF(O3&lt;$L$6,402,IF(O3&lt;=$M$6,(O3-$L$6)*$O$6,IF(O3&lt;=$M$7,(O3-$L$7)*$O$7+$Q$6,IF(O3&lt;=$M$8,(O3-$L$8)*$O$8+$Q$7,IF(O3&lt;=$M$9,(O3-$L$9)*$O$9+$Q$8,IF(O3&lt;=$M$10,(O3-$L$10)*$O$10+$Q$9,IF(O3&lt;=$M$11,(O3-$L$11)*$O$11+$Q$10,IF(O3&lt;=$M$12,(O3-$L$12)*$O$12+$Q$11,IF(O3&gt;=$L$13,(O3-$L$13)*$O$13+$Q$12,"")))))))))</f>
        <v>#VALUE!</v>
      </c>
      <c r="Q16" s="20" t="e">
        <f ca="1">M16+N16+P16</f>
        <v>#VALUE!</v>
      </c>
    </row>
    <row r="17" spans="1:14" x14ac:dyDescent="0.25">
      <c r="A17" s="200" t="s">
        <v>188</v>
      </c>
      <c r="B17" s="263">
        <f>'Data Input'!I14*C17</f>
        <v>0</v>
      </c>
      <c r="C17" s="259">
        <v>1</v>
      </c>
      <c r="E17" s="101" t="s">
        <v>12</v>
      </c>
      <c r="F17" s="103">
        <v>0.6</v>
      </c>
      <c r="I17" s="27" t="s">
        <v>59</v>
      </c>
      <c r="J17" s="28"/>
      <c r="L17"/>
    </row>
    <row r="18" spans="1:14" x14ac:dyDescent="0.25">
      <c r="A18" s="254" t="s">
        <v>187</v>
      </c>
      <c r="B18" s="263">
        <f>'Data Input'!I15*C18</f>
        <v>0</v>
      </c>
      <c r="C18" s="259">
        <v>1</v>
      </c>
      <c r="E18" s="22" t="s">
        <v>39</v>
      </c>
      <c r="F18" s="23"/>
      <c r="I18" s="2" t="s">
        <v>1</v>
      </c>
      <c r="J18" s="143">
        <v>0</v>
      </c>
      <c r="N18" s="107"/>
    </row>
    <row r="19" spans="1:14" ht="15.75" thickBot="1" x14ac:dyDescent="0.3">
      <c r="A19" s="202" t="s">
        <v>102</v>
      </c>
      <c r="B19" s="264">
        <f ca="1">IF('Data Input'!I17="",0,'Data Input'!I17*(1+(TODAY()+180-'Data Input'!I18)*C19))</f>
        <v>0</v>
      </c>
      <c r="C19" s="260">
        <f>9%/365</f>
        <v>2.4657534246575342E-4</v>
      </c>
      <c r="E19" s="101" t="s">
        <v>14</v>
      </c>
      <c r="F19" s="142" t="e">
        <f ca="1">Tables!Q16-Tables!L16</f>
        <v>#VALUE!</v>
      </c>
      <c r="I19" s="29" t="s">
        <v>25</v>
      </c>
      <c r="J19" s="144">
        <v>0.18</v>
      </c>
      <c r="N19" s="4"/>
    </row>
    <row r="20" spans="1:14" ht="15.75" thickBot="1" x14ac:dyDescent="0.3">
      <c r="A20" s="22" t="s">
        <v>123</v>
      </c>
      <c r="B20" s="120"/>
      <c r="C20" s="128"/>
      <c r="E20" s="101" t="s">
        <v>121</v>
      </c>
      <c r="F20" s="117" t="e">
        <f>((IF('Data Input'!C2="Residential",IF(AND(F13&gt;0,F13&lt;=500000),"2.0%",IF(F13&gt;500000,"2.125%","")),IF(AND(F13&gt;0,F13&lt;=500000),"2.0%",IF(F13&gt;500000,"2.75%",""))))*F13)+(275)+1500</f>
        <v>#VALUE!</v>
      </c>
      <c r="N20" s="4"/>
    </row>
    <row r="21" spans="1:14" ht="15.75" thickBot="1" x14ac:dyDescent="0.3">
      <c r="A21" s="101" t="s">
        <v>20</v>
      </c>
      <c r="B21" s="117">
        <f>'Data Input'!C18</f>
        <v>0</v>
      </c>
      <c r="C21" s="124"/>
      <c r="E21" s="101" t="s">
        <v>56</v>
      </c>
      <c r="F21" s="117">
        <f>(F13*F15%)</f>
        <v>0</v>
      </c>
      <c r="I21" s="223" t="s">
        <v>177</v>
      </c>
      <c r="J21" s="224">
        <v>0.25</v>
      </c>
      <c r="N21" s="4"/>
    </row>
    <row r="22" spans="1:14" ht="15.75" thickBot="1" x14ac:dyDescent="0.3">
      <c r="A22" s="101" t="s">
        <v>16</v>
      </c>
      <c r="B22" s="141">
        <f>IF('Data Input'!C19="Yes",'Data Input'!C20*'Data Input'!C21-10000,'Data Input'!C20*'Data Input'!C21)</f>
        <v>0</v>
      </c>
      <c r="C22" s="123">
        <f>'Data Input'!C21</f>
        <v>0.75</v>
      </c>
      <c r="E22" s="104" t="s">
        <v>15</v>
      </c>
      <c r="F22" s="119">
        <f>(F13*F14/12*'Data Input'!C30)</f>
        <v>0</v>
      </c>
      <c r="I22" s="225" t="s">
        <v>167</v>
      </c>
      <c r="J22" s="226" t="e">
        <f ca="1">(Tables!F6-SUM(Tables!B27:B36,Tables!F7:F11,F19:F22)-(SUM(Tables!B27:B36,F19:F22)*Tables!J21))/((Tables!J21*1)+1)</f>
        <v>#VALUE!</v>
      </c>
      <c r="N22" s="4"/>
    </row>
    <row r="23" spans="1:14" x14ac:dyDescent="0.25">
      <c r="A23" s="101" t="s">
        <v>63</v>
      </c>
      <c r="B23" s="117">
        <f>'Data Input'!C22</f>
        <v>0</v>
      </c>
      <c r="C23" s="124"/>
      <c r="D23" s="109"/>
      <c r="E23" s="109"/>
      <c r="F23" s="109"/>
      <c r="G23" s="109"/>
      <c r="I23" s="227" t="s">
        <v>8</v>
      </c>
      <c r="J23" s="228" t="e">
        <f ca="1">J22+SUM(B27:B36,F19:F22)</f>
        <v>#VALUE!</v>
      </c>
      <c r="N23" s="4"/>
    </row>
    <row r="24" spans="1:14" x14ac:dyDescent="0.25">
      <c r="A24" s="101" t="s">
        <v>18</v>
      </c>
      <c r="B24" s="117">
        <f>'Data Input'!C15*7000</f>
        <v>0</v>
      </c>
      <c r="C24" s="124"/>
      <c r="D24" s="109"/>
      <c r="E24" s="4"/>
      <c r="F24" s="105"/>
      <c r="G24" s="109"/>
      <c r="I24" s="227" t="s">
        <v>17</v>
      </c>
      <c r="J24" s="228" t="e">
        <f ca="1">J23-F13</f>
        <v>#VALUE!</v>
      </c>
      <c r="N24" s="4"/>
    </row>
    <row r="25" spans="1:14" x14ac:dyDescent="0.25">
      <c r="A25" s="101" t="s">
        <v>19</v>
      </c>
      <c r="B25" s="117">
        <f>'Data Input'!C23</f>
        <v>0</v>
      </c>
      <c r="C25" s="124"/>
      <c r="D25" s="109"/>
      <c r="E25" s="277"/>
      <c r="F25" s="105"/>
      <c r="G25" s="109"/>
      <c r="I25" s="227" t="s">
        <v>171</v>
      </c>
      <c r="J25" s="229" t="e">
        <f ca="1">F6-SUM(F7:F11)-J23</f>
        <v>#VALUE!</v>
      </c>
      <c r="N25" s="4"/>
    </row>
    <row r="26" spans="1:14" ht="15.75" thickBot="1" x14ac:dyDescent="0.3">
      <c r="A26" s="22" t="s">
        <v>21</v>
      </c>
      <c r="B26" s="121"/>
      <c r="C26" s="128"/>
      <c r="D26" s="109"/>
      <c r="E26" s="277"/>
      <c r="F26" s="109"/>
      <c r="G26" s="109"/>
      <c r="I26" s="230" t="s">
        <v>143</v>
      </c>
      <c r="J26" s="231" t="e">
        <f ca="1">J25/J23</f>
        <v>#VALUE!</v>
      </c>
      <c r="N26" s="4"/>
    </row>
    <row r="27" spans="1:14" ht="15.75" thickBot="1" x14ac:dyDescent="0.3">
      <c r="A27" s="101" t="s">
        <v>125</v>
      </c>
      <c r="B27" s="117" t="e">
        <f ca="1">Tables!L16</f>
        <v>#VALUE!</v>
      </c>
      <c r="C27" s="124"/>
      <c r="D27" s="108"/>
      <c r="E27" s="277"/>
      <c r="F27" s="108"/>
      <c r="G27" s="108"/>
      <c r="I27" s="135"/>
      <c r="J27" s="108"/>
      <c r="N27" s="4"/>
    </row>
    <row r="28" spans="1:14" ht="15.75" thickBot="1" x14ac:dyDescent="0.3">
      <c r="A28" s="101" t="s">
        <v>126</v>
      </c>
      <c r="B28" s="117">
        <v>1200</v>
      </c>
      <c r="C28" s="125"/>
      <c r="D28" s="108"/>
      <c r="E28" s="277"/>
      <c r="F28" s="106"/>
      <c r="G28" s="108"/>
      <c r="I28" s="223" t="s">
        <v>179</v>
      </c>
      <c r="J28" s="224"/>
      <c r="L28"/>
      <c r="N28" s="108"/>
    </row>
    <row r="29" spans="1:14" x14ac:dyDescent="0.25">
      <c r="A29" s="101" t="s">
        <v>127</v>
      </c>
      <c r="B29" s="117">
        <v>1250</v>
      </c>
      <c r="C29" s="125"/>
      <c r="E29" s="277"/>
      <c r="F29" s="106"/>
      <c r="I29" s="225" t="s">
        <v>167</v>
      </c>
      <c r="J29" s="226">
        <f ca="1">'Data Input'!C26+SUM(Tables!B9:B21,B23:B25)</f>
        <v>0</v>
      </c>
      <c r="K29" s="136"/>
      <c r="L29" s="136"/>
      <c r="M29" s="24"/>
      <c r="N29" s="107"/>
    </row>
    <row r="30" spans="1:14" x14ac:dyDescent="0.25">
      <c r="A30" s="22" t="s">
        <v>55</v>
      </c>
      <c r="B30" s="120"/>
      <c r="C30" s="129"/>
      <c r="E30" s="277"/>
      <c r="F30" s="106"/>
      <c r="I30" s="227" t="s">
        <v>8</v>
      </c>
      <c r="J30" s="228" t="e">
        <f ca="1">J29+SUM(B27:B36,F19:F22)</f>
        <v>#VALUE!</v>
      </c>
      <c r="K30" s="4"/>
      <c r="L30" s="137"/>
      <c r="M30" s="24"/>
      <c r="N30" s="4"/>
    </row>
    <row r="31" spans="1:14" x14ac:dyDescent="0.25">
      <c r="A31" s="101" t="s">
        <v>23</v>
      </c>
      <c r="B31" s="117">
        <f>'Data Input'!C28</f>
        <v>0</v>
      </c>
      <c r="C31" s="126"/>
      <c r="E31" s="277"/>
      <c r="F31" s="106"/>
      <c r="I31" s="227" t="s">
        <v>17</v>
      </c>
      <c r="J31" s="228" t="e">
        <f ca="1">J30-F13</f>
        <v>#VALUE!</v>
      </c>
      <c r="K31" s="4"/>
      <c r="L31" s="134"/>
      <c r="N31" s="4"/>
    </row>
    <row r="32" spans="1:14" ht="15.75" thickBot="1" x14ac:dyDescent="0.3">
      <c r="A32" s="104" t="s">
        <v>24</v>
      </c>
      <c r="B32" s="119">
        <f>IF('Data Input'!C29="Yes",8500,0)</f>
        <v>0</v>
      </c>
      <c r="C32" s="126"/>
      <c r="E32" s="277"/>
      <c r="F32" s="106"/>
      <c r="I32" s="227" t="s">
        <v>171</v>
      </c>
      <c r="J32" s="229" t="e">
        <f ca="1">F6-SUM(F7:F11)-J30</f>
        <v>#VALUE!</v>
      </c>
      <c r="L32"/>
    </row>
    <row r="33" spans="1:15" ht="15.75" thickBot="1" x14ac:dyDescent="0.3">
      <c r="A33" s="22" t="s">
        <v>48</v>
      </c>
      <c r="B33" s="121"/>
      <c r="C33" s="129"/>
      <c r="E33" s="277"/>
      <c r="F33" s="106"/>
      <c r="I33" s="230" t="s">
        <v>143</v>
      </c>
      <c r="J33" s="231" t="e">
        <f ca="1">J32/J30</f>
        <v>#VALUE!</v>
      </c>
      <c r="L33"/>
    </row>
    <row r="34" spans="1:15" x14ac:dyDescent="0.25">
      <c r="A34" s="101" t="s">
        <v>120</v>
      </c>
      <c r="B34" s="117">
        <f>(F13/100)*0.45/12*G1</f>
        <v>0</v>
      </c>
      <c r="C34" s="126"/>
      <c r="D34" s="108"/>
      <c r="E34" s="278"/>
      <c r="F34" s="106"/>
      <c r="L34"/>
    </row>
    <row r="35" spans="1:15" x14ac:dyDescent="0.25">
      <c r="A35" s="101" t="s">
        <v>122</v>
      </c>
      <c r="B35" s="117">
        <f>'Data Input'!C11/12*'Data Input'!C30</f>
        <v>0</v>
      </c>
      <c r="C35" s="126"/>
      <c r="D35" s="108"/>
      <c r="E35" s="277"/>
      <c r="F35" s="106"/>
      <c r="L35"/>
    </row>
    <row r="36" spans="1:15" ht="15.75" thickBot="1" x14ac:dyDescent="0.3">
      <c r="A36" s="104" t="s">
        <v>124</v>
      </c>
      <c r="B36" s="119">
        <f>(('Data Input'!C15*50)*'Data Input'!C15+('Data Input'!C15*200)+('Data Input'!C15*50*'Data Input'!C15)+('Data Input'!C15*200)+('Data Input'!C15*50*'Data Input'!C15))</f>
        <v>0</v>
      </c>
      <c r="C36" s="127"/>
      <c r="E36" s="277"/>
      <c r="F36" s="106"/>
      <c r="L36"/>
    </row>
    <row r="37" spans="1:15" x14ac:dyDescent="0.25">
      <c r="N37" s="277"/>
      <c r="O37" s="106"/>
    </row>
    <row r="38" spans="1:15" x14ac:dyDescent="0.25">
      <c r="N38" s="278"/>
      <c r="O38" s="106"/>
    </row>
    <row r="39" spans="1:15" x14ac:dyDescent="0.25">
      <c r="N39" s="277"/>
      <c r="O39" s="106"/>
    </row>
    <row r="40" spans="1:15" x14ac:dyDescent="0.25">
      <c r="N40" s="277"/>
      <c r="O40" s="106"/>
    </row>
    <row r="41" spans="1:15" x14ac:dyDescent="0.25">
      <c r="N41" s="279"/>
      <c r="O41" s="106"/>
    </row>
    <row r="42" spans="1:15" x14ac:dyDescent="0.25">
      <c r="N42" s="106"/>
      <c r="O42" s="106"/>
    </row>
    <row r="43" spans="1:15" x14ac:dyDescent="0.25">
      <c r="N43" s="106"/>
      <c r="O43" s="106"/>
    </row>
  </sheetData>
  <mergeCells count="7">
    <mergeCell ref="B1:E1"/>
    <mergeCell ref="M15:N15"/>
    <mergeCell ref="L1:M1"/>
    <mergeCell ref="M2:N2"/>
    <mergeCell ref="O2:P2"/>
    <mergeCell ref="M3:N3"/>
    <mergeCell ref="O3:P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Input</vt:lpstr>
      <vt:lpstr>Flip Sheets</vt:lpstr>
      <vt:lpstr>Rental Model</vt:lpstr>
      <vt:lpstr>Tables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Shaopeng Zhang</cp:lastModifiedBy>
  <cp:lastPrinted>2016-08-12T21:33:32Z</cp:lastPrinted>
  <dcterms:created xsi:type="dcterms:W3CDTF">2016-07-26T02:13:41Z</dcterms:created>
  <dcterms:modified xsi:type="dcterms:W3CDTF">2016-11-10T23:31:01Z</dcterms:modified>
</cp:coreProperties>
</file>