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k\Desktop\"/>
    </mc:Choice>
  </mc:AlternateContent>
  <bookViews>
    <workbookView xWindow="0" yWindow="0" windowWidth="28800" windowHeight="12211"/>
  </bookViews>
  <sheets>
    <sheet name="Data Input" sheetId="4" r:id="rId1"/>
    <sheet name="Flip Sheets" sheetId="3" r:id="rId2"/>
    <sheet name="Rental Model" sheetId="7" r:id="rId3"/>
    <sheet name="Tables" sheetId="2" r:id="rId4"/>
  </sheets>
  <externalReferences>
    <externalReference r:id="rId5"/>
  </externalReferences>
  <definedNames>
    <definedName name="FC_Status">[1]Tables!$B$11:$B$18</definedName>
    <definedName name="Liens">[1]Tables!$B$26:$B$32</definedName>
    <definedName name="Occupancy">[1]Tables!$B$2:$B$8</definedName>
    <definedName name="Yes_No">Tables!$A$2:$A$4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2" l="1"/>
  <c r="L7" i="2"/>
  <c r="K7" i="2"/>
  <c r="K8" i="2"/>
  <c r="K9" i="2"/>
  <c r="K10" i="2"/>
  <c r="P1" i="2"/>
  <c r="K11" i="2"/>
  <c r="K12" i="2"/>
  <c r="K13" i="2"/>
  <c r="K14" i="2"/>
  <c r="K29" i="2"/>
  <c r="K19" i="2"/>
  <c r="K21" i="2"/>
  <c r="K32" i="2"/>
  <c r="K33" i="2"/>
  <c r="C2" i="4"/>
  <c r="O6" i="2"/>
  <c r="O9" i="2"/>
  <c r="K28" i="2"/>
  <c r="O13" i="2"/>
  <c r="K31" i="2"/>
  <c r="O8" i="2"/>
  <c r="K20" i="2"/>
  <c r="L15" i="2"/>
  <c r="K15" i="2"/>
  <c r="K18" i="2"/>
  <c r="K22" i="2"/>
  <c r="P2" i="2"/>
  <c r="K6" i="2"/>
  <c r="D3" i="2"/>
  <c r="E16" i="2"/>
  <c r="D16" i="2"/>
  <c r="F3" i="2"/>
  <c r="G16" i="2"/>
  <c r="H16" i="2"/>
  <c r="F6" i="7"/>
  <c r="F7" i="7"/>
  <c r="C3" i="7"/>
  <c r="F9" i="7"/>
  <c r="F10" i="7"/>
  <c r="N3" i="7"/>
  <c r="C6" i="7"/>
  <c r="C7" i="7"/>
  <c r="C8" i="7"/>
  <c r="C9" i="7"/>
  <c r="M2" i="7"/>
  <c r="L2" i="7"/>
  <c r="M3" i="7"/>
  <c r="L3" i="7"/>
  <c r="M4" i="7"/>
  <c r="F11" i="7"/>
  <c r="L4" i="7"/>
  <c r="M5" i="7"/>
  <c r="N5" i="7"/>
  <c r="L5" i="7"/>
  <c r="M6" i="7"/>
  <c r="N6" i="7"/>
  <c r="L6" i="7"/>
  <c r="M7" i="7"/>
  <c r="N7" i="7"/>
  <c r="L7" i="7"/>
  <c r="M8" i="7"/>
  <c r="N8" i="7"/>
  <c r="L8" i="7"/>
  <c r="M9" i="7"/>
  <c r="N9" i="7"/>
  <c r="L9" i="7"/>
  <c r="M10" i="7"/>
  <c r="N10" i="7"/>
  <c r="L10" i="7"/>
  <c r="M11" i="7"/>
  <c r="N11" i="7"/>
  <c r="L11" i="7"/>
  <c r="M12" i="7"/>
  <c r="N12" i="7"/>
  <c r="L12" i="7"/>
  <c r="M13" i="7"/>
  <c r="N13" i="7"/>
  <c r="L13" i="7"/>
  <c r="M14" i="7"/>
  <c r="N14" i="7"/>
  <c r="L14" i="7"/>
  <c r="M15" i="7"/>
  <c r="N15" i="7"/>
  <c r="L15" i="7"/>
  <c r="M16" i="7"/>
  <c r="N16" i="7"/>
  <c r="L16" i="7"/>
  <c r="M17" i="7"/>
  <c r="N17" i="7"/>
  <c r="L17" i="7"/>
  <c r="M18" i="7"/>
  <c r="N18" i="7"/>
  <c r="L18" i="7"/>
  <c r="M19" i="7"/>
  <c r="N19" i="7"/>
  <c r="L19" i="7"/>
  <c r="M20" i="7"/>
  <c r="N20" i="7"/>
  <c r="L20" i="7"/>
  <c r="M21" i="7"/>
  <c r="N21" i="7"/>
  <c r="L21" i="7"/>
  <c r="M22" i="7"/>
  <c r="N22" i="7"/>
  <c r="L22" i="7"/>
  <c r="M23" i="7"/>
  <c r="N23" i="7"/>
  <c r="L23" i="7"/>
  <c r="M24" i="7"/>
  <c r="N24" i="7"/>
  <c r="L24" i="7"/>
  <c r="M25" i="7"/>
  <c r="N25" i="7"/>
  <c r="L25" i="7"/>
  <c r="M26" i="7"/>
  <c r="N26" i="7"/>
  <c r="L26" i="7"/>
  <c r="M27" i="7"/>
  <c r="N27" i="7"/>
  <c r="L27" i="7"/>
  <c r="M28" i="7"/>
  <c r="N28" i="7"/>
  <c r="L28" i="7"/>
  <c r="M29" i="7"/>
  <c r="N29" i="7"/>
  <c r="L29" i="7"/>
  <c r="M30" i="7"/>
  <c r="N30" i="7"/>
  <c r="L30" i="7"/>
  <c r="M31" i="7"/>
  <c r="N31" i="7"/>
  <c r="L31" i="7"/>
  <c r="M32" i="7"/>
  <c r="N32" i="7"/>
  <c r="L32" i="7"/>
  <c r="M33" i="7"/>
  <c r="N33" i="7"/>
  <c r="L33" i="7"/>
  <c r="M34" i="7"/>
  <c r="N34" i="7"/>
  <c r="L34" i="7"/>
  <c r="M35" i="7"/>
  <c r="N35" i="7"/>
  <c r="L35" i="7"/>
  <c r="M36" i="7"/>
  <c r="N36" i="7"/>
  <c r="L36" i="7"/>
  <c r="M37" i="7"/>
  <c r="N37" i="7"/>
  <c r="L37" i="7"/>
  <c r="M38" i="7"/>
  <c r="N38" i="7"/>
  <c r="L38" i="7"/>
  <c r="M39" i="7"/>
  <c r="N39" i="7"/>
  <c r="L39" i="7"/>
  <c r="M40" i="7"/>
  <c r="N40" i="7"/>
  <c r="L40" i="7"/>
  <c r="M41" i="7"/>
  <c r="N41" i="7"/>
  <c r="L41" i="7"/>
  <c r="M42" i="7"/>
  <c r="N42" i="7"/>
  <c r="L42" i="7"/>
  <c r="M43" i="7"/>
  <c r="N43" i="7"/>
  <c r="L43" i="7"/>
  <c r="M44" i="7"/>
  <c r="N44" i="7"/>
  <c r="L44" i="7"/>
  <c r="M45" i="7"/>
  <c r="N45" i="7"/>
  <c r="L45" i="7"/>
  <c r="M46" i="7"/>
  <c r="N46" i="7"/>
  <c r="L46" i="7"/>
  <c r="M47" i="7"/>
  <c r="N47" i="7"/>
  <c r="L47" i="7"/>
  <c r="M48" i="7"/>
  <c r="N48" i="7"/>
  <c r="L48" i="7"/>
  <c r="M49" i="7"/>
  <c r="N49" i="7"/>
  <c r="L49" i="7"/>
  <c r="M50" i="7"/>
  <c r="N50" i="7"/>
  <c r="L50" i="7"/>
  <c r="M51" i="7"/>
  <c r="N51" i="7"/>
  <c r="L51" i="7"/>
  <c r="M52" i="7"/>
  <c r="N52" i="7"/>
  <c r="L52" i="7"/>
  <c r="M53" i="7"/>
  <c r="N53" i="7"/>
  <c r="L53" i="7"/>
  <c r="M54" i="7"/>
  <c r="N54" i="7"/>
  <c r="L54" i="7"/>
  <c r="M55" i="7"/>
  <c r="N55" i="7"/>
  <c r="L55" i="7"/>
  <c r="M56" i="7"/>
  <c r="N56" i="7"/>
  <c r="L56" i="7"/>
  <c r="M57" i="7"/>
  <c r="N57" i="7"/>
  <c r="L57" i="7"/>
  <c r="M58" i="7"/>
  <c r="N58" i="7"/>
  <c r="L58" i="7"/>
  <c r="M59" i="7"/>
  <c r="N59" i="7"/>
  <c r="L59" i="7"/>
  <c r="M60" i="7"/>
  <c r="N60" i="7"/>
  <c r="L60" i="7"/>
  <c r="M61" i="7"/>
  <c r="C10" i="7"/>
  <c r="C11" i="7"/>
  <c r="O3" i="7"/>
  <c r="O4" i="7"/>
  <c r="O34" i="7"/>
  <c r="O5" i="7"/>
  <c r="N61" i="7"/>
  <c r="L61" i="7"/>
  <c r="N62" i="7"/>
  <c r="M62" i="7"/>
  <c r="L62" i="7"/>
  <c r="N63" i="7"/>
  <c r="M63" i="7"/>
  <c r="L63" i="7"/>
  <c r="N64" i="7"/>
  <c r="M64" i="7"/>
  <c r="L64" i="7"/>
  <c r="N65" i="7"/>
  <c r="M65" i="7"/>
  <c r="L65" i="7"/>
  <c r="N66" i="7"/>
  <c r="M66" i="7"/>
  <c r="L66" i="7"/>
  <c r="N67" i="7"/>
  <c r="M67" i="7"/>
  <c r="L67" i="7"/>
  <c r="N68" i="7"/>
  <c r="M68" i="7"/>
  <c r="L68" i="7"/>
  <c r="N69" i="7"/>
  <c r="M69" i="7"/>
  <c r="L69" i="7"/>
  <c r="N70" i="7"/>
  <c r="M70" i="7"/>
  <c r="L70" i="7"/>
  <c r="N71" i="7"/>
  <c r="M71" i="7"/>
  <c r="L71" i="7"/>
  <c r="N72" i="7"/>
  <c r="M72" i="7"/>
  <c r="L72" i="7"/>
  <c r="N73" i="7"/>
  <c r="M73" i="7"/>
  <c r="L73" i="7"/>
  <c r="N74" i="7"/>
  <c r="M74" i="7"/>
  <c r="L74" i="7"/>
  <c r="N75" i="7"/>
  <c r="M75" i="7"/>
  <c r="L75" i="7"/>
  <c r="N76" i="7"/>
  <c r="M76" i="7"/>
  <c r="L76" i="7"/>
  <c r="N77" i="7"/>
  <c r="M77" i="7"/>
  <c r="L77" i="7"/>
  <c r="N78" i="7"/>
  <c r="M78" i="7"/>
  <c r="L78" i="7"/>
  <c r="N79" i="7"/>
  <c r="M79" i="7"/>
  <c r="L79" i="7"/>
  <c r="N80" i="7"/>
  <c r="M80" i="7"/>
  <c r="L80" i="7"/>
  <c r="N81" i="7"/>
  <c r="M81" i="7"/>
  <c r="L81" i="7"/>
  <c r="N82" i="7"/>
  <c r="M82" i="7"/>
  <c r="L82" i="7"/>
  <c r="N83" i="7"/>
  <c r="M83" i="7"/>
  <c r="L83" i="7"/>
  <c r="N84" i="7"/>
  <c r="M84" i="7"/>
  <c r="L84" i="7"/>
  <c r="N85" i="7"/>
  <c r="M85" i="7"/>
  <c r="L85" i="7"/>
  <c r="N86" i="7"/>
  <c r="M86" i="7"/>
  <c r="L86" i="7"/>
  <c r="N87" i="7"/>
  <c r="M87" i="7"/>
  <c r="L87" i="7"/>
  <c r="N88" i="7"/>
  <c r="M88" i="7"/>
  <c r="L88" i="7"/>
  <c r="N89" i="7"/>
  <c r="M89" i="7"/>
  <c r="L89" i="7"/>
  <c r="N90" i="7"/>
  <c r="M90" i="7"/>
  <c r="L90" i="7"/>
  <c r="N91" i="7"/>
  <c r="M91" i="7"/>
  <c r="L91" i="7"/>
  <c r="N92" i="7"/>
  <c r="M92" i="7"/>
  <c r="L92" i="7"/>
  <c r="N93" i="7"/>
  <c r="M93" i="7"/>
  <c r="L93" i="7"/>
  <c r="N94" i="7"/>
  <c r="M94" i="7"/>
  <c r="L94" i="7"/>
  <c r="N95" i="7"/>
  <c r="M95" i="7"/>
  <c r="L95" i="7"/>
  <c r="N96" i="7"/>
  <c r="M96" i="7"/>
  <c r="L96" i="7"/>
  <c r="N97" i="7"/>
  <c r="M97" i="7"/>
  <c r="L97" i="7"/>
  <c r="N98" i="7"/>
  <c r="M98" i="7"/>
  <c r="L98" i="7"/>
  <c r="N99" i="7"/>
  <c r="M99" i="7"/>
  <c r="L99" i="7"/>
  <c r="N100" i="7"/>
  <c r="M100" i="7"/>
  <c r="L100" i="7"/>
  <c r="O98" i="7"/>
  <c r="O99" i="7"/>
  <c r="O100" i="7"/>
  <c r="N4" i="7"/>
  <c r="H26" i="2"/>
  <c r="L2" i="4"/>
  <c r="C3" i="2"/>
  <c r="C16" i="2"/>
  <c r="K24" i="2"/>
  <c r="O19" i="2"/>
  <c r="O20" i="2"/>
  <c r="O21" i="2"/>
  <c r="O22" i="2"/>
  <c r="H27" i="2"/>
  <c r="H19" i="2"/>
  <c r="H20" i="2"/>
  <c r="H22" i="2"/>
  <c r="H29" i="2"/>
  <c r="L26" i="4"/>
  <c r="H28" i="2"/>
  <c r="C5" i="3"/>
  <c r="C6" i="3"/>
  <c r="C8" i="3"/>
  <c r="C7" i="3"/>
  <c r="C9" i="3"/>
  <c r="C10" i="3"/>
  <c r="C11" i="3"/>
  <c r="R6" i="2"/>
  <c r="F5" i="3"/>
  <c r="F7" i="3"/>
  <c r="F8" i="3"/>
  <c r="F6" i="3"/>
  <c r="F11" i="3"/>
  <c r="R7" i="2"/>
  <c r="H8" i="3"/>
  <c r="R8" i="2"/>
  <c r="R9" i="2"/>
  <c r="D23" i="2"/>
  <c r="F33" i="3"/>
  <c r="R21" i="2"/>
  <c r="C33" i="3"/>
  <c r="R22" i="2"/>
  <c r="H30" i="2"/>
  <c r="C18" i="3"/>
  <c r="C19" i="3"/>
  <c r="C21" i="3"/>
  <c r="C24" i="3"/>
  <c r="C25" i="3"/>
  <c r="C20" i="3"/>
  <c r="C22" i="3"/>
  <c r="C23" i="3"/>
  <c r="C26" i="3"/>
  <c r="F18" i="3"/>
  <c r="F20" i="3"/>
  <c r="F21" i="3"/>
  <c r="F19" i="3"/>
  <c r="F26" i="3"/>
  <c r="R13" i="2"/>
  <c r="L13" i="4"/>
  <c r="L16" i="4"/>
  <c r="H23" i="2"/>
  <c r="H21" i="2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C4" i="7"/>
  <c r="H7" i="7"/>
  <c r="H11" i="7"/>
  <c r="H5" i="7"/>
  <c r="H9" i="7"/>
  <c r="H3" i="7"/>
  <c r="C2" i="7"/>
  <c r="L16" i="2"/>
  <c r="G6" i="2"/>
  <c r="G7" i="2"/>
  <c r="H6" i="2"/>
  <c r="H7" i="2"/>
  <c r="H19" i="3"/>
  <c r="H23" i="3"/>
  <c r="H25" i="3"/>
  <c r="H33" i="3"/>
  <c r="L14" i="4"/>
  <c r="L24" i="4"/>
  <c r="L23" i="4"/>
  <c r="L21" i="4"/>
  <c r="L20" i="4"/>
  <c r="L15" i="4"/>
  <c r="L17" i="4"/>
  <c r="L9" i="4"/>
  <c r="L8" i="4"/>
  <c r="L10" i="4"/>
  <c r="L7" i="4"/>
  <c r="L6" i="4"/>
  <c r="H6" i="3"/>
  <c r="G8" i="2"/>
  <c r="R23" i="2"/>
  <c r="H8" i="2"/>
  <c r="R16" i="2"/>
  <c r="R17" i="2"/>
  <c r="R18" i="2"/>
  <c r="R14" i="2"/>
  <c r="R15" i="2"/>
  <c r="R12" i="2"/>
  <c r="D19" i="2"/>
  <c r="L3" i="4"/>
  <c r="C37" i="3"/>
  <c r="K1" i="2"/>
  <c r="K2" i="2"/>
  <c r="M2" i="2"/>
  <c r="K3" i="2"/>
  <c r="N3" i="2"/>
  <c r="C36" i="3"/>
  <c r="C38" i="3"/>
  <c r="C39" i="3"/>
  <c r="C40" i="3"/>
  <c r="F36" i="3"/>
  <c r="F38" i="3"/>
  <c r="F39" i="3"/>
  <c r="F40" i="3"/>
  <c r="F37" i="3"/>
  <c r="F31" i="3"/>
  <c r="C31" i="3"/>
  <c r="C30" i="3"/>
  <c r="H21" i="3"/>
  <c r="H16" i="3"/>
  <c r="F16" i="3"/>
  <c r="C16" i="3"/>
  <c r="C15" i="3"/>
  <c r="H3" i="3"/>
  <c r="F3" i="3"/>
  <c r="C3" i="3"/>
  <c r="C2" i="3"/>
  <c r="H39" i="3"/>
  <c r="H9" i="2"/>
  <c r="H10" i="2"/>
  <c r="H11" i="2"/>
  <c r="H12" i="2"/>
  <c r="G9" i="2"/>
  <c r="G10" i="2"/>
  <c r="G11" i="2"/>
  <c r="G12" i="2"/>
  <c r="H37" i="3"/>
  <c r="L22" i="4"/>
</calcChain>
</file>

<file path=xl/sharedStrings.xml><?xml version="1.0" encoding="utf-8"?>
<sst xmlns="http://schemas.openxmlformats.org/spreadsheetml/2006/main" count="321" uniqueCount="220">
  <si>
    <t>Property Address:</t>
  </si>
  <si>
    <t>Cost of Money:</t>
  </si>
  <si>
    <t>Tax Class:</t>
  </si>
  <si>
    <t xml:space="preserve">Resale </t>
  </si>
  <si>
    <t>Loan Terms</t>
  </si>
  <si>
    <t>Cash Scenario</t>
  </si>
  <si>
    <t>Probable Resale</t>
  </si>
  <si>
    <t>Loan Amount</t>
  </si>
  <si>
    <t>Net Profit (Cash)</t>
  </si>
  <si>
    <t>Concession</t>
  </si>
  <si>
    <t>Total Investment</t>
  </si>
  <si>
    <t>Commissions</t>
  </si>
  <si>
    <t>ROI (All Cash)</t>
  </si>
  <si>
    <t>Transfer Tax</t>
  </si>
  <si>
    <t>ROI (Annual)</t>
  </si>
  <si>
    <t>Attorney</t>
  </si>
  <si>
    <t>LTV</t>
  </si>
  <si>
    <t>NDC</t>
  </si>
  <si>
    <t>Loan Scenario</t>
  </si>
  <si>
    <t>Loan Policy</t>
  </si>
  <si>
    <t>Net Profit (Loan)</t>
  </si>
  <si>
    <t>ROI (w/ Loan)</t>
  </si>
  <si>
    <t>Loan Interest</t>
  </si>
  <si>
    <t>HOI Lien</t>
  </si>
  <si>
    <t>Cash Requirement</t>
  </si>
  <si>
    <t>Tenants</t>
  </si>
  <si>
    <t>ROI (On Cash)</t>
  </si>
  <si>
    <t>Agent</t>
  </si>
  <si>
    <t>ROI (On Cash Annual)</t>
  </si>
  <si>
    <t>Money Spent</t>
  </si>
  <si>
    <t>Closing Costs</t>
  </si>
  <si>
    <t>Flip Scenario</t>
  </si>
  <si>
    <t>Flip Price</t>
  </si>
  <si>
    <t>Construction</t>
  </si>
  <si>
    <t>Architect</t>
  </si>
  <si>
    <t>Interest on Money</t>
  </si>
  <si>
    <t>Property Taxes:</t>
  </si>
  <si>
    <t>Title Insurance Premiums</t>
  </si>
  <si>
    <t>Purchase Price</t>
  </si>
  <si>
    <t>Loan Amount Discounted</t>
  </si>
  <si>
    <t>Loan Amount Full Premium</t>
  </si>
  <si>
    <t>From</t>
  </si>
  <si>
    <t>To</t>
  </si>
  <si>
    <t>Owner’s Policy</t>
  </si>
  <si>
    <t>Cost Owner’s Policy</t>
  </si>
  <si>
    <t>Cost Loan Policy</t>
  </si>
  <si>
    <t>Loan Policy &gt; Purcahse</t>
  </si>
  <si>
    <t>Title Insurance</t>
  </si>
  <si>
    <t>Purchase</t>
  </si>
  <si>
    <t>Loan Costs</t>
  </si>
  <si>
    <t>Flip Profit</t>
  </si>
  <si>
    <t>Total Cost</t>
  </si>
  <si>
    <t>ALL CASH</t>
  </si>
  <si>
    <t>Sale Price</t>
  </si>
  <si>
    <t>Time (Months)</t>
  </si>
  <si>
    <t>Net Profit:</t>
  </si>
  <si>
    <t>Additonal Costs</t>
  </si>
  <si>
    <t>Constrution</t>
  </si>
  <si>
    <t>Carrying Costs</t>
  </si>
  <si>
    <t>ROI</t>
  </si>
  <si>
    <t>Resale</t>
  </si>
  <si>
    <t>Total Investment:</t>
  </si>
  <si>
    <t>Loan Closing Costs</t>
  </si>
  <si>
    <t>Cash Required</t>
  </si>
  <si>
    <t>FLIP</t>
  </si>
  <si>
    <t>Improvements</t>
  </si>
  <si>
    <t>Points</t>
  </si>
  <si>
    <t>Flip Calculation</t>
  </si>
  <si>
    <t>Flip ROI</t>
  </si>
  <si>
    <t>Money Factor</t>
  </si>
  <si>
    <t>Property Type</t>
  </si>
  <si>
    <t>Notes</t>
  </si>
  <si>
    <t>LOAN</t>
  </si>
  <si>
    <t>COS Termination</t>
  </si>
  <si>
    <t>Loan Points</t>
  </si>
  <si>
    <t>Yes/No</t>
  </si>
  <si>
    <t>Yes</t>
  </si>
  <si>
    <t>No</t>
  </si>
  <si>
    <t>Property Info</t>
  </si>
  <si>
    <t>Lien Info</t>
  </si>
  <si>
    <t>Settlement</t>
  </si>
  <si>
    <t>COS Recorded:</t>
  </si>
  <si>
    <t>HOI:</t>
  </si>
  <si>
    <t>Deed Recorded:</t>
  </si>
  <si>
    <t>Money Spent:</t>
  </si>
  <si>
    <t>Building Dimension</t>
  </si>
  <si>
    <t>Other Liens:</t>
  </si>
  <si>
    <t>Specific Performance</t>
  </si>
  <si>
    <t>Agent Commission</t>
  </si>
  <si>
    <t>Lot Size</t>
  </si>
  <si>
    <t>FHA:</t>
  </si>
  <si>
    <t>Tax Lien Certificate:</t>
  </si>
  <si>
    <t>Zoning</t>
  </si>
  <si>
    <t>Fannie Mae:</t>
  </si>
  <si>
    <t>Actual # of Units:</t>
  </si>
  <si>
    <t>Freddie Mac:</t>
  </si>
  <si>
    <t>Water Charges:</t>
  </si>
  <si>
    <t>Property Tax (Year):</t>
  </si>
  <si>
    <t>Servicer:</t>
  </si>
  <si>
    <t>HPD Charges:</t>
  </si>
  <si>
    <t>Occupancy Status:</t>
  </si>
  <si>
    <t>Seller + Tenant</t>
  </si>
  <si>
    <t>Default Date:</t>
  </si>
  <si>
    <t>ECB/DOB Violations:</t>
  </si>
  <si>
    <t># of Tenants:</t>
  </si>
  <si>
    <t>DOB Civil Penalty</t>
  </si>
  <si>
    <t>Personal Judgements:</t>
  </si>
  <si>
    <t>Rehab Info</t>
  </si>
  <si>
    <t>Foreclosure Status:</t>
  </si>
  <si>
    <t>Judgment of Foreclosure and Sale</t>
  </si>
  <si>
    <t>HPD Judgements:</t>
  </si>
  <si>
    <t>Repair Bid:</t>
  </si>
  <si>
    <t>Foreclosure Note:</t>
  </si>
  <si>
    <t>IRS/NYS Tax Liens:</t>
  </si>
  <si>
    <t>Deal Time (Months):</t>
  </si>
  <si>
    <t>Vacate Order:</t>
  </si>
  <si>
    <t>Renovated Value:</t>
  </si>
  <si>
    <t>Relocation Lien:</t>
  </si>
  <si>
    <t>Rental Info</t>
  </si>
  <si>
    <t>Deed Purchase</t>
  </si>
  <si>
    <t>Current Payoff:</t>
  </si>
  <si>
    <t>Payoff Date:</t>
  </si>
  <si>
    <t>Current SS Value:</t>
  </si>
  <si>
    <t>Occupancy</t>
  </si>
  <si>
    <t>Unkown</t>
  </si>
  <si>
    <t>Vacant</t>
  </si>
  <si>
    <t>Seller</t>
  </si>
  <si>
    <t>Tenant</t>
  </si>
  <si>
    <t>Multiple Tenants</t>
  </si>
  <si>
    <t>Foreclosure Status</t>
  </si>
  <si>
    <t>Not Sure</t>
  </si>
  <si>
    <t>No Action / Dismissed</t>
  </si>
  <si>
    <t>Summons &amp;
Complaint</t>
  </si>
  <si>
    <t>Settlement Conference</t>
  </si>
  <si>
    <t>RJI</t>
  </si>
  <si>
    <t>Order of Reference</t>
  </si>
  <si>
    <t>Liens</t>
  </si>
  <si>
    <t>Court Order</t>
  </si>
  <si>
    <t>Mechanics Lien</t>
  </si>
  <si>
    <t>Sundry Agreement</t>
  </si>
  <si>
    <t>UCC</t>
  </si>
  <si>
    <t>Off HUD Costs</t>
  </si>
  <si>
    <t>Deal Costs</t>
  </si>
  <si>
    <t>Lien Payoff(s)</t>
  </si>
  <si>
    <t>Property Taxes</t>
  </si>
  <si>
    <t>Loan Rate</t>
  </si>
  <si>
    <t>Water Charges</t>
  </si>
  <si>
    <t>HPD Charges</t>
  </si>
  <si>
    <t>Loan Term (Months)</t>
  </si>
  <si>
    <t>ECB/DOB Violations</t>
  </si>
  <si>
    <t>DOB Civil Penalties</t>
  </si>
  <si>
    <t>Personal Judgments</t>
  </si>
  <si>
    <t>HPD Judgments</t>
  </si>
  <si>
    <t>Insurance</t>
  </si>
  <si>
    <t>Loan Closing Cost</t>
  </si>
  <si>
    <t>IRS/NYS Tax Lien</t>
  </si>
  <si>
    <t>RE Taxes</t>
  </si>
  <si>
    <t>Deal Expenses</t>
  </si>
  <si>
    <t>Utilities</t>
  </si>
  <si>
    <t>Owners Policy</t>
  </si>
  <si>
    <t>Title Bill</t>
  </si>
  <si>
    <t>Buyers Attorney</t>
  </si>
  <si>
    <t>Auction Date:</t>
  </si>
  <si>
    <t>Tax Lien</t>
  </si>
  <si>
    <t>Relocation Lien</t>
  </si>
  <si>
    <t>Average Low Value:</t>
  </si>
  <si>
    <t>Sales Commission:</t>
  </si>
  <si>
    <t>Rental Time</t>
  </si>
  <si>
    <t>Deal Length:</t>
  </si>
  <si>
    <t>Deal ROI:</t>
  </si>
  <si>
    <t>Occupancy:</t>
  </si>
  <si>
    <t>Relocation Lien Date:</t>
  </si>
  <si>
    <t>Deal ROI (Cash)</t>
  </si>
  <si>
    <t>Lien Costs</t>
  </si>
  <si>
    <t>Repair Bid Total:</t>
  </si>
  <si>
    <t>Market Rent Total:</t>
  </si>
  <si>
    <t># of Units</t>
  </si>
  <si>
    <t>Maximum Lien Payoff</t>
  </si>
  <si>
    <t>Maximum SS Price</t>
  </si>
  <si>
    <t>ROI (Loan)</t>
  </si>
  <si>
    <t>1st Mortgage</t>
  </si>
  <si>
    <t>2nd Mortgage</t>
  </si>
  <si>
    <t>Seller Occupied:</t>
  </si>
  <si>
    <t>Foreclosure Index #:</t>
  </si>
  <si>
    <t>Month</t>
  </si>
  <si>
    <t>Deed Purcahse</t>
  </si>
  <si>
    <t>Total Repairs</t>
  </si>
  <si>
    <t>Address:</t>
  </si>
  <si>
    <t># of Units:</t>
  </si>
  <si>
    <t>Net Rent</t>
  </si>
  <si>
    <t>Total Upfront</t>
  </si>
  <si>
    <t>Upfront Costs</t>
  </si>
  <si>
    <t>Total Months</t>
  </si>
  <si>
    <t>Total $</t>
  </si>
  <si>
    <t>Interest</t>
  </si>
  <si>
    <t>Cost of Money</t>
  </si>
  <si>
    <t>Net Montly Rent</t>
  </si>
  <si>
    <t>Monthly Rent Breakdown</t>
  </si>
  <si>
    <t>Rent</t>
  </si>
  <si>
    <t>Maintenance</t>
  </si>
  <si>
    <t>Misc Repairs</t>
  </si>
  <si>
    <t>Mgt Fee (10%)</t>
  </si>
  <si>
    <t>Breakeven (Month)</t>
  </si>
  <si>
    <t>ROI (Year)</t>
  </si>
  <si>
    <t>Purchase Price (All In)</t>
  </si>
  <si>
    <t>Upfront Cost</t>
  </si>
  <si>
    <t>ROI (Total)</t>
  </si>
  <si>
    <t>Min ROI</t>
  </si>
  <si>
    <t>Target Profit</t>
  </si>
  <si>
    <t>Net Profit</t>
  </si>
  <si>
    <t>BEST CASE SCENARIO</t>
  </si>
  <si>
    <t>MINIMUM BASELINE SCENARIO</t>
  </si>
  <si>
    <t>RENTAL BRAEKDOWN</t>
  </si>
  <si>
    <t>Target Time (Months)</t>
  </si>
  <si>
    <t>Target Time</t>
  </si>
  <si>
    <t>Currently Rented</t>
  </si>
  <si>
    <t>HOI</t>
  </si>
  <si>
    <t>MAX HOI</t>
  </si>
  <si>
    <t>Best Case For HOI</t>
  </si>
  <si>
    <t>Owners&amp;Loan Policy &lt;= Purcahse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</si>
</sst>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"/>
    <numFmt numFmtId="165" formatCode="&quot; &quot;&quot;$&quot;* #,##0.00&quot; &quot;;&quot; &quot;&quot;$&quot;* \(#,##0.00\);&quot; &quot;&quot;$&quot;* &quot;-&quot;??&quot; &quot;"/>
    <numFmt numFmtId="166" formatCode="_-&quot;$&quot;* #,##0.00_-;_-&quot;$&quot;* \(#,##0.00\)_-;_-&quot;$&quot;* &quot;-&quot;??;_-@_-"/>
    <numFmt numFmtId="167" formatCode="0.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1"/>
      <color theme="0"/>
      <name val="Calibri"/>
      <family val="2"/>
    </font>
    <font>
      <b/>
      <sz val="12"/>
      <color indexed="8"/>
      <name val="Calibri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355">
    <xf numFmtId="0" fontId="0" fillId="0" borderId="0" xfId="0"/>
    <xf numFmtId="0" fontId="0" fillId="0" borderId="0" xfId="0" applyFont="1" applyFill="1" applyBorder="1" applyAlignment="1"/>
    <xf numFmtId="49" fontId="3" fillId="0" borderId="4" xfId="0" applyNumberFormat="1" applyFont="1" applyFill="1" applyBorder="1" applyAlignment="1" applyProtection="1">
      <alignment horizontal="left"/>
    </xf>
    <xf numFmtId="49" fontId="5" fillId="2" borderId="1" xfId="0" applyNumberFormat="1" applyFont="1" applyFill="1" applyBorder="1" applyAlignment="1" applyProtection="1">
      <protection hidden="1"/>
    </xf>
    <xf numFmtId="0" fontId="0" fillId="0" borderId="0" xfId="0" applyFont="1" applyFill="1" applyBorder="1" applyAlignment="1" applyProtection="1">
      <protection hidden="1"/>
    </xf>
    <xf numFmtId="49" fontId="3" fillId="0" borderId="0" xfId="0" applyNumberFormat="1" applyFont="1" applyFill="1" applyBorder="1" applyAlignment="1" applyProtection="1">
      <protection hidden="1"/>
    </xf>
    <xf numFmtId="0" fontId="5" fillId="0" borderId="0" xfId="0" applyNumberFormat="1" applyFont="1" applyFill="1" applyBorder="1" applyAlignment="1" applyProtection="1">
      <protection hidden="1"/>
    </xf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49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/>
    <xf numFmtId="164" fontId="0" fillId="0" borderId="4" xfId="0" applyNumberFormat="1" applyFont="1" applyFill="1" applyBorder="1" applyAlignment="1">
      <alignment horizontal="left"/>
    </xf>
    <xf numFmtId="0" fontId="0" fillId="0" borderId="4" xfId="0" applyFont="1" applyFill="1" applyBorder="1" applyAlignment="1"/>
    <xf numFmtId="0" fontId="0" fillId="0" borderId="5" xfId="0" applyFont="1" applyFill="1" applyBorder="1" applyAlignment="1"/>
    <xf numFmtId="49" fontId="0" fillId="0" borderId="4" xfId="0" applyNumberFormat="1" applyFont="1" applyFill="1" applyBorder="1" applyAlignment="1"/>
    <xf numFmtId="49" fontId="0" fillId="0" borderId="0" xfId="0" applyNumberFormat="1" applyFont="1" applyFill="1" applyBorder="1" applyAlignment="1"/>
    <xf numFmtId="49" fontId="0" fillId="0" borderId="5" xfId="0" applyNumberFormat="1" applyFont="1" applyFill="1" applyBorder="1" applyAlignment="1"/>
    <xf numFmtId="164" fontId="0" fillId="0" borderId="4" xfId="0" applyNumberFormat="1" applyFont="1" applyFill="1" applyBorder="1" applyAlignment="1"/>
    <xf numFmtId="164" fontId="0" fillId="0" borderId="0" xfId="0" applyNumberFormat="1" applyFont="1" applyFill="1" applyBorder="1" applyAlignment="1"/>
    <xf numFmtId="167" fontId="0" fillId="0" borderId="0" xfId="0" applyNumberFormat="1" applyFont="1" applyFill="1" applyBorder="1" applyAlignment="1"/>
    <xf numFmtId="164" fontId="0" fillId="0" borderId="5" xfId="0" applyNumberFormat="1" applyFont="1" applyFill="1" applyBorder="1" applyAlignment="1"/>
    <xf numFmtId="164" fontId="0" fillId="0" borderId="6" xfId="0" applyNumberFormat="1" applyFont="1" applyFill="1" applyBorder="1" applyAlignment="1"/>
    <xf numFmtId="164" fontId="0" fillId="0" borderId="8" xfId="0" applyNumberFormat="1" applyFont="1" applyFill="1" applyBorder="1" applyAlignment="1"/>
    <xf numFmtId="0" fontId="0" fillId="0" borderId="5" xfId="0" applyNumberFormat="1" applyFont="1" applyFill="1" applyBorder="1" applyAlignment="1" applyProtection="1">
      <protection hidden="1"/>
    </xf>
    <xf numFmtId="49" fontId="5" fillId="2" borderId="12" xfId="0" applyNumberFormat="1" applyFont="1" applyFill="1" applyBorder="1" applyAlignment="1" applyProtection="1">
      <protection hidden="1"/>
    </xf>
    <xf numFmtId="164" fontId="6" fillId="2" borderId="5" xfId="0" applyNumberFormat="1" applyFont="1" applyFill="1" applyBorder="1" applyAlignment="1" applyProtection="1">
      <protection hidden="1"/>
    </xf>
    <xf numFmtId="164" fontId="0" fillId="0" borderId="0" xfId="0" applyNumberFormat="1"/>
    <xf numFmtId="165" fontId="4" fillId="4" borderId="3" xfId="0" applyNumberFormat="1" applyFont="1" applyFill="1" applyBorder="1" applyAlignment="1" applyProtection="1">
      <protection hidden="1"/>
    </xf>
    <xf numFmtId="10" fontId="4" fillId="4" borderId="5" xfId="0" applyNumberFormat="1" applyFont="1" applyFill="1" applyBorder="1" applyAlignment="1" applyProtection="1">
      <protection hidden="1"/>
    </xf>
    <xf numFmtId="10" fontId="4" fillId="4" borderId="8" xfId="0" applyNumberFormat="1" applyFont="1" applyFill="1" applyBorder="1" applyAlignment="1" applyProtection="1">
      <protection hidden="1"/>
    </xf>
    <xf numFmtId="10" fontId="8" fillId="4" borderId="5" xfId="0" applyNumberFormat="1" applyFont="1" applyFill="1" applyBorder="1" applyAlignment="1" applyProtection="1">
      <protection hidden="1"/>
    </xf>
    <xf numFmtId="165" fontId="8" fillId="4" borderId="5" xfId="0" applyNumberFormat="1" applyFont="1" applyFill="1" applyBorder="1" applyAlignment="1" applyProtection="1">
      <protection hidden="1"/>
    </xf>
    <xf numFmtId="49" fontId="8" fillId="4" borderId="12" xfId="0" applyNumberFormat="1" applyFont="1" applyFill="1" applyBorder="1" applyAlignment="1" applyProtection="1">
      <protection hidden="1"/>
    </xf>
    <xf numFmtId="165" fontId="4" fillId="3" borderId="17" xfId="0" applyNumberFormat="1" applyFont="1" applyFill="1" applyBorder="1" applyAlignment="1" applyProtection="1">
      <protection hidden="1"/>
    </xf>
    <xf numFmtId="165" fontId="8" fillId="3" borderId="18" xfId="0" applyNumberFormat="1" applyFont="1" applyFill="1" applyBorder="1" applyAlignment="1" applyProtection="1">
      <protection hidden="1"/>
    </xf>
    <xf numFmtId="10" fontId="8" fillId="3" borderId="18" xfId="0" applyNumberFormat="1" applyFont="1" applyFill="1" applyBorder="1" applyAlignment="1" applyProtection="1">
      <protection hidden="1"/>
    </xf>
    <xf numFmtId="10" fontId="4" fillId="3" borderId="19" xfId="0" applyNumberFormat="1" applyFont="1" applyFill="1" applyBorder="1" applyAlignment="1" applyProtection="1">
      <protection hidden="1"/>
    </xf>
    <xf numFmtId="49" fontId="4" fillId="4" borderId="13" xfId="0" applyNumberFormat="1" applyFont="1" applyFill="1" applyBorder="1" applyAlignment="1" applyProtection="1">
      <protection hidden="1"/>
    </xf>
    <xf numFmtId="49" fontId="4" fillId="4" borderId="12" xfId="0" applyNumberFormat="1" applyFont="1" applyFill="1" applyBorder="1" applyAlignment="1" applyProtection="1">
      <protection hidden="1"/>
    </xf>
    <xf numFmtId="49" fontId="4" fillId="4" borderId="15" xfId="0" applyNumberFormat="1" applyFont="1" applyFill="1" applyBorder="1" applyAlignment="1" applyProtection="1">
      <protection hidden="1"/>
    </xf>
    <xf numFmtId="49" fontId="4" fillId="3" borderId="6" xfId="0" applyNumberFormat="1" applyFont="1" applyFill="1" applyBorder="1" applyAlignment="1" applyProtection="1">
      <protection hidden="1"/>
    </xf>
    <xf numFmtId="49" fontId="4" fillId="3" borderId="1" xfId="0" applyNumberFormat="1" applyFont="1" applyFill="1" applyBorder="1" applyAlignment="1" applyProtection="1">
      <protection hidden="1"/>
    </xf>
    <xf numFmtId="49" fontId="4" fillId="5" borderId="4" xfId="0" applyNumberFormat="1" applyFont="1" applyFill="1" applyBorder="1" applyAlignment="1" applyProtection="1">
      <protection hidden="1"/>
    </xf>
    <xf numFmtId="166" fontId="4" fillId="5" borderId="18" xfId="0" applyNumberFormat="1" applyFont="1" applyFill="1" applyBorder="1" applyAlignment="1" applyProtection="1">
      <protection hidden="1"/>
    </xf>
    <xf numFmtId="49" fontId="8" fillId="5" borderId="1" xfId="0" applyNumberFormat="1" applyFont="1" applyFill="1" applyBorder="1" applyAlignment="1" applyProtection="1">
      <protection hidden="1"/>
    </xf>
    <xf numFmtId="166" fontId="8" fillId="5" borderId="17" xfId="0" applyNumberFormat="1" applyFont="1" applyFill="1" applyBorder="1" applyAlignment="1" applyProtection="1">
      <protection hidden="1"/>
    </xf>
    <xf numFmtId="49" fontId="8" fillId="3" borderId="4" xfId="0" applyNumberFormat="1" applyFont="1" applyFill="1" applyBorder="1" applyAlignment="1" applyProtection="1">
      <protection hidden="1"/>
    </xf>
    <xf numFmtId="0" fontId="0" fillId="6" borderId="7" xfId="0" applyNumberFormat="1" applyFont="1" applyFill="1" applyBorder="1" applyAlignment="1" applyProtection="1">
      <protection hidden="1"/>
    </xf>
    <xf numFmtId="0" fontId="11" fillId="2" borderId="3" xfId="0" applyFont="1" applyFill="1" applyBorder="1"/>
    <xf numFmtId="0" fontId="10" fillId="2" borderId="1" xfId="0" applyFont="1" applyFill="1" applyBorder="1"/>
    <xf numFmtId="0" fontId="10" fillId="2" borderId="3" xfId="0" applyFont="1" applyFill="1" applyBorder="1"/>
    <xf numFmtId="49" fontId="3" fillId="0" borderId="6" xfId="0" applyNumberFormat="1" applyFont="1" applyFill="1" applyBorder="1" applyAlignment="1" applyProtection="1">
      <alignment horizontal="left"/>
      <protection hidden="1"/>
    </xf>
    <xf numFmtId="0" fontId="10" fillId="2" borderId="1" xfId="0" applyFont="1" applyFill="1" applyBorder="1" applyAlignment="1" applyProtection="1">
      <protection hidden="1"/>
    </xf>
    <xf numFmtId="0" fontId="9" fillId="0" borderId="4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hidden="1"/>
    </xf>
    <xf numFmtId="0" fontId="2" fillId="0" borderId="6" xfId="0" applyFont="1" applyBorder="1"/>
    <xf numFmtId="0" fontId="4" fillId="0" borderId="8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left"/>
      <protection hidden="1"/>
    </xf>
    <xf numFmtId="49" fontId="3" fillId="0" borderId="4" xfId="0" applyNumberFormat="1" applyFont="1" applyFill="1" applyBorder="1" applyAlignment="1" applyProtection="1">
      <alignment horizontal="left"/>
      <protection hidden="1"/>
    </xf>
    <xf numFmtId="0" fontId="4" fillId="0" borderId="0" xfId="0" applyNumberFormat="1" applyFont="1" applyFill="1" applyBorder="1" applyAlignment="1" applyProtection="1">
      <alignment horizontal="left"/>
      <protection hidden="1"/>
    </xf>
    <xf numFmtId="1" fontId="0" fillId="0" borderId="7" xfId="0" applyNumberFormat="1" applyFont="1" applyFill="1" applyBorder="1" applyAlignment="1" applyProtection="1">
      <alignment horizontal="left"/>
      <protection hidden="1"/>
    </xf>
    <xf numFmtId="0" fontId="0" fillId="6" borderId="0" xfId="0" applyFill="1" applyProtection="1">
      <protection hidden="1"/>
    </xf>
    <xf numFmtId="0" fontId="0" fillId="6" borderId="0" xfId="0" applyFill="1" applyAlignment="1" applyProtection="1">
      <alignment horizontal="left"/>
      <protection hidden="1"/>
    </xf>
    <xf numFmtId="0" fontId="0" fillId="6" borderId="0" xfId="0" applyFill="1" applyBorder="1" applyProtection="1">
      <protection hidden="1"/>
    </xf>
    <xf numFmtId="49" fontId="3" fillId="6" borderId="1" xfId="0" applyNumberFormat="1" applyFont="1" applyFill="1" applyBorder="1" applyAlignment="1" applyProtection="1">
      <alignment horizontal="left"/>
      <protection hidden="1"/>
    </xf>
    <xf numFmtId="0" fontId="0" fillId="6" borderId="0" xfId="0" applyFill="1" applyBorder="1" applyAlignment="1" applyProtection="1">
      <protection hidden="1"/>
    </xf>
    <xf numFmtId="0" fontId="2" fillId="6" borderId="20" xfId="0" applyFont="1" applyFill="1" applyBorder="1" applyAlignment="1" applyProtection="1">
      <alignment horizontal="center"/>
      <protection hidden="1"/>
    </xf>
    <xf numFmtId="49" fontId="3" fillId="6" borderId="6" xfId="0" applyNumberFormat="1" applyFont="1" applyFill="1" applyBorder="1" applyAlignment="1" applyProtection="1">
      <alignment horizontal="left"/>
      <protection hidden="1"/>
    </xf>
    <xf numFmtId="0" fontId="0" fillId="6" borderId="7" xfId="0" applyFill="1" applyBorder="1" applyAlignment="1" applyProtection="1">
      <alignment horizontal="left"/>
      <protection hidden="1"/>
    </xf>
    <xf numFmtId="49" fontId="3" fillId="6" borderId="7" xfId="0" applyNumberFormat="1" applyFont="1" applyFill="1" applyBorder="1" applyAlignment="1" applyProtection="1">
      <alignment horizontal="left"/>
      <protection hidden="1"/>
    </xf>
    <xf numFmtId="44" fontId="0" fillId="6" borderId="8" xfId="0" applyNumberFormat="1" applyFill="1" applyBorder="1" applyAlignment="1" applyProtection="1">
      <alignment horizontal="left"/>
      <protection hidden="1"/>
    </xf>
    <xf numFmtId="44" fontId="9" fillId="6" borderId="0" xfId="2" applyFont="1" applyFill="1" applyBorder="1" applyAlignment="1" applyProtection="1">
      <protection hidden="1"/>
    </xf>
    <xf numFmtId="44" fontId="0" fillId="6" borderId="0" xfId="2" applyFont="1" applyFill="1" applyBorder="1" applyAlignment="1" applyProtection="1">
      <protection hidden="1"/>
    </xf>
    <xf numFmtId="0" fontId="2" fillId="3" borderId="11" xfId="0" applyNumberFormat="1" applyFont="1" applyFill="1" applyBorder="1" applyAlignment="1" applyProtection="1">
      <alignment horizontal="center"/>
      <protection hidden="1"/>
    </xf>
    <xf numFmtId="0" fontId="2" fillId="6" borderId="13" xfId="0" applyFont="1" applyFill="1" applyBorder="1" applyProtection="1">
      <protection hidden="1"/>
    </xf>
    <xf numFmtId="0" fontId="2" fillId="6" borderId="20" xfId="0" applyNumberFormat="1" applyFont="1" applyFill="1" applyBorder="1" applyProtection="1">
      <protection hidden="1"/>
    </xf>
    <xf numFmtId="0" fontId="2" fillId="6" borderId="12" xfId="0" applyFont="1" applyFill="1" applyBorder="1" applyProtection="1">
      <protection hidden="1"/>
    </xf>
    <xf numFmtId="0" fontId="2" fillId="7" borderId="15" xfId="0" applyFont="1" applyFill="1" applyBorder="1" applyProtection="1">
      <protection hidden="1"/>
    </xf>
    <xf numFmtId="44" fontId="2" fillId="5" borderId="8" xfId="2" applyNumberFormat="1" applyFont="1" applyFill="1" applyBorder="1" applyAlignment="1" applyProtection="1">
      <alignment horizontal="right"/>
      <protection hidden="1"/>
    </xf>
    <xf numFmtId="0" fontId="2" fillId="7" borderId="21" xfId="0" applyFont="1" applyFill="1" applyBorder="1" applyProtection="1">
      <protection hidden="1"/>
    </xf>
    <xf numFmtId="44" fontId="2" fillId="5" borderId="10" xfId="2" applyFont="1" applyFill="1" applyBorder="1" applyProtection="1">
      <protection hidden="1"/>
    </xf>
    <xf numFmtId="0" fontId="0" fillId="6" borderId="16" xfId="0" applyFill="1" applyBorder="1" applyProtection="1">
      <protection hidden="1"/>
    </xf>
    <xf numFmtId="44" fontId="0" fillId="6" borderId="5" xfId="2" applyFont="1" applyFill="1" applyBorder="1" applyAlignment="1" applyProtection="1">
      <protection hidden="1"/>
    </xf>
    <xf numFmtId="0" fontId="2" fillId="4" borderId="16" xfId="0" applyNumberFormat="1" applyFont="1" applyFill="1" applyBorder="1" applyAlignment="1" applyProtection="1">
      <alignment horizontal="center"/>
      <protection hidden="1"/>
    </xf>
    <xf numFmtId="0" fontId="2" fillId="6" borderId="20" xfId="0" applyFont="1" applyFill="1" applyBorder="1" applyProtection="1">
      <protection hidden="1"/>
    </xf>
    <xf numFmtId="44" fontId="2" fillId="5" borderId="8" xfId="2" applyFont="1" applyFill="1" applyBorder="1" applyAlignment="1" applyProtection="1">
      <alignment horizontal="left"/>
      <protection hidden="1"/>
    </xf>
    <xf numFmtId="44" fontId="2" fillId="5" borderId="8" xfId="2" applyFont="1" applyFill="1" applyBorder="1" applyProtection="1">
      <protection hidden="1"/>
    </xf>
    <xf numFmtId="0" fontId="2" fillId="6" borderId="0" xfId="0" applyFont="1" applyFill="1" applyBorder="1" applyAlignment="1" applyProtection="1">
      <alignment horizontal="center"/>
      <protection hidden="1"/>
    </xf>
    <xf numFmtId="164" fontId="0" fillId="6" borderId="8" xfId="0" applyNumberFormat="1" applyFill="1" applyBorder="1" applyProtection="1">
      <protection hidden="1"/>
    </xf>
    <xf numFmtId="1" fontId="0" fillId="6" borderId="0" xfId="0" applyNumberFormat="1" applyFill="1" applyBorder="1" applyAlignment="1" applyProtection="1">
      <alignment horizontal="center"/>
      <protection hidden="1"/>
    </xf>
    <xf numFmtId="0" fontId="2" fillId="5" borderId="11" xfId="0" applyNumberFormat="1" applyFont="1" applyFill="1" applyBorder="1" applyAlignment="1" applyProtection="1">
      <alignment horizontal="center"/>
      <protection hidden="1"/>
    </xf>
    <xf numFmtId="0" fontId="2" fillId="6" borderId="21" xfId="0" applyFont="1" applyFill="1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Border="1" applyProtection="1">
      <protection locked="0"/>
    </xf>
    <xf numFmtId="44" fontId="0" fillId="0" borderId="0" xfId="0" applyNumberFormat="1"/>
    <xf numFmtId="44" fontId="12" fillId="0" borderId="8" xfId="2" applyFont="1" applyFill="1" applyBorder="1" applyAlignment="1" applyProtection="1">
      <protection hidden="1"/>
    </xf>
    <xf numFmtId="44" fontId="0" fillId="8" borderId="3" xfId="2" applyFont="1" applyFill="1" applyBorder="1" applyProtection="1">
      <protection hidden="1"/>
    </xf>
    <xf numFmtId="44" fontId="0" fillId="8" borderId="5" xfId="2" applyFont="1" applyFill="1" applyBorder="1" applyProtection="1">
      <protection hidden="1"/>
    </xf>
    <xf numFmtId="44" fontId="0" fillId="8" borderId="3" xfId="2" applyFont="1" applyFill="1" applyBorder="1" applyAlignment="1" applyProtection="1">
      <alignment horizontal="left"/>
      <protection hidden="1"/>
    </xf>
    <xf numFmtId="44" fontId="0" fillId="8" borderId="5" xfId="2" applyFont="1" applyFill="1" applyBorder="1" applyAlignment="1" applyProtection="1">
      <alignment horizontal="left"/>
      <protection hidden="1"/>
    </xf>
    <xf numFmtId="44" fontId="0" fillId="8" borderId="10" xfId="2" applyFont="1" applyFill="1" applyBorder="1" applyAlignment="1" applyProtection="1">
      <alignment horizontal="left"/>
      <protection hidden="1"/>
    </xf>
    <xf numFmtId="10" fontId="1" fillId="8" borderId="14" xfId="1" applyNumberFormat="1" applyFont="1" applyFill="1" applyBorder="1" applyProtection="1">
      <protection hidden="1"/>
    </xf>
    <xf numFmtId="164" fontId="1" fillId="8" borderId="16" xfId="2" applyNumberFormat="1" applyFont="1" applyFill="1" applyBorder="1" applyProtection="1">
      <protection hidden="1"/>
    </xf>
    <xf numFmtId="44" fontId="2" fillId="8" borderId="11" xfId="2" applyFont="1" applyFill="1" applyBorder="1" applyProtection="1">
      <protection hidden="1"/>
    </xf>
    <xf numFmtId="164" fontId="0" fillId="8" borderId="14" xfId="0" applyNumberFormat="1" applyFill="1" applyBorder="1" applyProtection="1">
      <protection hidden="1"/>
    </xf>
    <xf numFmtId="9" fontId="1" fillId="8" borderId="16" xfId="1" applyNumberFormat="1" applyFont="1" applyFill="1" applyBorder="1" applyProtection="1">
      <protection hidden="1"/>
    </xf>
    <xf numFmtId="1" fontId="0" fillId="8" borderId="16" xfId="0" applyNumberFormat="1" applyFill="1" applyBorder="1" applyAlignment="1" applyProtection="1">
      <alignment horizontal="center"/>
      <protection hidden="1"/>
    </xf>
    <xf numFmtId="0" fontId="0" fillId="8" borderId="0" xfId="0" applyFill="1" applyProtection="1">
      <protection hidden="1"/>
    </xf>
    <xf numFmtId="0" fontId="0" fillId="8" borderId="0" xfId="0" applyFill="1" applyAlignment="1" applyProtection="1">
      <alignment horizontal="left"/>
      <protection hidden="1"/>
    </xf>
    <xf numFmtId="0" fontId="0" fillId="8" borderId="0" xfId="0" applyFill="1" applyBorder="1" applyProtection="1">
      <protection hidden="1"/>
    </xf>
    <xf numFmtId="44" fontId="0" fillId="0" borderId="0" xfId="0" applyNumberFormat="1" applyProtection="1">
      <protection locked="0"/>
    </xf>
    <xf numFmtId="10" fontId="0" fillId="8" borderId="16" xfId="0" applyNumberFormat="1" applyFill="1" applyBorder="1" applyProtection="1">
      <protection hidden="1"/>
    </xf>
    <xf numFmtId="49" fontId="8" fillId="5" borderId="6" xfId="0" applyNumberFormat="1" applyFont="1" applyFill="1" applyBorder="1" applyAlignment="1" applyProtection="1">
      <protection hidden="1"/>
    </xf>
    <xf numFmtId="166" fontId="8" fillId="5" borderId="19" xfId="0" applyNumberFormat="1" applyFont="1" applyFill="1" applyBorder="1" applyAlignment="1" applyProtection="1">
      <protection hidden="1"/>
    </xf>
    <xf numFmtId="49" fontId="5" fillId="2" borderId="24" xfId="0" applyNumberFormat="1" applyFont="1" applyFill="1" applyBorder="1" applyAlignment="1"/>
    <xf numFmtId="49" fontId="5" fillId="0" borderId="22" xfId="0" applyNumberFormat="1" applyFont="1" applyFill="1" applyBorder="1" applyAlignment="1"/>
    <xf numFmtId="49" fontId="12" fillId="0" borderId="22" xfId="0" applyNumberFormat="1" applyFont="1" applyFill="1" applyBorder="1" applyAlignment="1"/>
    <xf numFmtId="49" fontId="0" fillId="0" borderId="22" xfId="0" applyNumberFormat="1" applyFont="1" applyFill="1" applyBorder="1" applyAlignment="1"/>
    <xf numFmtId="49" fontId="0" fillId="0" borderId="23" xfId="0" applyNumberFormat="1" applyFont="1" applyFill="1" applyBorder="1" applyAlignment="1"/>
    <xf numFmtId="0" fontId="0" fillId="0" borderId="0" xfId="0" applyNumberFormat="1" applyFont="1" applyFill="1" applyBorder="1" applyAlignment="1"/>
    <xf numFmtId="49" fontId="4" fillId="0" borderId="22" xfId="0" applyNumberFormat="1" applyFont="1" applyFill="1" applyBorder="1" applyAlignment="1"/>
    <xf numFmtId="0" fontId="7" fillId="2" borderId="24" xfId="0" applyNumberFormat="1" applyFont="1" applyFill="1" applyBorder="1" applyAlignment="1"/>
    <xf numFmtId="0" fontId="0" fillId="0" borderId="22" xfId="0" applyNumberFormat="1" applyFont="1" applyFill="1" applyBorder="1" applyAlignment="1"/>
    <xf numFmtId="0" fontId="4" fillId="0" borderId="22" xfId="0" applyNumberFormat="1" applyFont="1" applyFill="1" applyBorder="1" applyAlignment="1"/>
    <xf numFmtId="0" fontId="4" fillId="0" borderId="23" xfId="0" applyNumberFormat="1" applyFont="1" applyFill="1" applyBorder="1" applyAlignment="1"/>
    <xf numFmtId="164" fontId="5" fillId="2" borderId="3" xfId="0" applyNumberFormat="1" applyFont="1" applyFill="1" applyBorder="1" applyAlignment="1" applyProtection="1">
      <protection hidden="1"/>
    </xf>
    <xf numFmtId="49" fontId="3" fillId="0" borderId="12" xfId="0" applyNumberFormat="1" applyFont="1" applyFill="1" applyBorder="1" applyAlignment="1" applyProtection="1">
      <protection hidden="1"/>
    </xf>
    <xf numFmtId="9" fontId="0" fillId="0" borderId="5" xfId="5" applyFont="1" applyFill="1" applyBorder="1" applyAlignment="1" applyProtection="1">
      <protection hidden="1"/>
    </xf>
    <xf numFmtId="10" fontId="0" fillId="0" borderId="5" xfId="0" applyNumberFormat="1" applyFont="1" applyFill="1" applyBorder="1" applyAlignment="1" applyProtection="1">
      <protection hidden="1"/>
    </xf>
    <xf numFmtId="49" fontId="3" fillId="0" borderId="15" xfId="0" applyNumberFormat="1" applyFont="1" applyFill="1" applyBorder="1" applyAlignment="1" applyProtection="1">
      <protection hidden="1"/>
    </xf>
    <xf numFmtId="164" fontId="0" fillId="0" borderId="0" xfId="0" applyNumberFormat="1" applyFont="1" applyFill="1" applyBorder="1" applyAlignment="1" applyProtection="1">
      <protection hidden="1"/>
    </xf>
    <xf numFmtId="0" fontId="0" fillId="0" borderId="0" xfId="0" applyBorder="1"/>
    <xf numFmtId="49" fontId="5" fillId="0" borderId="0" xfId="0" applyNumberFormat="1" applyFont="1" applyFill="1" applyBorder="1" applyAlignment="1" applyProtection="1">
      <protection hidden="1"/>
    </xf>
    <xf numFmtId="0" fontId="0" fillId="0" borderId="0" xfId="0" applyFill="1" applyBorder="1"/>
    <xf numFmtId="0" fontId="0" fillId="0" borderId="0" xfId="0" applyNumberFormat="1" applyFont="1" applyFill="1" applyBorder="1" applyAlignment="1" applyProtection="1">
      <alignment vertical="top"/>
      <protection hidden="1"/>
    </xf>
    <xf numFmtId="49" fontId="3" fillId="0" borderId="2" xfId="0" applyNumberFormat="1" applyFont="1" applyFill="1" applyBorder="1" applyAlignment="1" applyProtection="1">
      <alignment horizontal="left"/>
      <protection hidden="1"/>
    </xf>
    <xf numFmtId="49" fontId="0" fillId="0" borderId="0" xfId="0" applyNumberFormat="1" applyFont="1" applyFill="1" applyBorder="1" applyAlignment="1" applyProtection="1">
      <alignment horizontal="left"/>
      <protection hidden="1"/>
    </xf>
    <xf numFmtId="49" fontId="3" fillId="0" borderId="0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Font="1" applyFill="1" applyBorder="1" applyAlignment="1" applyProtection="1">
      <alignment horizontal="left"/>
      <protection hidden="1"/>
    </xf>
    <xf numFmtId="0" fontId="0" fillId="0" borderId="5" xfId="0" applyFont="1" applyFill="1" applyBorder="1" applyAlignment="1" applyProtection="1">
      <protection hidden="1"/>
    </xf>
    <xf numFmtId="49" fontId="4" fillId="0" borderId="7" xfId="0" applyNumberFormat="1" applyFont="1" applyFill="1" applyBorder="1" applyAlignment="1" applyProtection="1">
      <alignment horizontal="left"/>
      <protection hidden="1"/>
    </xf>
    <xf numFmtId="0" fontId="0" fillId="0" borderId="7" xfId="0" applyNumberFormat="1" applyFont="1" applyFill="1" applyBorder="1" applyAlignment="1" applyProtection="1">
      <alignment horizontal="left"/>
      <protection hidden="1"/>
    </xf>
    <xf numFmtId="49" fontId="3" fillId="0" borderId="7" xfId="0" applyNumberFormat="1" applyFont="1" applyFill="1" applyBorder="1" applyAlignment="1" applyProtection="1">
      <alignment horizontal="left"/>
      <protection hidden="1"/>
    </xf>
    <xf numFmtId="0" fontId="0" fillId="0" borderId="8" xfId="0" applyFont="1" applyFill="1" applyBorder="1" applyAlignment="1" applyProtection="1">
      <protection hidden="1"/>
    </xf>
    <xf numFmtId="44" fontId="0" fillId="0" borderId="5" xfId="2" applyFont="1" applyFill="1" applyBorder="1" applyAlignment="1" applyProtection="1">
      <protection hidden="1"/>
    </xf>
    <xf numFmtId="44" fontId="6" fillId="2" borderId="3" xfId="2" applyFont="1" applyFill="1" applyBorder="1" applyAlignment="1" applyProtection="1">
      <protection hidden="1"/>
    </xf>
    <xf numFmtId="44" fontId="0" fillId="0" borderId="8" xfId="2" applyFont="1" applyFill="1" applyBorder="1" applyAlignment="1" applyProtection="1">
      <protection hidden="1"/>
    </xf>
    <xf numFmtId="44" fontId="0" fillId="2" borderId="5" xfId="2" applyFont="1" applyFill="1" applyBorder="1" applyAlignment="1" applyProtection="1">
      <protection hidden="1"/>
    </xf>
    <xf numFmtId="44" fontId="6" fillId="2" borderId="5" xfId="2" applyFont="1" applyFill="1" applyBorder="1" applyAlignment="1" applyProtection="1">
      <protection hidden="1"/>
    </xf>
    <xf numFmtId="0" fontId="10" fillId="2" borderId="24" xfId="0" applyFont="1" applyFill="1" applyBorder="1" applyAlignment="1" applyProtection="1">
      <protection hidden="1"/>
    </xf>
    <xf numFmtId="9" fontId="0" fillId="0" borderId="22" xfId="0" applyNumberFormat="1" applyFont="1" applyFill="1" applyBorder="1" applyAlignment="1" applyProtection="1">
      <protection hidden="1"/>
    </xf>
    <xf numFmtId="9" fontId="0" fillId="0" borderId="22" xfId="1" applyFont="1" applyFill="1" applyBorder="1" applyAlignment="1" applyProtection="1">
      <protection hidden="1"/>
    </xf>
    <xf numFmtId="0" fontId="0" fillId="0" borderId="22" xfId="0" applyNumberFormat="1" applyFont="1" applyFill="1" applyBorder="1" applyAlignment="1" applyProtection="1">
      <protection hidden="1"/>
    </xf>
    <xf numFmtId="0" fontId="0" fillId="0" borderId="22" xfId="0" applyFont="1" applyFill="1" applyBorder="1" applyAlignment="1" applyProtection="1">
      <protection hidden="1"/>
    </xf>
    <xf numFmtId="0" fontId="0" fillId="0" borderId="22" xfId="0" applyBorder="1"/>
    <xf numFmtId="0" fontId="0" fillId="0" borderId="23" xfId="0" applyBorder="1"/>
    <xf numFmtId="0" fontId="0" fillId="2" borderId="22" xfId="0" applyNumberFormat="1" applyFont="1" applyFill="1" applyBorder="1" applyAlignment="1" applyProtection="1">
      <protection hidden="1"/>
    </xf>
    <xf numFmtId="0" fontId="0" fillId="2" borderId="22" xfId="0" applyFill="1" applyBorder="1"/>
    <xf numFmtId="10" fontId="0" fillId="0" borderId="22" xfId="1" applyNumberFormat="1" applyFont="1" applyFill="1" applyBorder="1" applyAlignment="1" applyProtection="1">
      <protection hidden="1"/>
    </xf>
    <xf numFmtId="9" fontId="0" fillId="0" borderId="22" xfId="1" applyNumberFormat="1" applyFont="1" applyFill="1" applyBorder="1" applyAlignment="1" applyProtection="1">
      <protection hidden="1"/>
    </xf>
    <xf numFmtId="0" fontId="3" fillId="0" borderId="0" xfId="0" applyNumberFormat="1" applyFont="1" applyFill="1" applyBorder="1" applyAlignment="1" applyProtection="1">
      <alignment horizontal="left"/>
      <protection hidden="1"/>
    </xf>
    <xf numFmtId="0" fontId="0" fillId="6" borderId="24" xfId="0" applyFill="1" applyBorder="1" applyProtection="1">
      <protection hidden="1"/>
    </xf>
    <xf numFmtId="0" fontId="0" fillId="6" borderId="22" xfId="0" applyFill="1" applyBorder="1" applyProtection="1">
      <protection hidden="1"/>
    </xf>
    <xf numFmtId="0" fontId="0" fillId="6" borderId="23" xfId="0" applyFill="1" applyBorder="1" applyProtection="1">
      <protection hidden="1"/>
    </xf>
    <xf numFmtId="1" fontId="0" fillId="0" borderId="2" xfId="0" applyNumberFormat="1" applyFont="1" applyFill="1" applyBorder="1" applyAlignment="1" applyProtection="1">
      <alignment horizontal="right"/>
      <protection hidden="1"/>
    </xf>
    <xf numFmtId="9" fontId="0" fillId="0" borderId="0" xfId="1" applyFont="1" applyBorder="1"/>
    <xf numFmtId="0" fontId="0" fillId="0" borderId="2" xfId="0" applyBorder="1"/>
    <xf numFmtId="0" fontId="0" fillId="0" borderId="3" xfId="0" applyBorder="1"/>
    <xf numFmtId="9" fontId="0" fillId="0" borderId="7" xfId="0" applyNumberFormat="1" applyFont="1" applyFill="1" applyBorder="1" applyAlignment="1" applyProtection="1">
      <protection locked="0" hidden="1"/>
    </xf>
    <xf numFmtId="44" fontId="0" fillId="0" borderId="0" xfId="0" applyNumberFormat="1" applyFont="1" applyFill="1" applyBorder="1" applyAlignment="1" applyProtection="1">
      <protection hidden="1"/>
    </xf>
    <xf numFmtId="44" fontId="0" fillId="0" borderId="0" xfId="0" applyNumberFormat="1" applyFill="1" applyBorder="1"/>
    <xf numFmtId="0" fontId="10" fillId="0" borderId="0" xfId="0" applyFont="1" applyFill="1"/>
    <xf numFmtId="164" fontId="0" fillId="0" borderId="0" xfId="0" applyNumberFormat="1" applyFill="1" applyBorder="1"/>
    <xf numFmtId="0" fontId="2" fillId="0" borderId="12" xfId="0" applyFont="1" applyBorder="1"/>
    <xf numFmtId="0" fontId="2" fillId="6" borderId="24" xfId="0" applyFont="1" applyFill="1" applyBorder="1" applyAlignment="1" applyProtection="1">
      <alignment horizontal="center"/>
      <protection hidden="1"/>
    </xf>
    <xf numFmtId="1" fontId="0" fillId="8" borderId="25" xfId="0" applyNumberFormat="1" applyFill="1" applyBorder="1" applyAlignment="1" applyProtection="1">
      <alignment horizontal="center"/>
      <protection hidden="1"/>
    </xf>
    <xf numFmtId="44" fontId="0" fillId="0" borderId="0" xfId="2" applyFont="1" applyProtection="1">
      <protection locked="0"/>
    </xf>
    <xf numFmtId="44" fontId="0" fillId="0" borderId="0" xfId="2" applyFont="1" applyFill="1" applyBorder="1"/>
    <xf numFmtId="164" fontId="0" fillId="0" borderId="5" xfId="2" applyNumberFormat="1" applyFont="1" applyFill="1" applyBorder="1" applyAlignment="1" applyProtection="1">
      <protection hidden="1"/>
    </xf>
    <xf numFmtId="10" fontId="0" fillId="0" borderId="5" xfId="0" applyNumberFormat="1" applyFont="1" applyFill="1" applyBorder="1" applyAlignment="1" applyProtection="1">
      <alignment horizontal="right"/>
      <protection locked="0"/>
    </xf>
    <xf numFmtId="10" fontId="4" fillId="0" borderId="8" xfId="0" applyNumberFormat="1" applyFont="1" applyFill="1" applyBorder="1" applyAlignment="1" applyProtection="1">
      <alignment horizontal="right"/>
      <protection hidden="1"/>
    </xf>
    <xf numFmtId="9" fontId="13" fillId="0" borderId="5" xfId="1" applyFont="1" applyFill="1" applyBorder="1" applyAlignment="1">
      <alignment horizontal="right"/>
    </xf>
    <xf numFmtId="0" fontId="0" fillId="6" borderId="11" xfId="0" applyFill="1" applyBorder="1" applyProtection="1">
      <protection hidden="1"/>
    </xf>
    <xf numFmtId="49" fontId="4" fillId="0" borderId="0" xfId="0" applyNumberFormat="1" applyFont="1" applyAlignment="1" applyProtection="1">
      <alignment horizontal="left" vertical="top"/>
      <protection locked="0"/>
    </xf>
    <xf numFmtId="0" fontId="2" fillId="6" borderId="20" xfId="0" applyFont="1" applyFill="1" applyBorder="1" applyAlignment="1" applyProtection="1">
      <alignment horizontal="left"/>
      <protection hidden="1"/>
    </xf>
    <xf numFmtId="0" fontId="2" fillId="6" borderId="20" xfId="0" applyNumberFormat="1" applyFont="1" applyFill="1" applyBorder="1" applyAlignment="1" applyProtection="1">
      <alignment horizontal="left"/>
      <protection hidden="1"/>
    </xf>
    <xf numFmtId="0" fontId="2" fillId="8" borderId="24" xfId="0" applyNumberFormat="1" applyFont="1" applyFill="1" applyBorder="1" applyAlignment="1" applyProtection="1">
      <alignment horizontal="center"/>
      <protection hidden="1"/>
    </xf>
    <xf numFmtId="164" fontId="2" fillId="6" borderId="20" xfId="2" applyNumberFormat="1" applyFont="1" applyFill="1" applyBorder="1" applyAlignment="1" applyProtection="1">
      <alignment horizontal="left"/>
      <protection hidden="1"/>
    </xf>
    <xf numFmtId="10" fontId="1" fillId="8" borderId="23" xfId="1" applyNumberFormat="1" applyFont="1" applyFill="1" applyBorder="1" applyAlignment="1" applyProtection="1">
      <alignment horizontal="right"/>
      <protection hidden="1"/>
    </xf>
    <xf numFmtId="0" fontId="2" fillId="6" borderId="11" xfId="0" applyNumberFormat="1" applyFont="1" applyFill="1" applyBorder="1" applyAlignment="1" applyProtection="1">
      <alignment horizontal="left"/>
      <protection hidden="1"/>
    </xf>
    <xf numFmtId="10" fontId="0" fillId="8" borderId="23" xfId="1" applyNumberFormat="1" applyFont="1" applyFill="1" applyBorder="1" applyAlignment="1" applyProtection="1">
      <alignment horizontal="right"/>
      <protection hidden="1"/>
    </xf>
    <xf numFmtId="164" fontId="2" fillId="8" borderId="23" xfId="2" applyNumberFormat="1" applyFont="1" applyFill="1" applyBorder="1" applyAlignment="1" applyProtection="1">
      <alignment horizontal="right"/>
      <protection hidden="1"/>
    </xf>
    <xf numFmtId="165" fontId="4" fillId="3" borderId="5" xfId="0" applyNumberFormat="1" applyFont="1" applyFill="1" applyBorder="1" applyAlignment="1" applyProtection="1">
      <protection hidden="1"/>
    </xf>
    <xf numFmtId="49" fontId="4" fillId="0" borderId="0" xfId="0" applyNumberFormat="1" applyFont="1" applyFill="1" applyBorder="1" applyAlignment="1" applyProtection="1">
      <protection hidden="1"/>
    </xf>
    <xf numFmtId="10" fontId="4" fillId="0" borderId="0" xfId="0" applyNumberFormat="1" applyFont="1" applyFill="1" applyBorder="1" applyAlignment="1" applyProtection="1">
      <protection hidden="1"/>
    </xf>
    <xf numFmtId="49" fontId="3" fillId="3" borderId="12" xfId="0" applyNumberFormat="1" applyFont="1" applyFill="1" applyBorder="1" applyAlignment="1" applyProtection="1">
      <protection hidden="1"/>
    </xf>
    <xf numFmtId="49" fontId="18" fillId="5" borderId="12" xfId="0" applyNumberFormat="1" applyFont="1" applyFill="1" applyBorder="1" applyAlignment="1" applyProtection="1">
      <protection hidden="1"/>
    </xf>
    <xf numFmtId="165" fontId="12" fillId="5" borderId="5" xfId="0" applyNumberFormat="1" applyFont="1" applyFill="1" applyBorder="1" applyAlignment="1" applyProtection="1">
      <protection hidden="1"/>
    </xf>
    <xf numFmtId="49" fontId="3" fillId="3" borderId="15" xfId="0" applyNumberFormat="1" applyFont="1" applyFill="1" applyBorder="1" applyAlignment="1" applyProtection="1">
      <protection hidden="1"/>
    </xf>
    <xf numFmtId="49" fontId="18" fillId="5" borderId="15" xfId="0" applyNumberFormat="1" applyFont="1" applyFill="1" applyBorder="1" applyAlignment="1" applyProtection="1">
      <protection hidden="1"/>
    </xf>
    <xf numFmtId="165" fontId="18" fillId="5" borderId="5" xfId="0" applyNumberFormat="1" applyFont="1" applyFill="1" applyBorder="1" applyAlignment="1" applyProtection="1">
      <protection hidden="1"/>
    </xf>
    <xf numFmtId="10" fontId="18" fillId="5" borderId="8" xfId="0" applyNumberFormat="1" applyFont="1" applyFill="1" applyBorder="1" applyAlignment="1" applyProtection="1">
      <protection hidden="1"/>
    </xf>
    <xf numFmtId="165" fontId="3" fillId="3" borderId="5" xfId="0" applyNumberFormat="1" applyFont="1" applyFill="1" applyBorder="1" applyAlignment="1" applyProtection="1">
      <protection hidden="1"/>
    </xf>
    <xf numFmtId="10" fontId="3" fillId="3" borderId="8" xfId="0" applyNumberFormat="1" applyFont="1" applyFill="1" applyBorder="1" applyAlignment="1" applyProtection="1">
      <protection hidden="1"/>
    </xf>
    <xf numFmtId="0" fontId="0" fillId="0" borderId="0" xfId="0" applyFill="1" applyProtection="1">
      <protection hidden="1"/>
    </xf>
    <xf numFmtId="0" fontId="0" fillId="0" borderId="0" xfId="0" applyProtection="1">
      <protection hidden="1"/>
    </xf>
    <xf numFmtId="44" fontId="0" fillId="0" borderId="0" xfId="2" applyFont="1" applyProtection="1">
      <protection hidden="1"/>
    </xf>
    <xf numFmtId="10" fontId="0" fillId="0" borderId="0" xfId="1" applyNumberFormat="1" applyFont="1" applyProtection="1">
      <protection hidden="1"/>
    </xf>
    <xf numFmtId="0" fontId="2" fillId="6" borderId="1" xfId="0" applyFont="1" applyFill="1" applyBorder="1" applyProtection="1">
      <protection hidden="1"/>
    </xf>
    <xf numFmtId="0" fontId="2" fillId="6" borderId="4" xfId="0" applyFont="1" applyFill="1" applyBorder="1" applyProtection="1">
      <protection hidden="1"/>
    </xf>
    <xf numFmtId="9" fontId="0" fillId="6" borderId="5" xfId="0" applyNumberFormat="1" applyFill="1" applyBorder="1" applyProtection="1">
      <protection hidden="1"/>
    </xf>
    <xf numFmtId="0" fontId="2" fillId="6" borderId="6" xfId="0" applyFont="1" applyFill="1" applyBorder="1" applyProtection="1">
      <protection hidden="1"/>
    </xf>
    <xf numFmtId="0" fontId="0" fillId="6" borderId="7" xfId="0" applyFill="1" applyBorder="1" applyProtection="1">
      <protection hidden="1"/>
    </xf>
    <xf numFmtId="9" fontId="0" fillId="6" borderId="8" xfId="0" applyNumberFormat="1" applyFill="1" applyBorder="1" applyProtection="1">
      <protection hidden="1"/>
    </xf>
    <xf numFmtId="0" fontId="2" fillId="6" borderId="12" xfId="0" applyNumberFormat="1" applyFont="1" applyFill="1" applyBorder="1" applyAlignment="1" applyProtection="1">
      <alignment horizontal="left"/>
      <protection hidden="1"/>
    </xf>
    <xf numFmtId="44" fontId="0" fillId="6" borderId="5" xfId="2" applyFont="1" applyFill="1" applyBorder="1" applyProtection="1">
      <protection hidden="1"/>
    </xf>
    <xf numFmtId="44" fontId="0" fillId="6" borderId="0" xfId="2" applyFont="1" applyFill="1" applyProtection="1">
      <protection hidden="1"/>
    </xf>
    <xf numFmtId="9" fontId="2" fillId="6" borderId="12" xfId="1" applyFont="1" applyFill="1" applyBorder="1" applyProtection="1">
      <protection hidden="1"/>
    </xf>
    <xf numFmtId="0" fontId="2" fillId="6" borderId="12" xfId="0" applyNumberFormat="1" applyFont="1" applyFill="1" applyBorder="1" applyProtection="1">
      <protection hidden="1"/>
    </xf>
    <xf numFmtId="44" fontId="0" fillId="6" borderId="5" xfId="0" applyNumberFormat="1" applyFill="1" applyBorder="1" applyProtection="1">
      <protection hidden="1"/>
    </xf>
    <xf numFmtId="0" fontId="2" fillId="7" borderId="6" xfId="0" applyFont="1" applyFill="1" applyBorder="1" applyProtection="1">
      <protection hidden="1"/>
    </xf>
    <xf numFmtId="44" fontId="2" fillId="5" borderId="8" xfId="0" applyNumberFormat="1" applyFont="1" applyFill="1" applyBorder="1" applyProtection="1">
      <protection hidden="1"/>
    </xf>
    <xf numFmtId="0" fontId="0" fillId="0" borderId="0" xfId="0" applyFill="1" applyProtection="1">
      <protection locked="0"/>
    </xf>
    <xf numFmtId="9" fontId="0" fillId="0" borderId="0" xfId="1" applyFont="1" applyProtection="1">
      <protection locked="0"/>
    </xf>
    <xf numFmtId="9" fontId="0" fillId="0" borderId="0" xfId="0" applyNumberFormat="1" applyProtection="1">
      <protection locked="0"/>
    </xf>
    <xf numFmtId="44" fontId="0" fillId="8" borderId="3" xfId="2" applyNumberFormat="1" applyFont="1" applyFill="1" applyBorder="1" applyAlignment="1" applyProtection="1">
      <alignment horizontal="right"/>
      <protection hidden="1"/>
    </xf>
    <xf numFmtId="44" fontId="0" fillId="8" borderId="5" xfId="2" applyNumberFormat="1" applyFont="1" applyFill="1" applyBorder="1" applyAlignment="1" applyProtection="1">
      <alignment horizontal="right"/>
      <protection hidden="1"/>
    </xf>
    <xf numFmtId="0" fontId="2" fillId="6" borderId="15" xfId="0" applyFont="1" applyFill="1" applyBorder="1" applyProtection="1">
      <protection hidden="1"/>
    </xf>
    <xf numFmtId="44" fontId="0" fillId="8" borderId="8" xfId="2" applyFont="1" applyFill="1" applyBorder="1" applyProtection="1">
      <protection hidden="1"/>
    </xf>
    <xf numFmtId="44" fontId="0" fillId="0" borderId="5" xfId="0" applyNumberFormat="1" applyBorder="1" applyProtection="1">
      <protection hidden="1"/>
    </xf>
    <xf numFmtId="44" fontId="0" fillId="8" borderId="10" xfId="2" applyFont="1" applyFill="1" applyBorder="1" applyProtection="1">
      <protection hidden="1"/>
    </xf>
    <xf numFmtId="0" fontId="0" fillId="0" borderId="0" xfId="0" applyFill="1" applyBorder="1" applyProtection="1">
      <protection hidden="1"/>
    </xf>
    <xf numFmtId="49" fontId="5" fillId="2" borderId="21" xfId="0" applyNumberFormat="1" applyFont="1" applyFill="1" applyBorder="1" applyAlignment="1" applyProtection="1">
      <alignment horizontal="left" vertical="top"/>
      <protection hidden="1"/>
    </xf>
    <xf numFmtId="0" fontId="7" fillId="2" borderId="10" xfId="0" applyNumberFormat="1" applyFont="1" applyFill="1" applyBorder="1" applyAlignment="1" applyProtection="1">
      <alignment horizontal="left" vertical="top"/>
      <protection hidden="1"/>
    </xf>
    <xf numFmtId="0" fontId="0" fillId="0" borderId="0" xfId="0" applyNumberFormat="1" applyFont="1" applyFill="1" applyBorder="1" applyAlignment="1" applyProtection="1">
      <alignment horizontal="left" vertical="top"/>
      <protection hidden="1"/>
    </xf>
    <xf numFmtId="49" fontId="5" fillId="2" borderId="1" xfId="0" applyNumberFormat="1" applyFont="1" applyFill="1" applyBorder="1" applyAlignment="1" applyProtection="1">
      <alignment horizontal="left" vertical="top"/>
      <protection hidden="1"/>
    </xf>
    <xf numFmtId="0" fontId="0" fillId="2" borderId="3" xfId="0" applyFont="1" applyFill="1" applyBorder="1" applyAlignment="1" applyProtection="1">
      <alignment horizontal="left" vertical="top"/>
      <protection hidden="1"/>
    </xf>
    <xf numFmtId="0" fontId="0" fillId="0" borderId="0" xfId="0" applyFont="1" applyAlignment="1" applyProtection="1">
      <alignment horizontal="left" vertical="top"/>
      <protection hidden="1"/>
    </xf>
    <xf numFmtId="0" fontId="2" fillId="2" borderId="3" xfId="0" applyNumberFormat="1" applyFont="1" applyFill="1" applyBorder="1" applyAlignment="1" applyProtection="1">
      <alignment horizontal="left" vertical="top"/>
      <protection hidden="1"/>
    </xf>
    <xf numFmtId="0" fontId="2" fillId="9" borderId="21" xfId="0" applyFont="1" applyFill="1" applyBorder="1" applyProtection="1">
      <protection hidden="1"/>
    </xf>
    <xf numFmtId="44" fontId="2" fillId="9" borderId="10" xfId="2" applyFont="1" applyFill="1" applyBorder="1" applyProtection="1">
      <protection hidden="1"/>
    </xf>
    <xf numFmtId="49" fontId="3" fillId="0" borderId="13" xfId="0" applyNumberFormat="1" applyFont="1" applyFill="1" applyBorder="1" applyAlignment="1" applyProtection="1">
      <alignment horizontal="left" vertical="top"/>
      <protection hidden="1"/>
    </xf>
    <xf numFmtId="0" fontId="2" fillId="0" borderId="12" xfId="0" applyFont="1" applyFill="1" applyBorder="1" applyProtection="1">
      <protection hidden="1"/>
    </xf>
    <xf numFmtId="49" fontId="3" fillId="0" borderId="12" xfId="0" applyNumberFormat="1" applyFont="1" applyFill="1" applyBorder="1" applyAlignment="1" applyProtection="1">
      <alignment horizontal="left" vertical="top"/>
      <protection hidden="1"/>
    </xf>
    <xf numFmtId="0" fontId="3" fillId="0" borderId="12" xfId="0" applyFont="1" applyBorder="1" applyAlignment="1" applyProtection="1">
      <alignment horizontal="left" vertical="top"/>
      <protection hidden="1"/>
    </xf>
    <xf numFmtId="0" fontId="9" fillId="5" borderId="13" xfId="0" applyFont="1" applyFill="1" applyBorder="1" applyProtection="1">
      <protection hidden="1"/>
    </xf>
    <xf numFmtId="44" fontId="9" fillId="5" borderId="3" xfId="2" applyFont="1" applyFill="1" applyBorder="1" applyProtection="1">
      <protection hidden="1"/>
    </xf>
    <xf numFmtId="49" fontId="3" fillId="0" borderId="15" xfId="0" applyNumberFormat="1" applyFont="1" applyFill="1" applyBorder="1" applyAlignment="1" applyProtection="1">
      <alignment horizontal="left" vertical="top"/>
      <protection hidden="1"/>
    </xf>
    <xf numFmtId="0" fontId="2" fillId="3" borderId="13" xfId="0" applyFont="1" applyFill="1" applyBorder="1" applyProtection="1">
      <protection hidden="1"/>
    </xf>
    <xf numFmtId="164" fontId="2" fillId="3" borderId="3" xfId="2" applyNumberFormat="1" applyFont="1" applyFill="1" applyBorder="1" applyProtection="1">
      <protection hidden="1"/>
    </xf>
    <xf numFmtId="0" fontId="10" fillId="2" borderId="1" xfId="0" applyFont="1" applyFill="1" applyBorder="1" applyProtection="1">
      <protection hidden="1"/>
    </xf>
    <xf numFmtId="0" fontId="10" fillId="2" borderId="3" xfId="0" applyFont="1" applyFill="1" applyBorder="1" applyProtection="1">
      <protection hidden="1"/>
    </xf>
    <xf numFmtId="9" fontId="0" fillId="0" borderId="0" xfId="5" applyFont="1" applyFill="1" applyBorder="1" applyAlignment="1" applyProtection="1">
      <alignment horizontal="left" vertical="top"/>
      <protection hidden="1"/>
    </xf>
    <xf numFmtId="0" fontId="2" fillId="0" borderId="15" xfId="0" applyFont="1" applyBorder="1" applyProtection="1">
      <protection hidden="1"/>
    </xf>
    <xf numFmtId="0" fontId="2" fillId="0" borderId="12" xfId="0" applyFont="1" applyBorder="1" applyProtection="1">
      <protection hidden="1"/>
    </xf>
    <xf numFmtId="0" fontId="0" fillId="0" borderId="0" xfId="0" applyBorder="1" applyProtection="1">
      <protection hidden="1"/>
    </xf>
    <xf numFmtId="0" fontId="3" fillId="0" borderId="15" xfId="0" applyFont="1" applyBorder="1" applyAlignment="1" applyProtection="1">
      <alignment horizontal="left" vertical="top"/>
      <protection hidden="1"/>
    </xf>
    <xf numFmtId="0" fontId="0" fillId="0" borderId="0" xfId="0" applyFont="1" applyProtection="1">
      <protection hidden="1"/>
    </xf>
    <xf numFmtId="164" fontId="0" fillId="0" borderId="0" xfId="2" applyNumberFormat="1" applyFont="1" applyAlignment="1" applyProtection="1">
      <alignment horizontal="right"/>
      <protection hidden="1"/>
    </xf>
    <xf numFmtId="164" fontId="0" fillId="2" borderId="3" xfId="2" applyNumberFormat="1" applyFont="1" applyFill="1" applyBorder="1" applyAlignment="1" applyProtection="1">
      <alignment horizontal="right" vertical="top"/>
      <protection hidden="1"/>
    </xf>
    <xf numFmtId="44" fontId="2" fillId="10" borderId="13" xfId="2" applyFont="1" applyFill="1" applyBorder="1" applyProtection="1">
      <protection hidden="1"/>
    </xf>
    <xf numFmtId="44" fontId="0" fillId="10" borderId="5" xfId="1" applyNumberFormat="1" applyFont="1" applyFill="1" applyBorder="1" applyProtection="1">
      <protection hidden="1"/>
    </xf>
    <xf numFmtId="49" fontId="7" fillId="2" borderId="1" xfId="0" applyNumberFormat="1" applyFont="1" applyFill="1" applyBorder="1" applyAlignment="1" applyProtection="1">
      <alignment horizontal="left" vertical="top"/>
      <protection hidden="1"/>
    </xf>
    <xf numFmtId="0" fontId="15" fillId="2" borderId="2" xfId="0" applyFont="1" applyFill="1" applyBorder="1" applyAlignment="1" applyProtection="1">
      <alignment horizontal="left" vertical="top"/>
      <protection hidden="1"/>
    </xf>
    <xf numFmtId="0" fontId="15" fillId="2" borderId="2" xfId="0" applyNumberFormat="1" applyFont="1" applyFill="1" applyBorder="1" applyAlignment="1" applyProtection="1">
      <alignment horizontal="left" vertical="top"/>
      <protection hidden="1"/>
    </xf>
    <xf numFmtId="0" fontId="15" fillId="2" borderId="3" xfId="0" applyFont="1" applyFill="1" applyBorder="1" applyAlignment="1" applyProtection="1">
      <alignment horizontal="left" vertical="top"/>
      <protection hidden="1"/>
    </xf>
    <xf numFmtId="44" fontId="2" fillId="10" borderId="12" xfId="2" applyFont="1" applyFill="1" applyBorder="1" applyProtection="1">
      <protection hidden="1"/>
    </xf>
    <xf numFmtId="0" fontId="2" fillId="10" borderId="5" xfId="1" applyNumberFormat="1" applyFont="1" applyFill="1" applyBorder="1" applyAlignment="1" applyProtection="1">
      <alignment horizontal="right"/>
      <protection hidden="1"/>
    </xf>
    <xf numFmtId="0" fontId="0" fillId="10" borderId="5" xfId="1" applyNumberFormat="1" applyFont="1" applyFill="1" applyBorder="1" applyAlignment="1" applyProtection="1">
      <alignment horizontal="right"/>
      <protection hidden="1"/>
    </xf>
    <xf numFmtId="44" fontId="2" fillId="10" borderId="15" xfId="2" applyFont="1" applyFill="1" applyBorder="1" applyProtection="1">
      <protection hidden="1"/>
    </xf>
    <xf numFmtId="44" fontId="0" fillId="10" borderId="8" xfId="2" applyFont="1" applyFill="1" applyBorder="1" applyProtection="1">
      <protection hidden="1"/>
    </xf>
    <xf numFmtId="0" fontId="7" fillId="2" borderId="3" xfId="0" applyFont="1" applyFill="1" applyBorder="1" applyAlignment="1" applyProtection="1">
      <alignment horizontal="left" vertical="top"/>
      <protection hidden="1"/>
    </xf>
    <xf numFmtId="0" fontId="2" fillId="0" borderId="15" xfId="0" applyFont="1" applyBorder="1" applyAlignment="1" applyProtection="1">
      <alignment horizontal="left" vertical="top"/>
      <protection hidden="1"/>
    </xf>
    <xf numFmtId="0" fontId="0" fillId="0" borderId="5" xfId="0" applyNumberFormat="1" applyFont="1" applyFill="1" applyBorder="1" applyAlignment="1" applyProtection="1">
      <alignment horizontal="left" vertical="top"/>
      <protection locked="0" hidden="1"/>
    </xf>
    <xf numFmtId="0" fontId="4" fillId="0" borderId="5" xfId="0" applyNumberFormat="1" applyFont="1" applyFill="1" applyBorder="1" applyAlignment="1" applyProtection="1">
      <alignment horizontal="left" vertical="top"/>
      <protection locked="0" hidden="1"/>
    </xf>
    <xf numFmtId="0" fontId="0" fillId="0" borderId="5" xfId="0" applyFont="1" applyBorder="1" applyAlignment="1" applyProtection="1">
      <alignment horizontal="left" vertical="top"/>
      <protection locked="0" hidden="1"/>
    </xf>
    <xf numFmtId="1" fontId="0" fillId="0" borderId="5" xfId="4" applyNumberFormat="1" applyFont="1" applyFill="1" applyBorder="1" applyAlignment="1" applyProtection="1">
      <alignment horizontal="left" vertical="top"/>
      <protection locked="0" hidden="1"/>
    </xf>
    <xf numFmtId="164" fontId="0" fillId="0" borderId="5" xfId="4" applyNumberFormat="1" applyFont="1" applyFill="1" applyBorder="1" applyAlignment="1" applyProtection="1">
      <alignment horizontal="left" vertical="top"/>
      <protection locked="0" hidden="1"/>
    </xf>
    <xf numFmtId="49" fontId="4" fillId="0" borderId="5" xfId="0" applyNumberFormat="1" applyFont="1" applyFill="1" applyBorder="1" applyAlignment="1" applyProtection="1">
      <alignment horizontal="left" vertical="top"/>
      <protection locked="0" hidden="1"/>
    </xf>
    <xf numFmtId="1" fontId="0" fillId="0" borderId="8" xfId="4" applyNumberFormat="1" applyFont="1" applyFill="1" applyBorder="1" applyAlignment="1" applyProtection="1">
      <alignment horizontal="left" vertical="top"/>
      <protection locked="0" hidden="1"/>
    </xf>
    <xf numFmtId="164" fontId="0" fillId="0" borderId="5" xfId="2" applyNumberFormat="1" applyFont="1" applyFill="1" applyBorder="1" applyAlignment="1" applyProtection="1">
      <alignment horizontal="right" vertical="top"/>
      <protection locked="0" hidden="1"/>
    </xf>
    <xf numFmtId="164" fontId="0" fillId="0" borderId="5" xfId="2" applyNumberFormat="1" applyFont="1" applyBorder="1" applyAlignment="1" applyProtection="1">
      <alignment horizontal="right"/>
      <protection locked="0" hidden="1"/>
    </xf>
    <xf numFmtId="164" fontId="0" fillId="0" borderId="8" xfId="2" applyNumberFormat="1" applyFont="1" applyFill="1" applyBorder="1" applyAlignment="1" applyProtection="1">
      <alignment horizontal="right" vertical="top"/>
      <protection locked="0" hidden="1"/>
    </xf>
    <xf numFmtId="1" fontId="0" fillId="0" borderId="5" xfId="4" applyNumberFormat="1" applyFont="1" applyFill="1" applyBorder="1" applyAlignment="1" applyProtection="1">
      <alignment horizontal="right" vertical="top"/>
      <protection locked="0" hidden="1"/>
    </xf>
    <xf numFmtId="9" fontId="0" fillId="0" borderId="5" xfId="0" applyNumberFormat="1" applyFont="1" applyBorder="1" applyAlignment="1" applyProtection="1">
      <alignment horizontal="right" vertical="top"/>
      <protection locked="0" hidden="1"/>
    </xf>
    <xf numFmtId="9" fontId="0" fillId="0" borderId="8" xfId="1" applyFont="1" applyBorder="1" applyProtection="1">
      <protection locked="0" hidden="1"/>
    </xf>
    <xf numFmtId="49" fontId="4" fillId="0" borderId="5" xfId="0" applyNumberFormat="1" applyFont="1" applyFill="1" applyBorder="1" applyAlignment="1" applyProtection="1">
      <alignment horizontal="right" vertical="top"/>
      <protection locked="0" hidden="1"/>
    </xf>
    <xf numFmtId="0" fontId="0" fillId="0" borderId="5" xfId="2" applyNumberFormat="1" applyFont="1" applyFill="1" applyBorder="1" applyAlignment="1" applyProtection="1">
      <alignment horizontal="right" vertical="top"/>
      <protection locked="0" hidden="1"/>
    </xf>
    <xf numFmtId="0" fontId="0" fillId="0" borderId="8" xfId="2" applyNumberFormat="1" applyFont="1" applyBorder="1" applyAlignment="1" applyProtection="1">
      <alignment horizontal="right" vertical="top"/>
      <protection locked="0" hidden="1"/>
    </xf>
    <xf numFmtId="164" fontId="0" fillId="0" borderId="5" xfId="0" applyNumberFormat="1" applyFill="1" applyBorder="1" applyAlignment="1" applyProtection="1">
      <alignment horizontal="left"/>
      <protection locked="0" hidden="1"/>
    </xf>
    <xf numFmtId="49" fontId="0" fillId="0" borderId="5" xfId="0" applyNumberFormat="1" applyFont="1" applyFill="1" applyBorder="1" applyAlignment="1" applyProtection="1">
      <alignment horizontal="left" vertical="top"/>
      <protection locked="0" hidden="1"/>
    </xf>
    <xf numFmtId="0" fontId="4" fillId="0" borderId="5" xfId="0" applyFont="1" applyBorder="1" applyAlignment="1" applyProtection="1">
      <alignment horizontal="left" vertical="top"/>
      <protection locked="0" hidden="1"/>
    </xf>
    <xf numFmtId="0" fontId="0" fillId="0" borderId="5" xfId="0" applyBorder="1" applyProtection="1">
      <protection locked="0" hidden="1"/>
    </xf>
    <xf numFmtId="14" fontId="0" fillId="0" borderId="5" xfId="0" applyNumberFormat="1" applyFont="1" applyFill="1" applyBorder="1" applyAlignment="1" applyProtection="1">
      <alignment horizontal="left" vertical="top"/>
      <protection locked="0" hidden="1"/>
    </xf>
    <xf numFmtId="164" fontId="0" fillId="0" borderId="8" xfId="2" applyNumberFormat="1" applyFont="1" applyFill="1" applyBorder="1" applyAlignment="1" applyProtection="1">
      <alignment horizontal="left" vertical="top"/>
      <protection locked="0" hidden="1"/>
    </xf>
    <xf numFmtId="164" fontId="1" fillId="0" borderId="5" xfId="2" applyNumberFormat="1" applyFont="1" applyFill="1" applyBorder="1" applyAlignment="1" applyProtection="1">
      <alignment horizontal="right" vertical="top"/>
      <protection locked="0" hidden="1"/>
    </xf>
    <xf numFmtId="14" fontId="0" fillId="0" borderId="8" xfId="0" applyNumberFormat="1" applyFont="1" applyBorder="1" applyProtection="1">
      <protection locked="0" hidden="1"/>
    </xf>
    <xf numFmtId="0" fontId="0" fillId="0" borderId="0" xfId="0" applyProtection="1">
      <protection locked="0" hidden="1"/>
    </xf>
    <xf numFmtId="44" fontId="0" fillId="0" borderId="0" xfId="2" applyFont="1" applyProtection="1">
      <protection locked="0" hidden="1"/>
    </xf>
    <xf numFmtId="0" fontId="2" fillId="0" borderId="0" xfId="0" applyFont="1" applyProtection="1">
      <protection locked="0"/>
    </xf>
    <xf numFmtId="0" fontId="2" fillId="4" borderId="21" xfId="0" applyFont="1" applyFill="1" applyBorder="1" applyProtection="1">
      <protection locked="0" hidden="1"/>
    </xf>
    <xf numFmtId="44" fontId="0" fillId="4" borderId="10" xfId="0" applyNumberFormat="1" applyFill="1" applyBorder="1"/>
    <xf numFmtId="9" fontId="0" fillId="0" borderId="0" xfId="1" applyFont="1" applyProtection="1">
      <protection locked="0" hidden="1"/>
    </xf>
    <xf numFmtId="49" fontId="18" fillId="11" borderId="9" xfId="0" applyNumberFormat="1" applyFont="1" applyFill="1" applyBorder="1" applyAlignment="1" applyProtection="1">
      <protection hidden="1"/>
    </xf>
    <xf numFmtId="9" fontId="18" fillId="11" borderId="10" xfId="1" applyFont="1" applyFill="1" applyBorder="1" applyAlignment="1" applyProtection="1">
      <alignment horizontal="right"/>
      <protection hidden="1"/>
    </xf>
    <xf numFmtId="0" fontId="9" fillId="11" borderId="13" xfId="0" applyFont="1" applyFill="1" applyBorder="1" applyProtection="1">
      <protection hidden="1"/>
    </xf>
    <xf numFmtId="44" fontId="9" fillId="11" borderId="3" xfId="2" applyFont="1" applyFill="1" applyBorder="1" applyProtection="1">
      <protection hidden="1"/>
    </xf>
    <xf numFmtId="49" fontId="18" fillId="11" borderId="12" xfId="0" applyNumberFormat="1" applyFont="1" applyFill="1" applyBorder="1" applyAlignment="1" applyProtection="1">
      <protection hidden="1"/>
    </xf>
    <xf numFmtId="165" fontId="12" fillId="11" borderId="5" xfId="0" applyNumberFormat="1" applyFont="1" applyFill="1" applyBorder="1" applyAlignment="1" applyProtection="1">
      <protection hidden="1"/>
    </xf>
    <xf numFmtId="165" fontId="18" fillId="11" borderId="5" xfId="0" applyNumberFormat="1" applyFont="1" applyFill="1" applyBorder="1" applyAlignment="1" applyProtection="1">
      <protection hidden="1"/>
    </xf>
    <xf numFmtId="49" fontId="18" fillId="11" borderId="15" xfId="0" applyNumberFormat="1" applyFont="1" applyFill="1" applyBorder="1" applyAlignment="1" applyProtection="1">
      <protection hidden="1"/>
    </xf>
    <xf numFmtId="10" fontId="18" fillId="11" borderId="8" xfId="0" applyNumberFormat="1" applyFont="1" applyFill="1" applyBorder="1" applyAlignment="1" applyProtection="1">
      <protection hidden="1"/>
    </xf>
    <xf numFmtId="164" fontId="0" fillId="0" borderId="7" xfId="0" applyNumberFormat="1" applyFont="1" applyFill="1" applyBorder="1" applyAlignment="1"/>
    <xf numFmtId="49" fontId="4" fillId="0" borderId="0" xfId="0" applyNumberFormat="1" applyFont="1" applyFill="1" applyBorder="1" applyAlignment="1"/>
    <xf numFmtId="44" fontId="0" fillId="0" borderId="7" xfId="2" applyFont="1" applyBorder="1"/>
    <xf numFmtId="0" fontId="0" fillId="0" borderId="7" xfId="0" applyBorder="1"/>
    <xf numFmtId="44" fontId="0" fillId="6" borderId="5" xfId="2" applyNumberFormat="1" applyFont="1" applyFill="1" applyBorder="1" applyProtection="1">
      <protection hidden="1"/>
    </xf>
    <xf numFmtId="49" fontId="18" fillId="5" borderId="9" xfId="0" applyNumberFormat="1" applyFont="1" applyFill="1" applyBorder="1" applyAlignment="1" applyProtection="1">
      <alignment horizontal="center"/>
      <protection hidden="1"/>
    </xf>
    <xf numFmtId="49" fontId="18" fillId="5" borderId="10" xfId="0" applyNumberFormat="1" applyFont="1" applyFill="1" applyBorder="1" applyAlignment="1" applyProtection="1">
      <alignment horizontal="center"/>
      <protection hidden="1"/>
    </xf>
    <xf numFmtId="49" fontId="3" fillId="3" borderId="9" xfId="0" applyNumberFormat="1" applyFont="1" applyFill="1" applyBorder="1" applyAlignment="1" applyProtection="1">
      <alignment horizontal="center"/>
      <protection hidden="1"/>
    </xf>
    <xf numFmtId="49" fontId="3" fillId="3" borderId="10" xfId="0" applyNumberFormat="1" applyFont="1" applyFill="1" applyBorder="1" applyAlignment="1" applyProtection="1">
      <alignment horizontal="center"/>
      <protection hidden="1"/>
    </xf>
    <xf numFmtId="44" fontId="2" fillId="10" borderId="9" xfId="2" applyFont="1" applyFill="1" applyBorder="1" applyAlignment="1" applyProtection="1">
      <alignment horizontal="center"/>
      <protection hidden="1"/>
    </xf>
    <xf numFmtId="44" fontId="2" fillId="10" borderId="10" xfId="2" applyFont="1" applyFill="1" applyBorder="1" applyAlignment="1" applyProtection="1">
      <alignment horizontal="center"/>
      <protection hidden="1"/>
    </xf>
    <xf numFmtId="0" fontId="0" fillId="6" borderId="2" xfId="0" applyFill="1" applyBorder="1" applyAlignment="1" applyProtection="1">
      <alignment horizontal="left"/>
      <protection hidden="1"/>
    </xf>
    <xf numFmtId="0" fontId="0" fillId="6" borderId="3" xfId="0" applyFill="1" applyBorder="1" applyAlignment="1" applyProtection="1">
      <alignment horizontal="left"/>
      <protection hidden="1"/>
    </xf>
    <xf numFmtId="0" fontId="9" fillId="4" borderId="6" xfId="0" applyFont="1" applyFill="1" applyBorder="1" applyAlignment="1" applyProtection="1">
      <alignment horizontal="center"/>
      <protection hidden="1"/>
    </xf>
    <xf numFmtId="0" fontId="9" fillId="4" borderId="8" xfId="0" applyFont="1" applyFill="1" applyBorder="1" applyAlignment="1" applyProtection="1">
      <alignment horizontal="center"/>
      <protection hidden="1"/>
    </xf>
    <xf numFmtId="0" fontId="9" fillId="3" borderId="6" xfId="0" applyFont="1" applyFill="1" applyBorder="1" applyAlignment="1" applyProtection="1">
      <alignment horizontal="center"/>
      <protection hidden="1"/>
    </xf>
    <xf numFmtId="0" fontId="9" fillId="3" borderId="8" xfId="0" applyFont="1" applyFill="1" applyBorder="1" applyAlignment="1" applyProtection="1">
      <alignment horizontal="center"/>
      <protection hidden="1"/>
    </xf>
    <xf numFmtId="0" fontId="9" fillId="5" borderId="9" xfId="0" applyFont="1" applyFill="1" applyBorder="1" applyAlignment="1" applyProtection="1">
      <alignment horizontal="center"/>
      <protection hidden="1"/>
    </xf>
    <xf numFmtId="0" fontId="9" fillId="5" borderId="10" xfId="0" applyFont="1" applyFill="1" applyBorder="1" applyAlignment="1" applyProtection="1">
      <alignment horizontal="center"/>
      <protection hidden="1"/>
    </xf>
    <xf numFmtId="0" fontId="9" fillId="10" borderId="9" xfId="0" applyFont="1" applyFill="1" applyBorder="1" applyAlignment="1" applyProtection="1">
      <alignment horizontal="left"/>
      <protection hidden="1"/>
    </xf>
    <xf numFmtId="0" fontId="9" fillId="10" borderId="10" xfId="0" applyFont="1" applyFill="1" applyBorder="1" applyAlignment="1" applyProtection="1">
      <alignment horizontal="left"/>
      <protection hidden="1"/>
    </xf>
    <xf numFmtId="0" fontId="9" fillId="10" borderId="9" xfId="0" applyFont="1" applyFill="1" applyBorder="1" applyProtection="1">
      <protection hidden="1"/>
    </xf>
    <xf numFmtId="0" fontId="9" fillId="10" borderId="10" xfId="0" applyFont="1" applyFill="1" applyBorder="1" applyProtection="1">
      <protection hidden="1"/>
    </xf>
    <xf numFmtId="0" fontId="0" fillId="6" borderId="0" xfId="0" applyFill="1" applyBorder="1" applyAlignment="1" applyProtection="1">
      <alignment horizontal="left"/>
      <protection hidden="1"/>
    </xf>
    <xf numFmtId="0" fontId="0" fillId="6" borderId="7" xfId="0" applyFill="1" applyBorder="1" applyAlignment="1" applyProtection="1">
      <alignment horizontal="left"/>
      <protection hidden="1"/>
    </xf>
    <xf numFmtId="0" fontId="4" fillId="0" borderId="2" xfId="0" applyNumberFormat="1" applyFont="1" applyFill="1" applyBorder="1" applyAlignment="1" applyProtection="1">
      <alignment horizontal="left"/>
      <protection hidden="1"/>
    </xf>
    <xf numFmtId="0" fontId="0" fillId="0" borderId="2" xfId="0" applyNumberFormat="1" applyFont="1" applyFill="1" applyBorder="1" applyAlignment="1" applyProtection="1">
      <alignment horizontal="left"/>
      <protection hidden="1"/>
    </xf>
    <xf numFmtId="49" fontId="3" fillId="4" borderId="9" xfId="0" applyNumberFormat="1" applyFont="1" applyFill="1" applyBorder="1" applyAlignment="1" applyProtection="1">
      <alignment horizontal="center"/>
      <protection hidden="1"/>
    </xf>
    <xf numFmtId="49" fontId="3" fillId="4" borderId="10" xfId="0" applyNumberFormat="1" applyFont="1" applyFill="1" applyBorder="1" applyAlignment="1" applyProtection="1">
      <alignment horizontal="center"/>
      <protection hidden="1"/>
    </xf>
    <xf numFmtId="49" fontId="3" fillId="5" borderId="9" xfId="0" applyNumberFormat="1" applyFont="1" applyFill="1" applyBorder="1" applyAlignment="1" applyProtection="1">
      <alignment horizontal="center"/>
      <protection hidden="1"/>
    </xf>
    <xf numFmtId="49" fontId="3" fillId="5" borderId="10" xfId="0" applyNumberFormat="1" applyFont="1" applyFill="1" applyBorder="1" applyAlignment="1" applyProtection="1">
      <alignment horizontal="center"/>
      <protection hidden="1"/>
    </xf>
    <xf numFmtId="49" fontId="4" fillId="0" borderId="0" xfId="0" applyNumberFormat="1" applyFont="1" applyFill="1" applyBorder="1" applyAlignment="1">
      <alignment horizontal="center"/>
    </xf>
    <xf numFmtId="0" fontId="7" fillId="2" borderId="1" xfId="0" applyFont="1" applyFill="1" applyBorder="1" applyAlignment="1"/>
    <xf numFmtId="0" fontId="7" fillId="2" borderId="2" xfId="0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8" borderId="4" xfId="0" applyFill="1" applyBorder="1" applyAlignment="1" applyProtection="1">
      <alignment horizontal="left" vertical="top" wrapText="1"/>
      <protection locked="0"/>
    </xf>
    <xf numFmtId="0" fontId="0" fillId="8" borderId="0" xfId="0" applyFill="1" applyBorder="1" applyAlignment="1" applyProtection="1">
      <alignment horizontal="left" vertical="top" wrapText="1"/>
      <protection locked="0"/>
    </xf>
    <xf numFmtId="0" fontId="0" fillId="8" borderId="5" xfId="0" applyFill="1" applyBorder="1" applyAlignment="1" applyProtection="1">
      <alignment horizontal="left" vertical="top" wrapText="1"/>
      <protection locked="0"/>
    </xf>
    <xf numFmtId="0" fontId="0" fillId="8" borderId="6" xfId="0" applyFill="1" applyBorder="1" applyAlignment="1" applyProtection="1">
      <alignment horizontal="left" vertical="top" wrapText="1"/>
      <protection locked="0"/>
    </xf>
    <xf numFmtId="0" fontId="0" fillId="8" borderId="7" xfId="0" applyFill="1" applyBorder="1" applyAlignment="1" applyProtection="1">
      <alignment horizontal="left" vertical="top" wrapText="1"/>
      <protection locked="0"/>
    </xf>
    <xf numFmtId="0" fontId="0" fillId="8" borderId="8" xfId="0" applyFill="1" applyBorder="1" applyAlignment="1" applyProtection="1">
      <alignment horizontal="left" vertical="top" wrapText="1"/>
      <protection locked="0"/>
    </xf>
  </cellXfs>
  <cellStyles count="12">
    <cellStyle name="Currency" xfId="2" builtinId="4"/>
    <cellStyle name="Currency 2" xfId="4"/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3"/>
    <cellStyle name="Percent" xfId="1" builtinId="5"/>
    <cellStyle name="Percent 2" xf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K-SNY\Desktop\_Blank_DU%20Sheet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C41" sqref="C41"/>
    </sheetView>
  </sheetViews>
  <sheetFormatPr defaultColWidth="8.8984375" defaultRowHeight="14.4" x14ac:dyDescent="0.3"/>
  <cols>
    <col min="1" max="1" width="3" style="94" customWidth="1"/>
    <col min="2" max="2" width="19.3984375" style="94" bestFit="1" customWidth="1"/>
    <col min="3" max="3" width="38.59765625" style="94" customWidth="1"/>
    <col min="4" max="4" width="5.8984375" style="94" customWidth="1"/>
    <col min="5" max="5" width="19.09765625" style="94" bestFit="1" customWidth="1"/>
    <col min="6" max="6" width="39.09765625" style="94" bestFit="1" customWidth="1"/>
    <col min="7" max="7" width="6.09765625" style="94" customWidth="1"/>
    <col min="8" max="8" width="20.69921875" style="92" bestFit="1" customWidth="1"/>
    <col min="9" max="9" width="12.09765625" style="92" bestFit="1" customWidth="1"/>
    <col min="10" max="10" width="7.796875" style="92" customWidth="1"/>
    <col min="11" max="11" width="22" style="92" bestFit="1" customWidth="1"/>
    <col min="12" max="12" width="13" style="177" bestFit="1" customWidth="1"/>
    <col min="13" max="13" width="3" style="92" customWidth="1"/>
    <col min="14" max="16384" width="8.8984375" style="92"/>
  </cols>
  <sheetData>
    <row r="1" spans="1:15" ht="15" thickBot="1" x14ac:dyDescent="0.35">
      <c r="A1" s="232"/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7"/>
      <c r="M1" s="206"/>
    </row>
    <row r="2" spans="1:15" ht="15" thickBot="1" x14ac:dyDescent="0.35">
      <c r="A2" s="232"/>
      <c r="B2" s="233" t="s">
        <v>78</v>
      </c>
      <c r="C2" s="234" t="str">
        <f>IF(OR(NOT(ISERROR(SEARCH(("A"),C4))),NOT(ISERROR(SEARCH(("B"),C4))),NOT(ISERROR(SEARCH(("C0"),C4))),NOT(ISERROR(SEARCH(("21"),C4))),NOT(ISERROR(SEARCH(("R"),C4)))),"Residential","Not Residential")</f>
        <v>Not Residential</v>
      </c>
      <c r="D2" s="235"/>
      <c r="E2" s="236" t="s">
        <v>79</v>
      </c>
      <c r="F2" s="237"/>
      <c r="G2" s="238"/>
      <c r="H2" s="236" t="s">
        <v>173</v>
      </c>
      <c r="I2" s="239"/>
      <c r="J2" s="206"/>
      <c r="K2" s="240" t="s">
        <v>177</v>
      </c>
      <c r="L2" s="241" t="e">
        <f ca="1">SUM(Tables!K6:K8)</f>
        <v>#VALUE!</v>
      </c>
      <c r="M2" s="206"/>
    </row>
    <row r="3" spans="1:15" ht="15" thickBot="1" x14ac:dyDescent="0.35">
      <c r="A3" s="232"/>
      <c r="B3" s="242" t="s">
        <v>0</v>
      </c>
      <c r="C3" s="274">
        <v>1</v>
      </c>
      <c r="D3" s="235"/>
      <c r="E3" s="243" t="s">
        <v>180</v>
      </c>
      <c r="F3" s="290">
        <v>2.2200000000000002</v>
      </c>
      <c r="G3" s="238"/>
      <c r="H3" s="244" t="s">
        <v>91</v>
      </c>
      <c r="I3" s="296">
        <v>2</v>
      </c>
      <c r="J3" s="206"/>
      <c r="K3" s="240" t="s">
        <v>178</v>
      </c>
      <c r="L3" s="241" t="e">
        <f ca="1">SUM(Tables!K6:K16)</f>
        <v>#VALUE!</v>
      </c>
      <c r="M3" s="206"/>
    </row>
    <row r="4" spans="1:15" ht="15" thickBot="1" x14ac:dyDescent="0.35">
      <c r="A4" s="232"/>
      <c r="B4" s="244" t="s">
        <v>2</v>
      </c>
      <c r="C4" s="275">
        <v>1</v>
      </c>
      <c r="D4" s="235"/>
      <c r="E4" s="243" t="s">
        <v>181</v>
      </c>
      <c r="F4" s="290">
        <v>2.2200000000000002</v>
      </c>
      <c r="G4" s="238"/>
      <c r="H4" s="244" t="s">
        <v>36</v>
      </c>
      <c r="I4" s="296">
        <v>2</v>
      </c>
      <c r="J4" s="206"/>
      <c r="K4" s="206"/>
      <c r="L4" s="207"/>
      <c r="M4" s="206"/>
    </row>
    <row r="5" spans="1:15" ht="15" thickBot="1" x14ac:dyDescent="0.35">
      <c r="A5" s="232"/>
      <c r="B5" s="245" t="s">
        <v>85</v>
      </c>
      <c r="C5" s="276">
        <v>1</v>
      </c>
      <c r="D5" s="235"/>
      <c r="E5" s="244" t="s">
        <v>81</v>
      </c>
      <c r="F5" s="279" t="s">
        <v>76</v>
      </c>
      <c r="G5" s="238"/>
      <c r="H5" s="244" t="s">
        <v>96</v>
      </c>
      <c r="I5" s="296">
        <v>2</v>
      </c>
      <c r="J5" s="206"/>
      <c r="K5" s="318" t="s">
        <v>211</v>
      </c>
      <c r="L5" s="319"/>
      <c r="M5" s="206"/>
      <c r="O5" s="300"/>
    </row>
    <row r="6" spans="1:15" x14ac:dyDescent="0.3">
      <c r="A6" s="232"/>
      <c r="B6" s="245" t="s">
        <v>89</v>
      </c>
      <c r="C6" s="276">
        <v>1</v>
      </c>
      <c r="D6" s="235"/>
      <c r="E6" s="244" t="s">
        <v>83</v>
      </c>
      <c r="F6" s="279" t="s">
        <v>76</v>
      </c>
      <c r="G6" s="238"/>
      <c r="H6" s="244" t="s">
        <v>99</v>
      </c>
      <c r="I6" s="296">
        <v>2</v>
      </c>
      <c r="J6" s="206"/>
      <c r="K6" s="246" t="s">
        <v>204</v>
      </c>
      <c r="L6" s="247" t="e">
        <f ca="1">SUM(Tables!K6:K22)</f>
        <v>#VALUE!</v>
      </c>
      <c r="M6" s="206"/>
    </row>
    <row r="7" spans="1:15" x14ac:dyDescent="0.3">
      <c r="A7" s="232"/>
      <c r="B7" s="245" t="s">
        <v>92</v>
      </c>
      <c r="C7" s="276">
        <v>1</v>
      </c>
      <c r="D7" s="235"/>
      <c r="E7" s="244" t="s">
        <v>86</v>
      </c>
      <c r="F7" s="279"/>
      <c r="G7" s="238"/>
      <c r="H7" s="244" t="s">
        <v>103</v>
      </c>
      <c r="I7" s="296">
        <v>2</v>
      </c>
      <c r="J7" s="206"/>
      <c r="K7" s="197" t="s">
        <v>10</v>
      </c>
      <c r="L7" s="198" t="e">
        <f ca="1">'Flip Sheets'!C26</f>
        <v>#VALUE!</v>
      </c>
      <c r="M7" s="206"/>
    </row>
    <row r="8" spans="1:15" x14ac:dyDescent="0.3">
      <c r="A8" s="232"/>
      <c r="B8" s="244" t="s">
        <v>94</v>
      </c>
      <c r="C8" s="277">
        <v>9</v>
      </c>
      <c r="D8" s="235"/>
      <c r="E8" s="244" t="s">
        <v>90</v>
      </c>
      <c r="F8" s="279" t="s">
        <v>76</v>
      </c>
      <c r="G8" s="238"/>
      <c r="H8" s="244" t="s">
        <v>105</v>
      </c>
      <c r="I8" s="296">
        <v>2</v>
      </c>
      <c r="J8" s="206"/>
      <c r="K8" s="197" t="s">
        <v>24</v>
      </c>
      <c r="L8" s="198" t="e">
        <f ca="1">'Flip Sheets'!H23</f>
        <v>#VALUE!</v>
      </c>
      <c r="M8" s="206"/>
    </row>
    <row r="9" spans="1:15" x14ac:dyDescent="0.3">
      <c r="A9" s="232"/>
      <c r="B9" s="244" t="s">
        <v>97</v>
      </c>
      <c r="C9" s="278">
        <v>2.2200000000000002</v>
      </c>
      <c r="D9" s="235"/>
      <c r="E9" s="244" t="s">
        <v>93</v>
      </c>
      <c r="F9" s="279" t="s">
        <v>76</v>
      </c>
      <c r="G9" s="238"/>
      <c r="H9" s="244" t="s">
        <v>106</v>
      </c>
      <c r="I9" s="296">
        <v>2</v>
      </c>
      <c r="J9" s="206"/>
      <c r="K9" s="197" t="s">
        <v>209</v>
      </c>
      <c r="L9" s="201" t="e">
        <f ca="1">'Flip Sheets'!F26</f>
        <v>#VALUE!</v>
      </c>
      <c r="M9" s="206"/>
    </row>
    <row r="10" spans="1:15" ht="15" thickBot="1" x14ac:dyDescent="0.35">
      <c r="A10" s="232"/>
      <c r="B10" s="244" t="s">
        <v>100</v>
      </c>
      <c r="C10" s="279"/>
      <c r="D10" s="235"/>
      <c r="E10" s="244" t="s">
        <v>95</v>
      </c>
      <c r="F10" s="279" t="s">
        <v>76</v>
      </c>
      <c r="G10" s="238"/>
      <c r="H10" s="244" t="s">
        <v>110</v>
      </c>
      <c r="I10" s="296">
        <v>2</v>
      </c>
      <c r="J10" s="206"/>
      <c r="K10" s="200" t="s">
        <v>179</v>
      </c>
      <c r="L10" s="202" t="e">
        <f ca="1">'Flip Sheets'!H25</f>
        <v>#VALUE!</v>
      </c>
      <c r="M10" s="206"/>
    </row>
    <row r="11" spans="1:15" ht="15" thickBot="1" x14ac:dyDescent="0.35">
      <c r="A11" s="232"/>
      <c r="B11" s="243" t="s">
        <v>182</v>
      </c>
      <c r="C11" s="279"/>
      <c r="D11" s="235"/>
      <c r="E11" s="244" t="s">
        <v>98</v>
      </c>
      <c r="F11" s="279" t="s">
        <v>76</v>
      </c>
      <c r="G11" s="238"/>
      <c r="H11" s="244" t="s">
        <v>113</v>
      </c>
      <c r="I11" s="296">
        <v>2</v>
      </c>
      <c r="J11" s="206"/>
      <c r="K11" s="194"/>
      <c r="L11" s="195"/>
      <c r="M11" s="206"/>
    </row>
    <row r="12" spans="1:15" ht="15" thickBot="1" x14ac:dyDescent="0.35">
      <c r="A12" s="232"/>
      <c r="B12" s="248" t="s">
        <v>104</v>
      </c>
      <c r="C12" s="280">
        <v>9</v>
      </c>
      <c r="D12" s="235"/>
      <c r="E12" s="245" t="s">
        <v>183</v>
      </c>
      <c r="F12" s="276" t="s">
        <v>76</v>
      </c>
      <c r="G12" s="238"/>
      <c r="H12" s="244" t="s">
        <v>115</v>
      </c>
      <c r="I12" s="287" t="s">
        <v>76</v>
      </c>
      <c r="J12" s="206"/>
      <c r="K12" s="320" t="s">
        <v>210</v>
      </c>
      <c r="L12" s="321"/>
      <c r="M12" s="206"/>
    </row>
    <row r="13" spans="1:15" ht="15" thickBot="1" x14ac:dyDescent="0.35">
      <c r="A13" s="232"/>
      <c r="B13" s="238"/>
      <c r="C13" s="238"/>
      <c r="D13" s="235"/>
      <c r="E13" s="244" t="s">
        <v>108</v>
      </c>
      <c r="F13" s="291"/>
      <c r="G13" s="206"/>
      <c r="H13" s="244" t="s">
        <v>117</v>
      </c>
      <c r="I13" s="296">
        <v>2</v>
      </c>
      <c r="J13" s="206"/>
      <c r="K13" s="249" t="s">
        <v>204</v>
      </c>
      <c r="L13" s="250">
        <f ca="1">C21+SUM(Tables!K9:K22)</f>
        <v>43573.993534246576</v>
      </c>
      <c r="M13" s="206"/>
    </row>
    <row r="14" spans="1:15" ht="15" thickBot="1" x14ac:dyDescent="0.35">
      <c r="A14" s="232"/>
      <c r="B14" s="251" t="s">
        <v>142</v>
      </c>
      <c r="C14" s="252"/>
      <c r="D14" s="253"/>
      <c r="E14" s="244" t="s">
        <v>112</v>
      </c>
      <c r="F14" s="292" t="s">
        <v>76</v>
      </c>
      <c r="G14" s="238"/>
      <c r="H14" s="254" t="s">
        <v>171</v>
      </c>
      <c r="I14" s="297">
        <v>2958352</v>
      </c>
      <c r="J14" s="206"/>
      <c r="K14" s="196" t="s">
        <v>10</v>
      </c>
      <c r="L14" s="193" t="e">
        <f ca="1">(L13+SUM('Flip Sheets'!$C$21:$C$25))</f>
        <v>#VALUE!</v>
      </c>
      <c r="M14" s="206"/>
    </row>
    <row r="15" spans="1:15" x14ac:dyDescent="0.3">
      <c r="A15" s="232"/>
      <c r="B15" s="244" t="s">
        <v>84</v>
      </c>
      <c r="C15" s="281"/>
      <c r="D15" s="253"/>
      <c r="E15" s="255" t="s">
        <v>162</v>
      </c>
      <c r="F15" s="293"/>
      <c r="G15" s="238"/>
      <c r="H15" s="206"/>
      <c r="I15" s="206"/>
      <c r="J15" s="206"/>
      <c r="K15" s="196" t="s">
        <v>24</v>
      </c>
      <c r="L15" s="193" t="e">
        <f ca="1">L14-Tables!O13</f>
        <v>#VALUE!</v>
      </c>
      <c r="M15" s="206"/>
    </row>
    <row r="16" spans="1:15" x14ac:dyDescent="0.3">
      <c r="A16" s="232"/>
      <c r="B16" s="244" t="s">
        <v>82</v>
      </c>
      <c r="C16" s="281"/>
      <c r="D16" s="256"/>
      <c r="E16" s="244" t="s">
        <v>102</v>
      </c>
      <c r="F16" s="294">
        <v>2958352</v>
      </c>
      <c r="G16" s="238"/>
      <c r="H16" s="298"/>
      <c r="I16" s="298"/>
      <c r="J16" s="206"/>
      <c r="K16" s="196" t="s">
        <v>209</v>
      </c>
      <c r="L16" s="203" t="e">
        <f ca="1">('Flip Sheets'!$F$18-SUM('Flip Sheets'!$F$19:$F$25)-(L13+SUM('Flip Sheets'!$C$21:$C$25)))</f>
        <v>#VALUE!</v>
      </c>
      <c r="M16" s="206"/>
    </row>
    <row r="17" spans="1:13" ht="15" thickBot="1" x14ac:dyDescent="0.35">
      <c r="A17" s="232"/>
      <c r="B17" s="255" t="s">
        <v>73</v>
      </c>
      <c r="C17" s="282"/>
      <c r="D17" s="253"/>
      <c r="E17" s="244" t="s">
        <v>120</v>
      </c>
      <c r="F17" s="278">
        <v>9.99</v>
      </c>
      <c r="G17" s="238"/>
      <c r="H17" s="298"/>
      <c r="I17" s="298"/>
      <c r="J17" s="206"/>
      <c r="K17" s="199" t="s">
        <v>179</v>
      </c>
      <c r="L17" s="204" t="e">
        <f ca="1">L16/L14</f>
        <v>#VALUE!</v>
      </c>
      <c r="M17" s="206"/>
    </row>
    <row r="18" spans="1:13" ht="15" thickBot="1" x14ac:dyDescent="0.35">
      <c r="A18" s="232"/>
      <c r="B18" s="257" t="s">
        <v>88</v>
      </c>
      <c r="C18" s="283"/>
      <c r="D18" s="235"/>
      <c r="E18" s="244" t="s">
        <v>121</v>
      </c>
      <c r="F18" s="294">
        <v>2958352</v>
      </c>
      <c r="G18" s="206"/>
      <c r="H18" s="298"/>
      <c r="I18" s="298"/>
      <c r="J18" s="206"/>
      <c r="K18" s="258"/>
      <c r="L18" s="207"/>
      <c r="M18" s="206"/>
    </row>
    <row r="19" spans="1:13" ht="15" thickBot="1" x14ac:dyDescent="0.35">
      <c r="A19" s="232"/>
      <c r="B19" s="206"/>
      <c r="C19" s="259"/>
      <c r="D19" s="235"/>
      <c r="E19" s="248" t="s">
        <v>122</v>
      </c>
      <c r="F19" s="295">
        <v>9.99</v>
      </c>
      <c r="G19" s="232"/>
      <c r="H19" s="298"/>
      <c r="I19" s="298"/>
      <c r="J19" s="206"/>
      <c r="K19" s="322" t="s">
        <v>212</v>
      </c>
      <c r="L19" s="323"/>
      <c r="M19" s="206"/>
    </row>
    <row r="20" spans="1:13" ht="15" thickBot="1" x14ac:dyDescent="0.35">
      <c r="A20" s="232"/>
      <c r="B20" s="236" t="s">
        <v>107</v>
      </c>
      <c r="C20" s="260"/>
      <c r="D20" s="235"/>
      <c r="E20" s="232"/>
      <c r="F20" s="232"/>
      <c r="G20" s="232"/>
      <c r="H20" s="206"/>
      <c r="I20" s="206"/>
      <c r="J20" s="206"/>
      <c r="K20" s="261" t="s">
        <v>205</v>
      </c>
      <c r="L20" s="262">
        <f>'Rental Model'!C9</f>
        <v>0</v>
      </c>
      <c r="M20" s="206"/>
    </row>
    <row r="21" spans="1:13" x14ac:dyDescent="0.3">
      <c r="A21" s="232"/>
      <c r="B21" s="255" t="s">
        <v>165</v>
      </c>
      <c r="C21" s="282"/>
      <c r="D21" s="238"/>
      <c r="E21" s="263" t="s">
        <v>71</v>
      </c>
      <c r="F21" s="264"/>
      <c r="G21" s="265"/>
      <c r="H21" s="265"/>
      <c r="I21" s="266"/>
      <c r="J21" s="206"/>
      <c r="K21" s="267" t="s">
        <v>189</v>
      </c>
      <c r="L21" s="262">
        <f>'Rental Model'!F11</f>
        <v>-110</v>
      </c>
      <c r="M21" s="206"/>
    </row>
    <row r="22" spans="1:13" x14ac:dyDescent="0.3">
      <c r="A22" s="232"/>
      <c r="B22" s="244" t="s">
        <v>116</v>
      </c>
      <c r="C22" s="281"/>
      <c r="D22" s="238"/>
      <c r="E22" s="349"/>
      <c r="F22" s="350"/>
      <c r="G22" s="350"/>
      <c r="H22" s="350"/>
      <c r="I22" s="351"/>
      <c r="J22" s="206"/>
      <c r="K22" s="267" t="s">
        <v>202</v>
      </c>
      <c r="L22" s="268" t="e">
        <f>'Rental Model'!H3</f>
        <v>#N/A</v>
      </c>
      <c r="M22" s="206"/>
    </row>
    <row r="23" spans="1:13" x14ac:dyDescent="0.3">
      <c r="A23" s="232"/>
      <c r="B23" s="244" t="s">
        <v>111</v>
      </c>
      <c r="C23" s="281"/>
      <c r="D23" s="238"/>
      <c r="E23" s="349"/>
      <c r="F23" s="350"/>
      <c r="G23" s="350"/>
      <c r="H23" s="350"/>
      <c r="I23" s="351"/>
      <c r="J23" s="206"/>
      <c r="K23" s="267" t="s">
        <v>213</v>
      </c>
      <c r="L23" s="269" t="e">
        <f>'Rental Model'!C4</f>
        <v>#N/A</v>
      </c>
      <c r="M23" s="206"/>
    </row>
    <row r="24" spans="1:13" ht="15" thickBot="1" x14ac:dyDescent="0.35">
      <c r="A24" s="232"/>
      <c r="B24" s="244" t="s">
        <v>114</v>
      </c>
      <c r="C24" s="284"/>
      <c r="D24" s="238"/>
      <c r="E24" s="349"/>
      <c r="F24" s="350"/>
      <c r="G24" s="350"/>
      <c r="H24" s="350"/>
      <c r="I24" s="351"/>
      <c r="J24" s="206"/>
      <c r="K24" s="270" t="s">
        <v>208</v>
      </c>
      <c r="L24" s="271" t="e">
        <f>'Rental Model'!H7</f>
        <v>#N/A</v>
      </c>
      <c r="M24" s="206"/>
    </row>
    <row r="25" spans="1:13" ht="15" thickBot="1" x14ac:dyDescent="0.35">
      <c r="A25" s="232"/>
      <c r="B25" s="245" t="s">
        <v>166</v>
      </c>
      <c r="C25" s="285">
        <v>0.05</v>
      </c>
      <c r="D25" s="238"/>
      <c r="E25" s="349"/>
      <c r="F25" s="350"/>
      <c r="G25" s="350"/>
      <c r="H25" s="350"/>
      <c r="I25" s="351"/>
      <c r="J25" s="206"/>
      <c r="K25" s="206"/>
      <c r="L25" s="207"/>
      <c r="M25" s="206"/>
    </row>
    <row r="26" spans="1:13" ht="15" thickBot="1" x14ac:dyDescent="0.35">
      <c r="A26" s="232"/>
      <c r="B26" s="254" t="s">
        <v>172</v>
      </c>
      <c r="C26" s="286">
        <v>0.3</v>
      </c>
      <c r="D26" s="238"/>
      <c r="E26" s="349"/>
      <c r="F26" s="350"/>
      <c r="G26" s="350"/>
      <c r="H26" s="350"/>
      <c r="I26" s="351"/>
      <c r="J26" s="206"/>
      <c r="K26" s="301" t="s">
        <v>217</v>
      </c>
      <c r="L26" s="302" t="e">
        <f ca="1">Tables!H29-Tables!H22</f>
        <v>#VALUE!</v>
      </c>
      <c r="M26" s="206"/>
    </row>
    <row r="27" spans="1:13" ht="15" thickBot="1" x14ac:dyDescent="0.35">
      <c r="A27" s="232"/>
      <c r="B27" s="232"/>
      <c r="C27" s="232"/>
      <c r="D27" s="238"/>
      <c r="E27" s="349"/>
      <c r="F27" s="350"/>
      <c r="G27" s="350"/>
      <c r="H27" s="350"/>
      <c r="I27" s="351"/>
      <c r="J27" s="206"/>
      <c r="K27" s="298"/>
      <c r="L27" s="299"/>
      <c r="M27" s="206"/>
    </row>
    <row r="28" spans="1:13" x14ac:dyDescent="0.3">
      <c r="A28" s="232"/>
      <c r="B28" s="263" t="s">
        <v>118</v>
      </c>
      <c r="C28" s="272"/>
      <c r="D28" s="238"/>
      <c r="E28" s="349"/>
      <c r="F28" s="350"/>
      <c r="G28" s="350"/>
      <c r="H28" s="350"/>
      <c r="I28" s="351"/>
      <c r="J28" s="206"/>
      <c r="K28" s="298"/>
      <c r="M28" s="206"/>
    </row>
    <row r="29" spans="1:13" x14ac:dyDescent="0.3">
      <c r="A29" s="232"/>
      <c r="B29" s="244" t="s">
        <v>119</v>
      </c>
      <c r="C29" s="281"/>
      <c r="D29" s="238"/>
      <c r="E29" s="349"/>
      <c r="F29" s="350"/>
      <c r="G29" s="350"/>
      <c r="H29" s="350"/>
      <c r="I29" s="351"/>
      <c r="J29" s="206"/>
      <c r="K29" s="298"/>
      <c r="L29" s="303"/>
      <c r="M29" s="206"/>
    </row>
    <row r="30" spans="1:13" x14ac:dyDescent="0.3">
      <c r="A30" s="232"/>
      <c r="B30" s="243" t="s">
        <v>215</v>
      </c>
      <c r="C30" s="287"/>
      <c r="D30" s="238"/>
      <c r="E30" s="349"/>
      <c r="F30" s="350"/>
      <c r="G30" s="350"/>
      <c r="H30" s="350"/>
      <c r="I30" s="351"/>
      <c r="J30" s="206"/>
      <c r="K30" s="298"/>
      <c r="L30" s="299"/>
      <c r="M30" s="206"/>
    </row>
    <row r="31" spans="1:13" x14ac:dyDescent="0.3">
      <c r="A31" s="232"/>
      <c r="B31" s="244" t="s">
        <v>174</v>
      </c>
      <c r="C31" s="281"/>
      <c r="D31" s="238"/>
      <c r="E31" s="349"/>
      <c r="F31" s="350"/>
      <c r="G31" s="350"/>
      <c r="H31" s="350"/>
      <c r="I31" s="351"/>
      <c r="J31" s="206"/>
      <c r="K31" s="298"/>
      <c r="L31" s="299"/>
      <c r="M31" s="206"/>
    </row>
    <row r="32" spans="1:13" x14ac:dyDescent="0.3">
      <c r="A32" s="232"/>
      <c r="B32" s="244" t="s">
        <v>176</v>
      </c>
      <c r="C32" s="288"/>
      <c r="D32" s="238"/>
      <c r="E32" s="349"/>
      <c r="F32" s="350"/>
      <c r="G32" s="350"/>
      <c r="H32" s="350"/>
      <c r="I32" s="351"/>
      <c r="J32" s="206"/>
      <c r="K32" s="298"/>
      <c r="L32" s="299"/>
      <c r="M32" s="206"/>
    </row>
    <row r="33" spans="1:13" x14ac:dyDescent="0.3">
      <c r="A33" s="232"/>
      <c r="B33" s="244" t="s">
        <v>175</v>
      </c>
      <c r="C33" s="281"/>
      <c r="D33" s="238"/>
      <c r="E33" s="349"/>
      <c r="F33" s="350"/>
      <c r="G33" s="350"/>
      <c r="H33" s="350"/>
      <c r="I33" s="351"/>
      <c r="J33" s="206"/>
      <c r="K33" s="298"/>
      <c r="L33" s="299"/>
      <c r="M33" s="206"/>
    </row>
    <row r="34" spans="1:13" ht="15" thickBot="1" x14ac:dyDescent="0.35">
      <c r="A34" s="232"/>
      <c r="B34" s="273" t="s">
        <v>167</v>
      </c>
      <c r="C34" s="289"/>
      <c r="D34" s="206"/>
      <c r="E34" s="352"/>
      <c r="F34" s="353"/>
      <c r="G34" s="353"/>
      <c r="H34" s="353"/>
      <c r="I34" s="354"/>
      <c r="J34" s="206"/>
      <c r="K34" s="298"/>
      <c r="L34" s="299"/>
      <c r="M34" s="206"/>
    </row>
    <row r="35" spans="1:13" x14ac:dyDescent="0.3">
      <c r="A35" s="232"/>
      <c r="B35" s="232"/>
      <c r="C35" s="232"/>
      <c r="D35" s="206"/>
      <c r="E35" s="206"/>
      <c r="F35" s="206"/>
      <c r="G35" s="206"/>
      <c r="H35" s="206"/>
      <c r="I35" s="206"/>
      <c r="J35" s="206"/>
      <c r="K35" s="206"/>
      <c r="L35" s="207"/>
      <c r="M35" s="206"/>
    </row>
    <row r="36" spans="1:13" x14ac:dyDescent="0.3">
      <c r="D36" s="92"/>
      <c r="E36" s="92"/>
      <c r="F36" s="92"/>
      <c r="G36" s="92"/>
    </row>
    <row r="37" spans="1:13" x14ac:dyDescent="0.3">
      <c r="J37" s="184"/>
      <c r="M37" s="184"/>
    </row>
  </sheetData>
  <sheetProtection formatCells="0" formatColumns="0" formatRows="0"/>
  <dataConsolidate/>
  <mergeCells count="4">
    <mergeCell ref="E22:I34"/>
    <mergeCell ref="K5:L5"/>
    <mergeCell ref="K12:L12"/>
    <mergeCell ref="K19:L19"/>
  </mergeCells>
  <phoneticPr fontId="14" type="noConversion"/>
  <dataValidations count="5">
    <dataValidation type="textLength" operator="greaterThan" allowBlank="1" showInputMessage="1" showErrorMessage="1" sqref="F11">
      <formula1>1</formula1>
    </dataValidation>
    <dataValidation type="decimal" operator="greaterThan" allowBlank="1" showInputMessage="1" showErrorMessage="1" sqref="C9 F17 I13 C22:C24 F19 C15:C16 C18 I3:I11 C31:C33 C29">
      <formula1>-1000000</formula1>
    </dataValidation>
    <dataValidation type="whole" allowBlank="1" showInputMessage="1" showErrorMessage="1" sqref="C8">
      <formula1>1</formula1>
      <formula2>10</formula2>
    </dataValidation>
    <dataValidation type="whole" showInputMessage="1" showErrorMessage="1" sqref="C12">
      <formula1>0</formula1>
      <formula2>10</formula2>
    </dataValidation>
    <dataValidation type="date" operator="greaterThan" allowBlank="1" showInputMessage="1" showErrorMessage="1" sqref="I14">
      <formula1>1</formula1>
    </dataValidation>
  </dataValidations>
  <pageMargins left="0.7" right="0.7" top="0.75" bottom="0.75" header="0.3" footer="0.3"/>
  <pageSetup orientation="portrait" horizontalDpi="1200" verticalDpi="1200" r:id="rId1"/>
  <ignoredErrors>
    <ignoredError sqref="K2:L24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Tables!$A$11:$A$18</xm:f>
          </x14:formula1>
          <xm:sqref>F13</xm:sqref>
        </x14:dataValidation>
        <x14:dataValidation type="list" showInputMessage="1" showErrorMessage="1">
          <x14:formula1>
            <xm:f>Tables!$A$26:$A$32</xm:f>
          </x14:formula1>
          <xm:sqref>F7</xm:sqref>
        </x14:dataValidation>
        <x14:dataValidation type="list" showInputMessage="1" showErrorMessage="1">
          <x14:formula1>
            <xm:f>Tables!$A$2:$A$8</xm:f>
          </x14:formula1>
          <xm:sqref>C10</xm:sqref>
        </x14:dataValidation>
        <x14:dataValidation type="list" showDropDown="1" showInputMessage="1" showErrorMessage="1">
          <x14:formula1>
            <xm:f>Tables!$A$21:$A$23</xm:f>
          </x14:formula1>
          <xm:sqref>F5:F6 F8:F10 C11 I12 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4" workbookViewId="0">
      <selection activeCell="H19" sqref="H19"/>
    </sheetView>
  </sheetViews>
  <sheetFormatPr defaultColWidth="8.8984375" defaultRowHeight="14.4" x14ac:dyDescent="0.3"/>
  <cols>
    <col min="1" max="1" width="2.69921875" style="92" customWidth="1"/>
    <col min="2" max="2" width="15.3984375" style="92" bestFit="1" customWidth="1"/>
    <col min="3" max="3" width="13.69921875" style="93" bestFit="1" customWidth="1"/>
    <col min="4" max="4" width="2.69921875" style="94" customWidth="1"/>
    <col min="5" max="5" width="14.69921875" style="92" bestFit="1" customWidth="1"/>
    <col min="6" max="6" width="13.69921875" style="92" bestFit="1" customWidth="1"/>
    <col min="7" max="7" width="2.69921875" style="94" customWidth="1"/>
    <col min="8" max="8" width="12.69921875" style="92" bestFit="1" customWidth="1"/>
    <col min="9" max="9" width="2.69921875" style="92" customWidth="1"/>
    <col min="10" max="16384" width="8.8984375" style="92"/>
  </cols>
  <sheetData>
    <row r="1" spans="1:12" ht="15" thickBot="1" x14ac:dyDescent="0.35">
      <c r="A1" s="61"/>
      <c r="B1" s="61"/>
      <c r="C1" s="62"/>
      <c r="D1" s="63"/>
      <c r="E1" s="61"/>
      <c r="F1" s="61"/>
      <c r="G1" s="63"/>
      <c r="H1" s="61"/>
      <c r="I1" s="61"/>
    </row>
    <row r="2" spans="1:12" x14ac:dyDescent="0.3">
      <c r="A2" s="61"/>
      <c r="B2" s="64" t="s">
        <v>0</v>
      </c>
      <c r="C2" s="324">
        <f>'Data Input'!C3</f>
        <v>1</v>
      </c>
      <c r="D2" s="324"/>
      <c r="E2" s="324"/>
      <c r="F2" s="325"/>
      <c r="G2" s="65"/>
      <c r="H2" s="66" t="s">
        <v>54</v>
      </c>
      <c r="I2" s="61"/>
    </row>
    <row r="3" spans="1:12" ht="15" thickBot="1" x14ac:dyDescent="0.35">
      <c r="A3" s="61"/>
      <c r="B3" s="67" t="s">
        <v>2</v>
      </c>
      <c r="C3" s="68">
        <f>'Data Input'!C4</f>
        <v>1</v>
      </c>
      <c r="D3" s="47"/>
      <c r="E3" s="69" t="s">
        <v>36</v>
      </c>
      <c r="F3" s="70">
        <f>'Data Input'!C9</f>
        <v>2.2200000000000002</v>
      </c>
      <c r="G3" s="63"/>
      <c r="H3" s="107">
        <f>'Data Input'!C24</f>
        <v>0</v>
      </c>
      <c r="I3" s="61"/>
    </row>
    <row r="4" spans="1:12" ht="15" thickBot="1" x14ac:dyDescent="0.35">
      <c r="A4" s="61"/>
      <c r="B4" s="328" t="s">
        <v>48</v>
      </c>
      <c r="C4" s="329"/>
      <c r="D4" s="71"/>
      <c r="E4" s="328" t="s">
        <v>60</v>
      </c>
      <c r="F4" s="329"/>
      <c r="G4" s="72"/>
      <c r="H4" s="73" t="s">
        <v>52</v>
      </c>
      <c r="I4" s="61"/>
    </row>
    <row r="5" spans="1:12" x14ac:dyDescent="0.3">
      <c r="A5" s="61"/>
      <c r="B5" s="74" t="s">
        <v>143</v>
      </c>
      <c r="C5" s="226" t="e">
        <f ca="1">SUM(Tables!K6:K8)</f>
        <v>#VALUE!</v>
      </c>
      <c r="D5" s="71"/>
      <c r="E5" s="74" t="s">
        <v>53</v>
      </c>
      <c r="F5" s="97">
        <f>Tables!O6</f>
        <v>0</v>
      </c>
      <c r="G5" s="72"/>
      <c r="H5" s="75" t="s">
        <v>63</v>
      </c>
      <c r="I5" s="61"/>
    </row>
    <row r="6" spans="1:12" ht="15" thickBot="1" x14ac:dyDescent="0.35">
      <c r="A6" s="61"/>
      <c r="B6" s="76" t="s">
        <v>141</v>
      </c>
      <c r="C6" s="227">
        <f ca="1">SUM(Tables!K9:K16)</f>
        <v>-1426.0064657534247</v>
      </c>
      <c r="D6" s="71"/>
      <c r="E6" s="76" t="s">
        <v>9</v>
      </c>
      <c r="F6" s="98">
        <f>Tables!O7</f>
        <v>0</v>
      </c>
      <c r="G6" s="72"/>
      <c r="H6" s="103" t="e">
        <f ca="1">C11</f>
        <v>#VALUE!</v>
      </c>
      <c r="I6" s="61"/>
    </row>
    <row r="7" spans="1:12" x14ac:dyDescent="0.3">
      <c r="A7" s="61"/>
      <c r="B7" s="76" t="s">
        <v>142</v>
      </c>
      <c r="C7" s="227">
        <f>SUM(Tables!K18:K22)</f>
        <v>45000</v>
      </c>
      <c r="D7" s="71"/>
      <c r="E7" s="76" t="s">
        <v>11</v>
      </c>
      <c r="F7" s="98">
        <f>Tables!O8</f>
        <v>0</v>
      </c>
      <c r="G7" s="72"/>
      <c r="H7" s="75" t="s">
        <v>59</v>
      </c>
      <c r="I7" s="61"/>
    </row>
    <row r="8" spans="1:12" ht="15" thickBot="1" x14ac:dyDescent="0.35">
      <c r="A8" s="61"/>
      <c r="B8" s="76" t="s">
        <v>30</v>
      </c>
      <c r="C8" s="227" t="e">
        <f ca="1">SUM(Tables!K24:K26)</f>
        <v>#VALUE!</v>
      </c>
      <c r="D8" s="71"/>
      <c r="E8" s="76" t="s">
        <v>30</v>
      </c>
      <c r="F8" s="98" t="e">
        <f>SUM(Tables!O9:O11)</f>
        <v>#VALUE!</v>
      </c>
      <c r="G8" s="72"/>
      <c r="H8" s="102" t="e">
        <f ca="1">F11/C11</f>
        <v>#VALUE!</v>
      </c>
      <c r="I8" s="61"/>
    </row>
    <row r="9" spans="1:12" x14ac:dyDescent="0.3">
      <c r="A9" s="61"/>
      <c r="B9" s="76" t="s">
        <v>57</v>
      </c>
      <c r="C9" s="227">
        <f>SUM(Tables!K28:K29)</f>
        <v>0</v>
      </c>
      <c r="D9" s="71"/>
      <c r="E9" s="76"/>
      <c r="F9" s="98"/>
      <c r="G9" s="72"/>
      <c r="H9" s="162"/>
      <c r="I9" s="61"/>
      <c r="L9" s="111"/>
    </row>
    <row r="10" spans="1:12" ht="15" thickBot="1" x14ac:dyDescent="0.35">
      <c r="A10" s="61"/>
      <c r="B10" s="76" t="s">
        <v>58</v>
      </c>
      <c r="C10" s="227">
        <f>SUM(Tables!K31:K33)</f>
        <v>15750</v>
      </c>
      <c r="D10" s="71"/>
      <c r="E10" s="228"/>
      <c r="F10" s="229"/>
      <c r="G10" s="72"/>
      <c r="H10" s="163"/>
      <c r="I10" s="61"/>
    </row>
    <row r="11" spans="1:12" ht="15" thickBot="1" x14ac:dyDescent="0.35">
      <c r="A11" s="61"/>
      <c r="B11" s="77" t="s">
        <v>61</v>
      </c>
      <c r="C11" s="78" t="e">
        <f ca="1">SUM(C5:C10)</f>
        <v>#VALUE!</v>
      </c>
      <c r="D11" s="71"/>
      <c r="E11" s="79" t="s">
        <v>55</v>
      </c>
      <c r="F11" s="80" t="e">
        <f ca="1">F5-SUM(F6:F10)-C11</f>
        <v>#VALUE!</v>
      </c>
      <c r="G11" s="72"/>
      <c r="H11" s="164"/>
      <c r="I11" s="61"/>
    </row>
    <row r="12" spans="1:12" x14ac:dyDescent="0.3">
      <c r="A12" s="61"/>
      <c r="B12" s="61"/>
      <c r="C12" s="62"/>
      <c r="D12" s="63"/>
      <c r="E12" s="61"/>
      <c r="F12" s="61"/>
      <c r="G12" s="63"/>
      <c r="H12" s="61"/>
      <c r="I12" s="61"/>
    </row>
    <row r="13" spans="1:12" x14ac:dyDescent="0.3">
      <c r="A13" s="108"/>
      <c r="B13" s="108"/>
      <c r="C13" s="109"/>
      <c r="D13" s="110"/>
      <c r="E13" s="108"/>
      <c r="F13" s="108"/>
      <c r="G13" s="110"/>
      <c r="H13" s="108"/>
      <c r="I13" s="108"/>
    </row>
    <row r="14" spans="1:12" ht="15" thickBot="1" x14ac:dyDescent="0.35">
      <c r="A14" s="61"/>
      <c r="B14" s="61"/>
      <c r="C14" s="62"/>
      <c r="D14" s="63"/>
      <c r="E14" s="61"/>
      <c r="F14" s="61"/>
      <c r="G14" s="63"/>
      <c r="H14" s="61"/>
      <c r="I14" s="61"/>
    </row>
    <row r="15" spans="1:12" x14ac:dyDescent="0.3">
      <c r="A15" s="61"/>
      <c r="B15" s="64" t="s">
        <v>0</v>
      </c>
      <c r="C15" s="324">
        <f>'Data Input'!C3</f>
        <v>1</v>
      </c>
      <c r="D15" s="324"/>
      <c r="E15" s="324"/>
      <c r="F15" s="325"/>
      <c r="G15" s="65"/>
      <c r="H15" s="175" t="s">
        <v>54</v>
      </c>
      <c r="I15" s="61"/>
    </row>
    <row r="16" spans="1:12" ht="15" thickBot="1" x14ac:dyDescent="0.35">
      <c r="A16" s="61"/>
      <c r="B16" s="67" t="s">
        <v>2</v>
      </c>
      <c r="C16" s="68">
        <f>'Data Input'!C4</f>
        <v>1</v>
      </c>
      <c r="D16" s="47"/>
      <c r="E16" s="69" t="s">
        <v>36</v>
      </c>
      <c r="F16" s="70">
        <f>'Data Input'!C9</f>
        <v>2.2200000000000002</v>
      </c>
      <c r="G16" s="63"/>
      <c r="H16" s="176">
        <f>'Data Input'!C24</f>
        <v>0</v>
      </c>
      <c r="I16" s="61"/>
    </row>
    <row r="17" spans="1:9" ht="15" thickBot="1" x14ac:dyDescent="0.35">
      <c r="A17" s="61"/>
      <c r="B17" s="326" t="s">
        <v>48</v>
      </c>
      <c r="C17" s="327"/>
      <c r="D17" s="71"/>
      <c r="E17" s="326" t="s">
        <v>60</v>
      </c>
      <c r="F17" s="327"/>
      <c r="G17" s="82"/>
      <c r="H17" s="83" t="s">
        <v>72</v>
      </c>
      <c r="I17" s="61"/>
    </row>
    <row r="18" spans="1:9" x14ac:dyDescent="0.3">
      <c r="A18" s="61"/>
      <c r="B18" s="74" t="s">
        <v>38</v>
      </c>
      <c r="C18" s="99" t="e">
        <f ca="1">SUM(Tables!K6:K8)</f>
        <v>#VALUE!</v>
      </c>
      <c r="D18" s="71"/>
      <c r="E18" s="74" t="s">
        <v>53</v>
      </c>
      <c r="F18" s="97">
        <f>Tables!O6</f>
        <v>0</v>
      </c>
      <c r="G18" s="82"/>
      <c r="H18" s="75" t="s">
        <v>7</v>
      </c>
      <c r="I18" s="61"/>
    </row>
    <row r="19" spans="1:9" ht="15" thickBot="1" x14ac:dyDescent="0.35">
      <c r="A19" s="61"/>
      <c r="B19" s="76" t="s">
        <v>56</v>
      </c>
      <c r="C19" s="100">
        <f ca="1">SUM(Tables!K9:K16)</f>
        <v>-1426.0064657534247</v>
      </c>
      <c r="D19" s="71"/>
      <c r="E19" s="76" t="s">
        <v>9</v>
      </c>
      <c r="F19" s="98">
        <f>Tables!O7</f>
        <v>0</v>
      </c>
      <c r="G19" s="82"/>
      <c r="H19" s="103">
        <f>Tables!O13</f>
        <v>0</v>
      </c>
      <c r="I19" s="61"/>
    </row>
    <row r="20" spans="1:9" x14ac:dyDescent="0.3">
      <c r="A20" s="61"/>
      <c r="B20" s="76" t="s">
        <v>142</v>
      </c>
      <c r="C20" s="100">
        <f>SUM(Tables!K18:K22)</f>
        <v>45000</v>
      </c>
      <c r="D20" s="71"/>
      <c r="E20" s="76" t="s">
        <v>11</v>
      </c>
      <c r="F20" s="98">
        <f>Tables!O8</f>
        <v>0</v>
      </c>
      <c r="G20" s="82"/>
      <c r="H20" s="75" t="s">
        <v>16</v>
      </c>
      <c r="I20" s="61"/>
    </row>
    <row r="21" spans="1:9" ht="15" thickBot="1" x14ac:dyDescent="0.35">
      <c r="A21" s="61"/>
      <c r="B21" s="76" t="s">
        <v>30</v>
      </c>
      <c r="C21" s="230" t="e">
        <f ca="1">SUM(Tables!K24:K26)</f>
        <v>#VALUE!</v>
      </c>
      <c r="D21" s="71"/>
      <c r="E21" s="76" t="s">
        <v>30</v>
      </c>
      <c r="F21" s="98" t="e">
        <f>SUM(Tables!O9:O11)</f>
        <v>#VALUE!</v>
      </c>
      <c r="G21" s="82"/>
      <c r="H21" s="106" t="e">
        <f>H19/F18</f>
        <v>#DIV/0!</v>
      </c>
      <c r="I21" s="61"/>
    </row>
    <row r="22" spans="1:9" x14ac:dyDescent="0.3">
      <c r="A22" s="61"/>
      <c r="B22" s="76" t="s">
        <v>57</v>
      </c>
      <c r="C22" s="100">
        <f>SUM(Tables!K28:K29)</f>
        <v>0</v>
      </c>
      <c r="D22" s="71"/>
      <c r="E22" s="76"/>
      <c r="F22" s="98"/>
      <c r="G22" s="82"/>
      <c r="H22" s="84" t="s">
        <v>63</v>
      </c>
      <c r="I22" s="61"/>
    </row>
    <row r="23" spans="1:9" ht="15" thickBot="1" x14ac:dyDescent="0.35">
      <c r="A23" s="61"/>
      <c r="B23" s="76" t="s">
        <v>58</v>
      </c>
      <c r="C23" s="100">
        <f>SUM(Tables!K31:K33)</f>
        <v>15750</v>
      </c>
      <c r="D23" s="71"/>
      <c r="E23" s="76"/>
      <c r="F23" s="98"/>
      <c r="G23" s="72"/>
      <c r="H23" s="105" t="e">
        <f ca="1">C26-H19</f>
        <v>#VALUE!</v>
      </c>
      <c r="I23" s="61"/>
    </row>
    <row r="24" spans="1:9" x14ac:dyDescent="0.3">
      <c r="A24" s="61"/>
      <c r="B24" s="76" t="s">
        <v>62</v>
      </c>
      <c r="C24" s="100" t="e">
        <f ca="1">SUM(Tables!O19:O21)</f>
        <v>#VALUE!</v>
      </c>
      <c r="D24" s="71"/>
      <c r="E24" s="76"/>
      <c r="F24" s="98"/>
      <c r="G24" s="72"/>
      <c r="H24" s="84" t="s">
        <v>59</v>
      </c>
      <c r="I24" s="61"/>
    </row>
    <row r="25" spans="1:9" ht="15" thickBot="1" x14ac:dyDescent="0.35">
      <c r="A25" s="61"/>
      <c r="B25" s="76" t="s">
        <v>22</v>
      </c>
      <c r="C25" s="100">
        <f>Tables!O22</f>
        <v>0</v>
      </c>
      <c r="D25" s="71"/>
      <c r="E25" s="76"/>
      <c r="F25" s="98"/>
      <c r="G25" s="72"/>
      <c r="H25" s="112" t="e">
        <f ca="1">F26/C26</f>
        <v>#VALUE!</v>
      </c>
      <c r="I25" s="61"/>
    </row>
    <row r="26" spans="1:9" ht="15" thickBot="1" x14ac:dyDescent="0.35">
      <c r="A26" s="61"/>
      <c r="B26" s="77" t="s">
        <v>61</v>
      </c>
      <c r="C26" s="85" t="e">
        <f ca="1">SUM(C18:C25)</f>
        <v>#VALUE!</v>
      </c>
      <c r="D26" s="71"/>
      <c r="E26" s="77" t="s">
        <v>55</v>
      </c>
      <c r="F26" s="86" t="e">
        <f ca="1">F18-SUM(F19:F25)-C26</f>
        <v>#VALUE!</v>
      </c>
      <c r="G26" s="72"/>
      <c r="H26" s="183"/>
      <c r="I26" s="61"/>
    </row>
    <row r="27" spans="1:9" x14ac:dyDescent="0.3">
      <c r="A27" s="61"/>
      <c r="B27" s="61"/>
      <c r="C27" s="62"/>
      <c r="D27" s="63"/>
      <c r="E27" s="61"/>
      <c r="F27" s="61"/>
      <c r="G27" s="63"/>
      <c r="H27" s="61"/>
      <c r="I27" s="61"/>
    </row>
    <row r="28" spans="1:9" x14ac:dyDescent="0.3">
      <c r="A28" s="108"/>
      <c r="B28" s="108"/>
      <c r="C28" s="109"/>
      <c r="D28" s="110"/>
      <c r="E28" s="108"/>
      <c r="F28" s="108"/>
      <c r="G28" s="110"/>
      <c r="H28" s="108"/>
      <c r="I28" s="108"/>
    </row>
    <row r="29" spans="1:9" ht="15" thickBot="1" x14ac:dyDescent="0.35">
      <c r="A29" s="61"/>
      <c r="B29" s="61"/>
      <c r="C29" s="62"/>
      <c r="D29" s="63"/>
      <c r="E29" s="61"/>
      <c r="F29" s="61"/>
      <c r="G29" s="63"/>
      <c r="H29" s="61"/>
      <c r="I29" s="61"/>
    </row>
    <row r="30" spans="1:9" x14ac:dyDescent="0.3">
      <c r="A30" s="61"/>
      <c r="B30" s="64" t="s">
        <v>0</v>
      </c>
      <c r="C30" s="324">
        <f>'Data Input'!C3</f>
        <v>1</v>
      </c>
      <c r="D30" s="324"/>
      <c r="E30" s="324"/>
      <c r="F30" s="325"/>
      <c r="G30" s="65"/>
      <c r="H30" s="87"/>
      <c r="I30" s="61"/>
    </row>
    <row r="31" spans="1:9" ht="15" thickBot="1" x14ac:dyDescent="0.35">
      <c r="A31" s="61"/>
      <c r="B31" s="67" t="s">
        <v>2</v>
      </c>
      <c r="C31" s="68">
        <f>'Data Input'!C4</f>
        <v>1</v>
      </c>
      <c r="D31" s="47"/>
      <c r="E31" s="69" t="s">
        <v>36</v>
      </c>
      <c r="F31" s="88">
        <f>'Data Input'!C9</f>
        <v>2.2200000000000002</v>
      </c>
      <c r="G31" s="63"/>
      <c r="H31" s="89"/>
      <c r="I31" s="61"/>
    </row>
    <row r="32" spans="1:9" ht="15" thickBot="1" x14ac:dyDescent="0.35">
      <c r="A32" s="61"/>
      <c r="B32" s="330" t="s">
        <v>48</v>
      </c>
      <c r="C32" s="331"/>
      <c r="D32" s="71"/>
      <c r="E32" s="330" t="s">
        <v>32</v>
      </c>
      <c r="F32" s="331"/>
      <c r="G32" s="72"/>
      <c r="H32" s="90" t="s">
        <v>50</v>
      </c>
      <c r="I32" s="61"/>
    </row>
    <row r="33" spans="1:9" ht="15" thickBot="1" x14ac:dyDescent="0.35">
      <c r="A33" s="61"/>
      <c r="B33" s="91" t="s">
        <v>51</v>
      </c>
      <c r="C33" s="101" t="e">
        <f ca="1">SUM(Tables!K6:K22)</f>
        <v>#VALUE!</v>
      </c>
      <c r="D33" s="71"/>
      <c r="E33" s="91" t="s">
        <v>53</v>
      </c>
      <c r="F33" s="231" t="e">
        <f ca="1">Tables!D23</f>
        <v>#VALUE!</v>
      </c>
      <c r="G33" s="72"/>
      <c r="H33" s="104" t="e">
        <f ca="1">F33-C33</f>
        <v>#VALUE!</v>
      </c>
      <c r="I33" s="61"/>
    </row>
    <row r="34" spans="1:9" ht="15" thickBot="1" x14ac:dyDescent="0.35">
      <c r="A34" s="61"/>
      <c r="B34" s="61"/>
      <c r="C34" s="62"/>
      <c r="D34" s="63"/>
      <c r="E34" s="61"/>
      <c r="F34" s="61"/>
      <c r="G34" s="63"/>
      <c r="H34" s="61"/>
      <c r="I34" s="61"/>
    </row>
    <row r="35" spans="1:9" ht="15" thickBot="1" x14ac:dyDescent="0.35">
      <c r="A35" s="61"/>
      <c r="B35" s="330" t="s">
        <v>48</v>
      </c>
      <c r="C35" s="331"/>
      <c r="D35" s="71"/>
      <c r="E35" s="330" t="s">
        <v>60</v>
      </c>
      <c r="F35" s="331"/>
      <c r="G35" s="72"/>
      <c r="H35" s="90" t="s">
        <v>64</v>
      </c>
      <c r="I35" s="61"/>
    </row>
    <row r="36" spans="1:9" x14ac:dyDescent="0.3">
      <c r="A36" s="61"/>
      <c r="B36" s="74" t="s">
        <v>38</v>
      </c>
      <c r="C36" s="99" t="e">
        <f ca="1">F33</f>
        <v>#VALUE!</v>
      </c>
      <c r="D36" s="71"/>
      <c r="E36" s="74" t="s">
        <v>53</v>
      </c>
      <c r="F36" s="97">
        <f>Tables!O6</f>
        <v>0</v>
      </c>
      <c r="G36" s="72"/>
      <c r="H36" s="75" t="s">
        <v>63</v>
      </c>
      <c r="I36" s="61"/>
    </row>
    <row r="37" spans="1:9" ht="15" thickBot="1" x14ac:dyDescent="0.35">
      <c r="A37" s="61"/>
      <c r="B37" s="76" t="s">
        <v>30</v>
      </c>
      <c r="C37" s="100" t="e">
        <f ca="1">SUM(Tables!K24:K26)</f>
        <v>#VALUE!</v>
      </c>
      <c r="D37" s="71"/>
      <c r="E37" s="76" t="s">
        <v>9</v>
      </c>
      <c r="F37" s="98">
        <f>Tables!O7</f>
        <v>0</v>
      </c>
      <c r="G37" s="72"/>
      <c r="H37" s="103" t="e">
        <f ca="1">C40</f>
        <v>#VALUE!</v>
      </c>
      <c r="I37" s="61"/>
    </row>
    <row r="38" spans="1:9" x14ac:dyDescent="0.3">
      <c r="A38" s="61"/>
      <c r="B38" s="76" t="s">
        <v>57</v>
      </c>
      <c r="C38" s="100">
        <f>SUM(Tables!K28:K29)</f>
        <v>0</v>
      </c>
      <c r="D38" s="71"/>
      <c r="E38" s="76" t="s">
        <v>11</v>
      </c>
      <c r="F38" s="98">
        <f>Tables!O8</f>
        <v>0</v>
      </c>
      <c r="G38" s="72"/>
      <c r="H38" s="75" t="s">
        <v>59</v>
      </c>
      <c r="I38" s="61"/>
    </row>
    <row r="39" spans="1:9" x14ac:dyDescent="0.3">
      <c r="A39" s="61"/>
      <c r="B39" s="76" t="s">
        <v>58</v>
      </c>
      <c r="C39" s="100">
        <f>SUM(Tables!K31:K33)</f>
        <v>15750</v>
      </c>
      <c r="D39" s="71"/>
      <c r="E39" s="76" t="s">
        <v>30</v>
      </c>
      <c r="F39" s="98" t="e">
        <f>SUM(Tables!O9:O11)</f>
        <v>#VALUE!</v>
      </c>
      <c r="G39" s="72"/>
      <c r="H39" s="102" t="e">
        <f ca="1">F40/C40</f>
        <v>#VALUE!</v>
      </c>
      <c r="I39" s="61"/>
    </row>
    <row r="40" spans="1:9" ht="15" thickBot="1" x14ac:dyDescent="0.35">
      <c r="A40" s="61"/>
      <c r="B40" s="77" t="s">
        <v>61</v>
      </c>
      <c r="C40" s="85" t="e">
        <f ca="1">SUM(C36:C39)</f>
        <v>#VALUE!</v>
      </c>
      <c r="D40" s="71"/>
      <c r="E40" s="77" t="s">
        <v>55</v>
      </c>
      <c r="F40" s="86" t="e">
        <f ca="1">F36-SUM(F38:F39)-C40</f>
        <v>#VALUE!</v>
      </c>
      <c r="G40" s="72"/>
      <c r="H40" s="81"/>
      <c r="I40" s="61"/>
    </row>
    <row r="41" spans="1:9" x14ac:dyDescent="0.3">
      <c r="A41" s="61"/>
      <c r="B41" s="61"/>
      <c r="C41" s="62"/>
      <c r="D41" s="63"/>
      <c r="E41" s="61"/>
      <c r="F41" s="61"/>
      <c r="G41" s="63"/>
      <c r="H41" s="61"/>
      <c r="I41" s="61"/>
    </row>
  </sheetData>
  <sheetProtection formatCells="0" formatColumns="0" formatRows="0"/>
  <mergeCells count="11">
    <mergeCell ref="B35:C35"/>
    <mergeCell ref="E35:F35"/>
    <mergeCell ref="C30:F30"/>
    <mergeCell ref="B32:C32"/>
    <mergeCell ref="E32:F32"/>
    <mergeCell ref="C2:F2"/>
    <mergeCell ref="C15:F15"/>
    <mergeCell ref="B17:C17"/>
    <mergeCell ref="E17:F17"/>
    <mergeCell ref="B4:C4"/>
    <mergeCell ref="E4:F4"/>
  </mergeCells>
  <conditionalFormatting sqref="E38:E39">
    <cfRule type="duplicateValues" dxfId="0" priority="2"/>
  </conditionalFormatting>
  <pageMargins left="0.7" right="0.7" top="0.75" bottom="0.75" header="0.3" footer="0.3"/>
  <pageSetup orientation="portrait" r:id="rId1"/>
  <ignoredErrors>
    <ignoredError sqref="C21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selection activeCell="B41" sqref="B41"/>
    </sheetView>
  </sheetViews>
  <sheetFormatPr defaultColWidth="11.09765625" defaultRowHeight="14.4" x14ac:dyDescent="0.3"/>
  <cols>
    <col min="1" max="1" width="3" style="92" customWidth="1"/>
    <col min="2" max="2" width="15.8984375" style="92" bestFit="1" customWidth="1"/>
    <col min="3" max="3" width="13.09765625" style="92" customWidth="1"/>
    <col min="4" max="4" width="3" style="92" customWidth="1"/>
    <col min="5" max="5" width="14.296875" style="92" bestFit="1" customWidth="1"/>
    <col min="6" max="6" width="12.09765625" style="92" customWidth="1"/>
    <col min="7" max="7" width="3" style="92" customWidth="1"/>
    <col min="8" max="8" width="16.3984375" style="93" bestFit="1" customWidth="1"/>
    <col min="9" max="9" width="3" style="92" customWidth="1"/>
    <col min="10" max="10" width="3" style="223" customWidth="1"/>
    <col min="11" max="11" width="6.09765625" style="206" hidden="1" customWidth="1"/>
    <col min="12" max="12" width="12.09765625" style="207" hidden="1" customWidth="1"/>
    <col min="13" max="13" width="10.69921875" style="206" hidden="1" customWidth="1"/>
    <col min="14" max="14" width="11.09765625" style="206" hidden="1" customWidth="1"/>
    <col min="15" max="15" width="8.296875" style="208" hidden="1" customWidth="1"/>
    <col min="16" max="16384" width="11.09765625" style="92"/>
  </cols>
  <sheetData>
    <row r="1" spans="1:15" ht="15" thickBot="1" x14ac:dyDescent="0.35">
      <c r="A1" s="61"/>
      <c r="B1" s="61"/>
      <c r="C1" s="61"/>
      <c r="D1" s="61"/>
      <c r="E1" s="61"/>
      <c r="F1" s="61"/>
      <c r="G1" s="61"/>
      <c r="H1" s="62"/>
      <c r="I1" s="61"/>
      <c r="J1" s="205"/>
      <c r="K1" s="206" t="s">
        <v>184</v>
      </c>
      <c r="L1" s="206" t="s">
        <v>193</v>
      </c>
      <c r="M1" s="207" t="s">
        <v>194</v>
      </c>
      <c r="N1" s="207" t="s">
        <v>198</v>
      </c>
      <c r="O1" s="208" t="s">
        <v>59</v>
      </c>
    </row>
    <row r="2" spans="1:15" x14ac:dyDescent="0.3">
      <c r="A2" s="61"/>
      <c r="B2" s="209" t="s">
        <v>187</v>
      </c>
      <c r="C2" s="324">
        <f>'Data Input'!C3</f>
        <v>1</v>
      </c>
      <c r="D2" s="324"/>
      <c r="E2" s="324"/>
      <c r="F2" s="325"/>
      <c r="G2" s="61"/>
      <c r="H2" s="185" t="s">
        <v>202</v>
      </c>
      <c r="I2" s="61"/>
      <c r="J2" s="205"/>
      <c r="K2" s="206">
        <v>1</v>
      </c>
      <c r="L2" s="207">
        <f>-($C$9-M2)</f>
        <v>0</v>
      </c>
      <c r="M2" s="207">
        <f>-(C9*F3/12)</f>
        <v>0</v>
      </c>
      <c r="N2" s="207">
        <v>0</v>
      </c>
    </row>
    <row r="3" spans="1:15" ht="15" thickBot="1" x14ac:dyDescent="0.35">
      <c r="A3" s="61"/>
      <c r="B3" s="210" t="s">
        <v>188</v>
      </c>
      <c r="C3" s="336">
        <f>'Data Input'!C32</f>
        <v>0</v>
      </c>
      <c r="D3" s="336"/>
      <c r="E3" s="63" t="s">
        <v>195</v>
      </c>
      <c r="F3" s="211">
        <v>0.16</v>
      </c>
      <c r="G3" s="61"/>
      <c r="H3" s="107" t="e">
        <f>MATCH(1,INDEX(--(L2:L61&gt;0),0),0)</f>
        <v>#N/A</v>
      </c>
      <c r="I3" s="61"/>
      <c r="J3" s="205"/>
      <c r="K3" s="206">
        <v>2</v>
      </c>
      <c r="L3" s="207">
        <f>IF('Data Input'!$C$30="No",(L2+M3),(L2+M3)+N3)</f>
        <v>-110</v>
      </c>
      <c r="M3" s="207">
        <f>(L2*$F$3/12)</f>
        <v>0</v>
      </c>
      <c r="N3" s="207">
        <f>IF('Data Input'!$C$30="No",0,$F$6-SUM($F$7:$F$10))</f>
        <v>-110</v>
      </c>
      <c r="O3" s="208">
        <f t="shared" ref="O3:O4" si="0">(L3/$C$11)/K3*12</f>
        <v>-0.17516481486768543</v>
      </c>
    </row>
    <row r="4" spans="1:15" ht="15" thickBot="1" x14ac:dyDescent="0.35">
      <c r="A4" s="61"/>
      <c r="B4" s="212" t="s">
        <v>192</v>
      </c>
      <c r="C4" s="337" t="e">
        <f>IF('Data Input'!C34="",MATCH(1,INDEX(--(O2:O97&gt;F4),0),0),'Data Input'!C34)</f>
        <v>#N/A</v>
      </c>
      <c r="D4" s="337"/>
      <c r="E4" s="213" t="s">
        <v>207</v>
      </c>
      <c r="F4" s="214">
        <v>0.18</v>
      </c>
      <c r="G4" s="61"/>
      <c r="H4" s="190" t="s">
        <v>214</v>
      </c>
      <c r="I4" s="61"/>
      <c r="J4" s="205"/>
      <c r="K4" s="206">
        <v>3</v>
      </c>
      <c r="L4" s="207">
        <f>IF('Data Input'!$C$30="No",(L3+M4),(L3+M4)+$F$11)</f>
        <v>-221.46666666666667</v>
      </c>
      <c r="M4" s="207">
        <f>(L3*$F$3/12)</f>
        <v>-1.4666666666666668</v>
      </c>
      <c r="N4" s="207">
        <f>IF('Data Input'!$C$30="No",0,$F$6-SUM($F$7:$F$10))</f>
        <v>-110</v>
      </c>
      <c r="O4" s="208">
        <f t="shared" si="0"/>
        <v>-0.23511010706684893</v>
      </c>
    </row>
    <row r="5" spans="1:15" ht="15" thickBot="1" x14ac:dyDescent="0.35">
      <c r="A5" s="61"/>
      <c r="B5" s="332" t="s">
        <v>191</v>
      </c>
      <c r="C5" s="333"/>
      <c r="D5" s="61"/>
      <c r="E5" s="334" t="s">
        <v>197</v>
      </c>
      <c r="F5" s="335"/>
      <c r="G5" s="61"/>
      <c r="H5" s="187" t="e">
        <f>C4</f>
        <v>#N/A</v>
      </c>
      <c r="I5" s="61"/>
      <c r="J5" s="205"/>
      <c r="K5" s="206">
        <v>4</v>
      </c>
      <c r="L5" s="207">
        <f>IF(L4&lt;0,(L4+M5)+N5,L4+N5)</f>
        <v>-334.41955555555558</v>
      </c>
      <c r="M5" s="207">
        <f t="shared" ref="M5:M29" si="1">IF(L4&lt;0,(L4*$F$3/12),0)</f>
        <v>-2.9528888888888889</v>
      </c>
      <c r="N5" s="207">
        <f>F$11</f>
        <v>-110</v>
      </c>
      <c r="O5" s="208">
        <f>(L5/$C$11)/K5*12</f>
        <v>-0.26626608880464792</v>
      </c>
    </row>
    <row r="6" spans="1:15" x14ac:dyDescent="0.3">
      <c r="A6" s="61"/>
      <c r="B6" s="215" t="s">
        <v>185</v>
      </c>
      <c r="C6" s="216">
        <f>'Data Input'!C29</f>
        <v>0</v>
      </c>
      <c r="D6" s="217"/>
      <c r="E6" s="76" t="s">
        <v>198</v>
      </c>
      <c r="F6" s="216">
        <f>'Data Input'!C33</f>
        <v>0</v>
      </c>
      <c r="G6" s="61"/>
      <c r="H6" s="188" t="s">
        <v>208</v>
      </c>
      <c r="I6" s="61"/>
      <c r="J6" s="205"/>
      <c r="K6" s="206">
        <v>5</v>
      </c>
      <c r="L6" s="207">
        <f t="shared" ref="L6:L69" si="2">IF(L5&lt;0,(L5+M6)+N6,L5+N6)</f>
        <v>-448.87848296296301</v>
      </c>
      <c r="M6" s="207">
        <f t="shared" si="1"/>
        <v>-4.4589274074074075</v>
      </c>
      <c r="N6" s="207">
        <f t="shared" ref="N6:N16" si="3">F$11</f>
        <v>-110</v>
      </c>
      <c r="O6" s="208">
        <f t="shared" ref="O6:O28" si="4">(L6/$C$11)/K6*12</f>
        <v>-0.28591896860470872</v>
      </c>
    </row>
    <row r="7" spans="1:15" ht="15" thickBot="1" x14ac:dyDescent="0.35">
      <c r="A7" s="61"/>
      <c r="B7" s="218" t="s">
        <v>186</v>
      </c>
      <c r="C7" s="216">
        <f>'Data Input'!C31</f>
        <v>0</v>
      </c>
      <c r="D7" s="217"/>
      <c r="E7" s="76" t="s">
        <v>201</v>
      </c>
      <c r="F7" s="317">
        <f>F6*0.1</f>
        <v>0</v>
      </c>
      <c r="G7" s="61"/>
      <c r="H7" s="192" t="e">
        <f>LOOKUP(C4,K2:K61,L2:L61)</f>
        <v>#N/A</v>
      </c>
      <c r="I7" s="61"/>
      <c r="J7" s="205"/>
      <c r="K7" s="206">
        <v>6</v>
      </c>
      <c r="L7" s="207">
        <f t="shared" si="2"/>
        <v>-564.86352940246911</v>
      </c>
      <c r="M7" s="207">
        <f t="shared" si="1"/>
        <v>-5.9850464395061733</v>
      </c>
      <c r="N7" s="207">
        <f t="shared" si="3"/>
        <v>-110</v>
      </c>
      <c r="O7" s="208">
        <f t="shared" si="4"/>
        <v>-0.2998309562220936</v>
      </c>
    </row>
    <row r="8" spans="1:15" x14ac:dyDescent="0.3">
      <c r="A8" s="61"/>
      <c r="B8" s="219" t="s">
        <v>88</v>
      </c>
      <c r="C8" s="216">
        <f>'Data Input'!C18</f>
        <v>0</v>
      </c>
      <c r="D8" s="217"/>
      <c r="E8" s="76" t="s">
        <v>153</v>
      </c>
      <c r="F8" s="216">
        <v>85</v>
      </c>
      <c r="G8" s="61"/>
      <c r="H8" s="186" t="s">
        <v>203</v>
      </c>
      <c r="I8" s="61"/>
      <c r="J8" s="205"/>
      <c r="K8" s="206">
        <v>7</v>
      </c>
      <c r="L8" s="207">
        <f t="shared" si="2"/>
        <v>-682.39504312783538</v>
      </c>
      <c r="M8" s="207">
        <f t="shared" si="1"/>
        <v>-7.5315137253662554</v>
      </c>
      <c r="N8" s="207">
        <f t="shared" si="3"/>
        <v>-110</v>
      </c>
      <c r="O8" s="208">
        <f t="shared" si="4"/>
        <v>-0.31047169193795709</v>
      </c>
    </row>
    <row r="9" spans="1:15" ht="15" thickBot="1" x14ac:dyDescent="0.35">
      <c r="A9" s="61"/>
      <c r="B9" s="76" t="s">
        <v>190</v>
      </c>
      <c r="C9" s="216">
        <f>SUM(C6:C8)</f>
        <v>0</v>
      </c>
      <c r="D9" s="217"/>
      <c r="E9" s="76" t="s">
        <v>199</v>
      </c>
      <c r="F9" s="216">
        <f>50+((C3-1)*25)</f>
        <v>25</v>
      </c>
      <c r="G9" s="61"/>
      <c r="H9" s="189" t="e">
        <f>H7/C11/H5*12</f>
        <v>#N/A</v>
      </c>
      <c r="I9" s="61"/>
      <c r="J9" s="205"/>
      <c r="K9" s="206">
        <v>8</v>
      </c>
      <c r="L9" s="207">
        <f t="shared" si="2"/>
        <v>-801.49364370287321</v>
      </c>
      <c r="M9" s="207">
        <f t="shared" si="1"/>
        <v>-9.0986005750378052</v>
      </c>
      <c r="N9" s="207">
        <f t="shared" si="3"/>
        <v>-110</v>
      </c>
      <c r="O9" s="208">
        <f t="shared" si="4"/>
        <v>-0.31907610390191005</v>
      </c>
    </row>
    <row r="10" spans="1:15" x14ac:dyDescent="0.3">
      <c r="A10" s="61"/>
      <c r="B10" s="76" t="s">
        <v>195</v>
      </c>
      <c r="C10" s="220">
        <f>-SUM(M2:M61)</f>
        <v>3767.8799849076163</v>
      </c>
      <c r="D10" s="61"/>
      <c r="E10" s="76" t="s">
        <v>200</v>
      </c>
      <c r="F10" s="216">
        <f>75*C3</f>
        <v>0</v>
      </c>
      <c r="G10" s="61"/>
      <c r="H10" s="185" t="s">
        <v>206</v>
      </c>
      <c r="I10" s="61"/>
      <c r="J10" s="205"/>
      <c r="K10" s="206">
        <v>9</v>
      </c>
      <c r="L10" s="207">
        <f t="shared" si="2"/>
        <v>-922.18022561891155</v>
      </c>
      <c r="M10" s="207">
        <f t="shared" si="1"/>
        <v>-10.686581916038309</v>
      </c>
      <c r="N10" s="207">
        <f t="shared" si="3"/>
        <v>-110</v>
      </c>
      <c r="O10" s="208">
        <f t="shared" si="4"/>
        <v>-0.3263303605963172</v>
      </c>
    </row>
    <row r="11" spans="1:15" ht="15" thickBot="1" x14ac:dyDescent="0.35">
      <c r="A11" s="61"/>
      <c r="B11" s="221" t="s">
        <v>51</v>
      </c>
      <c r="C11" s="222">
        <f>C9+C10</f>
        <v>3767.8799849076163</v>
      </c>
      <c r="D11" s="217"/>
      <c r="E11" s="221" t="s">
        <v>196</v>
      </c>
      <c r="F11" s="86">
        <f>F6-SUM(F7:F10)</f>
        <v>-110</v>
      </c>
      <c r="G11" s="61"/>
      <c r="H11" s="191" t="e">
        <f>H7/C11</f>
        <v>#N/A</v>
      </c>
      <c r="I11" s="61"/>
      <c r="J11" s="205"/>
      <c r="K11" s="206">
        <v>10</v>
      </c>
      <c r="L11" s="207">
        <f t="shared" si="2"/>
        <v>-1044.475961960497</v>
      </c>
      <c r="M11" s="207">
        <f t="shared" si="1"/>
        <v>-12.295736341585489</v>
      </c>
      <c r="N11" s="207">
        <f t="shared" si="3"/>
        <v>-110</v>
      </c>
      <c r="O11" s="208">
        <f t="shared" si="4"/>
        <v>-0.33264625183737839</v>
      </c>
    </row>
    <row r="12" spans="1:15" x14ac:dyDescent="0.3">
      <c r="A12" s="61"/>
      <c r="B12" s="61"/>
      <c r="C12" s="61"/>
      <c r="D12" s="61"/>
      <c r="E12" s="61"/>
      <c r="F12" s="61"/>
      <c r="G12" s="61"/>
      <c r="H12" s="62"/>
      <c r="I12" s="61"/>
      <c r="J12" s="205"/>
      <c r="K12" s="206">
        <v>11</v>
      </c>
      <c r="L12" s="207">
        <f t="shared" si="2"/>
        <v>-1168.4023081199703</v>
      </c>
      <c r="M12" s="207">
        <f t="shared" si="1"/>
        <v>-13.926346159473292</v>
      </c>
      <c r="N12" s="207">
        <f t="shared" si="3"/>
        <v>-110</v>
      </c>
      <c r="O12" s="208">
        <f t="shared" si="4"/>
        <v>-0.33828590742613379</v>
      </c>
    </row>
    <row r="13" spans="1:15" x14ac:dyDescent="0.3">
      <c r="K13" s="206">
        <v>12</v>
      </c>
      <c r="L13" s="207">
        <f t="shared" si="2"/>
        <v>-1293.9810055615699</v>
      </c>
      <c r="M13" s="207">
        <f t="shared" si="1"/>
        <v>-15.578697441599603</v>
      </c>
      <c r="N13" s="207">
        <f t="shared" si="3"/>
        <v>-110</v>
      </c>
      <c r="O13" s="208">
        <f t="shared" si="4"/>
        <v>-0.34342415648711183</v>
      </c>
    </row>
    <row r="14" spans="1:15" x14ac:dyDescent="0.3">
      <c r="C14" s="177"/>
      <c r="D14" s="224"/>
      <c r="K14" s="206">
        <v>13</v>
      </c>
      <c r="L14" s="207">
        <f t="shared" si="2"/>
        <v>-1421.2340856357241</v>
      </c>
      <c r="M14" s="207">
        <f t="shared" si="1"/>
        <v>-17.253080074154266</v>
      </c>
      <c r="N14" s="207">
        <f t="shared" si="3"/>
        <v>-110</v>
      </c>
      <c r="O14" s="208">
        <f t="shared" si="4"/>
        <v>-0.34818210558605012</v>
      </c>
    </row>
    <row r="15" spans="1:15" x14ac:dyDescent="0.3">
      <c r="K15" s="206">
        <v>14</v>
      </c>
      <c r="L15" s="207">
        <f>IF(L14&lt;0,(L14+M15)+N15,L14+N15)</f>
        <v>-1550.1838734442003</v>
      </c>
      <c r="M15" s="207">
        <f t="shared" si="1"/>
        <v>-18.949787808476323</v>
      </c>
      <c r="N15" s="207">
        <f t="shared" si="3"/>
        <v>-110</v>
      </c>
      <c r="O15" s="208">
        <f t="shared" si="4"/>
        <v>-0.35264632623730502</v>
      </c>
    </row>
    <row r="16" spans="1:15" x14ac:dyDescent="0.3">
      <c r="K16" s="206">
        <v>15</v>
      </c>
      <c r="L16" s="207">
        <f t="shared" si="2"/>
        <v>-1680.8529917567896</v>
      </c>
      <c r="M16" s="207">
        <f t="shared" si="1"/>
        <v>-20.669118312589337</v>
      </c>
      <c r="N16" s="207">
        <f t="shared" si="3"/>
        <v>-110</v>
      </c>
      <c r="O16" s="208">
        <f t="shared" si="4"/>
        <v>-0.35688036741924034</v>
      </c>
    </row>
    <row r="17" spans="3:15" x14ac:dyDescent="0.3">
      <c r="K17" s="206">
        <v>16</v>
      </c>
      <c r="L17" s="207">
        <f t="shared" si="2"/>
        <v>-1815.4643649802135</v>
      </c>
      <c r="M17" s="207">
        <f t="shared" si="1"/>
        <v>-22.411373223423862</v>
      </c>
      <c r="N17" s="207">
        <f>$N$16*1.02</f>
        <v>-112.2</v>
      </c>
      <c r="O17" s="208">
        <f t="shared" si="4"/>
        <v>-0.36136986294390822</v>
      </c>
    </row>
    <row r="18" spans="3:15" x14ac:dyDescent="0.3">
      <c r="C18" s="111"/>
      <c r="K18" s="206">
        <v>17</v>
      </c>
      <c r="L18" s="207">
        <f t="shared" si="2"/>
        <v>-1951.8705565132832</v>
      </c>
      <c r="M18" s="207">
        <f t="shared" si="1"/>
        <v>-24.206191533069514</v>
      </c>
      <c r="N18" s="207">
        <f t="shared" ref="N18:N28" si="5">$N$16*1.02</f>
        <v>-112.2</v>
      </c>
      <c r="O18" s="208">
        <f t="shared" si="4"/>
        <v>-0.36566742746239078</v>
      </c>
    </row>
    <row r="19" spans="3:15" x14ac:dyDescent="0.3">
      <c r="C19" s="225"/>
      <c r="K19" s="206">
        <v>18</v>
      </c>
      <c r="L19" s="207">
        <f t="shared" si="2"/>
        <v>-2090.0954972667937</v>
      </c>
      <c r="M19" s="207">
        <f t="shared" si="1"/>
        <v>-26.024940753510446</v>
      </c>
      <c r="N19" s="207">
        <f t="shared" si="5"/>
        <v>-112.2</v>
      </c>
      <c r="O19" s="208">
        <f t="shared" si="4"/>
        <v>-0.36980928367123317</v>
      </c>
    </row>
    <row r="20" spans="3:15" x14ac:dyDescent="0.3">
      <c r="K20" s="206">
        <v>19</v>
      </c>
      <c r="L20" s="207">
        <f t="shared" si="2"/>
        <v>-2230.1634372303506</v>
      </c>
      <c r="M20" s="207">
        <f t="shared" si="1"/>
        <v>-27.867939963557248</v>
      </c>
      <c r="N20" s="207">
        <f t="shared" si="5"/>
        <v>-112.2</v>
      </c>
      <c r="O20" s="208">
        <f t="shared" si="4"/>
        <v>-0.37382408192070365</v>
      </c>
    </row>
    <row r="21" spans="3:15" x14ac:dyDescent="0.3">
      <c r="K21" s="206">
        <v>20</v>
      </c>
      <c r="L21" s="207">
        <f t="shared" si="2"/>
        <v>-2372.0989497267551</v>
      </c>
      <c r="M21" s="207">
        <f t="shared" si="1"/>
        <v>-29.735512496404677</v>
      </c>
      <c r="N21" s="207">
        <f t="shared" si="5"/>
        <v>-112.2</v>
      </c>
      <c r="O21" s="208">
        <f t="shared" si="4"/>
        <v>-0.37773479397883464</v>
      </c>
    </row>
    <row r="22" spans="3:15" x14ac:dyDescent="0.3">
      <c r="K22" s="206">
        <v>21</v>
      </c>
      <c r="L22" s="207">
        <f t="shared" si="2"/>
        <v>-2515.9269357231115</v>
      </c>
      <c r="M22" s="207">
        <f t="shared" si="1"/>
        <v>-31.627985996356738</v>
      </c>
      <c r="N22" s="207">
        <f t="shared" si="5"/>
        <v>-112.2</v>
      </c>
      <c r="O22" s="208">
        <f t="shared" si="4"/>
        <v>-0.38156006572862505</v>
      </c>
    </row>
    <row r="23" spans="3:15" x14ac:dyDescent="0.3">
      <c r="K23" s="206">
        <v>22</v>
      </c>
      <c r="L23" s="207">
        <f t="shared" si="2"/>
        <v>-2661.6726281994193</v>
      </c>
      <c r="M23" s="207">
        <f t="shared" si="1"/>
        <v>-33.545692476308155</v>
      </c>
      <c r="N23" s="207">
        <f t="shared" si="5"/>
        <v>-112.2</v>
      </c>
      <c r="O23" s="208">
        <f t="shared" si="4"/>
        <v>-0.38531520095614624</v>
      </c>
    </row>
    <row r="24" spans="3:15" x14ac:dyDescent="0.3">
      <c r="K24" s="206">
        <v>23</v>
      </c>
      <c r="L24" s="207">
        <f t="shared" si="2"/>
        <v>-2809.3615965754111</v>
      </c>
      <c r="M24" s="207">
        <f t="shared" si="1"/>
        <v>-35.488968375992258</v>
      </c>
      <c r="N24" s="207">
        <f t="shared" si="5"/>
        <v>-112.2</v>
      </c>
      <c r="O24" s="208">
        <f t="shared" si="4"/>
        <v>-0.38901288850633764</v>
      </c>
    </row>
    <row r="25" spans="3:15" x14ac:dyDescent="0.3">
      <c r="K25" s="206">
        <v>24</v>
      </c>
      <c r="L25" s="207">
        <f t="shared" si="2"/>
        <v>-2959.0197511964166</v>
      </c>
      <c r="M25" s="207">
        <f t="shared" si="1"/>
        <v>-37.458154621005484</v>
      </c>
      <c r="N25" s="207">
        <f t="shared" si="5"/>
        <v>-112.2</v>
      </c>
      <c r="O25" s="208">
        <f t="shared" si="4"/>
        <v>-0.39266374765768552</v>
      </c>
    </row>
    <row r="26" spans="3:15" x14ac:dyDescent="0.3">
      <c r="K26" s="206">
        <v>25</v>
      </c>
      <c r="L26" s="207">
        <f t="shared" si="2"/>
        <v>-3110.6733478790352</v>
      </c>
      <c r="M26" s="207">
        <f>IF(L25&lt;0,(L25*$F$3/12),0)</f>
        <v>-39.453596682618887</v>
      </c>
      <c r="N26" s="207">
        <f t="shared" si="5"/>
        <v>-112.2</v>
      </c>
      <c r="O26" s="208">
        <f t="shared" si="4"/>
        <v>-0.39627674261459961</v>
      </c>
    </row>
    <row r="27" spans="3:15" x14ac:dyDescent="0.3">
      <c r="K27" s="206">
        <v>26</v>
      </c>
      <c r="L27" s="207">
        <f t="shared" si="2"/>
        <v>-3264.3489925174222</v>
      </c>
      <c r="M27" s="207">
        <f t="shared" si="1"/>
        <v>-41.475644638387138</v>
      </c>
      <c r="N27" s="207">
        <f t="shared" si="5"/>
        <v>-112.2</v>
      </c>
      <c r="O27" s="208">
        <f t="shared" si="4"/>
        <v>-0.39985950135512571</v>
      </c>
    </row>
    <row r="28" spans="3:15" x14ac:dyDescent="0.3">
      <c r="K28" s="206">
        <v>27</v>
      </c>
      <c r="L28" s="207">
        <f t="shared" si="2"/>
        <v>-3420.0736457509875</v>
      </c>
      <c r="M28" s="207">
        <f t="shared" si="1"/>
        <v>-43.52465323356563</v>
      </c>
      <c r="N28" s="207">
        <f t="shared" si="5"/>
        <v>-112.2</v>
      </c>
      <c r="O28" s="208">
        <f t="shared" si="4"/>
        <v>-0.40341856363085637</v>
      </c>
    </row>
    <row r="29" spans="3:15" x14ac:dyDescent="0.3">
      <c r="K29" s="206">
        <v>28</v>
      </c>
      <c r="L29" s="207">
        <f t="shared" si="2"/>
        <v>-3580.118627694334</v>
      </c>
      <c r="M29" s="207">
        <f t="shared" si="1"/>
        <v>-45.600981943346504</v>
      </c>
      <c r="N29" s="207">
        <f>$N$28*1.02</f>
        <v>-114.444</v>
      </c>
      <c r="O29" s="208">
        <f t="shared" ref="O29:O61" si="6">(L29/$C$11)/K29*12</f>
        <v>-0.40721481598988962</v>
      </c>
    </row>
    <row r="30" spans="3:15" x14ac:dyDescent="0.3">
      <c r="K30" s="206">
        <v>29</v>
      </c>
      <c r="L30" s="207">
        <f t="shared" si="2"/>
        <v>-3748.2644071097488</v>
      </c>
      <c r="M30" s="207">
        <f t="shared" ref="M30:M61" si="7">IF(L29&lt;0,(L29*0.18/12),0)</f>
        <v>-53.701779415415011</v>
      </c>
      <c r="N30" s="207">
        <f t="shared" ref="N30:N39" si="8">$N$28*1.02</f>
        <v>-114.444</v>
      </c>
      <c r="O30" s="208">
        <f t="shared" si="6"/>
        <v>-0.41163889714514978</v>
      </c>
    </row>
    <row r="31" spans="3:15" x14ac:dyDescent="0.3">
      <c r="K31" s="206">
        <v>30</v>
      </c>
      <c r="L31" s="207">
        <f t="shared" si="2"/>
        <v>-3918.9323732163953</v>
      </c>
      <c r="M31" s="207">
        <f t="shared" si="7"/>
        <v>-56.22396610664623</v>
      </c>
      <c r="N31" s="207">
        <f t="shared" si="8"/>
        <v>-114.444</v>
      </c>
      <c r="O31" s="208">
        <f t="shared" si="6"/>
        <v>-0.41603579614147213</v>
      </c>
    </row>
    <row r="32" spans="3:15" x14ac:dyDescent="0.3">
      <c r="K32" s="206">
        <v>31</v>
      </c>
      <c r="L32" s="207">
        <f t="shared" si="2"/>
        <v>-4092.1603588146413</v>
      </c>
      <c r="M32" s="207">
        <f t="shared" si="7"/>
        <v>-58.783985598245927</v>
      </c>
      <c r="N32" s="207">
        <f t="shared" si="8"/>
        <v>-114.444</v>
      </c>
      <c r="O32" s="208">
        <f t="shared" si="6"/>
        <v>-0.42041203029950014</v>
      </c>
    </row>
    <row r="33" spans="11:15" x14ac:dyDescent="0.3">
      <c r="K33" s="206">
        <v>32</v>
      </c>
      <c r="L33" s="207">
        <f t="shared" si="2"/>
        <v>-4267.9867641968613</v>
      </c>
      <c r="M33" s="207">
        <f t="shared" si="7"/>
        <v>-61.382405382219616</v>
      </c>
      <c r="N33" s="207">
        <f t="shared" si="8"/>
        <v>-114.444</v>
      </c>
      <c r="O33" s="208">
        <f t="shared" si="6"/>
        <v>-0.42477335875470168</v>
      </c>
    </row>
    <row r="34" spans="11:15" x14ac:dyDescent="0.3">
      <c r="K34" s="206">
        <v>33</v>
      </c>
      <c r="L34" s="207">
        <f t="shared" si="2"/>
        <v>-4446.4505656598149</v>
      </c>
      <c r="M34" s="207">
        <f t="shared" si="7"/>
        <v>-64.019801462952913</v>
      </c>
      <c r="N34" s="207">
        <f t="shared" si="8"/>
        <v>-114.444</v>
      </c>
      <c r="O34" s="208">
        <f>(L34/$C$11)/K34*12</f>
        <v>-0.4291248981554362</v>
      </c>
    </row>
    <row r="35" spans="11:15" x14ac:dyDescent="0.3">
      <c r="K35" s="206">
        <v>34</v>
      </c>
      <c r="L35" s="207">
        <f t="shared" si="2"/>
        <v>-4627.5913241447124</v>
      </c>
      <c r="M35" s="207">
        <f t="shared" si="7"/>
        <v>-66.696758484897217</v>
      </c>
      <c r="N35" s="207">
        <f t="shared" si="8"/>
        <v>-114.444</v>
      </c>
      <c r="O35" s="208">
        <f t="shared" si="6"/>
        <v>-0.43347121795567689</v>
      </c>
    </row>
    <row r="36" spans="11:15" x14ac:dyDescent="0.3">
      <c r="K36" s="206">
        <v>35</v>
      </c>
      <c r="L36" s="207">
        <f t="shared" si="2"/>
        <v>-4811.4491940068838</v>
      </c>
      <c r="M36" s="207">
        <f t="shared" si="7"/>
        <v>-69.413869862170685</v>
      </c>
      <c r="N36" s="207">
        <f t="shared" si="8"/>
        <v>-114.444</v>
      </c>
      <c r="O36" s="208">
        <f t="shared" si="6"/>
        <v>-0.43781641938363125</v>
      </c>
    </row>
    <row r="37" spans="11:15" x14ac:dyDescent="0.3">
      <c r="K37" s="206">
        <v>36</v>
      </c>
      <c r="L37" s="207">
        <f t="shared" si="2"/>
        <v>-4998.064931916987</v>
      </c>
      <c r="M37" s="207">
        <f t="shared" si="7"/>
        <v>-72.171737910103261</v>
      </c>
      <c r="N37" s="207">
        <f t="shared" si="8"/>
        <v>-114.444</v>
      </c>
      <c r="O37" s="208">
        <f t="shared" si="6"/>
        <v>-0.44216420126056055</v>
      </c>
    </row>
    <row r="38" spans="11:15" x14ac:dyDescent="0.3">
      <c r="K38" s="206">
        <v>37</v>
      </c>
      <c r="L38" s="207">
        <f t="shared" si="2"/>
        <v>-5187.4799058957424</v>
      </c>
      <c r="M38" s="207">
        <f t="shared" si="7"/>
        <v>-74.970973978754799</v>
      </c>
      <c r="N38" s="207">
        <f t="shared" si="8"/>
        <v>-114.444</v>
      </c>
      <c r="O38" s="208">
        <f t="shared" si="6"/>
        <v>-0.44651791515777195</v>
      </c>
    </row>
    <row r="39" spans="11:15" x14ac:dyDescent="0.3">
      <c r="K39" s="206">
        <v>38</v>
      </c>
      <c r="L39" s="207">
        <f t="shared" si="2"/>
        <v>-5379.7361044841791</v>
      </c>
      <c r="M39" s="207">
        <f t="shared" si="7"/>
        <v>-77.812198588436132</v>
      </c>
      <c r="N39" s="207">
        <f t="shared" si="8"/>
        <v>-114.444</v>
      </c>
      <c r="O39" s="208">
        <f t="shared" si="6"/>
        <v>-0.45088061185596862</v>
      </c>
    </row>
    <row r="40" spans="11:15" x14ac:dyDescent="0.3">
      <c r="K40" s="206">
        <v>39</v>
      </c>
      <c r="L40" s="207">
        <f t="shared" si="2"/>
        <v>-5574.8761460514424</v>
      </c>
      <c r="M40" s="207">
        <f t="shared" si="7"/>
        <v>-80.696041567262682</v>
      </c>
      <c r="N40" s="207">
        <f>$N$28*1.02</f>
        <v>-114.444</v>
      </c>
      <c r="O40" s="208">
        <f t="shared" si="6"/>
        <v>-0.45525508066824083</v>
      </c>
    </row>
    <row r="41" spans="11:15" x14ac:dyDescent="0.3">
      <c r="K41" s="206">
        <v>40</v>
      </c>
      <c r="L41" s="207">
        <f t="shared" si="2"/>
        <v>-5775.2321682422134</v>
      </c>
      <c r="M41" s="207">
        <f t="shared" si="7"/>
        <v>-83.623142190771631</v>
      </c>
      <c r="N41" s="207">
        <f>$N$40*1.02</f>
        <v>-116.73288000000001</v>
      </c>
      <c r="O41" s="208">
        <f t="shared" si="6"/>
        <v>-0.45982612434911313</v>
      </c>
    </row>
    <row r="42" spans="11:15" x14ac:dyDescent="0.3">
      <c r="K42" s="206">
        <v>41</v>
      </c>
      <c r="L42" s="207">
        <f t="shared" si="2"/>
        <v>-5978.5935307658465</v>
      </c>
      <c r="M42" s="207">
        <f t="shared" si="7"/>
        <v>-86.628482523633195</v>
      </c>
      <c r="N42" s="207">
        <f t="shared" ref="N42:N52" si="9">$N$40*1.02</f>
        <v>-116.73288000000001</v>
      </c>
      <c r="O42" s="208">
        <f t="shared" si="6"/>
        <v>-0.46440764034844406</v>
      </c>
    </row>
    <row r="43" spans="11:15" x14ac:dyDescent="0.3">
      <c r="K43" s="206">
        <v>42</v>
      </c>
      <c r="L43" s="207">
        <f t="shared" si="2"/>
        <v>-6185.0053137273335</v>
      </c>
      <c r="M43" s="207">
        <f t="shared" si="7"/>
        <v>-89.678902961487708</v>
      </c>
      <c r="N43" s="207">
        <f t="shared" si="9"/>
        <v>-116.73288000000001</v>
      </c>
      <c r="O43" s="208">
        <f t="shared" si="6"/>
        <v>-0.46900229901935031</v>
      </c>
    </row>
    <row r="44" spans="11:15" x14ac:dyDescent="0.3">
      <c r="K44" s="206">
        <v>43</v>
      </c>
      <c r="L44" s="207">
        <f t="shared" si="2"/>
        <v>-6394.5132734332428</v>
      </c>
      <c r="M44" s="207">
        <f t="shared" si="7"/>
        <v>-92.775079705910002</v>
      </c>
      <c r="N44" s="207">
        <f t="shared" si="9"/>
        <v>-116.73288000000001</v>
      </c>
      <c r="O44" s="208">
        <f t="shared" si="6"/>
        <v>-0.47361257239318866</v>
      </c>
    </row>
    <row r="45" spans="11:15" x14ac:dyDescent="0.3">
      <c r="K45" s="206">
        <v>44</v>
      </c>
      <c r="L45" s="207">
        <f t="shared" si="2"/>
        <v>-6607.1638525347407</v>
      </c>
      <c r="M45" s="207">
        <f t="shared" si="7"/>
        <v>-95.917699101498627</v>
      </c>
      <c r="N45" s="207">
        <f t="shared" si="9"/>
        <v>-116.73288000000001</v>
      </c>
      <c r="O45" s="208">
        <f t="shared" si="6"/>
        <v>-0.47824075745029387</v>
      </c>
    </row>
    <row r="46" spans="11:15" x14ac:dyDescent="0.3">
      <c r="K46" s="206">
        <v>45</v>
      </c>
      <c r="L46" s="207">
        <f t="shared" si="2"/>
        <v>-6823.0041903227611</v>
      </c>
      <c r="M46" s="207">
        <f t="shared" si="7"/>
        <v>-99.107457788021108</v>
      </c>
      <c r="N46" s="207">
        <f t="shared" si="9"/>
        <v>-116.73288000000001</v>
      </c>
      <c r="O46" s="208">
        <f t="shared" si="6"/>
        <v>-0.48288899629871851</v>
      </c>
    </row>
    <row r="47" spans="11:15" x14ac:dyDescent="0.3">
      <c r="K47" s="206">
        <v>46</v>
      </c>
      <c r="L47" s="207">
        <f t="shared" si="2"/>
        <v>-7042.0821331776024</v>
      </c>
      <c r="M47" s="207">
        <f t="shared" si="7"/>
        <v>-102.3450628548414</v>
      </c>
      <c r="N47" s="207">
        <f t="shared" si="9"/>
        <v>-116.73288000000001</v>
      </c>
      <c r="O47" s="208">
        <f t="shared" si="6"/>
        <v>-0.48755929373165618</v>
      </c>
    </row>
    <row r="48" spans="11:15" x14ac:dyDescent="0.3">
      <c r="K48" s="206">
        <v>47</v>
      </c>
      <c r="L48" s="207">
        <f t="shared" si="2"/>
        <v>-7264.4462451752661</v>
      </c>
      <c r="M48" s="207">
        <f t="shared" si="7"/>
        <v>-105.63123199766403</v>
      </c>
      <c r="N48" s="207">
        <f t="shared" si="9"/>
        <v>-116.73288000000001</v>
      </c>
      <c r="O48" s="208">
        <f t="shared" si="6"/>
        <v>-0.49225353255411147</v>
      </c>
    </row>
    <row r="49" spans="11:15" x14ac:dyDescent="0.3">
      <c r="K49" s="206">
        <v>48</v>
      </c>
      <c r="L49" s="207">
        <f t="shared" si="2"/>
        <v>-7490.145818852895</v>
      </c>
      <c r="M49" s="207">
        <f t="shared" si="7"/>
        <v>-108.966693677629</v>
      </c>
      <c r="N49" s="207">
        <f t="shared" si="9"/>
        <v>-116.73288000000001</v>
      </c>
      <c r="O49" s="208">
        <f t="shared" si="6"/>
        <v>-0.49697348700429378</v>
      </c>
    </row>
    <row r="50" spans="11:15" x14ac:dyDescent="0.3">
      <c r="K50" s="206">
        <v>49</v>
      </c>
      <c r="L50" s="207">
        <f t="shared" si="2"/>
        <v>-7719.2308861356878</v>
      </c>
      <c r="M50" s="207">
        <f t="shared" si="7"/>
        <v>-112.35218728279342</v>
      </c>
      <c r="N50" s="207">
        <f t="shared" si="9"/>
        <v>-116.73288000000001</v>
      </c>
      <c r="O50" s="208">
        <f t="shared" si="6"/>
        <v>-0.50172083454206939</v>
      </c>
    </row>
    <row r="51" spans="11:15" x14ac:dyDescent="0.3">
      <c r="K51" s="206">
        <v>50</v>
      </c>
      <c r="L51" s="207">
        <f t="shared" si="2"/>
        <v>-7951.7522294277223</v>
      </c>
      <c r="M51" s="207">
        <f t="shared" si="7"/>
        <v>-115.78846329203532</v>
      </c>
      <c r="N51" s="207">
        <f t="shared" si="9"/>
        <v>-116.73288000000001</v>
      </c>
      <c r="O51" s="208">
        <f t="shared" si="6"/>
        <v>-0.5064971662332407</v>
      </c>
    </row>
    <row r="52" spans="11:15" x14ac:dyDescent="0.3">
      <c r="K52" s="206">
        <v>51</v>
      </c>
      <c r="L52" s="207">
        <f t="shared" si="2"/>
        <v>-8187.761392869138</v>
      </c>
      <c r="M52" s="207">
        <f t="shared" si="7"/>
        <v>-119.27628344141583</v>
      </c>
      <c r="N52" s="207">
        <f t="shared" si="9"/>
        <v>-116.73288000000001</v>
      </c>
      <c r="O52" s="208">
        <f t="shared" si="6"/>
        <v>-0.51130399592253295</v>
      </c>
    </row>
    <row r="53" spans="11:15" x14ac:dyDescent="0.3">
      <c r="K53" s="206">
        <v>52</v>
      </c>
      <c r="L53" s="207">
        <f t="shared" si="2"/>
        <v>-8429.6453513621746</v>
      </c>
      <c r="M53" s="207">
        <f t="shared" si="7"/>
        <v>-122.81642089303706</v>
      </c>
      <c r="N53" s="207">
        <f>$N$52*1.02</f>
        <v>-119.06753760000001</v>
      </c>
      <c r="O53" s="208">
        <f t="shared" si="6"/>
        <v>-0.51628575782223785</v>
      </c>
    </row>
    <row r="54" spans="11:15" x14ac:dyDescent="0.3">
      <c r="K54" s="206">
        <v>53</v>
      </c>
      <c r="L54" s="207">
        <f t="shared" si="2"/>
        <v>-8675.1575692326078</v>
      </c>
      <c r="M54" s="207">
        <f t="shared" si="7"/>
        <v>-126.44468027043261</v>
      </c>
      <c r="N54" s="207">
        <f t="shared" ref="N54:N64" si="10">$N$52*1.02</f>
        <v>-119.06753760000001</v>
      </c>
      <c r="O54" s="208">
        <f t="shared" si="6"/>
        <v>-0.52129755388083354</v>
      </c>
    </row>
    <row r="55" spans="11:15" x14ac:dyDescent="0.3">
      <c r="K55" s="206">
        <v>54</v>
      </c>
      <c r="L55" s="207">
        <f t="shared" si="2"/>
        <v>-8924.3524703710973</v>
      </c>
      <c r="M55" s="207">
        <f t="shared" si="7"/>
        <v>-130.12736353848911</v>
      </c>
      <c r="N55" s="207">
        <f t="shared" si="10"/>
        <v>-119.06753760000001</v>
      </c>
      <c r="O55" s="208">
        <f t="shared" si="6"/>
        <v>-0.52634092534899812</v>
      </c>
    </row>
    <row r="56" spans="11:15" x14ac:dyDescent="0.3">
      <c r="K56" s="206">
        <v>55</v>
      </c>
      <c r="L56" s="207">
        <f t="shared" si="2"/>
        <v>-9177.2852950266642</v>
      </c>
      <c r="M56" s="207">
        <f t="shared" si="7"/>
        <v>-133.86528705556645</v>
      </c>
      <c r="N56" s="207">
        <f t="shared" si="10"/>
        <v>-119.06753760000001</v>
      </c>
      <c r="O56" s="208">
        <f t="shared" si="6"/>
        <v>-0.53141734865827361</v>
      </c>
    </row>
    <row r="57" spans="11:15" x14ac:dyDescent="0.3">
      <c r="K57" s="206">
        <v>56</v>
      </c>
      <c r="L57" s="207">
        <f t="shared" si="2"/>
        <v>-9434.0121120520635</v>
      </c>
      <c r="M57" s="207">
        <f t="shared" si="7"/>
        <v>-137.65927942539994</v>
      </c>
      <c r="N57" s="207">
        <f t="shared" si="10"/>
        <v>-119.06753760000001</v>
      </c>
      <c r="O57" s="208">
        <f t="shared" si="6"/>
        <v>-0.53652824190490311</v>
      </c>
    </row>
    <row r="58" spans="11:15" x14ac:dyDescent="0.3">
      <c r="K58" s="206">
        <v>57</v>
      </c>
      <c r="L58" s="207">
        <f t="shared" si="2"/>
        <v>-9694.5898313328435</v>
      </c>
      <c r="M58" s="207">
        <f t="shared" si="7"/>
        <v>-141.51018168078096</v>
      </c>
      <c r="N58" s="207">
        <f t="shared" si="10"/>
        <v>-119.06753760000001</v>
      </c>
      <c r="O58" s="208">
        <f t="shared" si="6"/>
        <v>-0.54167497066142367</v>
      </c>
    </row>
    <row r="59" spans="11:15" x14ac:dyDescent="0.3">
      <c r="K59" s="206">
        <v>58</v>
      </c>
      <c r="L59" s="207">
        <f t="shared" si="2"/>
        <v>-9959.0762164028365</v>
      </c>
      <c r="M59" s="207">
        <f t="shared" si="7"/>
        <v>-145.41884746999264</v>
      </c>
      <c r="N59" s="207">
        <f t="shared" si="10"/>
        <v>-119.06753760000001</v>
      </c>
      <c r="O59" s="208">
        <f t="shared" si="6"/>
        <v>-0.54685885319729532</v>
      </c>
    </row>
    <row r="60" spans="11:15" x14ac:dyDescent="0.3">
      <c r="K60" s="206">
        <v>59</v>
      </c>
      <c r="L60" s="207">
        <f t="shared" si="2"/>
        <v>-10227.529897248878</v>
      </c>
      <c r="M60" s="207">
        <f t="shared" si="7"/>
        <v>-149.38614324604254</v>
      </c>
      <c r="N60" s="207">
        <f t="shared" si="10"/>
        <v>-119.06753760000001</v>
      </c>
      <c r="O60" s="208">
        <f t="shared" si="6"/>
        <v>-0.55208116517883432</v>
      </c>
    </row>
    <row r="61" spans="11:15" x14ac:dyDescent="0.3">
      <c r="K61" s="206">
        <v>60</v>
      </c>
      <c r="L61" s="207">
        <f t="shared" si="2"/>
        <v>-10500.010383307612</v>
      </c>
      <c r="M61" s="207">
        <f t="shared" si="7"/>
        <v>-153.41294845873315</v>
      </c>
      <c r="N61" s="207">
        <f t="shared" si="10"/>
        <v>-119.06753760000001</v>
      </c>
      <c r="O61" s="208">
        <f t="shared" si="6"/>
        <v>-0.55734314390934925</v>
      </c>
    </row>
    <row r="62" spans="11:15" x14ac:dyDescent="0.3">
      <c r="K62" s="206">
        <v>61</v>
      </c>
      <c r="L62" s="207">
        <f t="shared" si="2"/>
        <v>-10776.578076657226</v>
      </c>
      <c r="M62" s="207">
        <f t="shared" ref="M62:M97" si="11">IF(L61&lt;0,(L61*0.18/12),0)</f>
        <v>-157.50015574961418</v>
      </c>
      <c r="N62" s="207">
        <f t="shared" si="10"/>
        <v>-119.06753760000001</v>
      </c>
      <c r="O62" s="208">
        <f t="shared" ref="O62:O100" si="12">(L62/$C$11)/K62*12</f>
        <v>-0.56264599216239075</v>
      </c>
    </row>
    <row r="63" spans="11:15" x14ac:dyDescent="0.3">
      <c r="K63" s="206">
        <v>62</v>
      </c>
      <c r="L63" s="207">
        <f t="shared" si="2"/>
        <v>-11057.294285407084</v>
      </c>
      <c r="M63" s="207">
        <f t="shared" si="11"/>
        <v>-161.64867114985839</v>
      </c>
      <c r="N63" s="207">
        <f t="shared" si="10"/>
        <v>-119.06753760000001</v>
      </c>
      <c r="O63" s="208">
        <f t="shared" si="12"/>
        <v>-0.56799088165420764</v>
      </c>
    </row>
    <row r="64" spans="11:15" x14ac:dyDescent="0.3">
      <c r="K64" s="206">
        <v>63</v>
      </c>
      <c r="L64" s="207">
        <f t="shared" si="2"/>
        <v>-11342.221237288191</v>
      </c>
      <c r="M64" s="207">
        <f t="shared" si="11"/>
        <v>-165.85941428110627</v>
      </c>
      <c r="N64" s="207">
        <f t="shared" si="10"/>
        <v>-119.06753760000001</v>
      </c>
      <c r="O64" s="208">
        <f t="shared" si="12"/>
        <v>-0.57337895619564683</v>
      </c>
    </row>
    <row r="65" spans="11:15" x14ac:dyDescent="0.3">
      <c r="K65" s="206">
        <v>64</v>
      </c>
      <c r="L65" s="207">
        <f t="shared" si="2"/>
        <v>-11633.803444199515</v>
      </c>
      <c r="M65" s="207">
        <f t="shared" si="11"/>
        <v>-170.13331855932287</v>
      </c>
      <c r="N65" s="207">
        <f>$N$64*1.02</f>
        <v>-121.44888835200001</v>
      </c>
      <c r="O65" s="208">
        <f t="shared" si="12"/>
        <v>-0.57892983707677537</v>
      </c>
    </row>
    <row r="66" spans="11:15" x14ac:dyDescent="0.3">
      <c r="K66" s="206">
        <v>65</v>
      </c>
      <c r="L66" s="207">
        <f t="shared" si="2"/>
        <v>-11929.759384214509</v>
      </c>
      <c r="M66" s="207">
        <f t="shared" si="11"/>
        <v>-174.50705166299272</v>
      </c>
      <c r="N66" s="207">
        <f t="shared" ref="N66:N76" si="13">$N$64*1.02</f>
        <v>-121.44888835200001</v>
      </c>
      <c r="O66" s="208">
        <f t="shared" si="12"/>
        <v>-0.58452422208446642</v>
      </c>
    </row>
    <row r="67" spans="11:15" x14ac:dyDescent="0.3">
      <c r="K67" s="206">
        <v>66</v>
      </c>
      <c r="L67" s="207">
        <f t="shared" si="2"/>
        <v>-12230.154663329728</v>
      </c>
      <c r="M67" s="207">
        <f t="shared" si="11"/>
        <v>-178.94639076321764</v>
      </c>
      <c r="N67" s="207">
        <f t="shared" si="13"/>
        <v>-121.44888835200001</v>
      </c>
      <c r="O67" s="208">
        <f t="shared" si="12"/>
        <v>-0.5901632995606918</v>
      </c>
    </row>
    <row r="68" spans="11:15" x14ac:dyDescent="0.3">
      <c r="K68" s="206">
        <v>67</v>
      </c>
      <c r="L68" s="207">
        <f t="shared" si="2"/>
        <v>-12535.055871631674</v>
      </c>
      <c r="M68" s="207">
        <f t="shared" si="11"/>
        <v>-183.45231994994592</v>
      </c>
      <c r="N68" s="207">
        <f t="shared" si="13"/>
        <v>-121.44888835200001</v>
      </c>
      <c r="O68" s="208">
        <f t="shared" si="12"/>
        <v>-0.59584823367990658</v>
      </c>
    </row>
    <row r="69" spans="11:15" x14ac:dyDescent="0.3">
      <c r="K69" s="206">
        <v>68</v>
      </c>
      <c r="L69" s="207">
        <f t="shared" si="2"/>
        <v>-12844.530598058149</v>
      </c>
      <c r="M69" s="207">
        <f t="shared" si="11"/>
        <v>-188.0258380744751</v>
      </c>
      <c r="N69" s="207">
        <f t="shared" si="13"/>
        <v>-121.44888835200001</v>
      </c>
      <c r="O69" s="208">
        <f t="shared" si="12"/>
        <v>-0.60158016691742688</v>
      </c>
    </row>
    <row r="70" spans="11:15" x14ac:dyDescent="0.3">
      <c r="K70" s="206">
        <v>69</v>
      </c>
      <c r="L70" s="207">
        <f t="shared" ref="L70:L100" si="14">IF(L69&lt;0,(L69+M70)+N70,L69+N70)</f>
        <v>-13158.647445381022</v>
      </c>
      <c r="M70" s="207">
        <f t="shared" si="11"/>
        <v>-192.66795897087221</v>
      </c>
      <c r="N70" s="207">
        <f t="shared" si="13"/>
        <v>-121.44888835200001</v>
      </c>
      <c r="O70" s="208">
        <f t="shared" si="12"/>
        <v>-0.60736022231338826</v>
      </c>
    </row>
    <row r="71" spans="11:15" x14ac:dyDescent="0.3">
      <c r="K71" s="206">
        <v>70</v>
      </c>
      <c r="L71" s="207">
        <f t="shared" si="14"/>
        <v>-13477.476045413738</v>
      </c>
      <c r="M71" s="207">
        <f t="shared" si="11"/>
        <v>-197.37971168071533</v>
      </c>
      <c r="N71" s="207">
        <f t="shared" si="13"/>
        <v>-121.44888835200001</v>
      </c>
      <c r="O71" s="208">
        <f t="shared" si="12"/>
        <v>-0.61318950555287333</v>
      </c>
    </row>
    <row r="72" spans="11:15" x14ac:dyDescent="0.3">
      <c r="K72" s="206">
        <v>71</v>
      </c>
      <c r="L72" s="207">
        <f t="shared" si="14"/>
        <v>-13801.087074446945</v>
      </c>
      <c r="M72" s="207">
        <f t="shared" si="11"/>
        <v>-202.16214068120607</v>
      </c>
      <c r="N72" s="207">
        <f t="shared" si="13"/>
        <v>-121.44888835200001</v>
      </c>
      <c r="O72" s="208">
        <f t="shared" si="12"/>
        <v>-0.619069106880488</v>
      </c>
    </row>
    <row r="73" spans="11:15" x14ac:dyDescent="0.3">
      <c r="K73" s="206">
        <v>72</v>
      </c>
      <c r="L73" s="207">
        <f t="shared" si="14"/>
        <v>-14129.55226891565</v>
      </c>
      <c r="M73" s="207">
        <f t="shared" si="11"/>
        <v>-207.01630611670416</v>
      </c>
      <c r="N73" s="207">
        <f t="shared" si="13"/>
        <v>-121.44888835200001</v>
      </c>
      <c r="O73" s="208">
        <f t="shared" si="12"/>
        <v>-0.62500010286563001</v>
      </c>
    </row>
    <row r="74" spans="11:15" x14ac:dyDescent="0.3">
      <c r="K74" s="206">
        <v>73</v>
      </c>
      <c r="L74" s="207">
        <f t="shared" si="14"/>
        <v>-14462.944441301384</v>
      </c>
      <c r="M74" s="207">
        <f t="shared" si="11"/>
        <v>-211.94328403373473</v>
      </c>
      <c r="N74" s="207">
        <f t="shared" si="13"/>
        <v>-121.44888835200001</v>
      </c>
      <c r="O74" s="208">
        <f t="shared" si="12"/>
        <v>-0.63098355803292083</v>
      </c>
    </row>
    <row r="75" spans="11:15" x14ac:dyDescent="0.3">
      <c r="K75" s="206">
        <v>74</v>
      </c>
      <c r="L75" s="207">
        <f t="shared" si="14"/>
        <v>-14801.337496272907</v>
      </c>
      <c r="M75" s="207">
        <f t="shared" si="11"/>
        <v>-216.94416661952076</v>
      </c>
      <c r="N75" s="207">
        <f t="shared" si="13"/>
        <v>-121.44888835200001</v>
      </c>
      <c r="O75" s="208">
        <f t="shared" si="12"/>
        <v>-0.63702052637070627</v>
      </c>
    </row>
    <row r="76" spans="11:15" x14ac:dyDescent="0.3">
      <c r="K76" s="206">
        <v>75</v>
      </c>
      <c r="L76" s="207">
        <f t="shared" si="14"/>
        <v>-15144.806447069001</v>
      </c>
      <c r="M76" s="207">
        <f t="shared" si="11"/>
        <v>-222.02006244409358</v>
      </c>
      <c r="N76" s="207">
        <f t="shared" si="13"/>
        <v>-121.44888835200001</v>
      </c>
      <c r="O76" s="208">
        <f t="shared" si="12"/>
        <v>-0.64311205272915639</v>
      </c>
    </row>
    <row r="77" spans="11:15" x14ac:dyDescent="0.3">
      <c r="K77" s="206">
        <v>76</v>
      </c>
      <c r="L77" s="207">
        <f t="shared" si="14"/>
        <v>-15495.856409894077</v>
      </c>
      <c r="M77" s="207">
        <f t="shared" si="11"/>
        <v>-227.17209670603498</v>
      </c>
      <c r="N77" s="207">
        <f>$N$76*1.02</f>
        <v>-123.87786611904001</v>
      </c>
      <c r="O77" s="208">
        <f t="shared" si="12"/>
        <v>-0.64936096154433798</v>
      </c>
    </row>
    <row r="78" spans="11:15" x14ac:dyDescent="0.3">
      <c r="K78" s="206">
        <v>77</v>
      </c>
      <c r="L78" s="207">
        <f t="shared" si="14"/>
        <v>-15852.17212216153</v>
      </c>
      <c r="M78" s="207">
        <f t="shared" si="11"/>
        <v>-232.43784614841115</v>
      </c>
      <c r="N78" s="207">
        <f t="shared" ref="N78:N88" si="15">$N$76*1.02</f>
        <v>-123.87786611904001</v>
      </c>
      <c r="O78" s="208">
        <f t="shared" si="12"/>
        <v>-0.65566535892068689</v>
      </c>
    </row>
    <row r="79" spans="11:15" x14ac:dyDescent="0.3">
      <c r="K79" s="206">
        <v>78</v>
      </c>
      <c r="L79" s="207">
        <f t="shared" si="14"/>
        <v>-16213.832570112994</v>
      </c>
      <c r="M79" s="207">
        <f t="shared" si="11"/>
        <v>-237.78258183242292</v>
      </c>
      <c r="N79" s="207">
        <f t="shared" si="15"/>
        <v>-123.87786611904001</v>
      </c>
      <c r="O79" s="208">
        <f t="shared" si="12"/>
        <v>-0.66202633576678116</v>
      </c>
    </row>
    <row r="80" spans="11:15" x14ac:dyDescent="0.3">
      <c r="K80" s="206">
        <v>79</v>
      </c>
      <c r="L80" s="207">
        <f t="shared" si="14"/>
        <v>-16580.917924783731</v>
      </c>
      <c r="M80" s="207">
        <f t="shared" si="11"/>
        <v>-243.20748855169492</v>
      </c>
      <c r="N80" s="207">
        <f t="shared" si="15"/>
        <v>-123.87786611904001</v>
      </c>
      <c r="O80" s="208">
        <f t="shared" si="12"/>
        <v>-0.66844497551922422</v>
      </c>
    </row>
    <row r="81" spans="11:15" x14ac:dyDescent="0.3">
      <c r="K81" s="206">
        <v>80</v>
      </c>
      <c r="L81" s="207">
        <f t="shared" si="14"/>
        <v>-16953.509559774528</v>
      </c>
      <c r="M81" s="207">
        <f t="shared" si="11"/>
        <v>-248.71376887175597</v>
      </c>
      <c r="N81" s="207">
        <f t="shared" si="15"/>
        <v>-123.87786611904001</v>
      </c>
      <c r="O81" s="208">
        <f t="shared" si="12"/>
        <v>-0.67492235531714551</v>
      </c>
    </row>
    <row r="82" spans="11:15" x14ac:dyDescent="0.3">
      <c r="K82" s="206">
        <v>81</v>
      </c>
      <c r="L82" s="207">
        <f t="shared" si="14"/>
        <v>-17331.690069290187</v>
      </c>
      <c r="M82" s="207">
        <f t="shared" si="11"/>
        <v>-254.3026433966179</v>
      </c>
      <c r="N82" s="207">
        <f t="shared" si="15"/>
        <v>-123.87786611904001</v>
      </c>
      <c r="O82" s="208">
        <f t="shared" si="12"/>
        <v>-0.68145954710018364</v>
      </c>
    </row>
    <row r="83" spans="11:15" x14ac:dyDescent="0.3">
      <c r="K83" s="206">
        <v>82</v>
      </c>
      <c r="L83" s="207">
        <f t="shared" si="14"/>
        <v>-17715.543286448581</v>
      </c>
      <c r="M83" s="207">
        <f t="shared" si="11"/>
        <v>-259.9753510393528</v>
      </c>
      <c r="N83" s="207">
        <f t="shared" si="15"/>
        <v>-123.87786611904001</v>
      </c>
      <c r="O83" s="208">
        <f t="shared" si="12"/>
        <v>-0.68805761863663706</v>
      </c>
    </row>
    <row r="84" spans="11:15" x14ac:dyDescent="0.3">
      <c r="K84" s="206">
        <v>83</v>
      </c>
      <c r="L84" s="207">
        <f t="shared" si="14"/>
        <v>-18105.15430186435</v>
      </c>
      <c r="M84" s="207">
        <f t="shared" si="11"/>
        <v>-265.7331492967287</v>
      </c>
      <c r="N84" s="207">
        <f t="shared" si="15"/>
        <v>-123.87786611904001</v>
      </c>
      <c r="O84" s="208">
        <f t="shared" si="12"/>
        <v>-0.69471763448783075</v>
      </c>
    </row>
    <row r="85" spans="11:15" x14ac:dyDescent="0.3">
      <c r="K85" s="206">
        <v>84</v>
      </c>
      <c r="L85" s="207">
        <f t="shared" si="14"/>
        <v>-18500.609482511354</v>
      </c>
      <c r="M85" s="207">
        <f t="shared" si="11"/>
        <v>-271.57731452796526</v>
      </c>
      <c r="N85" s="207">
        <f t="shared" si="15"/>
        <v>-123.87786611904001</v>
      </c>
      <c r="O85" s="208">
        <f t="shared" si="12"/>
        <v>-0.70144065691416613</v>
      </c>
    </row>
    <row r="86" spans="11:15" x14ac:dyDescent="0.3">
      <c r="K86" s="206">
        <v>85</v>
      </c>
      <c r="L86" s="207">
        <f t="shared" si="14"/>
        <v>-18901.996490868067</v>
      </c>
      <c r="M86" s="207">
        <f t="shared" si="11"/>
        <v>-277.50914223767029</v>
      </c>
      <c r="N86" s="207">
        <f t="shared" si="15"/>
        <v>-123.87786611904001</v>
      </c>
      <c r="O86" s="208">
        <f t="shared" si="12"/>
        <v>-0.70822774672781708</v>
      </c>
    </row>
    <row r="87" spans="11:15" x14ac:dyDescent="0.3">
      <c r="K87" s="206">
        <v>86</v>
      </c>
      <c r="L87" s="207">
        <f t="shared" si="14"/>
        <v>-19309.40430435013</v>
      </c>
      <c r="M87" s="207">
        <f t="shared" si="11"/>
        <v>-283.52994736302099</v>
      </c>
      <c r="N87" s="207">
        <f t="shared" si="15"/>
        <v>-123.87786611904001</v>
      </c>
      <c r="O87" s="208">
        <f t="shared" si="12"/>
        <v>-0.7150799640965706</v>
      </c>
    </row>
    <row r="88" spans="11:15" x14ac:dyDescent="0.3">
      <c r="K88" s="206">
        <v>87</v>
      </c>
      <c r="L88" s="207">
        <f t="shared" si="14"/>
        <v>-19722.923235034421</v>
      </c>
      <c r="M88" s="207">
        <f t="shared" si="11"/>
        <v>-289.64106456525195</v>
      </c>
      <c r="N88" s="207">
        <f t="shared" si="15"/>
        <v>-123.87786611904001</v>
      </c>
      <c r="O88" s="208">
        <f t="shared" si="12"/>
        <v>-0.72199836930289985</v>
      </c>
    </row>
    <row r="89" spans="11:15" x14ac:dyDescent="0.3">
      <c r="K89" s="206">
        <v>88</v>
      </c>
      <c r="L89" s="207">
        <f t="shared" si="14"/>
        <v>-20145.122507001361</v>
      </c>
      <c r="M89" s="207">
        <f t="shared" si="11"/>
        <v>-295.84384852551631</v>
      </c>
      <c r="N89" s="207">
        <f>$N$88*1.02</f>
        <v>-126.35542344142081</v>
      </c>
      <c r="O89" s="208">
        <f t="shared" si="12"/>
        <v>-0.72907368893093727</v>
      </c>
    </row>
    <row r="90" spans="11:15" x14ac:dyDescent="0.3">
      <c r="K90" s="206">
        <v>89</v>
      </c>
      <c r="L90" s="207">
        <f t="shared" si="14"/>
        <v>-20573.654768047803</v>
      </c>
      <c r="M90" s="207">
        <f t="shared" si="11"/>
        <v>-302.17683760502041</v>
      </c>
      <c r="N90" s="207">
        <f t="shared" ref="N90:N100" si="16">$N$88*1.02</f>
        <v>-126.35542344142081</v>
      </c>
      <c r="O90" s="208">
        <f t="shared" si="12"/>
        <v>-0.73621663505551938</v>
      </c>
    </row>
    <row r="91" spans="11:15" x14ac:dyDescent="0.3">
      <c r="K91" s="206">
        <v>90</v>
      </c>
      <c r="L91" s="207">
        <f t="shared" si="14"/>
        <v>-21008.615013009941</v>
      </c>
      <c r="M91" s="207">
        <f t="shared" si="11"/>
        <v>-308.60482152071705</v>
      </c>
      <c r="N91" s="207">
        <f t="shared" si="16"/>
        <v>-126.35542344142081</v>
      </c>
      <c r="O91" s="208">
        <f t="shared" si="12"/>
        <v>-0.743428315026336</v>
      </c>
    </row>
    <row r="92" spans="11:15" x14ac:dyDescent="0.3">
      <c r="K92" s="206">
        <v>91</v>
      </c>
      <c r="L92" s="207">
        <f t="shared" si="14"/>
        <v>-21450.099661646513</v>
      </c>
      <c r="M92" s="207">
        <f t="shared" si="11"/>
        <v>-315.1292251951491</v>
      </c>
      <c r="N92" s="207">
        <f t="shared" si="16"/>
        <v>-126.35542344142081</v>
      </c>
      <c r="O92" s="208">
        <f t="shared" si="12"/>
        <v>-0.75070983738775499</v>
      </c>
    </row>
    <row r="93" spans="11:15" x14ac:dyDescent="0.3">
      <c r="K93" s="206">
        <v>92</v>
      </c>
      <c r="L93" s="207">
        <f t="shared" si="14"/>
        <v>-21898.206580012633</v>
      </c>
      <c r="M93" s="207">
        <f t="shared" si="11"/>
        <v>-321.75149492469768</v>
      </c>
      <c r="N93" s="207">
        <f t="shared" si="16"/>
        <v>-126.35542344142081</v>
      </c>
      <c r="O93" s="208">
        <f t="shared" si="12"/>
        <v>-0.75806231255380307</v>
      </c>
    </row>
    <row r="94" spans="11:15" x14ac:dyDescent="0.3">
      <c r="K94" s="206">
        <v>93</v>
      </c>
      <c r="L94" s="207">
        <f t="shared" si="14"/>
        <v>-22353.035102154245</v>
      </c>
      <c r="M94" s="207">
        <f t="shared" si="11"/>
        <v>-328.4730987001895</v>
      </c>
      <c r="N94" s="207">
        <f t="shared" si="16"/>
        <v>-126.35542344142081</v>
      </c>
      <c r="O94" s="208">
        <f t="shared" si="12"/>
        <v>-0.76548685345058098</v>
      </c>
    </row>
    <row r="95" spans="11:15" x14ac:dyDescent="0.3">
      <c r="K95" s="206">
        <v>94</v>
      </c>
      <c r="L95" s="207">
        <f t="shared" si="14"/>
        <v>-22814.686052127981</v>
      </c>
      <c r="M95" s="207">
        <f t="shared" si="11"/>
        <v>-335.29552653231366</v>
      </c>
      <c r="N95" s="207">
        <f t="shared" si="16"/>
        <v>-126.35542344142081</v>
      </c>
      <c r="O95" s="208">
        <f t="shared" si="12"/>
        <v>-0.77298457612869687</v>
      </c>
    </row>
    <row r="96" spans="11:15" x14ac:dyDescent="0.3">
      <c r="K96" s="206">
        <v>95</v>
      </c>
      <c r="L96" s="207">
        <f t="shared" si="14"/>
        <v>-23283.261766351323</v>
      </c>
      <c r="M96" s="207">
        <f t="shared" si="11"/>
        <v>-342.22029078191969</v>
      </c>
      <c r="N96" s="207">
        <f t="shared" si="16"/>
        <v>-126.35542344142081</v>
      </c>
      <c r="O96" s="208">
        <f t="shared" si="12"/>
        <v>-0.78055660034809338</v>
      </c>
    </row>
    <row r="97" spans="11:15" x14ac:dyDescent="0.3">
      <c r="K97" s="206">
        <v>96</v>
      </c>
      <c r="L97" s="207">
        <f t="shared" si="14"/>
        <v>-23758.866116288016</v>
      </c>
      <c r="M97" s="207">
        <f t="shared" si="11"/>
        <v>-349.24892649526981</v>
      </c>
      <c r="N97" s="207">
        <f t="shared" si="16"/>
        <v>-126.35542344142081</v>
      </c>
      <c r="O97" s="208">
        <f t="shared" si="12"/>
        <v>-0.7882040501374461</v>
      </c>
    </row>
    <row r="98" spans="11:15" x14ac:dyDescent="0.3">
      <c r="K98" s="206">
        <v>97</v>
      </c>
      <c r="L98" s="207">
        <f t="shared" si="14"/>
        <v>-24241.60453147376</v>
      </c>
      <c r="M98" s="207">
        <f t="shared" ref="M98:M100" si="17">IF(L97&lt;0,(L97*0.18/12),0)</f>
        <v>-356.38299174432024</v>
      </c>
      <c r="N98" s="207">
        <f t="shared" si="16"/>
        <v>-126.35542344142081</v>
      </c>
      <c r="O98" s="208">
        <f t="shared" si="12"/>
        <v>-0.79592805433013036</v>
      </c>
    </row>
    <row r="99" spans="11:15" x14ac:dyDescent="0.3">
      <c r="K99" s="206">
        <v>98</v>
      </c>
      <c r="L99" s="207">
        <f t="shared" si="14"/>
        <v>-24731.584022887288</v>
      </c>
      <c r="M99" s="207">
        <f t="shared" si="17"/>
        <v>-363.62406797210639</v>
      </c>
      <c r="N99" s="207">
        <f t="shared" si="16"/>
        <v>-126.35542344142081</v>
      </c>
      <c r="O99" s="208">
        <f t="shared" si="12"/>
        <v>-0.8037297470786009</v>
      </c>
    </row>
    <row r="100" spans="11:15" x14ac:dyDescent="0.3">
      <c r="K100" s="206">
        <v>99</v>
      </c>
      <c r="L100" s="207">
        <f t="shared" si="14"/>
        <v>-25228.913206672019</v>
      </c>
      <c r="M100" s="207">
        <f t="shared" si="17"/>
        <v>-370.97376034330932</v>
      </c>
      <c r="N100" s="207">
        <f t="shared" si="16"/>
        <v>-126.35542344142081</v>
      </c>
      <c r="O100" s="208">
        <f t="shared" si="12"/>
        <v>-0.81161026834887207</v>
      </c>
    </row>
    <row r="101" spans="11:15" x14ac:dyDescent="0.3">
      <c r="M101" s="207"/>
      <c r="N101" s="207"/>
    </row>
    <row r="102" spans="11:15" x14ac:dyDescent="0.3">
      <c r="M102" s="207"/>
      <c r="N102" s="207"/>
    </row>
    <row r="103" spans="11:15" x14ac:dyDescent="0.3">
      <c r="M103" s="207"/>
      <c r="N103" s="207"/>
    </row>
    <row r="104" spans="11:15" x14ac:dyDescent="0.3">
      <c r="M104" s="207"/>
      <c r="N104" s="207"/>
    </row>
    <row r="105" spans="11:15" x14ac:dyDescent="0.3">
      <c r="M105" s="207"/>
      <c r="N105" s="207"/>
    </row>
    <row r="106" spans="11:15" x14ac:dyDescent="0.3">
      <c r="M106" s="207"/>
      <c r="N106" s="207"/>
    </row>
    <row r="107" spans="11:15" x14ac:dyDescent="0.3">
      <c r="M107" s="207"/>
      <c r="N107" s="207"/>
    </row>
    <row r="108" spans="11:15" x14ac:dyDescent="0.3">
      <c r="M108" s="207"/>
      <c r="N108" s="207"/>
    </row>
    <row r="109" spans="11:15" x14ac:dyDescent="0.3">
      <c r="M109" s="207"/>
      <c r="N109" s="207"/>
    </row>
    <row r="110" spans="11:15" x14ac:dyDescent="0.3">
      <c r="M110" s="207"/>
      <c r="N110" s="207"/>
    </row>
    <row r="111" spans="11:15" x14ac:dyDescent="0.3">
      <c r="M111" s="207"/>
      <c r="N111" s="207"/>
    </row>
  </sheetData>
  <sheetProtection password="8050" sheet="1" formatCells="0" formatColumns="0" formatRows="0"/>
  <mergeCells count="5">
    <mergeCell ref="B5:C5"/>
    <mergeCell ref="E5:F5"/>
    <mergeCell ref="C2:F2"/>
    <mergeCell ref="C3:D3"/>
    <mergeCell ref="C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E30" sqref="E30"/>
    </sheetView>
  </sheetViews>
  <sheetFormatPr defaultColWidth="8.8984375" defaultRowHeight="14.4" x14ac:dyDescent="0.3"/>
  <cols>
    <col min="1" max="1" width="26.09765625" bestFit="1" customWidth="1"/>
    <col min="2" max="2" width="3.8984375" customWidth="1"/>
    <col min="3" max="3" width="15.09765625" bestFit="1" customWidth="1"/>
    <col min="4" max="4" width="13.8984375" customWidth="1"/>
    <col min="5" max="5" width="12" bestFit="1" customWidth="1"/>
    <col min="6" max="6" width="9.3984375" bestFit="1" customWidth="1"/>
    <col min="7" max="7" width="17.69921875" bestFit="1" customWidth="1"/>
    <col min="8" max="8" width="13.09765625" bestFit="1" customWidth="1"/>
    <col min="9" max="9" width="3.8984375" customWidth="1"/>
    <col min="10" max="10" width="16.8984375" bestFit="1" customWidth="1"/>
    <col min="11" max="11" width="12.09765625" bestFit="1" customWidth="1"/>
    <col min="12" max="12" width="9.8984375" style="95" bestFit="1" customWidth="1"/>
    <col min="13" max="13" width="11" bestFit="1" customWidth="1"/>
    <col min="14" max="14" width="17.09765625" bestFit="1" customWidth="1"/>
    <col min="15" max="15" width="13.69921875" bestFit="1" customWidth="1"/>
    <col min="16" max="16" width="4.296875" bestFit="1" customWidth="1"/>
    <col min="17" max="17" width="17.8984375" bestFit="1" customWidth="1"/>
    <col min="18" max="18" width="13.09765625" bestFit="1" customWidth="1"/>
    <col min="20" max="20" width="17.69921875" bestFit="1" customWidth="1"/>
    <col min="21" max="21" width="12.09765625" bestFit="1" customWidth="1"/>
  </cols>
  <sheetData>
    <row r="1" spans="1:18" x14ac:dyDescent="0.3">
      <c r="A1" s="115" t="s">
        <v>123</v>
      </c>
      <c r="C1" s="345" t="s">
        <v>37</v>
      </c>
      <c r="D1" s="346"/>
      <c r="E1" s="7"/>
      <c r="F1" s="7"/>
      <c r="G1" s="7"/>
      <c r="H1" s="8"/>
      <c r="J1" s="57" t="s">
        <v>0</v>
      </c>
      <c r="K1" s="338">
        <f>'Data Input'!C3</f>
        <v>1</v>
      </c>
      <c r="L1" s="339"/>
      <c r="M1" s="339"/>
      <c r="N1" s="339"/>
      <c r="O1" s="136" t="s">
        <v>168</v>
      </c>
      <c r="P1" s="165">
        <f>'Data Input'!C24</f>
        <v>0</v>
      </c>
      <c r="Q1" s="167"/>
      <c r="R1" s="168"/>
    </row>
    <row r="2" spans="1:18" x14ac:dyDescent="0.3">
      <c r="A2" s="116"/>
      <c r="C2" s="9" t="s">
        <v>38</v>
      </c>
      <c r="D2" s="344" t="s">
        <v>39</v>
      </c>
      <c r="E2" s="344"/>
      <c r="F2" s="347" t="s">
        <v>40</v>
      </c>
      <c r="G2" s="347"/>
      <c r="H2" s="10"/>
      <c r="J2" s="58" t="s">
        <v>2</v>
      </c>
      <c r="K2" s="59">
        <f>'Data Input'!C4</f>
        <v>1</v>
      </c>
      <c r="L2" s="137"/>
      <c r="M2" s="161" t="str">
        <f>'Data Input'!C2</f>
        <v>Not Residential</v>
      </c>
      <c r="N2" s="139"/>
      <c r="O2" s="138" t="s">
        <v>169</v>
      </c>
      <c r="P2" s="166">
        <f>'Data Input'!C26</f>
        <v>0.3</v>
      </c>
      <c r="Q2" s="132"/>
      <c r="R2" s="140"/>
    </row>
    <row r="3" spans="1:18" ht="15" thickBot="1" x14ac:dyDescent="0.35">
      <c r="A3" s="117" t="s">
        <v>124</v>
      </c>
      <c r="C3" s="11" t="e">
        <f ca="1">Tables!K6</f>
        <v>#VALUE!</v>
      </c>
      <c r="D3" s="348" t="e">
        <f ca="1">IF(Tables!O13&gt;=Tables!K6,Tables!K6,Tables!O13)</f>
        <v>#VALUE!</v>
      </c>
      <c r="E3" s="348"/>
      <c r="F3" s="348" t="e">
        <f ca="1">Tables!O13-Tables!D3</f>
        <v>#VALUE!</v>
      </c>
      <c r="G3" s="348"/>
      <c r="H3" s="10"/>
      <c r="J3" s="51" t="s">
        <v>170</v>
      </c>
      <c r="K3" s="141">
        <f>'Data Input'!C10</f>
        <v>0</v>
      </c>
      <c r="L3" s="142"/>
      <c r="M3" s="143" t="s">
        <v>104</v>
      </c>
      <c r="N3" s="60">
        <f>'Data Input'!C12</f>
        <v>9</v>
      </c>
      <c r="O3" s="143" t="s">
        <v>1</v>
      </c>
      <c r="P3" s="169">
        <v>0</v>
      </c>
      <c r="Q3" s="142"/>
      <c r="R3" s="144"/>
    </row>
    <row r="4" spans="1:18" ht="15" thickBot="1" x14ac:dyDescent="0.35">
      <c r="A4" s="118" t="s">
        <v>125</v>
      </c>
      <c r="C4" s="12"/>
      <c r="D4" s="1"/>
      <c r="E4" s="1"/>
      <c r="F4" s="1"/>
      <c r="G4" s="1"/>
      <c r="H4" s="13"/>
      <c r="L4"/>
    </row>
    <row r="5" spans="1:18" ht="15" thickBot="1" x14ac:dyDescent="0.35">
      <c r="A5" s="118" t="s">
        <v>126</v>
      </c>
      <c r="C5" s="14" t="s">
        <v>41</v>
      </c>
      <c r="D5" s="15" t="s">
        <v>42</v>
      </c>
      <c r="E5" s="15" t="s">
        <v>43</v>
      </c>
      <c r="F5" s="15" t="s">
        <v>19</v>
      </c>
      <c r="G5" s="15" t="s">
        <v>44</v>
      </c>
      <c r="H5" s="16" t="s">
        <v>45</v>
      </c>
      <c r="J5" s="3" t="s">
        <v>136</v>
      </c>
      <c r="K5" s="126"/>
      <c r="L5" s="150" t="s">
        <v>80</v>
      </c>
      <c r="N5" s="3" t="s">
        <v>3</v>
      </c>
      <c r="O5" s="126"/>
      <c r="Q5" s="320" t="s">
        <v>5</v>
      </c>
      <c r="R5" s="321"/>
    </row>
    <row r="6" spans="1:18" x14ac:dyDescent="0.3">
      <c r="A6" s="118" t="s">
        <v>101</v>
      </c>
      <c r="C6" s="17">
        <v>35001</v>
      </c>
      <c r="D6" s="18">
        <v>50000</v>
      </c>
      <c r="E6" s="19">
        <v>6.6700000000000006E-3</v>
      </c>
      <c r="F6" s="19">
        <v>5.5500000000000002E-3</v>
      </c>
      <c r="G6" s="18">
        <f>((D6-C6)*E6)+402</f>
        <v>502.04333000000003</v>
      </c>
      <c r="H6" s="20">
        <f>((D6-C6)*F6)+344</f>
        <v>427.24445000000003</v>
      </c>
      <c r="J6" s="127" t="s">
        <v>143</v>
      </c>
      <c r="K6" s="145" t="e">
        <f ca="1">(O6-SUM(K7:K16,K18:K22,K25:K26,K28:K29,K31:K33,O7:O11)-(SUM(K7:K16,K18:K22,K25:K26,K28:K29,K31:K33)*P2))/((P2*1.0058)+1.0058)</f>
        <v>#VALUE!</v>
      </c>
      <c r="L6" s="151">
        <v>1</v>
      </c>
      <c r="N6" s="127" t="s">
        <v>6</v>
      </c>
      <c r="O6" s="145">
        <f>'Data Input'!C22</f>
        <v>0</v>
      </c>
      <c r="Q6" s="41" t="s">
        <v>10</v>
      </c>
      <c r="R6" s="33" t="e">
        <f ca="1">'Flip Sheets'!C11</f>
        <v>#VALUE!</v>
      </c>
    </row>
    <row r="7" spans="1:18" ht="16.149999999999999" x14ac:dyDescent="0.35">
      <c r="A7" s="118" t="s">
        <v>127</v>
      </c>
      <c r="C7" s="17">
        <v>50001</v>
      </c>
      <c r="D7" s="18">
        <v>100000</v>
      </c>
      <c r="E7" s="19">
        <v>5.4300000000000008E-3</v>
      </c>
      <c r="F7" s="19">
        <v>4.5399999999999998E-3</v>
      </c>
      <c r="G7" s="18">
        <f t="shared" ref="G7:G12" si="0">((D7-C7)*E7)+G6</f>
        <v>773.53790000000004</v>
      </c>
      <c r="H7" s="20">
        <f t="shared" ref="H7:H12" si="1">((D7-C7)*F7)+H6</f>
        <v>654.23991000000001</v>
      </c>
      <c r="J7" s="127" t="s">
        <v>163</v>
      </c>
      <c r="K7" s="145">
        <f>'Data Input'!I3*(1+(L7*'Data Input'!C24))</f>
        <v>2</v>
      </c>
      <c r="L7" s="159">
        <f>0.09/12</f>
        <v>7.4999999999999997E-3</v>
      </c>
      <c r="N7" s="127" t="s">
        <v>9</v>
      </c>
      <c r="O7" s="145">
        <v>0</v>
      </c>
      <c r="Q7" s="46" t="s">
        <v>8</v>
      </c>
      <c r="R7" s="34" t="e">
        <f ca="1">'Flip Sheets'!F11</f>
        <v>#VALUE!</v>
      </c>
    </row>
    <row r="8" spans="1:18" ht="16.7" thickBot="1" x14ac:dyDescent="0.4">
      <c r="A8" s="119" t="s">
        <v>128</v>
      </c>
      <c r="C8" s="17">
        <v>100001</v>
      </c>
      <c r="D8" s="18">
        <v>500000</v>
      </c>
      <c r="E8" s="19">
        <v>4.3600000000000002E-3</v>
      </c>
      <c r="F8" s="19">
        <v>3.64E-3</v>
      </c>
      <c r="G8" s="18">
        <f t="shared" si="0"/>
        <v>2517.5335400000004</v>
      </c>
      <c r="H8" s="20">
        <f t="shared" si="1"/>
        <v>2110.2362700000003</v>
      </c>
      <c r="J8" s="174" t="s">
        <v>144</v>
      </c>
      <c r="K8" s="145">
        <f>'Data Input'!I4*L8</f>
        <v>2</v>
      </c>
      <c r="L8" s="160">
        <v>1</v>
      </c>
      <c r="N8" s="127" t="s">
        <v>11</v>
      </c>
      <c r="O8" s="145">
        <f>O6*'Data Input'!C25</f>
        <v>0</v>
      </c>
      <c r="Q8" s="46" t="s">
        <v>12</v>
      </c>
      <c r="R8" s="35" t="e">
        <f ca="1">'Flip Sheets'!H8</f>
        <v>#VALUE!</v>
      </c>
    </row>
    <row r="9" spans="1:18" ht="15" thickBot="1" x14ac:dyDescent="0.35">
      <c r="A9" s="120"/>
      <c r="C9" s="17">
        <v>500001</v>
      </c>
      <c r="D9" s="18">
        <v>1000000</v>
      </c>
      <c r="E9" s="19">
        <v>3.98E-3</v>
      </c>
      <c r="F9" s="19">
        <v>3.31E-3</v>
      </c>
      <c r="G9" s="18">
        <f t="shared" si="0"/>
        <v>4507.5295600000009</v>
      </c>
      <c r="H9" s="20">
        <f t="shared" si="1"/>
        <v>3765.2329600000003</v>
      </c>
      <c r="J9" s="127" t="s">
        <v>146</v>
      </c>
      <c r="K9" s="145">
        <f>'Data Input'!I5*L9</f>
        <v>2</v>
      </c>
      <c r="L9" s="160">
        <v>1</v>
      </c>
      <c r="N9" s="127" t="s">
        <v>13</v>
      </c>
      <c r="O9" s="145" t="e">
        <f>(IF('Data Input'!C2="Residential",IF(AND(O6&gt;0,O6&lt;=500000),"1%",IF(O6&gt;500000,"1.425%","")),IF(AND(O6&gt;0,O6&lt;=500000),"1.425%",IF(O6&gt;500000,"2.625%","")))+0.4%)*O6</f>
        <v>#VALUE!</v>
      </c>
      <c r="Q9" s="40" t="s">
        <v>14</v>
      </c>
      <c r="R9" s="36" t="e">
        <f ca="1">R8/'Data Input'!C24*12</f>
        <v>#VALUE!</v>
      </c>
    </row>
    <row r="10" spans="1:18" ht="15" thickBot="1" x14ac:dyDescent="0.35">
      <c r="A10" s="115" t="s">
        <v>129</v>
      </c>
      <c r="C10" s="17">
        <v>1000001</v>
      </c>
      <c r="D10" s="18">
        <v>5000000</v>
      </c>
      <c r="E10" s="19">
        <v>3.6600000000000001E-3</v>
      </c>
      <c r="F10" s="19">
        <v>3.0500000000000002E-3</v>
      </c>
      <c r="G10" s="18">
        <f t="shared" si="0"/>
        <v>19147.525900000001</v>
      </c>
      <c r="H10" s="20">
        <f t="shared" si="1"/>
        <v>15965.229910000002</v>
      </c>
      <c r="J10" s="127" t="s">
        <v>147</v>
      </c>
      <c r="K10" s="145">
        <f>'Data Input'!I6*L10</f>
        <v>2</v>
      </c>
      <c r="L10" s="160">
        <v>1</v>
      </c>
      <c r="N10" s="127" t="s">
        <v>15</v>
      </c>
      <c r="O10" s="145">
        <v>1250</v>
      </c>
      <c r="Q10" s="4"/>
      <c r="R10" s="4"/>
    </row>
    <row r="11" spans="1:18" ht="15" thickBot="1" x14ac:dyDescent="0.35">
      <c r="A11" s="116"/>
      <c r="C11" s="17">
        <v>5000001</v>
      </c>
      <c r="D11" s="18">
        <v>10000000</v>
      </c>
      <c r="E11" s="19">
        <v>3.2499999999999999E-3</v>
      </c>
      <c r="F11" s="19">
        <v>2.7100000000000002E-3</v>
      </c>
      <c r="G11" s="18">
        <f t="shared" si="0"/>
        <v>35397.522649999999</v>
      </c>
      <c r="H11" s="20">
        <f t="shared" si="1"/>
        <v>29515.227200000001</v>
      </c>
      <c r="J11" s="127" t="s">
        <v>149</v>
      </c>
      <c r="K11" s="145">
        <f>('Data Input'!I7*(1+(P1*0.0075)))*L11</f>
        <v>0.7</v>
      </c>
      <c r="L11" s="152">
        <v>0.35</v>
      </c>
      <c r="N11" s="127" t="s">
        <v>17</v>
      </c>
      <c r="O11" s="145">
        <v>500</v>
      </c>
      <c r="Q11" s="340" t="s">
        <v>18</v>
      </c>
      <c r="R11" s="341"/>
    </row>
    <row r="12" spans="1:18" x14ac:dyDescent="0.3">
      <c r="A12" s="117" t="s">
        <v>130</v>
      </c>
      <c r="C12" s="17">
        <v>10000001</v>
      </c>
      <c r="D12" s="18">
        <v>15000000</v>
      </c>
      <c r="E12" s="19">
        <v>3.0699999999999998E-3</v>
      </c>
      <c r="F12" s="19">
        <v>2.5500000000000002E-3</v>
      </c>
      <c r="G12" s="18">
        <f t="shared" si="0"/>
        <v>50747.51958</v>
      </c>
      <c r="H12" s="20">
        <f t="shared" si="1"/>
        <v>42265.224650000004</v>
      </c>
      <c r="J12" s="127" t="s">
        <v>150</v>
      </c>
      <c r="K12" s="145">
        <f>'Data Input'!I8*L12</f>
        <v>2</v>
      </c>
      <c r="L12" s="152">
        <v>1</v>
      </c>
      <c r="N12" s="3" t="s">
        <v>4</v>
      </c>
      <c r="O12" s="146"/>
      <c r="Q12" s="37" t="s">
        <v>10</v>
      </c>
      <c r="R12" s="27" t="e">
        <f ca="1">'Flip Sheets'!C26</f>
        <v>#VALUE!</v>
      </c>
    </row>
    <row r="13" spans="1:18" ht="16.149999999999999" x14ac:dyDescent="0.35">
      <c r="A13" s="118" t="s">
        <v>131</v>
      </c>
      <c r="C13" s="17">
        <v>15000001</v>
      </c>
      <c r="D13" s="18"/>
      <c r="E13" s="19">
        <v>2.7599999999999999E-3</v>
      </c>
      <c r="F13" s="19">
        <v>2.31E-3</v>
      </c>
      <c r="G13" s="18"/>
      <c r="H13" s="20"/>
      <c r="J13" s="127" t="s">
        <v>151</v>
      </c>
      <c r="K13" s="145">
        <f>'Data Input'!I9*L13</f>
        <v>0.8</v>
      </c>
      <c r="L13" s="152">
        <v>0.4</v>
      </c>
      <c r="N13" s="127" t="s">
        <v>7</v>
      </c>
      <c r="O13" s="145">
        <f>O6*O17</f>
        <v>0</v>
      </c>
      <c r="Q13" s="32" t="s">
        <v>20</v>
      </c>
      <c r="R13" s="31" t="e">
        <f ca="1">'Flip Sheets'!F26</f>
        <v>#VALUE!</v>
      </c>
    </row>
    <row r="14" spans="1:18" ht="16.149999999999999" x14ac:dyDescent="0.35">
      <c r="A14" s="121" t="s">
        <v>132</v>
      </c>
      <c r="C14" s="12"/>
      <c r="D14" s="1"/>
      <c r="E14" s="1"/>
      <c r="F14" s="1"/>
      <c r="G14" s="1"/>
      <c r="H14" s="13"/>
      <c r="J14" s="127" t="s">
        <v>152</v>
      </c>
      <c r="K14" s="145">
        <f>'Data Input'!I10*L14</f>
        <v>0.3</v>
      </c>
      <c r="L14" s="152">
        <v>0.15</v>
      </c>
      <c r="N14" s="127" t="s">
        <v>145</v>
      </c>
      <c r="O14" s="128">
        <v>0.12</v>
      </c>
      <c r="Q14" s="32" t="s">
        <v>21</v>
      </c>
      <c r="R14" s="30" t="e">
        <f ca="1">'Flip Sheets'!H25</f>
        <v>#VALUE!</v>
      </c>
    </row>
    <row r="15" spans="1:18" x14ac:dyDescent="0.3">
      <c r="A15" s="118" t="s">
        <v>133</v>
      </c>
      <c r="C15" s="14" t="s">
        <v>43</v>
      </c>
      <c r="D15" s="344" t="s">
        <v>219</v>
      </c>
      <c r="E15" s="344"/>
      <c r="F15" s="132"/>
      <c r="G15" s="314" t="s">
        <v>46</v>
      </c>
      <c r="H15" s="16" t="s">
        <v>47</v>
      </c>
      <c r="J15" s="127" t="s">
        <v>155</v>
      </c>
      <c r="K15" s="145">
        <f>'Data Input'!I11*L15</f>
        <v>2</v>
      </c>
      <c r="L15" s="152">
        <f>IF('Data Input'!I11&lt;12500,100%,0%)</f>
        <v>1</v>
      </c>
      <c r="N15" s="127" t="s">
        <v>74</v>
      </c>
      <c r="O15" s="23">
        <v>2</v>
      </c>
      <c r="Q15" s="38" t="s">
        <v>14</v>
      </c>
      <c r="R15" s="28" t="e">
        <f ca="1">R14/'Data Input'!C24*12</f>
        <v>#VALUE!</v>
      </c>
    </row>
    <row r="16" spans="1:18" ht="16.7" thickBot="1" x14ac:dyDescent="0.4">
      <c r="A16" s="118" t="s">
        <v>134</v>
      </c>
      <c r="C16" s="21" t="e">
        <f ca="1">IF(C3&lt;C6,402,IF(C3&lt;=D6,(C3-C6)*E6,IF(C3&lt;=D7,(C3-C7)*E7+G6,IF(C3&lt;=D8,(C3-C8)*E8+G7,IF(C3&lt;=D9,(C3-C9)*E9+G8,IF(C3&lt;=D10,(C3-C10)*E10+G9,IF(C3&lt;=D11,(C3-C11)*E11+G10,IF(C3&lt;=D12,(C3-C12)*E12+G11,IF(C3&gt;=C13,(C3-C13)*E13+G12,"")))))))))</f>
        <v>#VALUE!</v>
      </c>
      <c r="D16" s="315" t="e">
        <f ca="1"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</f>
        <v>#VALUE!</v>
      </c>
      <c r="E16" s="313" t="e">
        <f ca="1">IF(D3&lt;$C$6,402,IF(D3&lt;=$D$6,(D3-$C$6)*$F$6,IF(D3&lt;=$D$7,(D3-$C$7)*$F$7+$H$6,IF(D3&lt;=$D$8,(D3-$C$8)*$F$8+$H$7,IF(D3&lt;=$D$9,(D3-$C$9)*$F$9+$H$8,IF(D3&lt;=$D$10,(D3-$C$10)*$F$10+$H$9,IF(D3&lt;=$D$11,(D3-$C$11)*$F$11+$H$10,IF(D3&lt;=$D$12,(D3-$C$12)*$F$12+$H$11,IF(D3&gt;=$C$13,(D3-$C$13)*$F$13+$H$12,"")))))))))*0.3</f>
        <v>#VALUE!</v>
      </c>
      <c r="F16" s="316"/>
      <c r="G16" s="313" t="e">
        <f ca="1">IF(F3&lt;$C$6,402,IF(F3&lt;=$D$6,(F3-$C$6)*$F$6,IF(F3&lt;=$D$7,(F3-$C$7)*$F$7+$H$6,IF(F3&lt;=$D$8,(F3-$C$8)*$F$8+$H$7,IF(F3&lt;=$D$9,(F3-$C$9)*$F$9+$H$8,IF(F3&lt;=$D$10,(F3-$C$10)*$F$10+$H$9,IF(F3&lt;=$D$11,(F3-$C$11)*$F$11+$H$10,IF(F3&lt;=$D$12,(F3-$C$12)*$F$12+$H$11,IF(F3&gt;=$C$13,(F3-$C$13)*$F$13+$H$12,"")))))))))</f>
        <v>#VALUE!</v>
      </c>
      <c r="H16" s="22" t="e">
        <f ca="1">D16+E16+G16</f>
        <v>#VALUE!</v>
      </c>
      <c r="J16" s="130" t="s">
        <v>164</v>
      </c>
      <c r="K16" s="147">
        <f ca="1">IF('Data Input'!I14="",0,'Data Input'!I13*(1+(TODAY()+180-'Data Input'!I14)*L16))</f>
        <v>-1435.8064657534246</v>
      </c>
      <c r="L16" s="159">
        <f>9%/365</f>
        <v>2.4657534246575342E-4</v>
      </c>
      <c r="N16" s="127" t="s">
        <v>148</v>
      </c>
      <c r="O16" s="23">
        <v>12</v>
      </c>
      <c r="Q16" s="32" t="s">
        <v>24</v>
      </c>
      <c r="R16" s="31" t="e">
        <f ca="1">'Flip Sheets'!H23</f>
        <v>#VALUE!</v>
      </c>
    </row>
    <row r="17" spans="1:18" ht="16.7" thickBot="1" x14ac:dyDescent="0.4">
      <c r="A17" s="118" t="s">
        <v>135</v>
      </c>
      <c r="J17" s="24" t="s">
        <v>157</v>
      </c>
      <c r="K17" s="148"/>
      <c r="L17" s="157"/>
      <c r="N17" s="127" t="s">
        <v>16</v>
      </c>
      <c r="O17" s="129">
        <v>0.6</v>
      </c>
      <c r="Q17" s="32" t="s">
        <v>26</v>
      </c>
      <c r="R17" s="30" t="e">
        <f ca="1">R13/R16</f>
        <v>#VALUE!</v>
      </c>
    </row>
    <row r="18" spans="1:18" ht="15" thickBot="1" x14ac:dyDescent="0.35">
      <c r="A18" s="119" t="s">
        <v>109</v>
      </c>
      <c r="C18" s="49" t="s">
        <v>13</v>
      </c>
      <c r="D18" s="48"/>
      <c r="F18" s="133"/>
      <c r="G18" s="304" t="s">
        <v>216</v>
      </c>
      <c r="H18" s="305">
        <v>0.25</v>
      </c>
      <c r="I18" s="133"/>
      <c r="J18" s="127" t="s">
        <v>29</v>
      </c>
      <c r="K18" s="145">
        <f>'Data Input'!C15</f>
        <v>0</v>
      </c>
      <c r="L18" s="153"/>
      <c r="N18" s="24" t="s">
        <v>49</v>
      </c>
      <c r="O18" s="25"/>
      <c r="Q18" s="39" t="s">
        <v>28</v>
      </c>
      <c r="R18" s="29" t="e">
        <f ca="1">R17/'Data Input'!C24*12</f>
        <v>#VALUE!</v>
      </c>
    </row>
    <row r="19" spans="1:18" ht="15" thickBot="1" x14ac:dyDescent="0.35">
      <c r="A19" s="120"/>
      <c r="C19" s="55" t="s">
        <v>70</v>
      </c>
      <c r="D19" s="56" t="str">
        <f>IF(OR(NOT(ISERROR(SEARCH(("A"),'Data Input'!C4))),NOT(ISERROR(SEARCH(("B"),'Data Input'!C4))),NOT(ISERROR(SEARCH(("C0"),'Data Input'!C4))),NOT(ISERROR(SEARCH(("21"),'Data Input'!C4))),NOT(ISERROR(SEARCH(("R"),'Data Input'!C4)))),"Residential","Not Residential")</f>
        <v>Not Residential</v>
      </c>
      <c r="F19" s="5"/>
      <c r="G19" s="306" t="s">
        <v>204</v>
      </c>
      <c r="H19" s="307" t="e">
        <f ca="1">(Tables!O6-SUM(Tables!K24:K33,Tables!O7:O11,O19:O22)-(SUM(Tables!K24:K33,O19:O22)*Tables!H18))/((Tables!H18*1)+1)</f>
        <v>#VALUE!</v>
      </c>
      <c r="I19" s="5"/>
      <c r="J19" s="127" t="s">
        <v>23</v>
      </c>
      <c r="K19" s="178">
        <f>IF(OR('Data Input'!C11="Yes",'Data Input'!C12&gt;0)*AND('Data Input'!F8&lt;&gt;"Yes",'Data Input'!F9&lt;&gt;"Yes",'Data Input'!F10&lt;&gt;"Yes",'Data Input'!C16&lt;&gt;""),'Data Input'!C16*L19-10000,'Data Input'!C16*L19)</f>
        <v>0</v>
      </c>
      <c r="L19" s="152">
        <v>0.75</v>
      </c>
      <c r="N19" s="127" t="s">
        <v>19</v>
      </c>
      <c r="O19" s="179" t="e">
        <f ca="1">Tables!H16-Tables!C16</f>
        <v>#VALUE!</v>
      </c>
      <c r="Q19" s="6"/>
      <c r="R19" s="5"/>
    </row>
    <row r="20" spans="1:18" ht="15" thickBot="1" x14ac:dyDescent="0.35">
      <c r="A20" s="122" t="s">
        <v>75</v>
      </c>
      <c r="F20" s="5"/>
      <c r="G20" s="308" t="s">
        <v>10</v>
      </c>
      <c r="H20" s="309" t="e">
        <f ca="1">H19+SUM(K24:K33,O19:O22)</f>
        <v>#VALUE!</v>
      </c>
      <c r="I20" s="5"/>
      <c r="J20" s="127" t="s">
        <v>73</v>
      </c>
      <c r="K20" s="145">
        <f>'Data Input'!C17</f>
        <v>0</v>
      </c>
      <c r="L20" s="153"/>
      <c r="N20" s="127" t="s">
        <v>154</v>
      </c>
      <c r="O20" s="145" t="e">
        <f>((IF('Data Input'!C2="Residential",IF(AND(O13&gt;0,O13&lt;=500000),"2.0%",IF(O13&gt;500000,"2.125%","")),IF(AND(O13&gt;0,O13&lt;=500000),"2.0%",IF(O13&gt;500000,"2.75%",""))))*O13)+(275)+1500</f>
        <v>#VALUE!</v>
      </c>
      <c r="Q20" s="342" t="s">
        <v>31</v>
      </c>
      <c r="R20" s="343"/>
    </row>
    <row r="21" spans="1:18" ht="16.149999999999999" x14ac:dyDescent="0.35">
      <c r="A21" s="123"/>
      <c r="C21" s="52" t="s">
        <v>67</v>
      </c>
      <c r="D21" s="50"/>
      <c r="F21" s="5"/>
      <c r="G21" s="308" t="s">
        <v>24</v>
      </c>
      <c r="H21" s="309" t="e">
        <f ca="1">H20-O13</f>
        <v>#VALUE!</v>
      </c>
      <c r="I21" s="5"/>
      <c r="J21" s="127" t="s">
        <v>25</v>
      </c>
      <c r="K21" s="145">
        <f>'Data Input'!C12*5000</f>
        <v>45000</v>
      </c>
      <c r="L21" s="153"/>
      <c r="N21" s="127" t="s">
        <v>66</v>
      </c>
      <c r="O21" s="145">
        <f>(O13*O15%)</f>
        <v>0</v>
      </c>
      <c r="Q21" s="44" t="s">
        <v>32</v>
      </c>
      <c r="R21" s="45" t="e">
        <f ca="1">'Flip Sheets'!F33</f>
        <v>#VALUE!</v>
      </c>
    </row>
    <row r="22" spans="1:18" ht="15" thickBot="1" x14ac:dyDescent="0.35">
      <c r="A22" s="124" t="s">
        <v>76</v>
      </c>
      <c r="C22" s="53" t="s">
        <v>68</v>
      </c>
      <c r="D22" s="182">
        <v>0.15</v>
      </c>
      <c r="F22" s="5"/>
      <c r="G22" s="308" t="s">
        <v>209</v>
      </c>
      <c r="H22" s="310" t="e">
        <f ca="1">O6-SUM(O7:O11)-H20</f>
        <v>#VALUE!</v>
      </c>
      <c r="I22" s="5"/>
      <c r="J22" s="127" t="s">
        <v>27</v>
      </c>
      <c r="K22" s="145">
        <f>'Data Input'!C18</f>
        <v>0</v>
      </c>
      <c r="L22" s="153"/>
      <c r="N22" s="130" t="s">
        <v>22</v>
      </c>
      <c r="O22" s="147">
        <f>(O13*O14/12*'Data Input'!C24)</f>
        <v>0</v>
      </c>
      <c r="Q22" s="42" t="s">
        <v>51</v>
      </c>
      <c r="R22" s="43" t="e">
        <f ca="1">'Flip Sheets'!C33</f>
        <v>#VALUE!</v>
      </c>
    </row>
    <row r="23" spans="1:18" ht="16.7" thickBot="1" x14ac:dyDescent="0.4">
      <c r="A23" s="125" t="s">
        <v>77</v>
      </c>
      <c r="C23" s="54" t="s">
        <v>32</v>
      </c>
      <c r="D23" s="96" t="e">
        <f ca="1">(Tables!O6-SUM(Tables!K24:K33,Tables!O7:O11)-(SUM(Tables!K24:K33)*Tables!D22))/((Tables!D22*1)+1)</f>
        <v>#VALUE!</v>
      </c>
      <c r="F23" s="5"/>
      <c r="G23" s="311" t="s">
        <v>179</v>
      </c>
      <c r="H23" s="312" t="e">
        <f ca="1">H22/H20</f>
        <v>#VALUE!</v>
      </c>
      <c r="I23" s="5"/>
      <c r="J23" s="24" t="s">
        <v>30</v>
      </c>
      <c r="K23" s="149"/>
      <c r="L23" s="157"/>
      <c r="M23" s="135"/>
      <c r="N23" s="135"/>
      <c r="O23" s="135"/>
      <c r="P23" s="135"/>
      <c r="Q23" s="113" t="s">
        <v>50</v>
      </c>
      <c r="R23" s="114" t="e">
        <f ca="1">R21-R22</f>
        <v>#VALUE!</v>
      </c>
    </row>
    <row r="24" spans="1:18" ht="15" thickBot="1" x14ac:dyDescent="0.35">
      <c r="A24" s="120"/>
      <c r="F24" s="5"/>
      <c r="G24" s="171"/>
      <c r="H24" s="134"/>
      <c r="I24" s="133"/>
      <c r="J24" s="127" t="s">
        <v>159</v>
      </c>
      <c r="K24" s="145" t="e">
        <f ca="1">Tables!C16</f>
        <v>#VALUE!</v>
      </c>
      <c r="L24" s="153"/>
      <c r="M24" s="135"/>
      <c r="N24" s="5"/>
      <c r="O24" s="131"/>
      <c r="P24" s="135"/>
    </row>
    <row r="25" spans="1:18" ht="15" thickBot="1" x14ac:dyDescent="0.35">
      <c r="A25" s="122" t="s">
        <v>136</v>
      </c>
      <c r="C25" s="49" t="s">
        <v>69</v>
      </c>
      <c r="D25" s="50"/>
      <c r="F25" s="5"/>
      <c r="G25" s="304" t="s">
        <v>218</v>
      </c>
      <c r="H25" s="305"/>
      <c r="I25" s="5"/>
      <c r="J25" s="127" t="s">
        <v>160</v>
      </c>
      <c r="K25" s="145">
        <v>1200</v>
      </c>
      <c r="L25" s="154"/>
      <c r="M25" s="135"/>
      <c r="N25" s="5"/>
      <c r="O25" s="131"/>
      <c r="P25" s="135"/>
    </row>
    <row r="26" spans="1:18" x14ac:dyDescent="0.3">
      <c r="A26" s="124"/>
      <c r="C26" s="2" t="s">
        <v>1</v>
      </c>
      <c r="D26" s="180">
        <v>0</v>
      </c>
      <c r="F26" s="5"/>
      <c r="G26" s="306" t="s">
        <v>204</v>
      </c>
      <c r="H26" s="307">
        <f ca="1">'Data Input'!C21+SUM(Tables!K9:K16,K18,K20:K22)</f>
        <v>43573.993534246576</v>
      </c>
      <c r="I26" s="5"/>
      <c r="J26" s="127" t="s">
        <v>161</v>
      </c>
      <c r="K26" s="145">
        <v>1250</v>
      </c>
      <c r="L26" s="154"/>
      <c r="M26" s="135"/>
      <c r="N26" s="135"/>
      <c r="O26" s="135"/>
      <c r="P26" s="135"/>
    </row>
    <row r="27" spans="1:18" ht="15" thickBot="1" x14ac:dyDescent="0.35">
      <c r="A27" s="124" t="s">
        <v>77</v>
      </c>
      <c r="C27" s="51" t="s">
        <v>35</v>
      </c>
      <c r="D27" s="181">
        <v>0.18</v>
      </c>
      <c r="F27" s="5"/>
      <c r="G27" s="308" t="s">
        <v>10</v>
      </c>
      <c r="H27" s="309" t="e">
        <f ca="1">H26+SUM(K24:K33,O19:O22)</f>
        <v>#VALUE!</v>
      </c>
      <c r="I27" s="5"/>
      <c r="J27" s="24" t="s">
        <v>65</v>
      </c>
      <c r="K27" s="148"/>
      <c r="L27" s="158"/>
      <c r="M27" s="134"/>
      <c r="N27" s="134"/>
      <c r="O27" s="134"/>
      <c r="P27" s="134"/>
    </row>
    <row r="28" spans="1:18" x14ac:dyDescent="0.3">
      <c r="A28" s="124" t="s">
        <v>137</v>
      </c>
      <c r="F28" s="134"/>
      <c r="G28" s="308" t="s">
        <v>24</v>
      </c>
      <c r="H28" s="309" t="e">
        <f ca="1">H27-O13</f>
        <v>#VALUE!</v>
      </c>
      <c r="I28" s="134"/>
      <c r="J28" s="127" t="s">
        <v>33</v>
      </c>
      <c r="K28" s="145">
        <f>'Data Input'!C23</f>
        <v>0</v>
      </c>
      <c r="L28" s="155"/>
      <c r="M28" s="134"/>
      <c r="P28" s="134"/>
    </row>
    <row r="29" spans="1:18" ht="15" thickBot="1" x14ac:dyDescent="0.35">
      <c r="A29" s="124" t="s">
        <v>138</v>
      </c>
      <c r="C29" s="172"/>
      <c r="D29" s="172"/>
      <c r="E29" s="26"/>
      <c r="F29" s="133"/>
      <c r="G29" s="308" t="s">
        <v>209</v>
      </c>
      <c r="H29" s="310" t="e">
        <f ca="1">O6-SUM(O7:O11)-H27</f>
        <v>#VALUE!</v>
      </c>
      <c r="I29" s="134"/>
      <c r="J29" s="130" t="s">
        <v>34</v>
      </c>
      <c r="K29" s="147">
        <f>IF(Tables!K11&gt;4000,10000,0)</f>
        <v>0</v>
      </c>
      <c r="L29" s="155"/>
    </row>
    <row r="30" spans="1:18" ht="15" thickBot="1" x14ac:dyDescent="0.35">
      <c r="A30" s="124" t="s">
        <v>87</v>
      </c>
      <c r="C30" s="5"/>
      <c r="D30" s="173"/>
      <c r="E30" s="26"/>
      <c r="F30" s="5"/>
      <c r="G30" s="311" t="s">
        <v>179</v>
      </c>
      <c r="H30" s="312" t="e">
        <f ca="1">H29/H27</f>
        <v>#VALUE!</v>
      </c>
      <c r="I30" s="134"/>
      <c r="J30" s="24" t="s">
        <v>58</v>
      </c>
      <c r="K30" s="149"/>
      <c r="L30" s="158"/>
    </row>
    <row r="31" spans="1:18" x14ac:dyDescent="0.3">
      <c r="A31" s="124" t="s">
        <v>139</v>
      </c>
      <c r="C31" s="5"/>
      <c r="D31" s="170"/>
      <c r="F31" s="5"/>
      <c r="I31" s="134"/>
      <c r="J31" s="127" t="s">
        <v>153</v>
      </c>
      <c r="K31" s="145">
        <f>(O13/100)*0.45/12*P1</f>
        <v>0</v>
      </c>
      <c r="L31" s="155"/>
    </row>
    <row r="32" spans="1:18" ht="15" thickBot="1" x14ac:dyDescent="0.35">
      <c r="A32" s="125" t="s">
        <v>140</v>
      </c>
      <c r="F32" s="5"/>
      <c r="G32" s="170"/>
      <c r="H32" s="134"/>
      <c r="I32" s="134"/>
      <c r="J32" s="127" t="s">
        <v>156</v>
      </c>
      <c r="K32" s="145">
        <f>'Data Input'!C9/12*'Data Input'!C24</f>
        <v>0</v>
      </c>
      <c r="L32" s="155"/>
    </row>
    <row r="33" spans="6:13" ht="15" thickBot="1" x14ac:dyDescent="0.35">
      <c r="F33" s="5"/>
      <c r="G33" s="170"/>
      <c r="H33" s="134"/>
      <c r="I33" s="134"/>
      <c r="J33" s="130" t="s">
        <v>158</v>
      </c>
      <c r="K33" s="147">
        <f>(('Data Input'!C8*50)*'Data Input'!C8+('Data Input'!C8*200)+('Data Input'!C8*50*'Data Input'!C8)+('Data Input'!C8*200)+('Data Input'!C8*50*'Data Input'!C8))</f>
        <v>15750</v>
      </c>
      <c r="L33" s="156"/>
    </row>
    <row r="34" spans="6:13" x14ac:dyDescent="0.3">
      <c r="F34" s="5"/>
      <c r="G34" s="170"/>
      <c r="H34" s="134"/>
      <c r="I34" s="134"/>
      <c r="J34" s="134"/>
      <c r="K34" s="134"/>
      <c r="L34" s="171"/>
      <c r="M34" s="134"/>
    </row>
    <row r="35" spans="6:13" x14ac:dyDescent="0.3">
      <c r="F35" s="5"/>
      <c r="G35" s="170"/>
      <c r="H35" s="134"/>
      <c r="I35" s="134"/>
      <c r="J35" s="134"/>
      <c r="K35" s="134"/>
      <c r="L35" s="171"/>
      <c r="M35" s="134"/>
    </row>
  </sheetData>
  <mergeCells count="10">
    <mergeCell ref="K1:N1"/>
    <mergeCell ref="Q5:R5"/>
    <mergeCell ref="Q11:R11"/>
    <mergeCell ref="Q20:R20"/>
    <mergeCell ref="D15:E15"/>
    <mergeCell ref="C1:D1"/>
    <mergeCell ref="D2:E2"/>
    <mergeCell ref="F2:G2"/>
    <mergeCell ref="D3:E3"/>
    <mergeCell ref="F3:G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Input</vt:lpstr>
      <vt:lpstr>Flip Sheets</vt:lpstr>
      <vt:lpstr>Rental Model</vt:lpstr>
      <vt:lpstr>Tables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</dc:creator>
  <cp:lastModifiedBy>Michael K</cp:lastModifiedBy>
  <cp:lastPrinted>2016-08-12T21:33:32Z</cp:lastPrinted>
  <dcterms:created xsi:type="dcterms:W3CDTF">2016-07-26T02:13:41Z</dcterms:created>
  <dcterms:modified xsi:type="dcterms:W3CDTF">2016-09-07T16:48:53Z</dcterms:modified>
</cp:coreProperties>
</file>