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20f2ad373083d/Documents/Investments/Stocks/"/>
    </mc:Choice>
  </mc:AlternateContent>
  <xr:revisionPtr revIDLastSave="73" documentId="13_ncr:1_{358196C8-47DC-4D69-8BCB-82998E37B0B3}" xr6:coauthVersionLast="47" xr6:coauthVersionMax="47" xr10:uidLastSave="{C44F5CF8-2C32-4A7E-8639-1A622D4F0DE7}"/>
  <bookViews>
    <workbookView xWindow="-108" yWindow="-108" windowWidth="23256" windowHeight="12576" activeTab="1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19" i="2" s="1"/>
  <c r="L7" i="1"/>
  <c r="L4" i="1"/>
  <c r="U8" i="2"/>
  <c r="V8" i="2" s="1"/>
  <c r="W8" i="2" s="1"/>
  <c r="X8" i="2" s="1"/>
  <c r="Y8" i="2" s="1"/>
  <c r="Z8" i="2" s="1"/>
  <c r="AA8" i="2" s="1"/>
  <c r="U7" i="2"/>
  <c r="V7" i="2" s="1"/>
  <c r="W7" i="2" s="1"/>
  <c r="X7" i="2" s="1"/>
  <c r="Y7" i="2" s="1"/>
  <c r="Z7" i="2" s="1"/>
  <c r="AA7" i="2" s="1"/>
  <c r="U6" i="2"/>
  <c r="M19" i="2"/>
  <c r="L8" i="2"/>
  <c r="M8" i="2" s="1"/>
  <c r="N8" i="2" s="1"/>
  <c r="L7" i="2"/>
  <c r="M7" i="2" s="1"/>
  <c r="N7" i="2" s="1"/>
  <c r="M6" i="2"/>
  <c r="N6" i="2" s="1"/>
  <c r="N9" i="2" s="1"/>
  <c r="L6" i="2"/>
  <c r="N5" i="2"/>
  <c r="U3" i="2"/>
  <c r="L19" i="2"/>
  <c r="D13" i="2"/>
  <c r="D11" i="2"/>
  <c r="D9" i="2"/>
  <c r="D5" i="2"/>
  <c r="D20" i="2" s="1"/>
  <c r="H11" i="2"/>
  <c r="H19" i="2"/>
  <c r="H9" i="2"/>
  <c r="H5" i="2"/>
  <c r="E11" i="2"/>
  <c r="E9" i="2"/>
  <c r="E5" i="2"/>
  <c r="E20" i="2" s="1"/>
  <c r="I19" i="2"/>
  <c r="I11" i="2"/>
  <c r="I9" i="2"/>
  <c r="I5" i="2"/>
  <c r="I20" i="2" s="1"/>
  <c r="T19" i="2"/>
  <c r="S11" i="2"/>
  <c r="T11" i="2"/>
  <c r="T9" i="2"/>
  <c r="S9" i="2"/>
  <c r="S5" i="2"/>
  <c r="S20" i="2" s="1"/>
  <c r="T5" i="2"/>
  <c r="T20" i="2" s="1"/>
  <c r="U2" i="2"/>
  <c r="V2" i="2" s="1"/>
  <c r="W2" i="2" s="1"/>
  <c r="X2" i="2" s="1"/>
  <c r="Y2" i="2" s="1"/>
  <c r="Z2" i="2" s="1"/>
  <c r="AA2" i="2" s="1"/>
  <c r="AB2" i="2" s="1"/>
  <c r="AC2" i="2" s="1"/>
  <c r="T2" i="2"/>
  <c r="J19" i="2"/>
  <c r="F11" i="2"/>
  <c r="F9" i="2"/>
  <c r="F5" i="2"/>
  <c r="F20" i="2" s="1"/>
  <c r="J11" i="2"/>
  <c r="J9" i="2"/>
  <c r="J5" i="2"/>
  <c r="J20" i="2" s="1"/>
  <c r="L16" i="2"/>
  <c r="M16" i="2" s="1"/>
  <c r="N16" i="2" s="1"/>
  <c r="L5" i="2"/>
  <c r="L4" i="2" s="1"/>
  <c r="K35" i="2"/>
  <c r="K34" i="2"/>
  <c r="K33" i="2"/>
  <c r="K23" i="2"/>
  <c r="K29" i="2" s="1"/>
  <c r="K20" i="2"/>
  <c r="K19" i="2"/>
  <c r="K11" i="2"/>
  <c r="G11" i="2"/>
  <c r="G9" i="2"/>
  <c r="G5" i="2"/>
  <c r="G20" i="2" s="1"/>
  <c r="K9" i="2"/>
  <c r="K5" i="2"/>
  <c r="K10" i="2" s="1"/>
  <c r="K12" i="2" s="1"/>
  <c r="K14" i="2" s="1"/>
  <c r="K15" i="2" s="1"/>
  <c r="N10" i="2" l="1"/>
  <c r="N12" i="2" s="1"/>
  <c r="N14" i="2" s="1"/>
  <c r="N15" i="2" s="1"/>
  <c r="U9" i="2"/>
  <c r="U10" i="2" s="1"/>
  <c r="U12" i="2" s="1"/>
  <c r="U14" i="2" s="1"/>
  <c r="U19" i="2"/>
  <c r="V3" i="2"/>
  <c r="U5" i="2"/>
  <c r="U20" i="2" s="1"/>
  <c r="N4" i="2"/>
  <c r="N20" i="2"/>
  <c r="U16" i="2"/>
  <c r="K38" i="2"/>
  <c r="V6" i="2"/>
  <c r="M9" i="2"/>
  <c r="L9" i="2"/>
  <c r="M5" i="2"/>
  <c r="S10" i="2"/>
  <c r="S12" i="2" s="1"/>
  <c r="S14" i="2" s="1"/>
  <c r="T10" i="2"/>
  <c r="T12" i="2" s="1"/>
  <c r="T14" i="2" s="1"/>
  <c r="T15" i="2" s="1"/>
  <c r="D10" i="2"/>
  <c r="D12" i="2" s="1"/>
  <c r="D14" i="2" s="1"/>
  <c r="D15" i="2" s="1"/>
  <c r="H10" i="2"/>
  <c r="H12" i="2" s="1"/>
  <c r="H14" i="2" s="1"/>
  <c r="H15" i="2" s="1"/>
  <c r="H20" i="2"/>
  <c r="E10" i="2"/>
  <c r="E12" i="2" s="1"/>
  <c r="E14" i="2" s="1"/>
  <c r="E15" i="2" s="1"/>
  <c r="I10" i="2"/>
  <c r="I12" i="2" s="1"/>
  <c r="I14" i="2" s="1"/>
  <c r="I15" i="2" s="1"/>
  <c r="L10" i="2"/>
  <c r="L12" i="2" s="1"/>
  <c r="L14" i="2" s="1"/>
  <c r="L15" i="2" s="1"/>
  <c r="L20" i="2"/>
  <c r="F10" i="2"/>
  <c r="F12" i="2" s="1"/>
  <c r="F14" i="2" s="1"/>
  <c r="F15" i="2" s="1"/>
  <c r="J10" i="2"/>
  <c r="J12" i="2" s="1"/>
  <c r="J14" i="2" s="1"/>
  <c r="J15" i="2" s="1"/>
  <c r="G10" i="2"/>
  <c r="G12" i="2" s="1"/>
  <c r="G14" i="2" s="1"/>
  <c r="G15" i="2" s="1"/>
  <c r="U21" i="2" l="1"/>
  <c r="U4" i="2"/>
  <c r="U15" i="2"/>
  <c r="V16" i="2"/>
  <c r="W16" i="2" s="1"/>
  <c r="X16" i="2" s="1"/>
  <c r="Y16" i="2" s="1"/>
  <c r="Z16" i="2" s="1"/>
  <c r="AA16" i="2" s="1"/>
  <c r="M4" i="2"/>
  <c r="M20" i="2"/>
  <c r="S15" i="2"/>
  <c r="M10" i="2"/>
  <c r="M12" i="2" s="1"/>
  <c r="M14" i="2" s="1"/>
  <c r="M15" i="2" s="1"/>
  <c r="W3" i="2"/>
  <c r="V19" i="2"/>
  <c r="V5" i="2"/>
  <c r="V20" i="2" s="1"/>
  <c r="W6" i="2"/>
  <c r="V9" i="2"/>
  <c r="V4" i="2" l="1"/>
  <c r="V10" i="2"/>
  <c r="V12" i="2" s="1"/>
  <c r="V14" i="2" s="1"/>
  <c r="X6" i="2"/>
  <c r="W9" i="2"/>
  <c r="W5" i="2"/>
  <c r="W20" i="2" s="1"/>
  <c r="W4" i="2"/>
  <c r="X3" i="2"/>
  <c r="W19" i="2"/>
  <c r="V15" i="2" l="1"/>
  <c r="V21" i="2"/>
  <c r="X5" i="2"/>
  <c r="X20" i="2" s="1"/>
  <c r="Y3" i="2"/>
  <c r="X19" i="2"/>
  <c r="W10" i="2"/>
  <c r="W12" i="2" s="1"/>
  <c r="W14" i="2" s="1"/>
  <c r="W21" i="2" s="1"/>
  <c r="Y6" i="2"/>
  <c r="X9" i="2"/>
  <c r="X4" i="2" l="1"/>
  <c r="X10" i="2"/>
  <c r="X12" i="2" s="1"/>
  <c r="X13" i="2" s="1"/>
  <c r="X14" i="2" s="1"/>
  <c r="X21" i="2" s="1"/>
  <c r="Y9" i="2"/>
  <c r="Z6" i="2"/>
  <c r="W15" i="2"/>
  <c r="Y19" i="2"/>
  <c r="Z3" i="2"/>
  <c r="Y5" i="2"/>
  <c r="X15" i="2" l="1"/>
  <c r="Z19" i="2"/>
  <c r="AA3" i="2"/>
  <c r="Z5" i="2"/>
  <c r="Z4" i="2" s="1"/>
  <c r="Z9" i="2"/>
  <c r="AA6" i="2"/>
  <c r="AA9" i="2" s="1"/>
  <c r="Y4" i="2"/>
  <c r="Y20" i="2"/>
  <c r="Y10" i="2"/>
  <c r="Y12" i="2" s="1"/>
  <c r="Y13" i="2" s="1"/>
  <c r="Y14" i="2" s="1"/>
  <c r="Y15" i="2" l="1"/>
  <c r="Y21" i="2"/>
  <c r="Z20" i="2"/>
  <c r="Z10" i="2"/>
  <c r="Z12" i="2" s="1"/>
  <c r="Z13" i="2" s="1"/>
  <c r="Z14" i="2" s="1"/>
  <c r="AA5" i="2"/>
  <c r="AA4" i="2"/>
  <c r="AA19" i="2"/>
  <c r="Z15" i="2" l="1"/>
  <c r="Z21" i="2"/>
  <c r="AA20" i="2"/>
  <c r="AA10" i="2"/>
  <c r="AA12" i="2" s="1"/>
  <c r="AA13" i="2" s="1"/>
  <c r="AA14" i="2" s="1"/>
  <c r="AA21" i="2" l="1"/>
  <c r="AB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AD19" i="2" s="1"/>
  <c r="AD21" i="2" s="1"/>
  <c r="AD23" i="2" s="1"/>
  <c r="AA15" i="2"/>
  <c r="V26" i="2"/>
</calcChain>
</file>

<file path=xl/sharedStrings.xml><?xml version="1.0" encoding="utf-8"?>
<sst xmlns="http://schemas.openxmlformats.org/spreadsheetml/2006/main" count="64" uniqueCount="57">
  <si>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</si>
  <si>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</si>
  <si>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</si>
  <si>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</si>
  <si>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</si>
  <si>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</si>
  <si>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</si>
  <si>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</si>
  <si>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</si>
  <si>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</si>
  <si>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</si>
  <si>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</si>
  <si>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</si>
  <si>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</si>
  <si>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</si>
  <si>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</si>
  <si>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</si>
  <si>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</si>
  <si>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</si>
  <si>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</si>
  <si>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</si>
  <si>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</si>
  <si>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</si>
  <si>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</si>
  <si>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</si>
  <si>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</si>
  <si>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</si>
  <si>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</si>
  <si>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</si>
  <si>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</si>
  <si>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</si>
  <si>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</si>
  <si>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</si>
  <si>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</si>
  <si>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</si>
  <si>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</si>
  <si>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</si>
  <si>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</si>
  <si>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</si>
  <si>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</si>
  <si>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</si>
  <si>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</si>
  <si>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</si>
  <si>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</si>
  <si>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</si>
  <si>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</si>
  <si>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</si>
  <si>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</si>
  <si>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d</t>
  </si>
  <si>
    <t>Maturity Value</t>
  </si>
  <si>
    <t>Discount Rate</t>
  </si>
  <si>
    <t>NPV</t>
  </si>
  <si>
    <t>Net Cash</t>
  </si>
  <si>
    <t>Value</t>
  </si>
  <si>
    <t>Model Price</t>
  </si>
  <si>
    <t>Current price</t>
  </si>
  <si>
    <t>Net Income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</si>
</sst>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  <xf numFmtId="10" fontId="0" fillId="0" borderId="0" xfId="2" applyNumberFormat="1" applyFont="1"/>
    <xf numFmtId="9" fontId="0" fillId="0" borderId="0" xfId="0" applyNumberFormat="1"/>
    <xf numFmtId="9" fontId="0" fillId="0" borderId="0" xfId="2" applyFont="1"/>
    <xf numFmtId="8" fontId="1" fillId="0" borderId="0" xfId="0" applyNumberFormat="1" applyFont="1"/>
    <xf numFmtId="5" fontId="0" fillId="0" borderId="0" xfId="3" applyNumberFormat="1" applyFont="1"/>
    <xf numFmtId="8" fontId="0" fillId="0" borderId="0" xfId="0" applyNumberFormat="1"/>
    <xf numFmtId="164" fontId="0" fillId="0" borderId="0" xfId="0" applyNumberFormat="1"/>
    <xf numFmtId="7" fontId="0" fillId="0" borderId="0" xfId="3" applyNumberFormat="1" applyFont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16852</xdr:colOff>
      <xdr:row>0</xdr:row>
      <xdr:rowOff>65210</xdr:rowOff>
    </xdr:from>
    <xdr:to>
      <xdr:col>13</xdr:col>
      <xdr:colOff>16852</xdr:colOff>
      <xdr:row>41</xdr:row>
      <xdr:rowOff>65210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5895975" y="65210"/>
          <a:ext cx="0" cy="69693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0</xdr:row>
      <xdr:rowOff>0</xdr:rowOff>
    </xdr:from>
    <xdr:to>
      <xdr:col>20</xdr:col>
      <xdr:colOff>57150</xdr:colOff>
      <xdr:row>41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2496800" y="0"/>
          <a:ext cx="0" cy="6638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K2:M7"/>
  <sheetViews>
    <sheetView workbookViewId="0">
      <selection activeCell="L2" sqref="L2"/>
    </sheetView>
  </sheetViews>
  <sheetFormatPr defaultRowHeight="13.2" x14ac:dyDescent="0.25"/>
  <sheetData>
    <row r="2" spans="11:13" x14ac:dyDescent="0.25">
      <c r="K2" t="s">
        <v>0</v>
      </c>
      <c r="L2" s="1">
        <v>9.31</v>
      </c>
    </row>
    <row r="3" spans="11:13" x14ac:dyDescent="0.25">
      <c r="K3" t="s">
        <v>1</v>
      </c>
      <c r="L3" s="3">
        <v>2036</v>
      </c>
      <c r="M3" s="2" t="s">
        <v>16</v>
      </c>
    </row>
    <row r="4" spans="11:13" x14ac:dyDescent="0.25">
      <c r="K4" t="s">
        <v>2</v>
      </c>
      <c r="L4" s="3">
        <f>L3*L2</f>
        <v>18955.16</v>
      </c>
    </row>
    <row r="5" spans="11:13" x14ac:dyDescent="0.25">
      <c r="K5" t="s">
        <v>3</v>
      </c>
      <c r="L5" s="3">
        <v>2585</v>
      </c>
      <c r="M5" s="2" t="s">
        <v>16</v>
      </c>
    </row>
    <row r="6" spans="11:13" x14ac:dyDescent="0.25">
      <c r="K6" t="s">
        <v>4</v>
      </c>
      <c r="L6" s="3">
        <v>0</v>
      </c>
      <c r="M6" s="2" t="s">
        <v>16</v>
      </c>
    </row>
    <row r="7" spans="11:13" x14ac:dyDescent="0.25">
      <c r="K7" t="s">
        <v>5</v>
      </c>
      <c r="L7" s="3">
        <f>L4-L5+L6</f>
        <v>16370.16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BW40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3.2" x14ac:dyDescent="0.25"/>
  <cols>
    <col min="1" max="1" width="4.88671875" bestFit="1" customWidth="1"/>
    <col min="2" max="2" width="17.5546875" bestFit="1" customWidth="1"/>
    <col min="3" max="5" width="5.33203125" style="2" bestFit="1" customWidth="1"/>
    <col min="6" max="6" width="5.5546875" style="2" bestFit="1" customWidth="1"/>
    <col min="7" max="7" width="7.5546875" style="2" bestFit="1" customWidth="1"/>
    <col min="8" max="10" width="5.5546875" style="2" bestFit="1" customWidth="1"/>
    <col min="11" max="11" width="6.5546875" style="2" bestFit="1" customWidth="1"/>
    <col min="12" max="14" width="5.5546875" style="2" bestFit="1" customWidth="1"/>
    <col min="19" max="19" width="8.21875" bestFit="1" customWidth="1"/>
    <col min="20" max="20" width="7.5546875" bestFit="1" customWidth="1"/>
    <col min="21" max="21" width="5.5546875" bestFit="1" customWidth="1"/>
    <col min="22" max="22" width="6.21875" bestFit="1" customWidth="1"/>
    <col min="23" max="23" width="6.33203125" bestFit="1" customWidth="1"/>
    <col min="24" max="24" width="5.6640625" bestFit="1" customWidth="1"/>
    <col min="25" max="28" width="5.5546875" bestFit="1" customWidth="1"/>
    <col min="29" max="29" width="12.5546875" bestFit="1" customWidth="1"/>
    <col min="30" max="30" width="16.109375" bestFit="1" customWidth="1"/>
    <col min="31" max="34" width="5.5546875" bestFit="1" customWidth="1"/>
    <col min="35" max="43" width="6.5546875" bestFit="1" customWidth="1"/>
    <col min="44" max="52" width="7.5546875" bestFit="1" customWidth="1"/>
    <col min="53" max="60" width="9.109375" bestFit="1" customWidth="1"/>
    <col min="61" max="69" width="10.109375" bestFit="1" customWidth="1"/>
    <col min="70" max="75" width="11.109375" bestFit="1" customWidth="1"/>
  </cols>
  <sheetData>
    <row r="1" spans="1:75" x14ac:dyDescent="0.25">
      <c r="A1" s="14" t="s">
        <v>6</v>
      </c>
    </row>
    <row r="2" spans="1:75" x14ac:dyDescent="0.2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S2">
        <v>2020</v>
      </c>
      <c r="T2">
        <f>S2+1</f>
        <v>2021</v>
      </c>
      <c r="U2">
        <f>T2+1</f>
        <v>2022</v>
      </c>
      <c r="V2">
        <f t="shared" ref="V2:AC2" si="0">U2+1</f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</row>
    <row r="3" spans="1:75" s="5" customFormat="1" x14ac:dyDescent="0.25">
      <c r="B3" s="5" t="s">
        <v>7</v>
      </c>
      <c r="C3" s="6"/>
      <c r="D3" s="6">
        <v>251.88900000000001</v>
      </c>
      <c r="E3" s="6">
        <v>289.36599999999999</v>
      </c>
      <c r="F3" s="6">
        <v>322.09100000000001</v>
      </c>
      <c r="G3" s="6">
        <v>341.23399999999998</v>
      </c>
      <c r="H3" s="6">
        <v>375.642</v>
      </c>
      <c r="I3" s="6">
        <v>392.14600000000002</v>
      </c>
      <c r="J3" s="6">
        <v>432.86700000000002</v>
      </c>
      <c r="K3" s="6">
        <v>446.35700000000003</v>
      </c>
      <c r="L3" s="6">
        <v>473</v>
      </c>
      <c r="M3" s="6">
        <v>478</v>
      </c>
      <c r="N3" s="6">
        <f>J3*1.17</f>
        <v>506.45438999999999</v>
      </c>
      <c r="S3" s="5">
        <v>1092.673</v>
      </c>
      <c r="T3" s="5">
        <v>1541.8889999999999</v>
      </c>
      <c r="U3" s="5">
        <f>SUM(K3:N3)</f>
        <v>1903.8113899999998</v>
      </c>
      <c r="V3" s="5">
        <f>U3*1.2</f>
        <v>2284.5736679999995</v>
      </c>
      <c r="W3" s="5">
        <f t="shared" ref="W3:X3" si="1">V3*1.2</f>
        <v>2741.4884015999992</v>
      </c>
      <c r="X3" s="5">
        <f t="shared" si="1"/>
        <v>3289.7860819199991</v>
      </c>
      <c r="Y3" s="5">
        <f t="shared" ref="Y3" si="2">X3*1.2</f>
        <v>3947.7432983039989</v>
      </c>
      <c r="Z3" s="5">
        <f t="shared" ref="Z3:AA3" si="3">Y3*1.2</f>
        <v>4737.2919579647987</v>
      </c>
      <c r="AA3" s="5">
        <f t="shared" si="3"/>
        <v>5684.7503495577585</v>
      </c>
    </row>
    <row r="4" spans="1:75" s="3" customFormat="1" x14ac:dyDescent="0.25">
      <c r="B4" s="3" t="s">
        <v>20</v>
      </c>
      <c r="C4" s="4"/>
      <c r="D4" s="4">
        <v>68.41</v>
      </c>
      <c r="E4" s="13">
        <v>149.34</v>
      </c>
      <c r="F4" s="4">
        <v>70.503</v>
      </c>
      <c r="G4" s="4">
        <v>74.111000000000004</v>
      </c>
      <c r="H4" s="4">
        <v>90.926000000000002</v>
      </c>
      <c r="I4" s="4">
        <v>86.804000000000002</v>
      </c>
      <c r="J4" s="4">
        <v>87.563000000000002</v>
      </c>
      <c r="K4" s="4">
        <v>94.403000000000006</v>
      </c>
      <c r="L4" s="4">
        <f>L3-L5</f>
        <v>94.599999999999966</v>
      </c>
      <c r="M4" s="4">
        <f t="shared" ref="M4:N4" si="4">M3-M5</f>
        <v>95.599999999999966</v>
      </c>
      <c r="N4" s="4">
        <f t="shared" si="4"/>
        <v>101.29087799999996</v>
      </c>
      <c r="S4" s="3">
        <v>352.54700000000003</v>
      </c>
      <c r="T4" s="3">
        <v>339.404</v>
      </c>
      <c r="U4" s="3">
        <f>U3-U5</f>
        <v>380.76227799999992</v>
      </c>
      <c r="V4" s="3">
        <f t="shared" ref="V4:X4" si="5">V3-V5</f>
        <v>456.91473359999986</v>
      </c>
      <c r="W4" s="3">
        <f t="shared" si="5"/>
        <v>548.29768031999993</v>
      </c>
      <c r="X4" s="3">
        <f t="shared" si="5"/>
        <v>657.95721638399982</v>
      </c>
      <c r="Y4" s="3">
        <f t="shared" ref="Y4" si="6">Y3-Y5</f>
        <v>789.54865966079979</v>
      </c>
      <c r="Z4" s="3">
        <f t="shared" ref="Z4" si="7">Z3-Z5</f>
        <v>947.45839159295974</v>
      </c>
      <c r="AA4" s="3">
        <f t="shared" ref="AA4" si="8">AA3-AA5</f>
        <v>1136.9500699115515</v>
      </c>
    </row>
    <row r="5" spans="1:75" s="3" customFormat="1" x14ac:dyDescent="0.25">
      <c r="B5" s="3" t="s">
        <v>21</v>
      </c>
      <c r="C5" s="4"/>
      <c r="D5" s="4">
        <f t="shared" ref="D5:K5" si="9">D3-D4</f>
        <v>183.47900000000001</v>
      </c>
      <c r="E5" s="4">
        <f t="shared" si="9"/>
        <v>140.02599999999998</v>
      </c>
      <c r="F5" s="4">
        <f t="shared" si="9"/>
        <v>251.58800000000002</v>
      </c>
      <c r="G5" s="4">
        <f t="shared" si="9"/>
        <v>267.12299999999999</v>
      </c>
      <c r="H5" s="4">
        <f t="shared" si="9"/>
        <v>284.71600000000001</v>
      </c>
      <c r="I5" s="4">
        <f t="shared" si="9"/>
        <v>305.34199999999998</v>
      </c>
      <c r="J5" s="4">
        <f t="shared" si="9"/>
        <v>345.30400000000003</v>
      </c>
      <c r="K5" s="4">
        <f t="shared" si="9"/>
        <v>351.95400000000001</v>
      </c>
      <c r="L5" s="4">
        <f>L3*0.8</f>
        <v>378.40000000000003</v>
      </c>
      <c r="M5" s="4">
        <f t="shared" ref="M5:N5" si="10">M3*0.8</f>
        <v>382.40000000000003</v>
      </c>
      <c r="N5" s="4">
        <f t="shared" si="10"/>
        <v>405.16351200000003</v>
      </c>
      <c r="S5" s="3">
        <f>S3-S4</f>
        <v>740.12599999999998</v>
      </c>
      <c r="T5" s="3">
        <f>T3-T4</f>
        <v>1202.4849999999999</v>
      </c>
      <c r="U5" s="3">
        <f>U3*0.8</f>
        <v>1523.0491119999999</v>
      </c>
      <c r="V5" s="3">
        <f t="shared" ref="V5:X5" si="11">V3*0.8</f>
        <v>1827.6589343999997</v>
      </c>
      <c r="W5" s="3">
        <f t="shared" si="11"/>
        <v>2193.1907212799993</v>
      </c>
      <c r="X5" s="3">
        <f t="shared" si="11"/>
        <v>2631.8288655359993</v>
      </c>
      <c r="Y5" s="3">
        <f t="shared" ref="Y5" si="12">Y3*0.8</f>
        <v>3158.1946386431991</v>
      </c>
      <c r="Z5" s="3">
        <f t="shared" ref="Z5:AA5" si="13">Z3*0.8</f>
        <v>3789.833566371839</v>
      </c>
      <c r="AA5" s="3">
        <f t="shared" si="13"/>
        <v>4547.8002796462069</v>
      </c>
    </row>
    <row r="6" spans="1:75" s="3" customFormat="1" x14ac:dyDescent="0.25">
      <c r="B6" s="3" t="s">
        <v>22</v>
      </c>
      <c r="C6" s="4"/>
      <c r="D6" s="4">
        <v>102.518</v>
      </c>
      <c r="E6" s="4">
        <v>334.911</v>
      </c>
      <c r="F6" s="4">
        <v>147.619</v>
      </c>
      <c r="G6" s="4">
        <v>136.09700000000001</v>
      </c>
      <c r="H6" s="4">
        <v>162.37899999999999</v>
      </c>
      <c r="I6" s="4">
        <v>153.44300000000001</v>
      </c>
      <c r="J6" s="4">
        <v>162.59299999999999</v>
      </c>
      <c r="K6" s="4">
        <v>160.48500000000001</v>
      </c>
      <c r="L6" s="4">
        <f>K6+1</f>
        <v>161.48500000000001</v>
      </c>
      <c r="M6" s="4">
        <f t="shared" ref="M6:N6" si="14">L6+1</f>
        <v>162.48500000000001</v>
      </c>
      <c r="N6" s="4">
        <f t="shared" si="14"/>
        <v>163.48500000000001</v>
      </c>
      <c r="S6" s="3">
        <v>683.70100000000002</v>
      </c>
      <c r="T6" s="3">
        <v>614.51199999999994</v>
      </c>
      <c r="U6" s="3">
        <f>T6*1.1</f>
        <v>675.96320000000003</v>
      </c>
      <c r="V6" s="3">
        <f t="shared" ref="V6:X6" si="15">U6*1.1</f>
        <v>743.55952000000013</v>
      </c>
      <c r="W6" s="3">
        <f t="shared" si="15"/>
        <v>817.91547200000025</v>
      </c>
      <c r="X6" s="3">
        <f t="shared" si="15"/>
        <v>899.70701920000033</v>
      </c>
      <c r="Y6" s="3">
        <f t="shared" ref="Y6" si="16">X6*1.1</f>
        <v>989.67772112000046</v>
      </c>
      <c r="Z6" s="3">
        <f t="shared" ref="Z6:AA6" si="17">Y6*1.1</f>
        <v>1088.6454932320005</v>
      </c>
      <c r="AA6" s="3">
        <f t="shared" si="17"/>
        <v>1197.5100425552007</v>
      </c>
    </row>
    <row r="7" spans="1:75" s="3" customFormat="1" x14ac:dyDescent="0.25">
      <c r="B7" s="3" t="s">
        <v>23</v>
      </c>
      <c r="C7" s="4"/>
      <c r="D7" s="4">
        <v>86.814999999999998</v>
      </c>
      <c r="E7" s="4">
        <v>313.91500000000002</v>
      </c>
      <c r="F7" s="4">
        <v>94.13</v>
      </c>
      <c r="G7" s="4">
        <v>98.471000000000004</v>
      </c>
      <c r="H7" s="4">
        <v>110.524</v>
      </c>
      <c r="I7" s="4">
        <v>94.316000000000003</v>
      </c>
      <c r="J7" s="4">
        <v>84.176000000000002</v>
      </c>
      <c r="K7" s="4">
        <v>88.600999999999999</v>
      </c>
      <c r="L7" s="4">
        <f t="shared" ref="L7:N7" si="18">K7+1</f>
        <v>89.600999999999999</v>
      </c>
      <c r="M7" s="4">
        <f t="shared" si="18"/>
        <v>90.600999999999999</v>
      </c>
      <c r="N7" s="4">
        <f t="shared" si="18"/>
        <v>91.600999999999999</v>
      </c>
      <c r="S7" s="3">
        <v>560.66</v>
      </c>
      <c r="T7" s="3">
        <v>387.48700000000002</v>
      </c>
      <c r="U7" s="3">
        <f t="shared" ref="U7:X7" si="19">T7*1.1</f>
        <v>426.23570000000007</v>
      </c>
      <c r="V7" s="3">
        <f t="shared" si="19"/>
        <v>468.85927000000009</v>
      </c>
      <c r="W7" s="3">
        <f t="shared" si="19"/>
        <v>515.74519700000019</v>
      </c>
      <c r="X7" s="3">
        <f t="shared" si="19"/>
        <v>567.3197167000003</v>
      </c>
      <c r="Y7" s="3">
        <f t="shared" ref="Y7" si="20">X7*1.1</f>
        <v>624.05168837000042</v>
      </c>
      <c r="Z7" s="3">
        <f t="shared" ref="Z7:AA7" si="21">Y7*1.1</f>
        <v>686.45685720700055</v>
      </c>
      <c r="AA7" s="3">
        <f t="shared" si="21"/>
        <v>755.10254292770071</v>
      </c>
    </row>
    <row r="8" spans="1:75" s="3" customFormat="1" x14ac:dyDescent="0.25">
      <c r="B8" s="3" t="s">
        <v>24</v>
      </c>
      <c r="C8" s="4"/>
      <c r="D8" s="4">
        <v>93.290999999999997</v>
      </c>
      <c r="E8" s="4">
        <v>338.97699999999998</v>
      </c>
      <c r="F8" s="4">
        <v>166.411</v>
      </c>
      <c r="G8" s="4">
        <v>146.56899999999999</v>
      </c>
      <c r="H8" s="4">
        <v>157.96100000000001</v>
      </c>
      <c r="I8" s="4">
        <v>149.524</v>
      </c>
      <c r="J8" s="4">
        <v>157.47800000000001</v>
      </c>
      <c r="K8" s="4">
        <v>142.30699999999999</v>
      </c>
      <c r="L8" s="4">
        <f t="shared" ref="L8:N8" si="22">K8+1</f>
        <v>143.30699999999999</v>
      </c>
      <c r="M8" s="4">
        <f t="shared" si="22"/>
        <v>144.30699999999999</v>
      </c>
      <c r="N8" s="4">
        <f t="shared" si="22"/>
        <v>145.30699999999999</v>
      </c>
      <c r="S8" s="3">
        <v>669.44399999999996</v>
      </c>
      <c r="T8" s="3">
        <v>611.53200000000004</v>
      </c>
      <c r="U8" s="3">
        <f t="shared" ref="U8:X8" si="23">T8*1.1</f>
        <v>672.68520000000012</v>
      </c>
      <c r="V8" s="3">
        <f t="shared" si="23"/>
        <v>739.9537200000002</v>
      </c>
      <c r="W8" s="3">
        <f t="shared" si="23"/>
        <v>813.94909200000029</v>
      </c>
      <c r="X8" s="3">
        <f t="shared" si="23"/>
        <v>895.34400120000043</v>
      </c>
      <c r="Y8" s="3">
        <f t="shared" ref="Y8" si="24">X8*1.1</f>
        <v>984.87840132000053</v>
      </c>
      <c r="Z8" s="3">
        <f t="shared" ref="Z8:AA8" si="25">Y8*1.1</f>
        <v>1083.3662414520006</v>
      </c>
      <c r="AA8" s="3">
        <f t="shared" si="25"/>
        <v>1191.7028655972008</v>
      </c>
    </row>
    <row r="9" spans="1:75" s="3" customFormat="1" x14ac:dyDescent="0.25">
      <c r="B9" s="3" t="s">
        <v>25</v>
      </c>
      <c r="C9" s="4"/>
      <c r="D9" s="4">
        <f t="shared" ref="D9:L9" si="26">SUM(D6:D8)</f>
        <v>282.62400000000002</v>
      </c>
      <c r="E9" s="4">
        <f t="shared" si="26"/>
        <v>987.803</v>
      </c>
      <c r="F9" s="4">
        <f t="shared" si="26"/>
        <v>408.15999999999997</v>
      </c>
      <c r="G9" s="4">
        <f t="shared" si="26"/>
        <v>381.137</v>
      </c>
      <c r="H9" s="4">
        <f t="shared" si="26"/>
        <v>430.86400000000003</v>
      </c>
      <c r="I9" s="4">
        <f t="shared" si="26"/>
        <v>397.28300000000002</v>
      </c>
      <c r="J9" s="4">
        <f t="shared" si="26"/>
        <v>404.24700000000001</v>
      </c>
      <c r="K9" s="4">
        <f t="shared" si="26"/>
        <v>391.39300000000003</v>
      </c>
      <c r="L9" s="4">
        <f t="shared" si="26"/>
        <v>394.39300000000003</v>
      </c>
      <c r="M9" s="4">
        <f t="shared" ref="M9:N9" si="27">SUM(M6:M8)</f>
        <v>397.39300000000003</v>
      </c>
      <c r="N9" s="4">
        <f t="shared" si="27"/>
        <v>400.39300000000003</v>
      </c>
      <c r="S9" s="3">
        <f>SUM(S6:S8)</f>
        <v>1913.8049999999998</v>
      </c>
      <c r="T9" s="3">
        <f t="shared" ref="T9" si="28">SUM(T6:T8)</f>
        <v>1613.5309999999999</v>
      </c>
      <c r="U9" s="3">
        <f t="shared" ref="U9" si="29">SUM(U6:U8)</f>
        <v>1774.8841000000002</v>
      </c>
      <c r="V9" s="3">
        <f t="shared" ref="V9" si="30">SUM(V6:V8)</f>
        <v>1952.3725100000004</v>
      </c>
      <c r="W9" s="3">
        <f t="shared" ref="W9" si="31">SUM(W6:W8)</f>
        <v>2147.6097610000006</v>
      </c>
      <c r="X9" s="3">
        <f t="shared" ref="X9" si="32">SUM(X6:X8)</f>
        <v>2362.370737100001</v>
      </c>
      <c r="Y9" s="3">
        <f t="shared" ref="Y9" si="33">SUM(Y6:Y8)</f>
        <v>2598.6078108100014</v>
      </c>
      <c r="Z9" s="3">
        <f t="shared" ref="Z9" si="34">SUM(Z6:Z8)</f>
        <v>2858.4685918910018</v>
      </c>
      <c r="AA9" s="3">
        <f t="shared" ref="AA9" si="35">SUM(AA6:AA8)</f>
        <v>3144.3154510801023</v>
      </c>
    </row>
    <row r="10" spans="1:75" s="3" customFormat="1" x14ac:dyDescent="0.25">
      <c r="B10" s="3" t="s">
        <v>26</v>
      </c>
      <c r="C10" s="4"/>
      <c r="D10" s="4">
        <f t="shared" ref="D10:L10" si="36">D5-D9</f>
        <v>-99.14500000000001</v>
      </c>
      <c r="E10" s="4">
        <f t="shared" si="36"/>
        <v>-847.77700000000004</v>
      </c>
      <c r="F10" s="4">
        <f t="shared" si="36"/>
        <v>-156.57199999999995</v>
      </c>
      <c r="G10" s="4">
        <f t="shared" si="36"/>
        <v>-114.01400000000001</v>
      </c>
      <c r="H10" s="4">
        <f t="shared" si="36"/>
        <v>-146.14800000000002</v>
      </c>
      <c r="I10" s="4">
        <f t="shared" si="36"/>
        <v>-91.941000000000031</v>
      </c>
      <c r="J10" s="4">
        <f t="shared" si="36"/>
        <v>-58.942999999999984</v>
      </c>
      <c r="K10" s="4">
        <f t="shared" si="36"/>
        <v>-39.439000000000021</v>
      </c>
      <c r="L10" s="4">
        <f t="shared" si="36"/>
        <v>-15.992999999999995</v>
      </c>
      <c r="M10" s="4">
        <f t="shared" ref="M10:N10" si="37">M5-M9</f>
        <v>-14.992999999999995</v>
      </c>
      <c r="N10" s="4">
        <f t="shared" si="37"/>
        <v>4.7705119999999965</v>
      </c>
      <c r="S10" s="3">
        <f>S5-S9</f>
        <v>-1173.6789999999999</v>
      </c>
      <c r="T10" s="3">
        <f t="shared" ref="T10" si="38">T5-T9</f>
        <v>-411.04600000000005</v>
      </c>
      <c r="U10" s="3">
        <f t="shared" ref="U10" si="39">U5-U9</f>
        <v>-251.83498800000029</v>
      </c>
      <c r="V10" s="3">
        <f t="shared" ref="V10" si="40">V5-V9</f>
        <v>-124.71357560000069</v>
      </c>
      <c r="W10" s="3">
        <f t="shared" ref="W10" si="41">W5-W9</f>
        <v>45.580960279998635</v>
      </c>
      <c r="X10" s="3">
        <f t="shared" ref="X10" si="42">X5-X9</f>
        <v>269.45812843599833</v>
      </c>
      <c r="Y10" s="3">
        <f t="shared" ref="Y10" si="43">Y5-Y9</f>
        <v>559.58682783319773</v>
      </c>
      <c r="Z10" s="3">
        <f t="shared" ref="Z10" si="44">Z5-Z9</f>
        <v>931.36497448083719</v>
      </c>
      <c r="AA10" s="3">
        <f t="shared" ref="AA10" si="45">AA5-AA9</f>
        <v>1403.4848285661046</v>
      </c>
    </row>
    <row r="11" spans="1:75" s="3" customFormat="1" x14ac:dyDescent="0.25">
      <c r="B11" s="3" t="s">
        <v>27</v>
      </c>
      <c r="C11" s="4"/>
      <c r="D11" s="4">
        <f>0.551-5.646</f>
        <v>-5.0949999999999998</v>
      </c>
      <c r="E11" s="4">
        <f>0.494-2.085</f>
        <v>-1.591</v>
      </c>
      <c r="F11" s="4">
        <f>0.368-1.814</f>
        <v>-1.4460000000000002</v>
      </c>
      <c r="G11" s="4">
        <f>0.376-1.84</f>
        <v>-1.464</v>
      </c>
      <c r="H11" s="4">
        <f>0.372-0.59</f>
        <v>-0.21799999999999997</v>
      </c>
      <c r="I11" s="4">
        <f>0.379-0.609</f>
        <v>-0.22999999999999998</v>
      </c>
      <c r="J11" s="4">
        <f>0.48-0.601</f>
        <v>-0.121</v>
      </c>
      <c r="K11" s="4">
        <f>0.547-0.594</f>
        <v>-4.6999999999999931E-2</v>
      </c>
      <c r="L11" s="4">
        <v>0</v>
      </c>
      <c r="M11" s="4">
        <v>0</v>
      </c>
      <c r="N11" s="4">
        <v>0</v>
      </c>
      <c r="S11" s="3">
        <f>4.68-14.139</f>
        <v>-9.4589999999999996</v>
      </c>
      <c r="T11" s="3">
        <f>1.607-3.64</f>
        <v>-2.0330000000000004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75" s="3" customFormat="1" x14ac:dyDescent="0.25">
      <c r="B12" s="3" t="s">
        <v>28</v>
      </c>
      <c r="C12" s="4"/>
      <c r="D12" s="4">
        <f t="shared" ref="D12:L12" si="46">D10-D11</f>
        <v>-94.050000000000011</v>
      </c>
      <c r="E12" s="4">
        <f t="shared" si="46"/>
        <v>-846.18600000000004</v>
      </c>
      <c r="F12" s="4">
        <f t="shared" si="46"/>
        <v>-155.12599999999995</v>
      </c>
      <c r="G12" s="4">
        <f t="shared" si="46"/>
        <v>-112.55000000000001</v>
      </c>
      <c r="H12" s="4">
        <f t="shared" si="46"/>
        <v>-145.93000000000004</v>
      </c>
      <c r="I12" s="4">
        <f t="shared" si="46"/>
        <v>-91.711000000000027</v>
      </c>
      <c r="J12" s="4">
        <f t="shared" si="46"/>
        <v>-58.821999999999981</v>
      </c>
      <c r="K12" s="4">
        <f t="shared" si="46"/>
        <v>-39.392000000000024</v>
      </c>
      <c r="L12" s="4">
        <f t="shared" si="46"/>
        <v>-15.992999999999995</v>
      </c>
      <c r="M12" s="4">
        <f t="shared" ref="M12:N12" si="47">M10-M11</f>
        <v>-14.992999999999995</v>
      </c>
      <c r="N12" s="4">
        <f t="shared" si="47"/>
        <v>4.7705119999999965</v>
      </c>
      <c r="S12" s="3">
        <f t="shared" ref="S12:X12" si="48">S10+S11</f>
        <v>-1183.1379999999999</v>
      </c>
      <c r="T12" s="3">
        <f t="shared" si="48"/>
        <v>-413.07900000000006</v>
      </c>
      <c r="U12" s="3">
        <f t="shared" si="48"/>
        <v>-251.83498800000029</v>
      </c>
      <c r="V12" s="3">
        <f t="shared" si="48"/>
        <v>-124.71357560000069</v>
      </c>
      <c r="W12" s="3">
        <f t="shared" si="48"/>
        <v>45.580960279998635</v>
      </c>
      <c r="X12" s="3">
        <f t="shared" si="48"/>
        <v>269.45812843599833</v>
      </c>
      <c r="Y12" s="3">
        <f t="shared" ref="Y12" si="49">Y10+Y11</f>
        <v>559.58682783319773</v>
      </c>
      <c r="Z12" s="3">
        <f t="shared" ref="Z12" si="50">Z10+Z11</f>
        <v>931.36497448083719</v>
      </c>
      <c r="AA12" s="3">
        <f t="shared" ref="AA12" si="51">AA10+AA11</f>
        <v>1403.4848285661046</v>
      </c>
    </row>
    <row r="13" spans="1:75" s="3" customFormat="1" x14ac:dyDescent="0.25">
      <c r="B13" s="3" t="s">
        <v>30</v>
      </c>
      <c r="C13" s="4"/>
      <c r="D13" s="4">
        <f>0.943</f>
        <v>0.94299999999999995</v>
      </c>
      <c r="E13" s="4">
        <v>-8.5429999999999993</v>
      </c>
      <c r="F13" s="4">
        <v>-7.593</v>
      </c>
      <c r="G13" s="4">
        <v>3.1019999999999999</v>
      </c>
      <c r="H13" s="4">
        <v>-5.6609999999999996</v>
      </c>
      <c r="I13" s="4">
        <v>1.4379999999999999</v>
      </c>
      <c r="J13" s="4">
        <v>33.006</v>
      </c>
      <c r="K13" s="4">
        <v>2.0230000000000001</v>
      </c>
      <c r="L13" s="4">
        <v>0</v>
      </c>
      <c r="M13" s="4">
        <v>0</v>
      </c>
      <c r="N13" s="4">
        <v>0</v>
      </c>
      <c r="S13" s="3">
        <v>-12.635999999999999</v>
      </c>
      <c r="T13" s="3">
        <v>31.885000000000002</v>
      </c>
      <c r="U13" s="3">
        <v>0</v>
      </c>
      <c r="V13" s="3">
        <v>0</v>
      </c>
      <c r="W13" s="3">
        <v>0</v>
      </c>
      <c r="X13" s="3">
        <f>X12*0.1</f>
        <v>26.945812843599835</v>
      </c>
      <c r="Y13" s="3">
        <f t="shared" ref="Y13" si="52">Y12*0.1</f>
        <v>55.958682783319773</v>
      </c>
      <c r="Z13" s="3">
        <f t="shared" ref="Z13" si="53">Z12*0.1</f>
        <v>93.13649744808373</v>
      </c>
      <c r="AA13" s="3">
        <f t="shared" ref="AA13" si="54">AA12*0.1</f>
        <v>140.34848285661047</v>
      </c>
    </row>
    <row r="14" spans="1:75" s="3" customFormat="1" x14ac:dyDescent="0.25">
      <c r="B14" s="3" t="s">
        <v>31</v>
      </c>
      <c r="C14" s="4"/>
      <c r="D14" s="4">
        <f t="shared" ref="D14:L14" si="55">D12-D13</f>
        <v>-94.993000000000009</v>
      </c>
      <c r="E14" s="4">
        <f t="shared" si="55"/>
        <v>-837.64300000000003</v>
      </c>
      <c r="F14" s="4">
        <f t="shared" si="55"/>
        <v>-147.53299999999996</v>
      </c>
      <c r="G14" s="4">
        <f t="shared" si="55"/>
        <v>-115.65200000000002</v>
      </c>
      <c r="H14" s="4">
        <f t="shared" si="55"/>
        <v>-140.26900000000003</v>
      </c>
      <c r="I14" s="4">
        <f t="shared" si="55"/>
        <v>-93.149000000000029</v>
      </c>
      <c r="J14" s="4">
        <f t="shared" si="55"/>
        <v>-91.827999999999975</v>
      </c>
      <c r="K14" s="4">
        <f t="shared" si="55"/>
        <v>-41.415000000000028</v>
      </c>
      <c r="L14" s="4">
        <f t="shared" si="55"/>
        <v>-15.992999999999995</v>
      </c>
      <c r="M14" s="4">
        <f t="shared" ref="M14:N14" si="56">M12-M13</f>
        <v>-14.992999999999995</v>
      </c>
      <c r="N14" s="4">
        <f t="shared" si="56"/>
        <v>4.7705119999999965</v>
      </c>
      <c r="S14" s="3">
        <f>S12-S13</f>
        <v>-1170.502</v>
      </c>
      <c r="T14" s="3">
        <f>T12-T13</f>
        <v>-444.96400000000006</v>
      </c>
      <c r="U14" s="3">
        <f t="shared" ref="U14:X14" si="57">U12-U13</f>
        <v>-251.83498800000029</v>
      </c>
      <c r="V14" s="3">
        <f t="shared" si="57"/>
        <v>-124.71357560000069</v>
      </c>
      <c r="W14" s="3">
        <f t="shared" si="57"/>
        <v>45.580960279998635</v>
      </c>
      <c r="X14" s="3">
        <f t="shared" si="57"/>
        <v>242.51231559239849</v>
      </c>
      <c r="Y14" s="3">
        <f t="shared" ref="Y14" si="58">Y12-Y13</f>
        <v>503.62814504987796</v>
      </c>
      <c r="Z14" s="3">
        <f t="shared" ref="Z14" si="59">Z12-Z13</f>
        <v>838.22847703275352</v>
      </c>
      <c r="AA14" s="3">
        <f t="shared" ref="AA14" si="60">AA12-AA13</f>
        <v>1263.1363457094942</v>
      </c>
      <c r="AB14" s="3">
        <f>AA14*1.3</f>
        <v>1642.0772494223424</v>
      </c>
      <c r="AC14" s="3">
        <f t="shared" ref="AC14:AH14" si="61">AB14*1.3</f>
        <v>2134.7004242490452</v>
      </c>
      <c r="AD14" s="3">
        <f t="shared" si="61"/>
        <v>2775.1105515237591</v>
      </c>
      <c r="AE14" s="3">
        <f t="shared" si="61"/>
        <v>3607.6437169808869</v>
      </c>
      <c r="AF14" s="3">
        <f t="shared" si="61"/>
        <v>4689.9368320751528</v>
      </c>
      <c r="AG14" s="3">
        <f t="shared" si="61"/>
        <v>6096.9178816976992</v>
      </c>
      <c r="AH14" s="3">
        <f t="shared" si="61"/>
        <v>7925.9932462070092</v>
      </c>
      <c r="AI14" s="3">
        <f>AH14*1.1</f>
        <v>8718.59257082771</v>
      </c>
      <c r="AJ14" s="3">
        <f t="shared" ref="AJ14:AM14" si="62">AI14*1.1</f>
        <v>9590.4518279104814</v>
      </c>
      <c r="AK14" s="3">
        <f t="shared" si="62"/>
        <v>10549.497010701531</v>
      </c>
      <c r="AL14" s="3">
        <f t="shared" si="62"/>
        <v>11604.446711771685</v>
      </c>
      <c r="AM14" s="3">
        <f t="shared" si="62"/>
        <v>12764.891382948854</v>
      </c>
      <c r="AN14" s="3">
        <f>AM14*(1+$AD17)</f>
        <v>12381.944641460388</v>
      </c>
      <c r="AO14" s="3">
        <f>AN14*(1+$AD17)</f>
        <v>12010.486302216575</v>
      </c>
      <c r="AP14" s="3">
        <f t="shared" ref="AP14:BW14" si="63">AO14*(1+$AD17)</f>
        <v>11650.171713150077</v>
      </c>
      <c r="AQ14" s="3">
        <f t="shared" si="63"/>
        <v>11300.666561755575</v>
      </c>
      <c r="AR14" s="3">
        <f t="shared" si="63"/>
        <v>10961.646564902909</v>
      </c>
      <c r="AS14" s="3">
        <f t="shared" si="63"/>
        <v>10632.797167955821</v>
      </c>
      <c r="AT14" s="3">
        <f t="shared" si="63"/>
        <v>10313.813252917147</v>
      </c>
      <c r="AU14" s="3">
        <f t="shared" si="63"/>
        <v>10004.398855329633</v>
      </c>
      <c r="AV14" s="3">
        <f t="shared" si="63"/>
        <v>9704.2668896697433</v>
      </c>
      <c r="AW14" s="3">
        <f t="shared" si="63"/>
        <v>9413.1388829796506</v>
      </c>
      <c r="AX14" s="3">
        <f t="shared" si="63"/>
        <v>9130.7447164902605</v>
      </c>
      <c r="AY14" s="3">
        <f t="shared" si="63"/>
        <v>8856.8223749955523</v>
      </c>
      <c r="AZ14" s="3">
        <f t="shared" si="63"/>
        <v>8591.1177037456855</v>
      </c>
      <c r="BA14" s="3">
        <f t="shared" si="63"/>
        <v>8333.3841726333139</v>
      </c>
      <c r="BB14" s="3">
        <f t="shared" si="63"/>
        <v>8083.3826474543139</v>
      </c>
      <c r="BC14" s="3">
        <f t="shared" si="63"/>
        <v>7840.8811680306844</v>
      </c>
      <c r="BD14" s="3">
        <f t="shared" si="63"/>
        <v>7605.6547329897639</v>
      </c>
      <c r="BE14" s="3">
        <f t="shared" si="63"/>
        <v>7377.4850910000705</v>
      </c>
      <c r="BF14" s="3">
        <f t="shared" si="63"/>
        <v>7156.1605382700682</v>
      </c>
      <c r="BG14" s="3">
        <f t="shared" si="63"/>
        <v>6941.4757221219661</v>
      </c>
      <c r="BH14" s="3">
        <f t="shared" si="63"/>
        <v>6733.2314504583073</v>
      </c>
      <c r="BI14" s="3">
        <f t="shared" si="63"/>
        <v>6531.2345069445582</v>
      </c>
      <c r="BJ14" s="3">
        <f t="shared" si="63"/>
        <v>6335.2974717362213</v>
      </c>
      <c r="BK14" s="3">
        <f t="shared" si="63"/>
        <v>6145.2385475841347</v>
      </c>
      <c r="BL14" s="3">
        <f t="shared" si="63"/>
        <v>5960.8813911566103</v>
      </c>
      <c r="BM14" s="3">
        <f t="shared" si="63"/>
        <v>5782.0549494219122</v>
      </c>
      <c r="BN14" s="3">
        <f t="shared" si="63"/>
        <v>5608.5933009392547</v>
      </c>
      <c r="BO14" s="3">
        <f t="shared" si="63"/>
        <v>5440.3355019110768</v>
      </c>
      <c r="BP14" s="3">
        <f t="shared" si="63"/>
        <v>5277.1254368537448</v>
      </c>
      <c r="BQ14" s="3">
        <f t="shared" si="63"/>
        <v>5118.8116737481323</v>
      </c>
      <c r="BR14" s="3">
        <f t="shared" si="63"/>
        <v>4965.2473235356883</v>
      </c>
      <c r="BS14" s="3">
        <f t="shared" si="63"/>
        <v>4816.2899038296173</v>
      </c>
      <c r="BT14" s="3">
        <f t="shared" si="63"/>
        <v>4671.8012067147283</v>
      </c>
      <c r="BU14" s="3">
        <f t="shared" si="63"/>
        <v>4531.6471705132863</v>
      </c>
      <c r="BV14" s="3">
        <f t="shared" si="63"/>
        <v>4395.6977553978877</v>
      </c>
      <c r="BW14" s="3">
        <f t="shared" si="63"/>
        <v>4263.8268227359513</v>
      </c>
    </row>
    <row r="15" spans="1:75" x14ac:dyDescent="0.25">
      <c r="B15" s="3" t="s">
        <v>1</v>
      </c>
      <c r="D15" s="7">
        <f t="shared" ref="D15:L15" si="64">D14/D16</f>
        <v>-0.14827157237200492</v>
      </c>
      <c r="E15" s="7">
        <f t="shared" si="64"/>
        <v>-0.92510011463761044</v>
      </c>
      <c r="F15" s="7">
        <f t="shared" si="64"/>
        <v>-8.3658536308756248E-2</v>
      </c>
      <c r="G15" s="7">
        <f t="shared" si="64"/>
        <v>-6.3504649239659608E-2</v>
      </c>
      <c r="H15" s="7">
        <f t="shared" si="64"/>
        <v>-7.4035973706406522E-2</v>
      </c>
      <c r="I15" s="7">
        <f t="shared" si="64"/>
        <v>-4.7418670888492401E-2</v>
      </c>
      <c r="J15" s="7">
        <f t="shared" si="64"/>
        <v>-4.5645513091992884E-2</v>
      </c>
      <c r="K15" s="7">
        <f t="shared" si="64"/>
        <v>-2.0338288872945007E-2</v>
      </c>
      <c r="L15" s="7">
        <f t="shared" si="64"/>
        <v>-7.8539237943983861E-3</v>
      </c>
      <c r="M15" s="7">
        <f t="shared" ref="M15:N15" si="65">M14/M16</f>
        <v>-7.3628387075229795E-3</v>
      </c>
      <c r="N15" s="7">
        <f t="shared" si="65"/>
        <v>2.3427272999601715E-3</v>
      </c>
      <c r="S15" s="1">
        <f>S14/S16</f>
        <v>-1.1952069271849119</v>
      </c>
      <c r="T15" s="1">
        <f>T14/T16</f>
        <v>-0.23131631712549852</v>
      </c>
      <c r="U15" s="1">
        <f t="shared" ref="U15:X15" si="66">U14/U16</f>
        <v>-0.1236724069602473</v>
      </c>
      <c r="V15" s="1">
        <f t="shared" si="66"/>
        <v>-6.1244977108069018E-2</v>
      </c>
      <c r="W15" s="1">
        <f t="shared" si="66"/>
        <v>2.238412983896762E-2</v>
      </c>
      <c r="X15" s="1">
        <f t="shared" si="66"/>
        <v>0.1190941815710492</v>
      </c>
      <c r="Y15" s="1">
        <f t="shared" ref="Y15" si="67">Y14/Y16</f>
        <v>0.24732427136471954</v>
      </c>
      <c r="Z15" s="1">
        <f t="shared" ref="Z15" si="68">Z14/Z16</f>
        <v>0.41164150446507008</v>
      </c>
      <c r="AA15" s="1">
        <f t="shared" ref="AA15" si="69">AA14/AA16</f>
        <v>0.62030742206823142</v>
      </c>
    </row>
    <row r="16" spans="1:75" s="3" customFormat="1" x14ac:dyDescent="0.25">
      <c r="B16" s="3" t="s">
        <v>29</v>
      </c>
      <c r="C16" s="4"/>
      <c r="D16" s="4">
        <v>640.66899999999998</v>
      </c>
      <c r="E16" s="4">
        <v>905.46199999999999</v>
      </c>
      <c r="F16" s="4">
        <v>1763.5139999999999</v>
      </c>
      <c r="G16" s="4">
        <v>1821.1579999999999</v>
      </c>
      <c r="H16" s="4">
        <v>1894.606</v>
      </c>
      <c r="I16" s="4">
        <v>1964.395</v>
      </c>
      <c r="J16" s="4">
        <v>2011.7639999999999</v>
      </c>
      <c r="K16" s="4">
        <v>2036.307</v>
      </c>
      <c r="L16" s="4">
        <f>K16</f>
        <v>2036.307</v>
      </c>
      <c r="M16" s="4">
        <f t="shared" ref="M16:N16" si="70">L16</f>
        <v>2036.307</v>
      </c>
      <c r="N16" s="4">
        <f t="shared" si="70"/>
        <v>2036.307</v>
      </c>
      <c r="S16" s="3">
        <v>979.33</v>
      </c>
      <c r="T16" s="3">
        <v>1923.617</v>
      </c>
      <c r="U16" s="3">
        <f>AVERAGE(K16:N16)</f>
        <v>2036.307</v>
      </c>
      <c r="V16" s="3">
        <f>U16</f>
        <v>2036.307</v>
      </c>
      <c r="W16" s="3">
        <f>V16</f>
        <v>2036.307</v>
      </c>
      <c r="X16" s="3">
        <f>W16</f>
        <v>2036.307</v>
      </c>
      <c r="Y16" s="3">
        <f t="shared" ref="Y16" si="71">X16</f>
        <v>2036.307</v>
      </c>
      <c r="Z16" s="3">
        <f t="shared" ref="Z16:AA16" si="72">Y16</f>
        <v>2036.307</v>
      </c>
      <c r="AA16" s="3">
        <f t="shared" si="72"/>
        <v>2036.307</v>
      </c>
    </row>
    <row r="17" spans="2:30" x14ac:dyDescent="0.25">
      <c r="AC17" t="s">
        <v>49</v>
      </c>
      <c r="AD17" s="17">
        <v>-0.03</v>
      </c>
    </row>
    <row r="18" spans="2:30" x14ac:dyDescent="0.25">
      <c r="AC18" t="s">
        <v>50</v>
      </c>
      <c r="AD18" s="16">
        <v>0.13500000000000001</v>
      </c>
    </row>
    <row r="19" spans="2:30" s="11" customFormat="1" x14ac:dyDescent="0.25">
      <c r="B19" s="5" t="s">
        <v>32</v>
      </c>
      <c r="C19" s="9"/>
      <c r="D19" s="9"/>
      <c r="E19" s="9"/>
      <c r="F19" s="9"/>
      <c r="G19" s="9"/>
      <c r="H19" s="10">
        <f>H3/D3-1</f>
        <v>0.49129973917082514</v>
      </c>
      <c r="I19" s="10">
        <f>I3/E3-1</f>
        <v>0.35519031261447442</v>
      </c>
      <c r="J19" s="10">
        <f>J3/F3-1</f>
        <v>0.34392764777656004</v>
      </c>
      <c r="K19" s="10">
        <f>K3/G3-1</f>
        <v>0.30806719142875583</v>
      </c>
      <c r="L19" s="10">
        <f>L3/H3-1</f>
        <v>0.2591776212457606</v>
      </c>
      <c r="M19" s="10">
        <f t="shared" ref="M19:N19" si="73">M3/I3-1</f>
        <v>0.21893376446527557</v>
      </c>
      <c r="N19" s="10">
        <f t="shared" si="73"/>
        <v>0.16999999999999993</v>
      </c>
      <c r="T19" s="12">
        <f>T3/S3-1</f>
        <v>0.41111659206368234</v>
      </c>
      <c r="U19" s="12">
        <f>U3/T3-1</f>
        <v>0.2347266178045242</v>
      </c>
      <c r="V19" s="12">
        <f>V3/U3-1</f>
        <v>0.19999999999999996</v>
      </c>
      <c r="W19" s="12">
        <f>W3/V3-1</f>
        <v>0.19999999999999996</v>
      </c>
      <c r="X19" s="12">
        <f>X3/W3-1</f>
        <v>0.19999999999999996</v>
      </c>
      <c r="Y19" s="12">
        <f t="shared" ref="Y19" si="74">Y3/X3-1</f>
        <v>0.19999999999999996</v>
      </c>
      <c r="Z19" s="12">
        <f t="shared" ref="Z19:AA19" si="75">Z3/Y3-1</f>
        <v>0.19999999999999996</v>
      </c>
      <c r="AA19" s="12">
        <f t="shared" si="75"/>
        <v>0.19999999999999996</v>
      </c>
      <c r="AC19" t="s">
        <v>51</v>
      </c>
      <c r="AD19" s="18">
        <f>NPV(AD18,U14:BW14)</f>
        <v>20420.153954881047</v>
      </c>
    </row>
    <row r="20" spans="2:30" x14ac:dyDescent="0.25">
      <c r="B20" t="s">
        <v>33</v>
      </c>
      <c r="D20" s="8">
        <f t="shared" ref="D20:K20" si="76">D5/D3</f>
        <v>0.72841211803611916</v>
      </c>
      <c r="E20" s="8">
        <f t="shared" si="76"/>
        <v>0.48390619492269304</v>
      </c>
      <c r="F20" s="8">
        <f t="shared" si="76"/>
        <v>0.78110844450791861</v>
      </c>
      <c r="G20" s="8">
        <f t="shared" si="76"/>
        <v>0.78281472537906538</v>
      </c>
      <c r="H20" s="8">
        <f t="shared" si="76"/>
        <v>0.75794506471587308</v>
      </c>
      <c r="I20" s="8">
        <f t="shared" si="76"/>
        <v>0.77864366842961541</v>
      </c>
      <c r="J20" s="8">
        <f t="shared" si="76"/>
        <v>0.79771384744043783</v>
      </c>
      <c r="K20" s="8">
        <f t="shared" si="76"/>
        <v>0.78850337286073702</v>
      </c>
      <c r="L20" s="8">
        <f t="shared" ref="L20:N20" si="77">L5/L3</f>
        <v>0.8</v>
      </c>
      <c r="M20" s="8">
        <f t="shared" si="77"/>
        <v>0.8</v>
      </c>
      <c r="N20" s="8">
        <f t="shared" si="77"/>
        <v>0.8</v>
      </c>
      <c r="S20" s="8">
        <f t="shared" ref="S20:X20" si="78">S5/S3</f>
        <v>0.67735360899372454</v>
      </c>
      <c r="T20" s="8">
        <f t="shared" si="78"/>
        <v>0.77987779924495215</v>
      </c>
      <c r="U20" s="8">
        <f t="shared" si="78"/>
        <v>0.8</v>
      </c>
      <c r="V20" s="8">
        <f t="shared" si="78"/>
        <v>0.8</v>
      </c>
      <c r="W20" s="8">
        <f t="shared" si="78"/>
        <v>0.79999999999999993</v>
      </c>
      <c r="X20" s="8">
        <f t="shared" si="78"/>
        <v>0.8</v>
      </c>
      <c r="Y20" s="8">
        <f t="shared" ref="Y20" si="79">Y5/Y3</f>
        <v>0.8</v>
      </c>
      <c r="Z20" s="8">
        <f t="shared" ref="Z20:AA20" si="80">Z5/Z3</f>
        <v>0.8</v>
      </c>
      <c r="AA20" s="8">
        <f t="shared" si="80"/>
        <v>0.8</v>
      </c>
      <c r="AC20" t="s">
        <v>52</v>
      </c>
      <c r="AD20" s="19">
        <v>2585</v>
      </c>
    </row>
    <row r="21" spans="2:30" x14ac:dyDescent="0.25">
      <c r="B21" t="s">
        <v>56</v>
      </c>
      <c r="U21" s="16">
        <f t="shared" ref="U21:AA21" si="81">(U14/T14)-1</f>
        <v>-0.43403289254861011</v>
      </c>
      <c r="V21" s="16">
        <f t="shared" si="81"/>
        <v>-0.50478058434040718</v>
      </c>
      <c r="W21" s="16">
        <f t="shared" si="81"/>
        <v>-1.365485153165622</v>
      </c>
      <c r="X21" s="16">
        <f t="shared" si="81"/>
        <v>4.320474033514718</v>
      </c>
      <c r="Y21" s="16">
        <f t="shared" si="81"/>
        <v>1.0767116252205051</v>
      </c>
      <c r="Z21" s="16">
        <f t="shared" si="81"/>
        <v>0.66437973189472488</v>
      </c>
      <c r="AA21" s="16">
        <f t="shared" si="81"/>
        <v>0.50691175534965449</v>
      </c>
      <c r="AC21" t="s">
        <v>53</v>
      </c>
      <c r="AD21" s="20">
        <f>AD19-AD20</f>
        <v>17835.153954881047</v>
      </c>
    </row>
    <row r="22" spans="2:30" x14ac:dyDescent="0.25">
      <c r="AC22" t="s">
        <v>1</v>
      </c>
      <c r="AD22">
        <v>2036</v>
      </c>
    </row>
    <row r="23" spans="2:30" s="3" customFormat="1" x14ac:dyDescent="0.25"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>
        <f>2269.411+33.804+252.563+29.222</f>
        <v>2585.0000000000005</v>
      </c>
      <c r="L23" s="4"/>
      <c r="M23" s="4"/>
      <c r="N23" s="4"/>
      <c r="AC23" s="3" t="s">
        <v>54</v>
      </c>
      <c r="AD23" s="22">
        <f>AD21/AD22</f>
        <v>8.7598987990574884</v>
      </c>
    </row>
    <row r="24" spans="2:30" s="3" customFormat="1" x14ac:dyDescent="0.25">
      <c r="B24" s="3" t="s">
        <v>34</v>
      </c>
      <c r="C24" s="4"/>
      <c r="D24" s="4"/>
      <c r="E24" s="4"/>
      <c r="F24" s="4"/>
      <c r="G24" s="4"/>
      <c r="H24" s="4"/>
      <c r="I24" s="4"/>
      <c r="J24" s="4"/>
      <c r="K24" s="4">
        <v>256.55399999999997</v>
      </c>
      <c r="L24" s="4"/>
      <c r="M24" s="4"/>
      <c r="N24" s="4"/>
      <c r="V24" s="15">
        <v>0.02</v>
      </c>
      <c r="AC24" s="3" t="s">
        <v>55</v>
      </c>
      <c r="AD24" s="21">
        <v>9.31</v>
      </c>
    </row>
    <row r="25" spans="2:30" s="3" customFormat="1" x14ac:dyDescent="0.25">
      <c r="B25" s="3" t="s">
        <v>35</v>
      </c>
      <c r="C25" s="4"/>
      <c r="D25" s="4"/>
      <c r="E25" s="4"/>
      <c r="F25" s="4"/>
      <c r="G25" s="4"/>
      <c r="H25" s="4"/>
      <c r="I25" s="4"/>
      <c r="J25" s="4"/>
      <c r="K25" s="4">
        <v>115.042</v>
      </c>
      <c r="L25" s="4"/>
      <c r="M25" s="4"/>
      <c r="N25" s="4"/>
    </row>
    <row r="26" spans="2:30" s="3" customFormat="1" x14ac:dyDescent="0.25">
      <c r="B26" s="3" t="s">
        <v>36</v>
      </c>
      <c r="C26" s="4"/>
      <c r="D26" s="4"/>
      <c r="E26" s="4"/>
      <c r="F26" s="4"/>
      <c r="G26" s="4"/>
      <c r="H26" s="4"/>
      <c r="I26" s="4"/>
      <c r="J26" s="4"/>
      <c r="K26" s="4">
        <v>41.866</v>
      </c>
      <c r="L26" s="4"/>
      <c r="M26" s="4"/>
      <c r="N26" s="4"/>
      <c r="V26" s="3">
        <f>NPV(V24,S14:AA14)</f>
        <v>539.66032068177742</v>
      </c>
    </row>
    <row r="27" spans="2:30" s="3" customFormat="1" x14ac:dyDescent="0.25">
      <c r="B27" s="3" t="s">
        <v>37</v>
      </c>
      <c r="C27" s="4"/>
      <c r="D27" s="4"/>
      <c r="E27" s="4"/>
      <c r="F27" s="4"/>
      <c r="G27" s="4"/>
      <c r="H27" s="4"/>
      <c r="I27" s="4"/>
      <c r="J27" s="4"/>
      <c r="K27" s="4">
        <v>224.88800000000001</v>
      </c>
      <c r="L27" s="4"/>
      <c r="M27" s="4"/>
      <c r="N27" s="4"/>
      <c r="W27" s="3" t="s">
        <v>48</v>
      </c>
    </row>
    <row r="28" spans="2:30" s="3" customFormat="1" x14ac:dyDescent="0.25">
      <c r="B28" s="3" t="s">
        <v>38</v>
      </c>
      <c r="C28" s="4"/>
      <c r="D28" s="4"/>
      <c r="E28" s="4"/>
      <c r="F28" s="4"/>
      <c r="G28" s="4"/>
      <c r="H28" s="4"/>
      <c r="I28" s="4"/>
      <c r="J28" s="4"/>
      <c r="K28" s="4">
        <v>95.828999999999994</v>
      </c>
      <c r="L28" s="4"/>
      <c r="M28" s="4"/>
      <c r="N28" s="4"/>
    </row>
    <row r="29" spans="2:30" s="3" customFormat="1" x14ac:dyDescent="0.25">
      <c r="B29" s="3" t="s">
        <v>39</v>
      </c>
      <c r="C29" s="4"/>
      <c r="D29" s="4"/>
      <c r="E29" s="4"/>
      <c r="F29" s="4"/>
      <c r="G29" s="4"/>
      <c r="H29" s="4"/>
      <c r="I29" s="4"/>
      <c r="J29" s="4"/>
      <c r="K29" s="4">
        <f>SUM(K23:K28)</f>
        <v>3319.1790000000005</v>
      </c>
      <c r="L29" s="4"/>
      <c r="M29" s="4"/>
      <c r="N29" s="4"/>
    </row>
    <row r="31" spans="2:30" s="3" customFormat="1" x14ac:dyDescent="0.25">
      <c r="B31" s="3" t="s">
        <v>40</v>
      </c>
      <c r="C31" s="4"/>
      <c r="D31" s="4"/>
      <c r="E31" s="4"/>
      <c r="F31" s="4"/>
      <c r="G31" s="4"/>
      <c r="H31" s="4"/>
      <c r="I31" s="4"/>
      <c r="J31" s="4"/>
      <c r="K31" s="4">
        <v>27.454000000000001</v>
      </c>
      <c r="L31" s="4"/>
      <c r="M31" s="4"/>
      <c r="N31" s="4"/>
    </row>
    <row r="32" spans="2:30" s="3" customFormat="1" x14ac:dyDescent="0.25">
      <c r="B32" s="3" t="s">
        <v>41</v>
      </c>
      <c r="C32" s="4"/>
      <c r="D32" s="4"/>
      <c r="E32" s="4"/>
      <c r="F32" s="4"/>
      <c r="G32" s="4"/>
      <c r="H32" s="4"/>
      <c r="I32" s="4"/>
      <c r="J32" s="4"/>
      <c r="K32" s="4">
        <v>150.17599999999999</v>
      </c>
      <c r="L32" s="4"/>
      <c r="M32" s="4"/>
      <c r="N32" s="4"/>
    </row>
    <row r="33" spans="2:20" s="3" customFormat="1" x14ac:dyDescent="0.25">
      <c r="B33" s="3" t="s">
        <v>42</v>
      </c>
      <c r="C33" s="4"/>
      <c r="D33" s="4"/>
      <c r="E33" s="4"/>
      <c r="F33" s="4"/>
      <c r="G33" s="4"/>
      <c r="H33" s="4"/>
      <c r="I33" s="4"/>
      <c r="J33" s="4"/>
      <c r="K33" s="4">
        <f>218.521+33.244</f>
        <v>251.76499999999999</v>
      </c>
      <c r="L33" s="4"/>
      <c r="M33" s="4"/>
      <c r="N33" s="4"/>
    </row>
    <row r="34" spans="2:20" s="3" customFormat="1" x14ac:dyDescent="0.25">
      <c r="B34" s="3" t="s">
        <v>43</v>
      </c>
      <c r="C34" s="4"/>
      <c r="D34" s="4"/>
      <c r="E34" s="4"/>
      <c r="F34" s="4"/>
      <c r="G34" s="4"/>
      <c r="H34" s="4"/>
      <c r="I34" s="4"/>
      <c r="J34" s="4"/>
      <c r="K34" s="4">
        <f>232.908+22.276</f>
        <v>255.184</v>
      </c>
      <c r="L34" s="4"/>
      <c r="M34" s="4"/>
      <c r="N34" s="4"/>
    </row>
    <row r="35" spans="2:20" s="3" customFormat="1" x14ac:dyDescent="0.25">
      <c r="B35" s="3" t="s">
        <v>37</v>
      </c>
      <c r="C35" s="4"/>
      <c r="D35" s="4"/>
      <c r="E35" s="4"/>
      <c r="F35" s="4"/>
      <c r="G35" s="4"/>
      <c r="H35" s="4"/>
      <c r="I35" s="4"/>
      <c r="J35" s="4"/>
      <c r="K35" s="4">
        <f>40.045+227.617</f>
        <v>267.66199999999998</v>
      </c>
      <c r="L35" s="4"/>
      <c r="M35" s="4"/>
      <c r="N35" s="4"/>
    </row>
    <row r="36" spans="2:20" s="3" customFormat="1" x14ac:dyDescent="0.25">
      <c r="B36" s="3" t="s">
        <v>46</v>
      </c>
      <c r="C36" s="4"/>
      <c r="D36" s="4"/>
      <c r="E36" s="4"/>
      <c r="F36" s="4"/>
      <c r="G36" s="4"/>
      <c r="H36" s="4"/>
      <c r="I36" s="4"/>
      <c r="J36" s="4"/>
      <c r="K36" s="4">
        <v>2.1920000000000002</v>
      </c>
      <c r="L36" s="4"/>
      <c r="M36" s="4"/>
      <c r="N36" s="4"/>
    </row>
    <row r="37" spans="2:20" s="3" customFormat="1" x14ac:dyDescent="0.25">
      <c r="B37" s="3" t="s">
        <v>44</v>
      </c>
      <c r="C37" s="4"/>
      <c r="D37" s="4"/>
      <c r="E37" s="4"/>
      <c r="F37" s="4"/>
      <c r="G37" s="4"/>
      <c r="H37" s="4"/>
      <c r="I37" s="4"/>
      <c r="J37" s="4"/>
      <c r="K37" s="4">
        <v>2364.7460000000001</v>
      </c>
      <c r="L37" s="4"/>
      <c r="M37" s="4"/>
      <c r="N37" s="4"/>
    </row>
    <row r="38" spans="2:20" s="3" customFormat="1" x14ac:dyDescent="0.25">
      <c r="B38" s="3" t="s">
        <v>45</v>
      </c>
      <c r="C38" s="4"/>
      <c r="D38" s="4"/>
      <c r="E38" s="4"/>
      <c r="F38" s="4"/>
      <c r="G38" s="4"/>
      <c r="H38" s="4"/>
      <c r="I38" s="4"/>
      <c r="J38" s="4"/>
      <c r="K38" s="4">
        <f>SUM(K31:K37)</f>
        <v>3319.1790000000001</v>
      </c>
      <c r="L38" s="4"/>
      <c r="M38" s="4"/>
      <c r="N38" s="4"/>
    </row>
    <row r="40" spans="2:20" s="3" customFormat="1" x14ac:dyDescent="0.25">
      <c r="B40" s="3" t="s">
        <v>47</v>
      </c>
      <c r="C40" s="4"/>
      <c r="D40" s="4"/>
      <c r="E40" s="4"/>
      <c r="F40" s="4"/>
      <c r="G40" s="4">
        <v>116881</v>
      </c>
      <c r="H40" s="4"/>
      <c r="I40" s="4"/>
      <c r="J40" s="4"/>
      <c r="K40" s="4">
        <v>35477</v>
      </c>
      <c r="L40" s="4"/>
      <c r="M40" s="4"/>
      <c r="N40" s="4"/>
      <c r="S40" s="3">
        <v>-296608</v>
      </c>
      <c r="T40" s="3">
        <v>333851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Steve Ng</cp:lastModifiedBy>
  <dcterms:created xsi:type="dcterms:W3CDTF">2022-07-18T16:27:52Z</dcterms:created>
  <dcterms:modified xsi:type="dcterms:W3CDTF">2022-11-07T16:13:15Z</dcterms:modified>
</cp:coreProperties>
</file>