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20f2ad373083d/Documents/Investments/Stocks/"/>
    </mc:Choice>
  </mc:AlternateContent>
  <xr:revisionPtr revIDLastSave="519" documentId="13_ncr:1_{B9593824-C1A3-4324-9B65-D59D080DDA8D}" xr6:coauthVersionLast="47" xr6:coauthVersionMax="47" xr10:uidLastSave="{208C3D91-1FDB-433A-A88C-52D072DBE37B}"/>
  <bookViews>
    <workbookView xWindow="-108" yWindow="-108" windowWidth="23256" windowHeight="12576" activeTab="1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AM3" i="2" l="1"/>
  <c r="AF14" i="2" l="1"/>
  <c r="AG14" i="2" s="1"/>
  <c r="AH14" i="2" s="1"/>
  <c r="AI14" i="2" s="1"/>
  <c r="AJ14" i="2" s="1"/>
  <c r="AK14" i="2" s="1"/>
  <c r="AL14" i="2" s="1"/>
  <c r="AM14" i="2" s="1"/>
  <c r="AN14" i="2" s="1"/>
  <c r="AE14" i="2"/>
  <c r="X7" i="2"/>
  <c r="Y7" i="2" s="1"/>
  <c r="Z7" i="2" s="1"/>
  <c r="AA7" i="2" s="1"/>
  <c r="AB7" i="2" s="1"/>
  <c r="AC7" i="2" s="1"/>
  <c r="AD7" i="2" s="1"/>
  <c r="W7" i="2"/>
  <c r="X6" i="2"/>
  <c r="Y6" i="2" s="1"/>
  <c r="Z6" i="2" s="1"/>
  <c r="AA6" i="2" s="1"/>
  <c r="AB6" i="2" s="1"/>
  <c r="AC6" i="2" s="1"/>
  <c r="AD6" i="2" s="1"/>
  <c r="W6" i="2"/>
  <c r="V7" i="2"/>
  <c r="V6" i="2"/>
  <c r="AF3" i="2"/>
  <c r="AG3" i="2" s="1"/>
  <c r="AH3" i="2" s="1"/>
  <c r="AI3" i="2" s="1"/>
  <c r="AJ3" i="2" s="1"/>
  <c r="AK3" i="2" s="1"/>
  <c r="AL3" i="2" s="1"/>
  <c r="AN3" i="2" s="1"/>
  <c r="AE3" i="2"/>
  <c r="Y3" i="2"/>
  <c r="Z3" i="2" s="1"/>
  <c r="AA3" i="2" s="1"/>
  <c r="AB3" i="2" s="1"/>
  <c r="AC3" i="2" s="1"/>
  <c r="AD3" i="2" s="1"/>
  <c r="X3" i="2"/>
  <c r="W3" i="2"/>
  <c r="M80" i="2"/>
  <c r="M77" i="2"/>
  <c r="M82" i="2"/>
  <c r="M79" i="2"/>
  <c r="L79" i="2"/>
  <c r="K79" i="2"/>
  <c r="J79" i="2"/>
  <c r="I79" i="2"/>
  <c r="H79" i="2"/>
  <c r="G79" i="2"/>
  <c r="F79" i="2"/>
  <c r="E79" i="2"/>
  <c r="D79" i="2"/>
  <c r="M70" i="2"/>
  <c r="M69" i="2"/>
  <c r="M68" i="2"/>
  <c r="M65" i="2"/>
  <c r="M63" i="2"/>
  <c r="M62" i="2"/>
  <c r="M61" i="2"/>
  <c r="M60" i="2"/>
  <c r="M59" i="2"/>
  <c r="M58" i="2"/>
  <c r="M57" i="2"/>
  <c r="M56" i="2"/>
  <c r="M54" i="2"/>
  <c r="M53" i="2"/>
  <c r="M52" i="2"/>
  <c r="M51" i="2"/>
  <c r="M48" i="2"/>
  <c r="M47" i="2"/>
  <c r="M45" i="2"/>
  <c r="M38" i="2"/>
  <c r="M37" i="2"/>
  <c r="M36" i="2"/>
  <c r="M25" i="2"/>
  <c r="M31" i="2" s="1"/>
  <c r="M24" i="2"/>
  <c r="M11" i="2"/>
  <c r="M10" i="2"/>
  <c r="M42" i="2"/>
  <c r="M19" i="2"/>
  <c r="M9" i="2"/>
  <c r="M5" i="2"/>
  <c r="AH31" i="2"/>
  <c r="AH27" i="2"/>
  <c r="U69" i="2"/>
  <c r="U71" i="2" s="1"/>
  <c r="U77" i="2"/>
  <c r="U79" i="2" s="1"/>
  <c r="U66" i="2"/>
  <c r="T73" i="2"/>
  <c r="T77" i="2" s="1"/>
  <c r="T79" i="2" s="1"/>
  <c r="T82" i="2"/>
  <c r="T71" i="2"/>
  <c r="T66" i="2"/>
  <c r="S82" i="2"/>
  <c r="S76" i="2"/>
  <c r="S77" i="2"/>
  <c r="S79" i="2" s="1"/>
  <c r="S73" i="2"/>
  <c r="R77" i="2"/>
  <c r="R79" i="2" s="1"/>
  <c r="R73" i="2"/>
  <c r="S71" i="2"/>
  <c r="S66" i="2"/>
  <c r="R71" i="2"/>
  <c r="R66" i="2"/>
  <c r="I78" i="2"/>
  <c r="J78" i="2" s="1"/>
  <c r="I77" i="2"/>
  <c r="J77" i="2" s="1"/>
  <c r="J69" i="2"/>
  <c r="J68" i="2"/>
  <c r="J71" i="2" s="1"/>
  <c r="J53" i="2"/>
  <c r="C83" i="2"/>
  <c r="D82" i="2" s="1"/>
  <c r="D78" i="2"/>
  <c r="D71" i="2"/>
  <c r="D66" i="2"/>
  <c r="I80" i="2"/>
  <c r="J80" i="2" s="1"/>
  <c r="I68" i="2"/>
  <c r="I71" i="2" s="1"/>
  <c r="L66" i="2"/>
  <c r="I51" i="2"/>
  <c r="I65" i="2"/>
  <c r="J65" i="2" s="1"/>
  <c r="I61" i="2"/>
  <c r="J61" i="2" s="1"/>
  <c r="H71" i="2"/>
  <c r="H66" i="2"/>
  <c r="I63" i="2"/>
  <c r="J63" i="2" s="1"/>
  <c r="I62" i="2"/>
  <c r="J62" i="2" s="1"/>
  <c r="I60" i="2"/>
  <c r="J60" i="2" s="1"/>
  <c r="I59" i="2"/>
  <c r="J59" i="2" s="1"/>
  <c r="I58" i="2"/>
  <c r="J58" i="2" s="1"/>
  <c r="I57" i="2"/>
  <c r="J57" i="2" s="1"/>
  <c r="I56" i="2"/>
  <c r="J56" i="2" s="1"/>
  <c r="I54" i="2"/>
  <c r="J54" i="2" s="1"/>
  <c r="I52" i="2"/>
  <c r="J52" i="2" s="1"/>
  <c r="I48" i="2"/>
  <c r="J48" i="2" s="1"/>
  <c r="I47" i="2"/>
  <c r="J47" i="2" s="1"/>
  <c r="I45" i="2"/>
  <c r="J45" i="2" s="1"/>
  <c r="G83" i="2"/>
  <c r="L71" i="2"/>
  <c r="M71" i="2" l="1"/>
  <c r="M66" i="2"/>
  <c r="M12" i="2"/>
  <c r="M14" i="2" s="1"/>
  <c r="M15" i="2" s="1"/>
  <c r="M20" i="2"/>
  <c r="U81" i="2"/>
  <c r="T81" i="2"/>
  <c r="T83" i="2" s="1"/>
  <c r="U82" i="2" s="1"/>
  <c r="R81" i="2"/>
  <c r="R83" i="2" s="1"/>
  <c r="S81" i="2"/>
  <c r="S83" i="2" s="1"/>
  <c r="J66" i="2"/>
  <c r="H81" i="2"/>
  <c r="H83" i="2" s="1"/>
  <c r="I82" i="2" s="1"/>
  <c r="D81" i="2"/>
  <c r="D83" i="2" s="1"/>
  <c r="I66" i="2"/>
  <c r="L81" i="2"/>
  <c r="L83" i="2" s="1"/>
  <c r="M81" i="2" l="1"/>
  <c r="M83" i="2" s="1"/>
  <c r="M21" i="2"/>
  <c r="U83" i="2"/>
  <c r="J81" i="2"/>
  <c r="I81" i="2"/>
  <c r="I83" i="2" s="1"/>
  <c r="J82" i="2" s="1"/>
  <c r="J83" i="2" s="1"/>
  <c r="J25" i="2"/>
  <c r="J38" i="2"/>
  <c r="J37" i="2"/>
  <c r="J36" i="2"/>
  <c r="J24" i="2"/>
  <c r="H38" i="2"/>
  <c r="H37" i="2"/>
  <c r="H36" i="2"/>
  <c r="H25" i="2"/>
  <c r="H31" i="2" s="1"/>
  <c r="K38" i="2"/>
  <c r="K37" i="2"/>
  <c r="K36" i="2"/>
  <c r="I38" i="2"/>
  <c r="I37" i="2"/>
  <c r="I36" i="2"/>
  <c r="K25" i="2"/>
  <c r="K24" i="2"/>
  <c r="I25" i="2"/>
  <c r="I31" i="2" s="1"/>
  <c r="G38" i="2"/>
  <c r="G37" i="2"/>
  <c r="G36" i="2"/>
  <c r="G25" i="2"/>
  <c r="G24" i="2"/>
  <c r="C11" i="2"/>
  <c r="C9" i="2"/>
  <c r="C5" i="2"/>
  <c r="C40" i="2"/>
  <c r="C37" i="2"/>
  <c r="C36" i="2"/>
  <c r="C34" i="2"/>
  <c r="C25" i="2"/>
  <c r="C31" i="2" s="1"/>
  <c r="D37" i="2"/>
  <c r="D36" i="2"/>
  <c r="D25" i="2"/>
  <c r="D24" i="2"/>
  <c r="F39" i="2"/>
  <c r="F42" i="2" s="1"/>
  <c r="F30" i="2"/>
  <c r="F24" i="2"/>
  <c r="L39" i="2"/>
  <c r="L42" i="2" s="1"/>
  <c r="L30" i="2"/>
  <c r="L24" i="2"/>
  <c r="U11" i="2"/>
  <c r="T11" i="2"/>
  <c r="S11" i="2"/>
  <c r="L11" i="2"/>
  <c r="K11" i="2"/>
  <c r="J11" i="2"/>
  <c r="I11" i="2"/>
  <c r="H11" i="2"/>
  <c r="G11" i="2"/>
  <c r="F11" i="2"/>
  <c r="E11" i="2"/>
  <c r="D11" i="2"/>
  <c r="V8" i="2"/>
  <c r="W8" i="2" s="1"/>
  <c r="X8" i="2" s="1"/>
  <c r="Y8" i="2" s="1"/>
  <c r="Z8" i="2" s="1"/>
  <c r="AA8" i="2" s="1"/>
  <c r="AB8" i="2" s="1"/>
  <c r="AC8" i="2" s="1"/>
  <c r="AD8" i="2" s="1"/>
  <c r="D31" i="2" l="1"/>
  <c r="K31" i="2"/>
  <c r="G31" i="2"/>
  <c r="K42" i="2"/>
  <c r="J42" i="2"/>
  <c r="J31" i="2"/>
  <c r="H42" i="2"/>
  <c r="G42" i="2"/>
  <c r="I42" i="2"/>
  <c r="C10" i="2"/>
  <c r="C12" i="2" s="1"/>
  <c r="C14" i="2" s="1"/>
  <c r="C15" i="2" s="1"/>
  <c r="C20" i="2"/>
  <c r="D42" i="2"/>
  <c r="C42" i="2"/>
  <c r="L31" i="2"/>
  <c r="F31" i="2"/>
  <c r="V5" i="2"/>
  <c r="V4" i="2" s="1"/>
  <c r="C21" i="2" l="1"/>
  <c r="W5" i="2"/>
  <c r="W4" i="2" s="1"/>
  <c r="X5" i="2" l="1"/>
  <c r="X4" i="2" s="1"/>
  <c r="Y5" i="2" l="1"/>
  <c r="Y4" i="2" s="1"/>
  <c r="Z5" i="2" l="1"/>
  <c r="Z4" i="2" s="1"/>
  <c r="AA5" i="2" l="1"/>
  <c r="AA4" i="2" s="1"/>
  <c r="AB5" i="2" l="1"/>
  <c r="AB4" i="2" s="1"/>
  <c r="AC5" i="2" l="1"/>
  <c r="AC4" i="2" s="1"/>
  <c r="AD5" i="2" l="1"/>
  <c r="AD4" i="2" s="1"/>
  <c r="V19" i="2"/>
  <c r="X9" i="2"/>
  <c r="V9" i="2"/>
  <c r="AD9" i="2"/>
  <c r="T19" i="2"/>
  <c r="U19" i="2"/>
  <c r="S9" i="2"/>
  <c r="S5" i="2"/>
  <c r="S20" i="2" s="1"/>
  <c r="T9" i="2"/>
  <c r="T5" i="2"/>
  <c r="T20" i="2" s="1"/>
  <c r="U9" i="2"/>
  <c r="U5" i="2"/>
  <c r="U20" i="2" s="1"/>
  <c r="D9" i="2"/>
  <c r="D5" i="2"/>
  <c r="G9" i="2"/>
  <c r="G5" i="2"/>
  <c r="K19" i="2"/>
  <c r="K9" i="2"/>
  <c r="K5" i="2"/>
  <c r="H19" i="2"/>
  <c r="I19" i="2"/>
  <c r="E9" i="2"/>
  <c r="E5" i="2"/>
  <c r="I9" i="2"/>
  <c r="I5" i="2"/>
  <c r="I20" i="2" s="1"/>
  <c r="F9" i="2"/>
  <c r="J19" i="2"/>
  <c r="J9" i="2"/>
  <c r="J5" i="2"/>
  <c r="F5" i="2"/>
  <c r="F20" i="2" s="1"/>
  <c r="L19" i="2"/>
  <c r="H9" i="2"/>
  <c r="H5" i="2"/>
  <c r="H20" i="2" s="1"/>
  <c r="AE5" i="2" l="1"/>
  <c r="AE20" i="2" s="1"/>
  <c r="AE19" i="2"/>
  <c r="V10" i="2"/>
  <c r="V12" i="2" s="1"/>
  <c r="V20" i="2"/>
  <c r="Y9" i="2"/>
  <c r="W19" i="2"/>
  <c r="Z9" i="2"/>
  <c r="AA9" i="2"/>
  <c r="AB9" i="2"/>
  <c r="AC9" i="2"/>
  <c r="W9" i="2"/>
  <c r="S10" i="2"/>
  <c r="S12" i="2" s="1"/>
  <c r="S14" i="2" s="1"/>
  <c r="T10" i="2"/>
  <c r="T12" i="2" s="1"/>
  <c r="T14" i="2" s="1"/>
  <c r="U10" i="2"/>
  <c r="U12" i="2" s="1"/>
  <c r="U14" i="2" s="1"/>
  <c r="D10" i="2"/>
  <c r="D12" i="2" s="1"/>
  <c r="D14" i="2" s="1"/>
  <c r="D20" i="2"/>
  <c r="G10" i="2"/>
  <c r="G12" i="2" s="1"/>
  <c r="G14" i="2" s="1"/>
  <c r="G20" i="2"/>
  <c r="K10" i="2"/>
  <c r="K12" i="2" s="1"/>
  <c r="K14" i="2" s="1"/>
  <c r="K20" i="2"/>
  <c r="E10" i="2"/>
  <c r="E12" i="2" s="1"/>
  <c r="E14" i="2" s="1"/>
  <c r="E20" i="2"/>
  <c r="I10" i="2"/>
  <c r="I12" i="2" s="1"/>
  <c r="I14" i="2" s="1"/>
  <c r="F10" i="2"/>
  <c r="F12" i="2" s="1"/>
  <c r="F14" i="2" s="1"/>
  <c r="J10" i="2"/>
  <c r="J12" i="2" s="1"/>
  <c r="J14" i="2" s="1"/>
  <c r="J20" i="2"/>
  <c r="H10" i="2"/>
  <c r="H12" i="2" s="1"/>
  <c r="H14" i="2" s="1"/>
  <c r="L9" i="2"/>
  <c r="L5" i="2"/>
  <c r="H4" i="1"/>
  <c r="H7" i="1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F5" i="2" l="1"/>
  <c r="AF20" i="2" s="1"/>
  <c r="AF19" i="2"/>
  <c r="W10" i="2"/>
  <c r="W12" i="2" s="1"/>
  <c r="W20" i="2"/>
  <c r="I15" i="2"/>
  <c r="I21" i="2"/>
  <c r="D15" i="2"/>
  <c r="D21" i="2"/>
  <c r="U15" i="2"/>
  <c r="U21" i="2"/>
  <c r="E15" i="2"/>
  <c r="E21" i="2"/>
  <c r="T15" i="2"/>
  <c r="T21" i="2"/>
  <c r="S15" i="2"/>
  <c r="S21" i="2"/>
  <c r="H15" i="2"/>
  <c r="H21" i="2"/>
  <c r="K15" i="2"/>
  <c r="K21" i="2"/>
  <c r="J15" i="2"/>
  <c r="J21" i="2"/>
  <c r="G15" i="2"/>
  <c r="G21" i="2"/>
  <c r="V13" i="2"/>
  <c r="V14" i="2" s="1"/>
  <c r="F15" i="2"/>
  <c r="F21" i="2"/>
  <c r="X19" i="2"/>
  <c r="L10" i="2"/>
  <c r="L12" i="2" s="1"/>
  <c r="L14" i="2" s="1"/>
  <c r="L20" i="2"/>
  <c r="AG5" i="2" l="1"/>
  <c r="AG20" i="2" s="1"/>
  <c r="AG19" i="2"/>
  <c r="V21" i="2"/>
  <c r="X20" i="2"/>
  <c r="X10" i="2"/>
  <c r="X12" i="2" s="1"/>
  <c r="L15" i="2"/>
  <c r="L21" i="2"/>
  <c r="Y19" i="2"/>
  <c r="W13" i="2"/>
  <c r="W14" i="2" s="1"/>
  <c r="AH5" i="2" l="1"/>
  <c r="AH20" i="2" s="1"/>
  <c r="AH19" i="2"/>
  <c r="W21" i="2"/>
  <c r="Y20" i="2"/>
  <c r="Y10" i="2"/>
  <c r="Y12" i="2" s="1"/>
  <c r="X13" i="2"/>
  <c r="X14" i="2" s="1"/>
  <c r="Z19" i="2"/>
  <c r="AI5" i="2" l="1"/>
  <c r="AI20" i="2" s="1"/>
  <c r="AI19" i="2"/>
  <c r="Y13" i="2"/>
  <c r="Y14" i="2" s="1"/>
  <c r="Y21" i="2" s="1"/>
  <c r="Z20" i="2"/>
  <c r="X21" i="2"/>
  <c r="AA19" i="2"/>
  <c r="AJ5" i="2" l="1"/>
  <c r="AJ20" i="2" s="1"/>
  <c r="AJ19" i="2"/>
  <c r="Z10" i="2"/>
  <c r="Z12" i="2" s="1"/>
  <c r="AB19" i="2"/>
  <c r="AA20" i="2"/>
  <c r="AA10" i="2"/>
  <c r="AA12" i="2" s="1"/>
  <c r="Z13" i="2" l="1"/>
  <c r="Z14" i="2" s="1"/>
  <c r="AA13" i="2"/>
  <c r="AA14" i="2" s="1"/>
  <c r="AA21" i="2" s="1"/>
  <c r="AK5" i="2"/>
  <c r="AK20" i="2" s="1"/>
  <c r="AK19" i="2"/>
  <c r="AC19" i="2"/>
  <c r="AB20" i="2"/>
  <c r="AB10" i="2"/>
  <c r="AB12" i="2" s="1"/>
  <c r="Z21" i="2" l="1"/>
  <c r="AL5" i="2"/>
  <c r="AL20" i="2" s="1"/>
  <c r="AL19" i="2"/>
  <c r="AB13" i="2"/>
  <c r="AB14" i="2" s="1"/>
  <c r="AB21" i="2" s="1"/>
  <c r="AD19" i="2"/>
  <c r="AC10" i="2"/>
  <c r="AC12" i="2" s="1"/>
  <c r="AC20" i="2"/>
  <c r="AM5" i="2" l="1"/>
  <c r="AM20" i="2" s="1"/>
  <c r="AM19" i="2"/>
  <c r="AC13" i="2"/>
  <c r="AC14" i="2" s="1"/>
  <c r="AC21" i="2" s="1"/>
  <c r="AD10" i="2"/>
  <c r="AD12" i="2" s="1"/>
  <c r="AD20" i="2"/>
  <c r="AN5" i="2" l="1"/>
  <c r="AN20" i="2" s="1"/>
  <c r="AN19" i="2"/>
  <c r="AD13" i="2"/>
  <c r="AD14" i="2" s="1"/>
  <c r="AD21" i="2" l="1"/>
  <c r="AE21" i="2" l="1"/>
  <c r="AF21" i="2" l="1"/>
  <c r="AG21" i="2" l="1"/>
  <c r="AH21" i="2" l="1"/>
  <c r="AI21" i="2" l="1"/>
  <c r="AJ21" i="2" l="1"/>
  <c r="AK21" i="2" l="1"/>
  <c r="AL21" i="2" l="1"/>
  <c r="AM21" i="2" l="1"/>
  <c r="AN21" i="2" l="1"/>
  <c r="AO14" i="2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l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AH26" i="2" l="1"/>
  <c r="AH28" i="2" s="1"/>
  <c r="AH30" i="2" s="1"/>
</calcChain>
</file>

<file path=xl/sharedStrings.xml><?xml version="1.0" encoding="utf-8"?>
<sst xmlns="http://schemas.openxmlformats.org/spreadsheetml/2006/main" count="155" uniqueCount="139">
  <si>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</si>
  <si>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</si>
  <si>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</si>
  <si>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</si>
  <si>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</si>
  <si>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</si>
  <si>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</si>
  <si>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</si>
  <si>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</si>
  <si>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</si>
  <si>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</si>
  <si>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</si>
  <si>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</si>
  <si>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</si>
  <si>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</si>
  <si>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</si>
  <si>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</si>
  <si>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</si>
  <si>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</si>
  <si>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</si>
  <si>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</si>
  <si>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</si>
  <si>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</si>
  <si>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</si>
  <si>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</si>
  <si>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</si>
  <si>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</si>
  <si>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</si>
  <si>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</si>
  <si>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</si>
  <si>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</si>
  <si>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</si>
  <si>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</si>
  <si>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</si>
  <si>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</si>
  <si>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</si>
  <si>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</si>
  <si>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</si>
  <si>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</si>
  <si>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</si>
  <si>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</si>
  <si>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</si>
  <si>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</si>
  <si>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</si>
  <si>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</si>
  <si>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</si>
  <si>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</si>
  <si>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</si>
  <si>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Net Margins</t>
  </si>
  <si>
    <t>Maturity Value</t>
  </si>
  <si>
    <t>Discount Rate</t>
  </si>
  <si>
    <t>NPV</t>
  </si>
  <si>
    <t>Net Cash</t>
  </si>
  <si>
    <t>Model Price</t>
  </si>
  <si>
    <t>Current price</t>
  </si>
  <si>
    <t>Value</t>
  </si>
  <si>
    <t>Notes</t>
  </si>
  <si>
    <t>Founded in 2003</t>
  </si>
  <si>
    <t>build software for the United States to assist in counterterrorism investigations and operations</t>
  </si>
  <si>
    <t>Later worked with commercial enterprises</t>
  </si>
  <si>
    <t>Foundry</t>
  </si>
  <si>
    <t>Gotham</t>
  </si>
  <si>
    <t>Apollo</t>
  </si>
  <si>
    <t>For commercial</t>
  </si>
  <si>
    <t>update system</t>
  </si>
  <si>
    <t>Central OS - data consolidation/management</t>
  </si>
  <si>
    <t>For US Govt + banks to detect fraud</t>
  </si>
  <si>
    <t>For all, started in 2021</t>
  </si>
  <si>
    <t>237 customers</t>
  </si>
  <si>
    <t>60% govt</t>
  </si>
  <si>
    <t>57% in US</t>
  </si>
  <si>
    <t>average rev per customer decreasing yoy</t>
  </si>
  <si>
    <t>average rev for top 20 customers increased yoy</t>
  </si>
  <si>
    <t>more customers, smaller ticket</t>
  </si>
  <si>
    <t>but getting more concentrated at top</t>
  </si>
  <si>
    <t>platform capabilities and product functionality;</t>
  </si>
  <si>
    <t>data security and privacy;</t>
  </si>
  <si>
    <t>ease and speed of adoption, use, and deployment;</t>
  </si>
  <si>
    <t>product innovation;</t>
  </si>
  <si>
    <t>pricing and cost structures;</t>
  </si>
  <si>
    <t>customer experience, including support; and</t>
  </si>
  <si>
    <t>brand awareness and reputation.</t>
  </si>
  <si>
    <t>Competitive factors in industry</t>
  </si>
  <si>
    <t>2920 FT employees (incl 1058 outside of US)</t>
  </si>
  <si>
    <t>Risks</t>
  </si>
  <si>
    <t>3rd party computing infrastructure</t>
  </si>
  <si>
    <t>Will not work with China</t>
  </si>
  <si>
    <t>3 phases: acquire, expand, scale</t>
  </si>
  <si>
    <t>scale is literally 99% of rev</t>
  </si>
  <si>
    <t>contribution margin</t>
  </si>
  <si>
    <t>(revenue - cogs - S&amp;M + stock-based comp)/revenue</t>
  </si>
  <si>
    <t>Q419</t>
  </si>
  <si>
    <t>RC</t>
  </si>
  <si>
    <t>Issue stock</t>
  </si>
  <si>
    <t>-</t>
  </si>
  <si>
    <t>Segments</t>
  </si>
  <si>
    <t>Net loss</t>
  </si>
  <si>
    <t>D&amp;A</t>
  </si>
  <si>
    <t>SBC</t>
  </si>
  <si>
    <t>Deferred income tax</t>
  </si>
  <si>
    <t>NCOLE</t>
  </si>
  <si>
    <t>Unrealized and realized (gain) loss from marketable securities</t>
  </si>
  <si>
    <t>Other operating activities</t>
  </si>
  <si>
    <t>Adjustments to reconcile net loss to net cash provided by operating activities</t>
  </si>
  <si>
    <t>Changes in operating A&amp;L</t>
  </si>
  <si>
    <t>Prepaid expenses</t>
  </si>
  <si>
    <t>CD</t>
  </si>
  <si>
    <t>Operating lease liabilities</t>
  </si>
  <si>
    <t>Other liabilities</t>
  </si>
  <si>
    <t>CFFI</t>
  </si>
  <si>
    <t>Other assets</t>
  </si>
  <si>
    <t>Other financing</t>
  </si>
  <si>
    <t>CFFF</t>
  </si>
  <si>
    <t>Foreign exchange</t>
  </si>
  <si>
    <t>FCF</t>
  </si>
  <si>
    <t>CF BoP</t>
  </si>
  <si>
    <t>CF EoP</t>
  </si>
  <si>
    <t>Change in warrant value</t>
  </si>
  <si>
    <t>Type</t>
  </si>
  <si>
    <t>Competitors</t>
  </si>
  <si>
    <t>Impairment of assets</t>
  </si>
  <si>
    <t>Deferred rent</t>
  </si>
  <si>
    <t>Buying</t>
  </si>
  <si>
    <t>Selling</t>
  </si>
  <si>
    <t>Debt issuance</t>
  </si>
  <si>
    <t>Payments on borrowing</t>
  </si>
  <si>
    <t>Stock issuance/Stock options</t>
  </si>
  <si>
    <t>Redemption/Repurchase of stock</t>
  </si>
  <si>
    <t>Net stock repos</t>
  </si>
  <si>
    <t>Look out for increase in new customers</t>
  </si>
  <si>
    <t>Q222 Earnings</t>
  </si>
  <si>
    <t>NDR drop from 124% to 119%</t>
  </si>
  <si>
    <t>Commercial business outside US improved</t>
  </si>
  <si>
    <t>looking at penetrating healthcare industry</t>
  </si>
  <si>
    <t>US rev 45% growth yoy</t>
  </si>
  <si>
    <t>US commercial rev grew 100+%</t>
  </si>
  <si>
    <t>US govt rev grew 27% yoy</t>
  </si>
  <si>
    <t>commercial increase 46%</t>
  </si>
  <si>
    <t>govt increase 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</si>
</sst>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#,##0.0000000000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10" fontId="0" fillId="0" borderId="0" xfId="2" applyNumberFormat="1" applyFont="1"/>
    <xf numFmtId="0" fontId="0" fillId="0" borderId="0" xfId="0" applyFont="1"/>
    <xf numFmtId="9" fontId="0" fillId="0" borderId="0" xfId="0" applyNumberFormat="1"/>
    <xf numFmtId="9" fontId="0" fillId="0" borderId="0" xfId="0" applyNumberFormat="1" applyFont="1"/>
    <xf numFmtId="8" fontId="0" fillId="0" borderId="0" xfId="0" applyNumberFormat="1"/>
    <xf numFmtId="44" fontId="0" fillId="0" borderId="0" xfId="3" applyFont="1"/>
    <xf numFmtId="8" fontId="0" fillId="0" borderId="0" xfId="3" applyNumberFormat="1" applyFont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wrapText="1"/>
    </xf>
    <xf numFmtId="0" fontId="1" fillId="0" borderId="0" xfId="0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Alignment="1">
      <alignment wrapText="1"/>
    </xf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3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/>
    <xf numFmtId="3" fontId="0" fillId="0" borderId="0" xfId="0" applyNumberFormat="1" applyFill="1" applyBorder="1"/>
    <xf numFmtId="165" fontId="1" fillId="0" borderId="0" xfId="0" applyNumberFormat="1" applyFont="1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</xdr:colOff>
      <xdr:row>0</xdr:row>
      <xdr:rowOff>70485</xdr:rowOff>
    </xdr:from>
    <xdr:to>
      <xdr:col>13</xdr:col>
      <xdr:colOff>36195</xdr:colOff>
      <xdr:row>46</xdr:row>
      <xdr:rowOff>70485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8319135" y="70485"/>
          <a:ext cx="0" cy="784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0</xdr:rowOff>
    </xdr:from>
    <xdr:to>
      <xdr:col>21</xdr:col>
      <xdr:colOff>19050</xdr:colOff>
      <xdr:row>45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3079730" y="0"/>
          <a:ext cx="0" cy="7543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B2:I34"/>
  <sheetViews>
    <sheetView topLeftCell="A13" workbookViewId="0">
      <selection activeCell="B35" sqref="B35"/>
    </sheetView>
  </sheetViews>
  <sheetFormatPr defaultRowHeight="13.2" x14ac:dyDescent="0.25"/>
  <cols>
    <col min="2" max="2" width="39" style="26" customWidth="1"/>
    <col min="3" max="3" width="37.88671875" bestFit="1" customWidth="1"/>
    <col min="4" max="4" width="38" customWidth="1"/>
    <col min="5" max="5" width="45" bestFit="1" customWidth="1"/>
    <col min="6" max="6" width="10.88671875" customWidth="1"/>
  </cols>
  <sheetData>
    <row r="2" spans="2:9" x14ac:dyDescent="0.25">
      <c r="B2" s="33" t="s">
        <v>95</v>
      </c>
      <c r="C2" s="27" t="s">
        <v>118</v>
      </c>
      <c r="D2" s="27"/>
      <c r="E2" s="28" t="s">
        <v>119</v>
      </c>
      <c r="G2" t="s">
        <v>0</v>
      </c>
      <c r="H2" s="1">
        <v>10.34</v>
      </c>
    </row>
    <row r="3" spans="2:9" x14ac:dyDescent="0.25">
      <c r="B3" s="22" t="s">
        <v>60</v>
      </c>
      <c r="C3" s="35" t="s">
        <v>65</v>
      </c>
      <c r="D3" s="20" t="s">
        <v>63</v>
      </c>
      <c r="E3" s="34"/>
      <c r="G3" t="s">
        <v>1</v>
      </c>
      <c r="H3" s="3">
        <v>2054.799</v>
      </c>
      <c r="I3" s="2" t="s">
        <v>16</v>
      </c>
    </row>
    <row r="4" spans="2:9" x14ac:dyDescent="0.25">
      <c r="B4" s="22" t="s">
        <v>61</v>
      </c>
      <c r="C4" s="20" t="s">
        <v>65</v>
      </c>
      <c r="D4" s="20" t="s">
        <v>66</v>
      </c>
      <c r="E4" s="23"/>
      <c r="G4" t="s">
        <v>2</v>
      </c>
      <c r="H4" s="3">
        <f>H3*H2</f>
        <v>21246.621660000001</v>
      </c>
    </row>
    <row r="5" spans="2:9" x14ac:dyDescent="0.25">
      <c r="B5" s="24" t="s">
        <v>62</v>
      </c>
      <c r="C5" s="21" t="s">
        <v>64</v>
      </c>
      <c r="D5" s="21" t="s">
        <v>67</v>
      </c>
      <c r="E5" s="25"/>
      <c r="G5" t="s">
        <v>3</v>
      </c>
      <c r="H5" s="3">
        <v>2585</v>
      </c>
      <c r="I5" s="2" t="s">
        <v>16</v>
      </c>
    </row>
    <row r="6" spans="2:9" x14ac:dyDescent="0.25">
      <c r="G6" t="s">
        <v>4</v>
      </c>
      <c r="H6" s="3">
        <v>0</v>
      </c>
      <c r="I6" s="2" t="s">
        <v>16</v>
      </c>
    </row>
    <row r="7" spans="2:9" x14ac:dyDescent="0.25">
      <c r="G7" t="s">
        <v>5</v>
      </c>
      <c r="H7" s="3">
        <f>H4-H5+H6</f>
        <v>18661.621660000001</v>
      </c>
    </row>
    <row r="11" spans="2:9" x14ac:dyDescent="0.25">
      <c r="B11" s="26" t="s">
        <v>56</v>
      </c>
      <c r="D11" s="10" t="s">
        <v>82</v>
      </c>
    </row>
    <row r="12" spans="2:9" x14ac:dyDescent="0.25">
      <c r="B12" s="26" t="s">
        <v>57</v>
      </c>
      <c r="D12" t="s">
        <v>75</v>
      </c>
    </row>
    <row r="13" spans="2:9" ht="26.4" x14ac:dyDescent="0.25">
      <c r="B13" s="26" t="s">
        <v>58</v>
      </c>
      <c r="D13" t="s">
        <v>76</v>
      </c>
    </row>
    <row r="14" spans="2:9" x14ac:dyDescent="0.25">
      <c r="B14" s="26" t="s">
        <v>59</v>
      </c>
      <c r="D14" t="s">
        <v>77</v>
      </c>
    </row>
    <row r="15" spans="2:9" x14ac:dyDescent="0.25">
      <c r="B15" s="44" t="s">
        <v>68</v>
      </c>
      <c r="C15" t="s">
        <v>129</v>
      </c>
      <c r="D15" t="s">
        <v>78</v>
      </c>
    </row>
    <row r="16" spans="2:9" x14ac:dyDescent="0.25">
      <c r="B16" s="26" t="s">
        <v>69</v>
      </c>
      <c r="D16" t="s">
        <v>79</v>
      </c>
    </row>
    <row r="17" spans="2:5" x14ac:dyDescent="0.25">
      <c r="B17" s="26" t="s">
        <v>70</v>
      </c>
      <c r="D17" t="s">
        <v>80</v>
      </c>
    </row>
    <row r="18" spans="2:5" x14ac:dyDescent="0.25">
      <c r="B18" s="26" t="s">
        <v>71</v>
      </c>
      <c r="C18" t="s">
        <v>73</v>
      </c>
      <c r="D18" t="s">
        <v>81</v>
      </c>
    </row>
    <row r="19" spans="2:5" ht="26.4" x14ac:dyDescent="0.25">
      <c r="B19" s="26" t="s">
        <v>72</v>
      </c>
      <c r="C19" t="s">
        <v>74</v>
      </c>
    </row>
    <row r="20" spans="2:5" x14ac:dyDescent="0.25">
      <c r="B20" s="26" t="s">
        <v>83</v>
      </c>
      <c r="D20" s="10" t="s">
        <v>84</v>
      </c>
    </row>
    <row r="21" spans="2:5" x14ac:dyDescent="0.25">
      <c r="B21" s="26" t="s">
        <v>87</v>
      </c>
      <c r="C21" t="s">
        <v>88</v>
      </c>
      <c r="D21" t="s">
        <v>85</v>
      </c>
    </row>
    <row r="22" spans="2:5" x14ac:dyDescent="0.25">
      <c r="D22" t="s">
        <v>86</v>
      </c>
    </row>
    <row r="24" spans="2:5" x14ac:dyDescent="0.25">
      <c r="D24" t="s">
        <v>89</v>
      </c>
      <c r="E24" t="s">
        <v>90</v>
      </c>
    </row>
    <row r="26" spans="2:5" x14ac:dyDescent="0.25">
      <c r="B26" s="26" t="s">
        <v>130</v>
      </c>
    </row>
    <row r="27" spans="2:5" x14ac:dyDescent="0.25">
      <c r="B27" s="26" t="s">
        <v>131</v>
      </c>
    </row>
    <row r="28" spans="2:5" x14ac:dyDescent="0.25">
      <c r="B28" s="26" t="s">
        <v>132</v>
      </c>
    </row>
    <row r="29" spans="2:5" x14ac:dyDescent="0.25">
      <c r="B29" s="26" t="s">
        <v>133</v>
      </c>
    </row>
    <row r="30" spans="2:5" x14ac:dyDescent="0.25">
      <c r="B30" s="26" t="s">
        <v>134</v>
      </c>
    </row>
    <row r="31" spans="2:5" x14ac:dyDescent="0.25">
      <c r="B31" s="26" t="s">
        <v>135</v>
      </c>
    </row>
    <row r="32" spans="2:5" x14ac:dyDescent="0.25">
      <c r="B32" s="26" t="s">
        <v>136</v>
      </c>
    </row>
    <row r="33" spans="2:2" x14ac:dyDescent="0.25">
      <c r="B33" s="26" t="s">
        <v>137</v>
      </c>
    </row>
    <row r="34" spans="2:2" x14ac:dyDescent="0.25">
      <c r="B34" s="26" t="s">
        <v>138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GK91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O4" sqref="O4"/>
    </sheetView>
  </sheetViews>
  <sheetFormatPr defaultRowHeight="13.2" x14ac:dyDescent="0.25"/>
  <cols>
    <col min="1" max="1" width="4.88671875" bestFit="1" customWidth="1"/>
    <col min="2" max="2" width="19.88671875" style="26" customWidth="1"/>
    <col min="3" max="3" width="9.109375" bestFit="1" customWidth="1"/>
    <col min="4" max="4" width="7.5546875" style="2" bestFit="1" customWidth="1"/>
    <col min="5" max="6" width="8.33203125" style="2" bestFit="1" customWidth="1"/>
    <col min="7" max="11" width="9.109375" style="2"/>
    <col min="12" max="12" width="9.5546875" style="2" bestFit="1" customWidth="1"/>
    <col min="13" max="15" width="7.5546875" style="2" bestFit="1" customWidth="1"/>
    <col min="19" max="19" width="9.109375" bestFit="1" customWidth="1"/>
    <col min="20" max="20" width="9.6640625" bestFit="1" customWidth="1"/>
    <col min="21" max="22" width="5.5546875" bestFit="1" customWidth="1"/>
    <col min="23" max="28" width="9.109375" bestFit="1" customWidth="1"/>
    <col min="29" max="32" width="10.109375" bestFit="1" customWidth="1"/>
    <col min="33" max="33" width="12.5546875" bestFit="1" customWidth="1"/>
    <col min="34" max="34" width="14.44140625" bestFit="1" customWidth="1"/>
    <col min="35" max="56" width="10.109375" bestFit="1" customWidth="1"/>
    <col min="57" max="170" width="9.109375" bestFit="1" customWidth="1"/>
    <col min="171" max="193" width="7.5546875" bestFit="1" customWidth="1"/>
  </cols>
  <sheetData>
    <row r="1" spans="1:193" x14ac:dyDescent="0.25">
      <c r="A1" s="11" t="s">
        <v>6</v>
      </c>
    </row>
    <row r="2" spans="1:193" x14ac:dyDescent="0.25">
      <c r="C2" t="s">
        <v>91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R2">
        <v>2018</v>
      </c>
      <c r="S2">
        <v>2019</v>
      </c>
      <c r="T2">
        <v>2020</v>
      </c>
      <c r="U2">
        <f>T2+1</f>
        <v>2021</v>
      </c>
      <c r="V2">
        <f>U2+1</f>
        <v>2022</v>
      </c>
      <c r="W2">
        <f t="shared" ref="W2:AD2" si="0">V2+1</f>
        <v>2023</v>
      </c>
      <c r="X2">
        <f t="shared" si="0"/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ref="AE2" si="1">AD2+1</f>
        <v>2031</v>
      </c>
      <c r="AF2">
        <f t="shared" ref="AF2" si="2">AE2+1</f>
        <v>2032</v>
      </c>
      <c r="AG2">
        <f t="shared" ref="AG2" si="3">AF2+1</f>
        <v>2033</v>
      </c>
      <c r="AH2">
        <f t="shared" ref="AH2" si="4">AG2+1</f>
        <v>2034</v>
      </c>
      <c r="AI2">
        <f t="shared" ref="AI2" si="5">AH2+1</f>
        <v>2035</v>
      </c>
      <c r="AJ2">
        <f t="shared" ref="AJ2" si="6">AI2+1</f>
        <v>2036</v>
      </c>
      <c r="AK2">
        <f t="shared" ref="AK2" si="7">AJ2+1</f>
        <v>2037</v>
      </c>
      <c r="AL2">
        <f t="shared" ref="AL2" si="8">AK2+1</f>
        <v>2038</v>
      </c>
      <c r="AM2">
        <f t="shared" ref="AM2" si="9">AL2+1</f>
        <v>2039</v>
      </c>
      <c r="AN2">
        <f t="shared" ref="AN2" si="10">AM2+1</f>
        <v>2040</v>
      </c>
    </row>
    <row r="3" spans="1:193" s="5" customFormat="1" x14ac:dyDescent="0.25">
      <c r="B3" s="32" t="s">
        <v>7</v>
      </c>
      <c r="C3" s="6">
        <v>229.358</v>
      </c>
      <c r="D3" s="6">
        <v>229.327</v>
      </c>
      <c r="E3" s="6">
        <v>251.88900000000001</v>
      </c>
      <c r="F3" s="6">
        <v>289.36599999999999</v>
      </c>
      <c r="G3" s="6">
        <v>322.09100000000001</v>
      </c>
      <c r="H3" s="6">
        <v>341.23399999999998</v>
      </c>
      <c r="I3" s="6">
        <v>375.642</v>
      </c>
      <c r="J3" s="6">
        <v>392.14600000000002</v>
      </c>
      <c r="K3" s="6">
        <v>432.86700000000002</v>
      </c>
      <c r="L3" s="6">
        <v>446.35700000000003</v>
      </c>
      <c r="M3" s="6">
        <v>473.01</v>
      </c>
      <c r="N3" s="6">
        <v>478</v>
      </c>
      <c r="O3" s="6">
        <f>K3*1.17</f>
        <v>506.45438999999999</v>
      </c>
      <c r="S3" s="6">
        <v>742.55499999999995</v>
      </c>
      <c r="T3" s="6">
        <v>1092.673</v>
      </c>
      <c r="U3" s="6">
        <v>1541.8889999999999</v>
      </c>
      <c r="V3" s="5">
        <v>1900</v>
      </c>
      <c r="W3" s="5">
        <f>V3*1.25</f>
        <v>2375</v>
      </c>
      <c r="X3" s="5">
        <f t="shared" ref="X3:AN3" si="11">W3*1.25</f>
        <v>2968.75</v>
      </c>
      <c r="Y3" s="5">
        <f t="shared" si="11"/>
        <v>3710.9375</v>
      </c>
      <c r="Z3" s="5">
        <f t="shared" si="11"/>
        <v>4638.671875</v>
      </c>
      <c r="AA3" s="5">
        <f t="shared" si="11"/>
        <v>5798.33984375</v>
      </c>
      <c r="AB3" s="5">
        <f t="shared" si="11"/>
        <v>7247.9248046875</v>
      </c>
      <c r="AC3" s="5">
        <f t="shared" si="11"/>
        <v>9059.906005859375</v>
      </c>
      <c r="AD3" s="5">
        <f t="shared" si="11"/>
        <v>11324.882507324219</v>
      </c>
      <c r="AE3" s="5">
        <f t="shared" si="11"/>
        <v>14156.103134155273</v>
      </c>
      <c r="AF3" s="5">
        <f t="shared" si="11"/>
        <v>17695.128917694092</v>
      </c>
      <c r="AG3" s="5">
        <f t="shared" si="11"/>
        <v>22118.911147117615</v>
      </c>
      <c r="AH3" s="5">
        <f t="shared" si="11"/>
        <v>27648.638933897018</v>
      </c>
      <c r="AI3" s="5">
        <f t="shared" si="11"/>
        <v>34560.798667371273</v>
      </c>
      <c r="AJ3" s="5">
        <f t="shared" si="11"/>
        <v>43200.998334214091</v>
      </c>
      <c r="AK3" s="5">
        <f t="shared" si="11"/>
        <v>54001.247917767614</v>
      </c>
      <c r="AL3" s="5">
        <f t="shared" si="11"/>
        <v>67501.559897209518</v>
      </c>
      <c r="AM3" s="5">
        <f>AL3*1.25</f>
        <v>84376.949871511897</v>
      </c>
      <c r="AN3" s="5">
        <f t="shared" si="11"/>
        <v>105471.18733938987</v>
      </c>
    </row>
    <row r="4" spans="1:193" s="3" customFormat="1" x14ac:dyDescent="0.25">
      <c r="B4" s="29" t="s">
        <v>20</v>
      </c>
      <c r="C4" s="4">
        <v>75.902000000000001</v>
      </c>
      <c r="D4" s="4">
        <v>64.293999999999997</v>
      </c>
      <c r="E4" s="4">
        <v>68.41</v>
      </c>
      <c r="F4" s="4">
        <v>149.34</v>
      </c>
      <c r="G4" s="4">
        <v>70.503</v>
      </c>
      <c r="H4" s="4">
        <v>74.111000000000004</v>
      </c>
      <c r="I4" s="4">
        <v>90.926000000000002</v>
      </c>
      <c r="J4" s="4">
        <v>86.804000000000002</v>
      </c>
      <c r="K4" s="4">
        <v>87.563000000000002</v>
      </c>
      <c r="L4" s="4">
        <v>94.403000000000006</v>
      </c>
      <c r="M4" s="4">
        <v>102.224</v>
      </c>
      <c r="N4" s="4"/>
      <c r="O4" s="4"/>
      <c r="S4" s="4">
        <v>242.37299999999999</v>
      </c>
      <c r="T4" s="4">
        <v>352.54700000000003</v>
      </c>
      <c r="U4" s="4">
        <v>339.404</v>
      </c>
      <c r="V4" s="3">
        <f>V3-V5</f>
        <v>380</v>
      </c>
      <c r="W4" s="3">
        <f t="shared" ref="W4:AD4" si="12">W3-W5</f>
        <v>475</v>
      </c>
      <c r="X4" s="3">
        <f t="shared" si="12"/>
        <v>593.75</v>
      </c>
      <c r="Y4" s="3">
        <f t="shared" si="12"/>
        <v>742.1875</v>
      </c>
      <c r="Z4" s="3">
        <f t="shared" si="12"/>
        <v>927.734375</v>
      </c>
      <c r="AA4" s="3">
        <f t="shared" si="12"/>
        <v>1159.66796875</v>
      </c>
      <c r="AB4" s="3">
        <f t="shared" si="12"/>
        <v>1449.5849609375</v>
      </c>
      <c r="AC4" s="3">
        <f t="shared" si="12"/>
        <v>1811.981201171875</v>
      </c>
      <c r="AD4" s="3">
        <f t="shared" si="12"/>
        <v>2264.9765014648438</v>
      </c>
    </row>
    <row r="5" spans="1:193" s="3" customFormat="1" x14ac:dyDescent="0.25">
      <c r="B5" s="29" t="s">
        <v>21</v>
      </c>
      <c r="C5" s="4">
        <f>C3-C4</f>
        <v>153.45600000000002</v>
      </c>
      <c r="D5" s="4">
        <f>D3-D4</f>
        <v>165.03300000000002</v>
      </c>
      <c r="E5" s="4">
        <f t="shared" ref="E5:L5" si="13">E3-E4</f>
        <v>183.47900000000001</v>
      </c>
      <c r="F5" s="4">
        <f t="shared" si="13"/>
        <v>140.02599999999998</v>
      </c>
      <c r="G5" s="4">
        <f t="shared" si="13"/>
        <v>251.58800000000002</v>
      </c>
      <c r="H5" s="4">
        <f t="shared" si="13"/>
        <v>267.12299999999999</v>
      </c>
      <c r="I5" s="4">
        <f t="shared" si="13"/>
        <v>284.71600000000001</v>
      </c>
      <c r="J5" s="4">
        <f t="shared" si="13"/>
        <v>305.34199999999998</v>
      </c>
      <c r="K5" s="4">
        <f t="shared" si="13"/>
        <v>345.30400000000003</v>
      </c>
      <c r="L5" s="4">
        <f t="shared" si="13"/>
        <v>351.95400000000001</v>
      </c>
      <c r="M5" s="4">
        <f t="shared" ref="M5" si="14">M3-M4</f>
        <v>370.786</v>
      </c>
      <c r="N5" s="4"/>
      <c r="O5" s="4"/>
      <c r="S5" s="4">
        <f t="shared" ref="S5:U5" si="15">S3-S4</f>
        <v>500.18199999999996</v>
      </c>
      <c r="T5" s="4">
        <f t="shared" si="15"/>
        <v>740.12599999999998</v>
      </c>
      <c r="U5" s="4">
        <f t="shared" si="15"/>
        <v>1202.4849999999999</v>
      </c>
      <c r="V5" s="4">
        <f>V3*0.8</f>
        <v>1520</v>
      </c>
      <c r="W5" s="4">
        <f t="shared" ref="W5:AN5" si="16">W3*0.8</f>
        <v>1900</v>
      </c>
      <c r="X5" s="4">
        <f t="shared" si="16"/>
        <v>2375</v>
      </c>
      <c r="Y5" s="4">
        <f t="shared" si="16"/>
        <v>2968.75</v>
      </c>
      <c r="Z5" s="4">
        <f t="shared" si="16"/>
        <v>3710.9375</v>
      </c>
      <c r="AA5" s="4">
        <f t="shared" si="16"/>
        <v>4638.671875</v>
      </c>
      <c r="AB5" s="4">
        <f t="shared" si="16"/>
        <v>5798.33984375</v>
      </c>
      <c r="AC5" s="4">
        <f t="shared" si="16"/>
        <v>7247.9248046875</v>
      </c>
      <c r="AD5" s="4">
        <f t="shared" si="16"/>
        <v>9059.906005859375</v>
      </c>
      <c r="AE5" s="4">
        <f t="shared" si="16"/>
        <v>11324.882507324219</v>
      </c>
      <c r="AF5" s="4">
        <f t="shared" si="16"/>
        <v>14156.103134155273</v>
      </c>
      <c r="AG5" s="4">
        <f t="shared" si="16"/>
        <v>17695.128917694092</v>
      </c>
      <c r="AH5" s="4">
        <f t="shared" si="16"/>
        <v>22118.911147117615</v>
      </c>
      <c r="AI5" s="4">
        <f t="shared" si="16"/>
        <v>27648.638933897018</v>
      </c>
      <c r="AJ5" s="4">
        <f t="shared" si="16"/>
        <v>34560.798667371273</v>
      </c>
      <c r="AK5" s="4">
        <f t="shared" si="16"/>
        <v>43200.998334214091</v>
      </c>
      <c r="AL5" s="4">
        <f t="shared" si="16"/>
        <v>54001.247917767614</v>
      </c>
      <c r="AM5" s="4">
        <f t="shared" si="16"/>
        <v>67501.559897209518</v>
      </c>
      <c r="AN5" s="4">
        <f t="shared" si="16"/>
        <v>84376.949871511897</v>
      </c>
    </row>
    <row r="6" spans="1:193" s="3" customFormat="1" x14ac:dyDescent="0.25">
      <c r="B6" s="29" t="s">
        <v>22</v>
      </c>
      <c r="C6" s="4">
        <v>112.86499999999999</v>
      </c>
      <c r="D6" s="4">
        <v>98.653000000000006</v>
      </c>
      <c r="E6" s="4">
        <v>102.518</v>
      </c>
      <c r="F6" s="4">
        <v>334.911</v>
      </c>
      <c r="G6" s="4">
        <v>147.619</v>
      </c>
      <c r="H6" s="4">
        <v>136.09700000000001</v>
      </c>
      <c r="I6" s="4">
        <v>162.37899999999999</v>
      </c>
      <c r="J6" s="4">
        <v>153.44300000000001</v>
      </c>
      <c r="K6" s="4">
        <v>162.59299999999999</v>
      </c>
      <c r="L6" s="4">
        <v>160.48500000000001</v>
      </c>
      <c r="M6" s="4">
        <v>168.875</v>
      </c>
      <c r="N6" s="4"/>
      <c r="O6" s="4"/>
      <c r="S6" s="4">
        <v>450.12</v>
      </c>
      <c r="T6" s="4">
        <v>683.70100000000002</v>
      </c>
      <c r="U6" s="4">
        <v>614.51199999999994</v>
      </c>
      <c r="V6" s="4">
        <f>U6*1.2</f>
        <v>737.41439999999989</v>
      </c>
      <c r="W6" s="4">
        <f t="shared" ref="W6:AD6" si="17">V6*1.2</f>
        <v>884.8972799999998</v>
      </c>
      <c r="X6" s="4">
        <f t="shared" si="17"/>
        <v>1061.8767359999997</v>
      </c>
      <c r="Y6" s="4">
        <f t="shared" si="17"/>
        <v>1274.2520831999996</v>
      </c>
      <c r="Z6" s="4">
        <f t="shared" si="17"/>
        <v>1529.1024998399994</v>
      </c>
      <c r="AA6" s="4">
        <f t="shared" si="17"/>
        <v>1834.9229998079993</v>
      </c>
      <c r="AB6" s="4">
        <f t="shared" si="17"/>
        <v>2201.9075997695991</v>
      </c>
      <c r="AC6" s="4">
        <f t="shared" si="17"/>
        <v>2642.289119723519</v>
      </c>
      <c r="AD6" s="4">
        <f t="shared" si="17"/>
        <v>3170.7469436682227</v>
      </c>
    </row>
    <row r="7" spans="1:193" s="3" customFormat="1" x14ac:dyDescent="0.25">
      <c r="B7" s="29" t="s">
        <v>23</v>
      </c>
      <c r="C7" s="4">
        <v>75.834999999999994</v>
      </c>
      <c r="D7" s="4">
        <v>65.8</v>
      </c>
      <c r="E7" s="4">
        <v>86.814999999999998</v>
      </c>
      <c r="F7" s="4">
        <v>313.91500000000002</v>
      </c>
      <c r="G7" s="4">
        <v>94.13</v>
      </c>
      <c r="H7" s="4">
        <v>98.471000000000004</v>
      </c>
      <c r="I7" s="4">
        <v>110.524</v>
      </c>
      <c r="J7" s="4">
        <v>94.316000000000003</v>
      </c>
      <c r="K7" s="4">
        <v>84.176000000000002</v>
      </c>
      <c r="L7" s="4">
        <v>88.600999999999999</v>
      </c>
      <c r="M7" s="4">
        <v>88.171000000000006</v>
      </c>
      <c r="N7" s="4"/>
      <c r="O7" s="4"/>
      <c r="S7" s="4">
        <v>305.56299999999999</v>
      </c>
      <c r="T7" s="4">
        <v>560.66</v>
      </c>
      <c r="U7" s="4">
        <v>387.48700000000002</v>
      </c>
      <c r="V7" s="4">
        <f>U7*1.2</f>
        <v>464.98439999999999</v>
      </c>
      <c r="W7" s="4">
        <f t="shared" ref="W7:AD7" si="18">V7*1.2</f>
        <v>557.98127999999997</v>
      </c>
      <c r="X7" s="4">
        <f t="shared" si="18"/>
        <v>669.5775359999999</v>
      </c>
      <c r="Y7" s="4">
        <f t="shared" si="18"/>
        <v>803.49304319999987</v>
      </c>
      <c r="Z7" s="4">
        <f t="shared" si="18"/>
        <v>964.19165183999985</v>
      </c>
      <c r="AA7" s="4">
        <f t="shared" si="18"/>
        <v>1157.0299822079999</v>
      </c>
      <c r="AB7" s="4">
        <f t="shared" si="18"/>
        <v>1388.4359786495997</v>
      </c>
      <c r="AC7" s="4">
        <f t="shared" si="18"/>
        <v>1666.1231743795197</v>
      </c>
      <c r="AD7" s="4">
        <f t="shared" si="18"/>
        <v>1999.3478092554235</v>
      </c>
    </row>
    <row r="8" spans="1:193" s="3" customFormat="1" x14ac:dyDescent="0.25">
      <c r="B8" s="29" t="s">
        <v>24</v>
      </c>
      <c r="C8" s="4">
        <v>112.20699999999999</v>
      </c>
      <c r="D8" s="4">
        <v>70.765000000000001</v>
      </c>
      <c r="E8" s="4">
        <v>93.290999999999997</v>
      </c>
      <c r="F8" s="4">
        <v>338.97699999999998</v>
      </c>
      <c r="G8" s="4">
        <v>166.411</v>
      </c>
      <c r="H8" s="4">
        <v>146.56899999999999</v>
      </c>
      <c r="I8" s="4">
        <v>157.96100000000001</v>
      </c>
      <c r="J8" s="4">
        <v>149.524</v>
      </c>
      <c r="K8" s="4">
        <v>157.47800000000001</v>
      </c>
      <c r="L8" s="4">
        <v>142.30699999999999</v>
      </c>
      <c r="M8" s="4">
        <v>155.48500000000001</v>
      </c>
      <c r="N8" s="4"/>
      <c r="O8" s="4"/>
      <c r="S8" s="4">
        <v>320.94299999999998</v>
      </c>
      <c r="T8" s="4">
        <v>669.44399999999996</v>
      </c>
      <c r="U8" s="4">
        <v>611.53200000000004</v>
      </c>
      <c r="V8" s="4">
        <f t="shared" ref="V8:AA8" si="19">U8*1.1</f>
        <v>672.68520000000012</v>
      </c>
      <c r="W8" s="4">
        <f t="shared" si="19"/>
        <v>739.9537200000002</v>
      </c>
      <c r="X8" s="4">
        <f t="shared" si="19"/>
        <v>813.94909200000029</v>
      </c>
      <c r="Y8" s="4">
        <f t="shared" si="19"/>
        <v>895.34400120000043</v>
      </c>
      <c r="Z8" s="4">
        <f t="shared" si="19"/>
        <v>984.87840132000053</v>
      </c>
      <c r="AA8" s="4">
        <f t="shared" si="19"/>
        <v>1083.3662414520006</v>
      </c>
      <c r="AB8" s="4">
        <f t="shared" ref="AB8:AD8" si="20">AA8*1.3</f>
        <v>1408.3761138876009</v>
      </c>
      <c r="AC8" s="4">
        <f t="shared" si="20"/>
        <v>1830.8889480538812</v>
      </c>
      <c r="AD8" s="4">
        <f t="shared" si="20"/>
        <v>2380.1556324700455</v>
      </c>
    </row>
    <row r="9" spans="1:193" s="3" customFormat="1" x14ac:dyDescent="0.25">
      <c r="B9" s="29" t="s">
        <v>25</v>
      </c>
      <c r="C9" s="4">
        <f>C8+C7+C6</f>
        <v>300.90699999999998</v>
      </c>
      <c r="D9" s="4">
        <f>D8+D7+D6</f>
        <v>235.21800000000002</v>
      </c>
      <c r="E9" s="4">
        <f t="shared" ref="E9:L9" si="21">E8+E7+E6</f>
        <v>282.62400000000002</v>
      </c>
      <c r="F9" s="4">
        <f t="shared" si="21"/>
        <v>987.80300000000011</v>
      </c>
      <c r="G9" s="4">
        <f t="shared" si="21"/>
        <v>408.15999999999997</v>
      </c>
      <c r="H9" s="4">
        <f t="shared" si="21"/>
        <v>381.137</v>
      </c>
      <c r="I9" s="4">
        <f t="shared" si="21"/>
        <v>430.86400000000003</v>
      </c>
      <c r="J9" s="4">
        <f t="shared" si="21"/>
        <v>397.28300000000002</v>
      </c>
      <c r="K9" s="4">
        <f t="shared" si="21"/>
        <v>404.24699999999996</v>
      </c>
      <c r="L9" s="4">
        <f t="shared" si="21"/>
        <v>391.39300000000003</v>
      </c>
      <c r="M9" s="4">
        <f t="shared" ref="M9" si="22">M8+M7+M6</f>
        <v>412.53100000000001</v>
      </c>
      <c r="N9" s="4"/>
      <c r="O9" s="4"/>
      <c r="S9" s="4">
        <f>S8+S7+S6</f>
        <v>1076.626</v>
      </c>
      <c r="T9" s="4">
        <f>T8+T7+T6</f>
        <v>1913.8049999999998</v>
      </c>
      <c r="U9" s="4">
        <f>U8+U7+U6</f>
        <v>1613.5309999999999</v>
      </c>
      <c r="V9" s="3">
        <f>V8+V7+V6</f>
        <v>1875.0840000000001</v>
      </c>
      <c r="W9" s="3">
        <f t="shared" ref="W9:AD9" si="23">W8+W7+W6</f>
        <v>2182.8322800000001</v>
      </c>
      <c r="X9" s="3">
        <f t="shared" si="23"/>
        <v>2545.4033639999998</v>
      </c>
      <c r="Y9" s="3">
        <f t="shared" si="23"/>
        <v>2973.0891275999998</v>
      </c>
      <c r="Z9" s="3">
        <f t="shared" si="23"/>
        <v>3478.1725529999999</v>
      </c>
      <c r="AA9" s="3">
        <f t="shared" si="23"/>
        <v>4075.319223468</v>
      </c>
      <c r="AB9" s="3">
        <f t="shared" si="23"/>
        <v>4998.7196923067995</v>
      </c>
      <c r="AC9" s="3">
        <f t="shared" si="23"/>
        <v>6139.3012421569201</v>
      </c>
      <c r="AD9" s="3">
        <f t="shared" si="23"/>
        <v>7550.2503853936923</v>
      </c>
    </row>
    <row r="10" spans="1:193" s="3" customFormat="1" x14ac:dyDescent="0.25">
      <c r="B10" s="29" t="s">
        <v>26</v>
      </c>
      <c r="C10" s="4">
        <f>C5-C9</f>
        <v>-147.45099999999996</v>
      </c>
      <c r="D10" s="4">
        <f>D5-D9</f>
        <v>-70.185000000000002</v>
      </c>
      <c r="E10" s="4">
        <f t="shared" ref="E10:L10" si="24">E5-E9</f>
        <v>-99.14500000000001</v>
      </c>
      <c r="F10" s="4">
        <f t="shared" si="24"/>
        <v>-847.77700000000016</v>
      </c>
      <c r="G10" s="4">
        <f t="shared" si="24"/>
        <v>-156.57199999999995</v>
      </c>
      <c r="H10" s="4">
        <f t="shared" si="24"/>
        <v>-114.01400000000001</v>
      </c>
      <c r="I10" s="4">
        <f t="shared" si="24"/>
        <v>-146.14800000000002</v>
      </c>
      <c r="J10" s="4">
        <f t="shared" si="24"/>
        <v>-91.941000000000031</v>
      </c>
      <c r="K10" s="4">
        <f t="shared" si="24"/>
        <v>-58.942999999999927</v>
      </c>
      <c r="L10" s="4">
        <f t="shared" si="24"/>
        <v>-39.439000000000021</v>
      </c>
      <c r="M10" s="4">
        <f>M5-M9</f>
        <v>-41.745000000000005</v>
      </c>
      <c r="N10" s="4"/>
      <c r="O10" s="4"/>
      <c r="S10" s="4">
        <f>S5-S9</f>
        <v>-576.44399999999996</v>
      </c>
      <c r="T10" s="4">
        <f>T5-T9</f>
        <v>-1173.6789999999999</v>
      </c>
      <c r="U10" s="4">
        <f>U5-U9</f>
        <v>-411.04600000000005</v>
      </c>
      <c r="V10" s="3">
        <f>V5-V9</f>
        <v>-355.08400000000006</v>
      </c>
      <c r="W10" s="3">
        <f t="shared" ref="W10:AD10" si="25">W5-W9</f>
        <v>-282.83228000000008</v>
      </c>
      <c r="X10" s="3">
        <f t="shared" si="25"/>
        <v>-170.40336399999978</v>
      </c>
      <c r="Y10" s="3">
        <f t="shared" si="25"/>
        <v>-4.3391275999997561</v>
      </c>
      <c r="Z10" s="3">
        <f t="shared" si="25"/>
        <v>232.76494700000012</v>
      </c>
      <c r="AA10" s="3">
        <f t="shared" si="25"/>
        <v>563.35265153199998</v>
      </c>
      <c r="AB10" s="3">
        <f t="shared" si="25"/>
        <v>799.62015144320048</v>
      </c>
      <c r="AC10" s="3">
        <f t="shared" si="25"/>
        <v>1108.6235625305799</v>
      </c>
      <c r="AD10" s="3">
        <f t="shared" si="25"/>
        <v>1509.6556204656827</v>
      </c>
    </row>
    <row r="11" spans="1:193" s="3" customFormat="1" x14ac:dyDescent="0.25">
      <c r="B11" s="29" t="s">
        <v>27</v>
      </c>
      <c r="C11" s="4">
        <f>2.137-2.666-2.746-4.711</f>
        <v>-7.9860000000000007</v>
      </c>
      <c r="D11" s="4">
        <f>3.267-4.594+13.695+6.1</f>
        <v>18.468</v>
      </c>
      <c r="E11" s="4">
        <f>0.551-5.646-3.683-1.589</f>
        <v>-10.366999999999999</v>
      </c>
      <c r="F11" s="4">
        <f>0.494-2.085-9.201-3.293</f>
        <v>-14.085000000000001</v>
      </c>
      <c r="G11" s="4">
        <f>0.368-1.814+2.082</f>
        <v>0.63599999999999968</v>
      </c>
      <c r="H11" s="4">
        <f>0.376-1.84-4.894</f>
        <v>-6.3580000000000005</v>
      </c>
      <c r="I11" s="4">
        <f>0.372-0.59+2.125</f>
        <v>1.907</v>
      </c>
      <c r="J11" s="4">
        <f>0.379-0.609-8.528</f>
        <v>-8.7580000000000009</v>
      </c>
      <c r="K11" s="4">
        <f>0.48-0.601-64.118</f>
        <v>-64.23899999999999</v>
      </c>
      <c r="L11" s="4">
        <f>0.547-0.594-59.87</f>
        <v>-59.916999999999994</v>
      </c>
      <c r="M11" s="4">
        <f>1.472-0.67-135.798</f>
        <v>-134.99600000000001</v>
      </c>
      <c r="N11" s="4"/>
      <c r="O11" s="4"/>
      <c r="S11" s="4">
        <f>15.09-3.061-2.856</f>
        <v>9.173</v>
      </c>
      <c r="T11" s="4">
        <f>4.68-14.139+4.111</f>
        <v>-5.3479999999999999</v>
      </c>
      <c r="U11" s="4">
        <f>1.607-3.64-75.415</f>
        <v>-77.448000000000008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</row>
    <row r="12" spans="1:193" s="3" customFormat="1" x14ac:dyDescent="0.25">
      <c r="B12" s="29" t="s">
        <v>28</v>
      </c>
      <c r="C12" s="4">
        <f>C10+C11</f>
        <v>-155.43699999999995</v>
      </c>
      <c r="D12" s="4">
        <f>D10+D11</f>
        <v>-51.716999999999999</v>
      </c>
      <c r="E12" s="4">
        <f t="shared" ref="E12:L12" si="26">E10+E11</f>
        <v>-109.51200000000001</v>
      </c>
      <c r="F12" s="4">
        <f t="shared" si="26"/>
        <v>-861.86200000000019</v>
      </c>
      <c r="G12" s="4">
        <f t="shared" si="26"/>
        <v>-155.93599999999995</v>
      </c>
      <c r="H12" s="4">
        <f t="shared" si="26"/>
        <v>-120.37200000000001</v>
      </c>
      <c r="I12" s="4">
        <f t="shared" si="26"/>
        <v>-144.24100000000001</v>
      </c>
      <c r="J12" s="4">
        <f t="shared" si="26"/>
        <v>-100.69900000000003</v>
      </c>
      <c r="K12" s="4">
        <f t="shared" si="26"/>
        <v>-123.18199999999992</v>
      </c>
      <c r="L12" s="4">
        <f t="shared" si="26"/>
        <v>-99.356000000000023</v>
      </c>
      <c r="M12" s="4">
        <f t="shared" ref="M12" si="27">M10+M11</f>
        <v>-176.74100000000001</v>
      </c>
      <c r="N12" s="4"/>
      <c r="O12" s="4"/>
      <c r="S12" s="4">
        <f>S10+S11</f>
        <v>-567.27099999999996</v>
      </c>
      <c r="T12" s="4">
        <f>T10+T11</f>
        <v>-1179.0269999999998</v>
      </c>
      <c r="U12" s="4">
        <f>U10+U11</f>
        <v>-488.49400000000003</v>
      </c>
      <c r="V12" s="4">
        <f t="shared" ref="V12:AD12" si="28">V10+V11</f>
        <v>-355.08400000000006</v>
      </c>
      <c r="W12" s="4">
        <f t="shared" si="28"/>
        <v>-282.83228000000008</v>
      </c>
      <c r="X12" s="4">
        <f t="shared" si="28"/>
        <v>-170.40336399999978</v>
      </c>
      <c r="Y12" s="4">
        <f t="shared" si="28"/>
        <v>-4.3391275999997561</v>
      </c>
      <c r="Z12" s="4">
        <f t="shared" si="28"/>
        <v>232.76494700000012</v>
      </c>
      <c r="AA12" s="4">
        <f t="shared" si="28"/>
        <v>563.35265153199998</v>
      </c>
      <c r="AB12" s="4">
        <f t="shared" si="28"/>
        <v>799.62015144320048</v>
      </c>
      <c r="AC12" s="4">
        <f t="shared" si="28"/>
        <v>1108.6235625305799</v>
      </c>
      <c r="AD12" s="4">
        <f t="shared" si="28"/>
        <v>1509.6556204656827</v>
      </c>
    </row>
    <row r="13" spans="1:193" s="3" customFormat="1" x14ac:dyDescent="0.25">
      <c r="B13" s="29" t="s">
        <v>30</v>
      </c>
      <c r="C13" s="3">
        <v>3.89</v>
      </c>
      <c r="D13" s="3">
        <v>2.5569999999999999</v>
      </c>
      <c r="E13" s="3">
        <v>0.94299999999999995</v>
      </c>
      <c r="F13" s="3">
        <v>-8.5429999999999993</v>
      </c>
      <c r="G13" s="3">
        <v>-7.593</v>
      </c>
      <c r="H13" s="3">
        <v>3.1019999999999999</v>
      </c>
      <c r="I13" s="3">
        <v>-5.6609999999999996</v>
      </c>
      <c r="J13" s="3">
        <v>1.4379999999999999</v>
      </c>
      <c r="K13" s="3">
        <v>33.006</v>
      </c>
      <c r="L13" s="3">
        <v>2.0230000000000001</v>
      </c>
      <c r="M13" s="3">
        <v>2.5880000000000001</v>
      </c>
      <c r="N13" s="4"/>
      <c r="O13" s="4"/>
      <c r="S13" s="3">
        <v>12.375</v>
      </c>
      <c r="T13" s="3">
        <v>-12.635999999999999</v>
      </c>
      <c r="U13" s="3">
        <v>31.885000000000002</v>
      </c>
      <c r="V13" s="3">
        <f>V12*0.15</f>
        <v>-53.262600000000006</v>
      </c>
      <c r="W13" s="3">
        <f t="shared" ref="W13:AD13" si="29">W12*0.15</f>
        <v>-42.424842000000012</v>
      </c>
      <c r="X13" s="3">
        <f t="shared" si="29"/>
        <v>-25.560504599999966</v>
      </c>
      <c r="Y13" s="3">
        <f t="shared" si="29"/>
        <v>-0.65086913999996343</v>
      </c>
      <c r="Z13" s="3">
        <f t="shared" si="29"/>
        <v>34.914742050000015</v>
      </c>
      <c r="AA13" s="3">
        <f t="shared" si="29"/>
        <v>84.502897729799997</v>
      </c>
      <c r="AB13" s="3">
        <f t="shared" si="29"/>
        <v>119.94302271648007</v>
      </c>
      <c r="AC13" s="3">
        <f t="shared" si="29"/>
        <v>166.29353437958699</v>
      </c>
      <c r="AD13" s="3">
        <f t="shared" si="29"/>
        <v>226.4483430698524</v>
      </c>
    </row>
    <row r="14" spans="1:193" s="5" customFormat="1" x14ac:dyDescent="0.25">
      <c r="B14" s="32" t="s">
        <v>31</v>
      </c>
      <c r="C14" s="6">
        <f>C12-C13</f>
        <v>-159.32699999999994</v>
      </c>
      <c r="D14" s="6">
        <f>D12-D13</f>
        <v>-54.274000000000001</v>
      </c>
      <c r="E14" s="6">
        <f t="shared" ref="E14:L14" si="30">E12-E13</f>
        <v>-110.45500000000001</v>
      </c>
      <c r="F14" s="6">
        <f t="shared" si="30"/>
        <v>-853.31900000000019</v>
      </c>
      <c r="G14" s="6">
        <f t="shared" si="30"/>
        <v>-148.34299999999996</v>
      </c>
      <c r="H14" s="6">
        <f t="shared" si="30"/>
        <v>-123.47400000000002</v>
      </c>
      <c r="I14" s="6">
        <f t="shared" si="30"/>
        <v>-138.58000000000001</v>
      </c>
      <c r="J14" s="6">
        <f t="shared" si="30"/>
        <v>-102.13700000000003</v>
      </c>
      <c r="K14" s="6">
        <f t="shared" si="30"/>
        <v>-156.18799999999993</v>
      </c>
      <c r="L14" s="6">
        <f t="shared" si="30"/>
        <v>-101.37900000000002</v>
      </c>
      <c r="M14" s="6">
        <f t="shared" ref="M14" si="31">M12-M13</f>
        <v>-179.32900000000001</v>
      </c>
      <c r="N14" s="6"/>
      <c r="O14" s="6"/>
      <c r="S14" s="6">
        <f>S12-S13</f>
        <v>-579.64599999999996</v>
      </c>
      <c r="T14" s="6">
        <f>T12-T13</f>
        <v>-1166.3909999999998</v>
      </c>
      <c r="U14" s="6">
        <f>U12-U13</f>
        <v>-520.37900000000002</v>
      </c>
      <c r="V14" s="6">
        <f t="shared" ref="V14:AD14" si="32">V12-V13</f>
        <v>-301.82140000000004</v>
      </c>
      <c r="W14" s="6">
        <f t="shared" si="32"/>
        <v>-240.40743800000007</v>
      </c>
      <c r="X14" s="6">
        <f t="shared" si="32"/>
        <v>-144.84285939999981</v>
      </c>
      <c r="Y14" s="6">
        <f t="shared" si="32"/>
        <v>-3.6882584599997927</v>
      </c>
      <c r="Z14" s="6">
        <f t="shared" si="32"/>
        <v>197.85020495000009</v>
      </c>
      <c r="AA14" s="6">
        <f t="shared" si="32"/>
        <v>478.84975380219998</v>
      </c>
      <c r="AB14" s="6">
        <f t="shared" si="32"/>
        <v>679.67712872672041</v>
      </c>
      <c r="AC14" s="6">
        <f t="shared" si="32"/>
        <v>942.33002815099292</v>
      </c>
      <c r="AD14" s="6">
        <f t="shared" si="32"/>
        <v>1283.2072773958303</v>
      </c>
      <c r="AE14" s="5">
        <f>AD14*1.3</f>
        <v>1668.1694606145793</v>
      </c>
      <c r="AF14" s="5">
        <f t="shared" ref="AF14:AN14" si="33">AE14*1.3</f>
        <v>2168.6202987989532</v>
      </c>
      <c r="AG14" s="5">
        <f t="shared" si="33"/>
        <v>2819.2063884386394</v>
      </c>
      <c r="AH14" s="5">
        <f t="shared" si="33"/>
        <v>3664.9683049702312</v>
      </c>
      <c r="AI14" s="5">
        <f t="shared" si="33"/>
        <v>4764.4587964613011</v>
      </c>
      <c r="AJ14" s="5">
        <f t="shared" si="33"/>
        <v>6193.7964353996913</v>
      </c>
      <c r="AK14" s="5">
        <f t="shared" si="33"/>
        <v>8051.9353660195993</v>
      </c>
      <c r="AL14" s="5">
        <f t="shared" si="33"/>
        <v>10467.515975825479</v>
      </c>
      <c r="AM14" s="5">
        <f t="shared" si="33"/>
        <v>13607.770768573124</v>
      </c>
      <c r="AN14" s="5">
        <f t="shared" si="33"/>
        <v>17690.101999145063</v>
      </c>
      <c r="AO14" s="5">
        <f t="shared" ref="AO14:BT14" si="34">AN14*(1+$AH23)</f>
        <v>17336.299959162163</v>
      </c>
      <c r="AP14" s="5">
        <f t="shared" si="34"/>
        <v>16989.573959978919</v>
      </c>
      <c r="AQ14" s="5">
        <f t="shared" si="34"/>
        <v>16649.78248077934</v>
      </c>
      <c r="AR14" s="5">
        <f t="shared" si="34"/>
        <v>16316.786831163754</v>
      </c>
      <c r="AS14" s="5">
        <f t="shared" si="34"/>
        <v>15990.451094540478</v>
      </c>
      <c r="AT14" s="5">
        <f t="shared" si="34"/>
        <v>15670.642072649669</v>
      </c>
      <c r="AU14" s="5">
        <f t="shared" si="34"/>
        <v>15357.229231196676</v>
      </c>
      <c r="AV14" s="5">
        <f t="shared" si="34"/>
        <v>15050.084646572743</v>
      </c>
      <c r="AW14" s="5">
        <f t="shared" si="34"/>
        <v>14749.082953641288</v>
      </c>
      <c r="AX14" s="5">
        <f t="shared" si="34"/>
        <v>14454.101294568462</v>
      </c>
      <c r="AY14" s="5">
        <f t="shared" si="34"/>
        <v>14165.019268677092</v>
      </c>
      <c r="AZ14" s="5">
        <f t="shared" si="34"/>
        <v>13881.718883303549</v>
      </c>
      <c r="BA14" s="5">
        <f t="shared" si="34"/>
        <v>13604.084505637478</v>
      </c>
      <c r="BB14" s="5">
        <f t="shared" si="34"/>
        <v>13332.002815524729</v>
      </c>
      <c r="BC14" s="5">
        <f t="shared" si="34"/>
        <v>13065.362759214235</v>
      </c>
      <c r="BD14" s="5">
        <f t="shared" si="34"/>
        <v>12804.05550402995</v>
      </c>
      <c r="BE14" s="5">
        <f t="shared" si="34"/>
        <v>12547.974393949351</v>
      </c>
      <c r="BF14" s="5">
        <f t="shared" si="34"/>
        <v>12297.014906070364</v>
      </c>
      <c r="BG14" s="5">
        <f t="shared" si="34"/>
        <v>12051.074607948956</v>
      </c>
      <c r="BH14" s="5">
        <f t="shared" si="34"/>
        <v>11810.053115789977</v>
      </c>
      <c r="BI14" s="5">
        <f t="shared" si="34"/>
        <v>11573.852053474177</v>
      </c>
      <c r="BJ14" s="5">
        <f t="shared" si="34"/>
        <v>11342.375012404693</v>
      </c>
      <c r="BK14" s="5">
        <f t="shared" si="34"/>
        <v>11115.527512156599</v>
      </c>
      <c r="BL14" s="5">
        <f t="shared" si="34"/>
        <v>10893.216961913467</v>
      </c>
      <c r="BM14" s="5">
        <f t="shared" si="34"/>
        <v>10675.352622675198</v>
      </c>
      <c r="BN14" s="5">
        <f t="shared" si="34"/>
        <v>10461.845570221694</v>
      </c>
      <c r="BO14" s="5">
        <f t="shared" si="34"/>
        <v>10252.60865881726</v>
      </c>
      <c r="BP14" s="5">
        <f t="shared" si="34"/>
        <v>10047.556485640915</v>
      </c>
      <c r="BQ14" s="5">
        <f t="shared" si="34"/>
        <v>9846.6053559280954</v>
      </c>
      <c r="BR14" s="5">
        <f t="shared" si="34"/>
        <v>9649.6732488095331</v>
      </c>
      <c r="BS14" s="5">
        <f t="shared" si="34"/>
        <v>9456.6797838333423</v>
      </c>
      <c r="BT14" s="5">
        <f t="shared" si="34"/>
        <v>9267.5461881566753</v>
      </c>
      <c r="BU14" s="5">
        <f t="shared" ref="BU14:CZ14" si="35">BT14*(1+$AH23)</f>
        <v>9082.1952643935419</v>
      </c>
      <c r="BV14" s="5">
        <f t="shared" si="35"/>
        <v>8900.5513591056715</v>
      </c>
      <c r="BW14" s="5">
        <f t="shared" si="35"/>
        <v>8722.5403319235575</v>
      </c>
      <c r="BX14" s="5">
        <f t="shared" si="35"/>
        <v>8548.089525285086</v>
      </c>
      <c r="BY14" s="5">
        <f t="shared" si="35"/>
        <v>8377.1277347793839</v>
      </c>
      <c r="BZ14" s="5">
        <f t="shared" si="35"/>
        <v>8209.5851800837954</v>
      </c>
      <c r="CA14" s="5">
        <f t="shared" si="35"/>
        <v>8045.3934764821197</v>
      </c>
      <c r="CB14" s="5">
        <f t="shared" si="35"/>
        <v>7884.4856069524776</v>
      </c>
      <c r="CC14" s="5">
        <f t="shared" si="35"/>
        <v>7726.7958948134283</v>
      </c>
      <c r="CD14" s="5">
        <f t="shared" si="35"/>
        <v>7572.2599769171593</v>
      </c>
      <c r="CE14" s="5">
        <f t="shared" si="35"/>
        <v>7420.814777378816</v>
      </c>
      <c r="CF14" s="5">
        <f t="shared" si="35"/>
        <v>7272.3984818312392</v>
      </c>
      <c r="CG14" s="5">
        <f t="shared" si="35"/>
        <v>7126.950512194614</v>
      </c>
      <c r="CH14" s="5">
        <f t="shared" si="35"/>
        <v>6984.4115019507217</v>
      </c>
      <c r="CI14" s="5">
        <f t="shared" si="35"/>
        <v>6844.7232719117073</v>
      </c>
      <c r="CJ14" s="5">
        <f t="shared" si="35"/>
        <v>6707.8288064734734</v>
      </c>
      <c r="CK14" s="5">
        <f t="shared" si="35"/>
        <v>6573.6722303440038</v>
      </c>
      <c r="CL14" s="5">
        <f t="shared" si="35"/>
        <v>6442.1987857371232</v>
      </c>
      <c r="CM14" s="5">
        <f t="shared" si="35"/>
        <v>6313.3548100223807</v>
      </c>
      <c r="CN14" s="5">
        <f t="shared" si="35"/>
        <v>6187.087713821933</v>
      </c>
      <c r="CO14" s="5">
        <f t="shared" si="35"/>
        <v>6063.3459595454942</v>
      </c>
      <c r="CP14" s="5">
        <f t="shared" si="35"/>
        <v>5942.0790403545843</v>
      </c>
      <c r="CQ14" s="5">
        <f t="shared" si="35"/>
        <v>5823.2374595474921</v>
      </c>
      <c r="CR14" s="5">
        <f t="shared" si="35"/>
        <v>5706.7727103565421</v>
      </c>
      <c r="CS14" s="5">
        <f t="shared" si="35"/>
        <v>5592.6372561494109</v>
      </c>
      <c r="CT14" s="5">
        <f t="shared" si="35"/>
        <v>5480.7845110264225</v>
      </c>
      <c r="CU14" s="5">
        <f t="shared" si="35"/>
        <v>5371.168820805894</v>
      </c>
      <c r="CV14" s="5">
        <f t="shared" si="35"/>
        <v>5263.7454443897759</v>
      </c>
      <c r="CW14" s="5">
        <f t="shared" si="35"/>
        <v>5158.4705355019805</v>
      </c>
      <c r="CX14" s="5">
        <f t="shared" si="35"/>
        <v>5055.3011247919412</v>
      </c>
      <c r="CY14" s="5">
        <f t="shared" si="35"/>
        <v>4954.195102296102</v>
      </c>
      <c r="CZ14" s="5">
        <f t="shared" si="35"/>
        <v>4855.1112002501795</v>
      </c>
      <c r="DA14" s="5">
        <f t="shared" ref="DA14:EF14" si="36">CZ14*(1+$AH23)</f>
        <v>4758.0089762451762</v>
      </c>
      <c r="DB14" s="5">
        <f t="shared" si="36"/>
        <v>4662.8487967202727</v>
      </c>
      <c r="DC14" s="5">
        <f t="shared" si="36"/>
        <v>4569.5918207858676</v>
      </c>
      <c r="DD14" s="5">
        <f t="shared" si="36"/>
        <v>4478.1999843701506</v>
      </c>
      <c r="DE14" s="5">
        <f t="shared" si="36"/>
        <v>4388.6359846827472</v>
      </c>
      <c r="DF14" s="5">
        <f t="shared" si="36"/>
        <v>4300.8632649890924</v>
      </c>
      <c r="DG14" s="5">
        <f t="shared" si="36"/>
        <v>4214.8459996893107</v>
      </c>
      <c r="DH14" s="5">
        <f t="shared" si="36"/>
        <v>4130.5490796955246</v>
      </c>
      <c r="DI14" s="5">
        <f t="shared" si="36"/>
        <v>4047.9380981016138</v>
      </c>
      <c r="DJ14" s="5">
        <f t="shared" si="36"/>
        <v>3966.9793361395814</v>
      </c>
      <c r="DK14" s="5">
        <f t="shared" si="36"/>
        <v>3887.6397494167895</v>
      </c>
      <c r="DL14" s="5">
        <f t="shared" si="36"/>
        <v>3809.8869544284535</v>
      </c>
      <c r="DM14" s="5">
        <f t="shared" si="36"/>
        <v>3733.6892153398844</v>
      </c>
      <c r="DN14" s="5">
        <f t="shared" si="36"/>
        <v>3659.0154310330868</v>
      </c>
      <c r="DO14" s="5">
        <f t="shared" si="36"/>
        <v>3585.8351224124249</v>
      </c>
      <c r="DP14" s="5">
        <f t="shared" si="36"/>
        <v>3514.1184199641762</v>
      </c>
      <c r="DQ14" s="5">
        <f t="shared" si="36"/>
        <v>3443.8360515648924</v>
      </c>
      <c r="DR14" s="5">
        <f t="shared" si="36"/>
        <v>3374.9593305335943</v>
      </c>
      <c r="DS14" s="5">
        <f t="shared" si="36"/>
        <v>3307.4601439229223</v>
      </c>
      <c r="DT14" s="5">
        <f t="shared" si="36"/>
        <v>3241.3109410444636</v>
      </c>
      <c r="DU14" s="5">
        <f t="shared" si="36"/>
        <v>3176.4847222235744</v>
      </c>
      <c r="DV14" s="5">
        <f t="shared" si="36"/>
        <v>3112.9550277791027</v>
      </c>
      <c r="DW14" s="5">
        <f t="shared" si="36"/>
        <v>3050.6959272235204</v>
      </c>
      <c r="DX14" s="5">
        <f t="shared" si="36"/>
        <v>2989.6820086790499</v>
      </c>
      <c r="DY14" s="5">
        <f t="shared" si="36"/>
        <v>2929.8883685054689</v>
      </c>
      <c r="DZ14" s="5">
        <f t="shared" si="36"/>
        <v>2871.2906011353593</v>
      </c>
      <c r="EA14" s="5">
        <f t="shared" si="36"/>
        <v>2813.864789112652</v>
      </c>
      <c r="EB14" s="5">
        <f t="shared" si="36"/>
        <v>2757.587493330399</v>
      </c>
      <c r="EC14" s="5">
        <f t="shared" si="36"/>
        <v>2702.4357434637909</v>
      </c>
      <c r="ED14" s="5">
        <f t="shared" si="36"/>
        <v>2648.387028594515</v>
      </c>
      <c r="EE14" s="5">
        <f t="shared" si="36"/>
        <v>2595.4192880226246</v>
      </c>
      <c r="EF14" s="5">
        <f t="shared" si="36"/>
        <v>2543.5109022621723</v>
      </c>
      <c r="EG14" s="5">
        <f t="shared" ref="EG14:FL14" si="37">EF14*(1+$AH23)</f>
        <v>2492.640684216929</v>
      </c>
      <c r="EH14" s="5">
        <f t="shared" si="37"/>
        <v>2442.7878705325902</v>
      </c>
      <c r="EI14" s="5">
        <f t="shared" si="37"/>
        <v>2393.9321131219385</v>
      </c>
      <c r="EJ14" s="5">
        <f t="shared" si="37"/>
        <v>2346.0534708594996</v>
      </c>
      <c r="EK14" s="5">
        <f t="shared" si="37"/>
        <v>2299.1324014423094</v>
      </c>
      <c r="EL14" s="5">
        <f t="shared" si="37"/>
        <v>2253.1497534134633</v>
      </c>
      <c r="EM14" s="5">
        <f t="shared" si="37"/>
        <v>2208.0867583451941</v>
      </c>
      <c r="EN14" s="5">
        <f t="shared" si="37"/>
        <v>2163.9250231782903</v>
      </c>
      <c r="EO14" s="5">
        <f t="shared" si="37"/>
        <v>2120.6465227147246</v>
      </c>
      <c r="EP14" s="5">
        <f t="shared" si="37"/>
        <v>2078.2335922604302</v>
      </c>
      <c r="EQ14" s="5">
        <f t="shared" si="37"/>
        <v>2036.6689204152215</v>
      </c>
      <c r="ER14" s="5">
        <f t="shared" si="37"/>
        <v>1995.9355420069171</v>
      </c>
      <c r="ES14" s="5">
        <f t="shared" si="37"/>
        <v>1956.0168311667787</v>
      </c>
      <c r="ET14" s="5">
        <f t="shared" si="37"/>
        <v>1916.8964945434432</v>
      </c>
      <c r="EU14" s="5">
        <f t="shared" si="37"/>
        <v>1878.5585646525742</v>
      </c>
      <c r="EV14" s="5">
        <f t="shared" si="37"/>
        <v>1840.9873933595227</v>
      </c>
      <c r="EW14" s="5">
        <f t="shared" si="37"/>
        <v>1804.1676454923322</v>
      </c>
      <c r="EX14" s="5">
        <f t="shared" si="37"/>
        <v>1768.0842925824854</v>
      </c>
      <c r="EY14" s="5">
        <f t="shared" si="37"/>
        <v>1732.7226067308357</v>
      </c>
      <c r="EZ14" s="5">
        <f t="shared" si="37"/>
        <v>1698.0681545962188</v>
      </c>
      <c r="FA14" s="5">
        <f t="shared" si="37"/>
        <v>1664.1067915042945</v>
      </c>
      <c r="FB14" s="5">
        <f t="shared" si="37"/>
        <v>1630.8246556742085</v>
      </c>
      <c r="FC14" s="5">
        <f t="shared" si="37"/>
        <v>1598.2081625607243</v>
      </c>
      <c r="FD14" s="5">
        <f t="shared" si="37"/>
        <v>1566.2439993095097</v>
      </c>
      <c r="FE14" s="5">
        <f t="shared" si="37"/>
        <v>1534.9191193233196</v>
      </c>
      <c r="FF14" s="5">
        <f t="shared" si="37"/>
        <v>1504.2207369368532</v>
      </c>
      <c r="FG14" s="5">
        <f t="shared" si="37"/>
        <v>1474.1363221981162</v>
      </c>
      <c r="FH14" s="5">
        <f t="shared" si="37"/>
        <v>1444.6535957541539</v>
      </c>
      <c r="FI14" s="5">
        <f t="shared" si="37"/>
        <v>1415.7605238390709</v>
      </c>
      <c r="FJ14" s="5">
        <f t="shared" si="37"/>
        <v>1387.4453133622894</v>
      </c>
      <c r="FK14" s="5">
        <f t="shared" si="37"/>
        <v>1359.6964070950437</v>
      </c>
      <c r="FL14" s="5">
        <f t="shared" si="37"/>
        <v>1332.5024789531428</v>
      </c>
      <c r="FM14" s="5">
        <f t="shared" ref="FM14:GK14" si="38">FL14*(1+$AH23)</f>
        <v>1305.85242937408</v>
      </c>
      <c r="FN14" s="5">
        <f t="shared" si="38"/>
        <v>1279.7353807865984</v>
      </c>
      <c r="FO14" s="5">
        <f t="shared" si="38"/>
        <v>1254.1406731708664</v>
      </c>
      <c r="FP14" s="5">
        <f t="shared" si="38"/>
        <v>1229.0578597074491</v>
      </c>
      <c r="FQ14" s="5">
        <f t="shared" si="38"/>
        <v>1204.4767025133001</v>
      </c>
      <c r="FR14" s="5">
        <f t="shared" si="38"/>
        <v>1180.3871684630342</v>
      </c>
      <c r="FS14" s="5">
        <f t="shared" si="38"/>
        <v>1156.7794250937734</v>
      </c>
      <c r="FT14" s="5">
        <f t="shared" si="38"/>
        <v>1133.643836591898</v>
      </c>
      <c r="FU14" s="5">
        <f t="shared" si="38"/>
        <v>1110.97095986006</v>
      </c>
      <c r="FV14" s="5">
        <f t="shared" si="38"/>
        <v>1088.7515406628588</v>
      </c>
      <c r="FW14" s="5">
        <f t="shared" si="38"/>
        <v>1066.9765098496016</v>
      </c>
      <c r="FX14" s="5">
        <f t="shared" si="38"/>
        <v>1045.6369796526096</v>
      </c>
      <c r="FY14" s="5">
        <f t="shared" si="38"/>
        <v>1024.7242400595574</v>
      </c>
      <c r="FZ14" s="5">
        <f t="shared" si="38"/>
        <v>1004.2297552583661</v>
      </c>
      <c r="GA14" s="5">
        <f t="shared" si="38"/>
        <v>984.14516015319884</v>
      </c>
      <c r="GB14" s="5">
        <f t="shared" si="38"/>
        <v>964.46225695013482</v>
      </c>
      <c r="GC14" s="5">
        <f t="shared" si="38"/>
        <v>945.17301181113214</v>
      </c>
      <c r="GD14" s="5">
        <f t="shared" si="38"/>
        <v>926.26955157490943</v>
      </c>
      <c r="GE14" s="5">
        <f t="shared" si="38"/>
        <v>907.74416054341123</v>
      </c>
      <c r="GF14" s="5">
        <f t="shared" si="38"/>
        <v>889.58927733254302</v>
      </c>
      <c r="GG14" s="5">
        <f t="shared" si="38"/>
        <v>871.79749178589213</v>
      </c>
      <c r="GH14" s="5">
        <f t="shared" si="38"/>
        <v>854.36154195017423</v>
      </c>
      <c r="GI14" s="5">
        <f t="shared" si="38"/>
        <v>837.27431111117073</v>
      </c>
      <c r="GJ14" s="5">
        <f t="shared" si="38"/>
        <v>820.52882488894727</v>
      </c>
      <c r="GK14" s="5">
        <f t="shared" si="38"/>
        <v>804.11824839116832</v>
      </c>
    </row>
    <row r="15" spans="1:193" x14ac:dyDescent="0.25">
      <c r="B15" s="29" t="s">
        <v>1</v>
      </c>
      <c r="C15" s="7">
        <f>C14/C16</f>
        <v>-0.27248299144721977</v>
      </c>
      <c r="D15" s="7">
        <f>D14/D16</f>
        <v>-9.1702289431443776E-2</v>
      </c>
      <c r="E15" s="7">
        <f t="shared" ref="E15:L15" si="39">E14/E16</f>
        <v>-0.17246467327660239</v>
      </c>
      <c r="F15" s="7">
        <f t="shared" si="39"/>
        <v>-0.942412823508883</v>
      </c>
      <c r="G15" s="7">
        <f t="shared" si="39"/>
        <v>-8.4117846526877565E-2</v>
      </c>
      <c r="H15" s="7">
        <f t="shared" si="39"/>
        <v>-6.7799718640557283E-2</v>
      </c>
      <c r="I15" s="7">
        <f t="shared" si="39"/>
        <v>-7.3144495478215527E-2</v>
      </c>
      <c r="J15" s="7">
        <f t="shared" si="39"/>
        <v>-5.1994125417749504E-2</v>
      </c>
      <c r="K15" s="7">
        <f t="shared" si="39"/>
        <v>-7.7637337182691377E-2</v>
      </c>
      <c r="L15" s="7">
        <f t="shared" si="39"/>
        <v>-4.9785715022341928E-2</v>
      </c>
      <c r="M15" s="7">
        <f t="shared" ref="M15" si="40">M14/M16</f>
        <v>-8.8065797544279914E-2</v>
      </c>
      <c r="N15" s="7"/>
      <c r="O15" s="7"/>
      <c r="S15" s="7">
        <f>S14/S16</f>
        <v>-1.0046571766797987</v>
      </c>
      <c r="T15" s="7">
        <f>T14/T16</f>
        <v>-1.1929679397620181</v>
      </c>
      <c r="U15" s="7">
        <f>U14/U16</f>
        <v>-0.27052110685235159</v>
      </c>
      <c r="V15" s="1"/>
      <c r="W15" s="1"/>
      <c r="X15" s="1"/>
      <c r="Y15" s="1"/>
      <c r="Z15" s="1"/>
      <c r="AA15" s="1"/>
      <c r="AB15" s="1"/>
    </row>
    <row r="16" spans="1:193" s="3" customFormat="1" x14ac:dyDescent="0.25">
      <c r="B16" s="29" t="s">
        <v>29</v>
      </c>
      <c r="C16" s="4">
        <v>584.72273499999994</v>
      </c>
      <c r="D16" s="4">
        <v>591.85</v>
      </c>
      <c r="E16" s="4">
        <v>640.45000000000005</v>
      </c>
      <c r="F16" s="4">
        <v>905.46199999999999</v>
      </c>
      <c r="G16" s="4">
        <v>1763.5139999999999</v>
      </c>
      <c r="H16" s="4">
        <v>1821.1579999999999</v>
      </c>
      <c r="I16" s="4">
        <v>1894.606</v>
      </c>
      <c r="J16" s="4">
        <v>1964.395</v>
      </c>
      <c r="K16" s="4">
        <v>2011.7639999999999</v>
      </c>
      <c r="L16" s="4">
        <v>2036.307</v>
      </c>
      <c r="M16" s="4">
        <v>2036.307</v>
      </c>
      <c r="N16" s="4"/>
      <c r="O16" s="4"/>
      <c r="S16" s="4">
        <v>576.95899999999995</v>
      </c>
      <c r="T16" s="4">
        <v>977.72199999999998</v>
      </c>
      <c r="U16" s="4">
        <v>1923.617</v>
      </c>
    </row>
    <row r="17" spans="2:40" x14ac:dyDescent="0.25">
      <c r="C17" s="2"/>
      <c r="S17" s="2"/>
      <c r="T17" s="2"/>
      <c r="U17" s="2"/>
    </row>
    <row r="18" spans="2:40" x14ac:dyDescent="0.25">
      <c r="C18" s="2"/>
      <c r="S18" s="2"/>
      <c r="T18" s="2"/>
      <c r="U18" s="2"/>
    </row>
    <row r="19" spans="2:40" s="10" customFormat="1" x14ac:dyDescent="0.25">
      <c r="B19" s="32" t="s">
        <v>32</v>
      </c>
      <c r="C19" s="9"/>
      <c r="D19" s="9"/>
      <c r="E19" s="9"/>
      <c r="F19" s="9"/>
      <c r="G19" s="9"/>
      <c r="H19" s="9">
        <f t="shared" ref="H19:M19" si="41">(H3/D3)-1</f>
        <v>0.48798004596057143</v>
      </c>
      <c r="I19" s="9">
        <f t="shared" si="41"/>
        <v>0.49129973917082514</v>
      </c>
      <c r="J19" s="9">
        <f t="shared" si="41"/>
        <v>0.35519031261447442</v>
      </c>
      <c r="K19" s="9">
        <f t="shared" si="41"/>
        <v>0.34392764777656004</v>
      </c>
      <c r="L19" s="9">
        <f t="shared" si="41"/>
        <v>0.30806719142875583</v>
      </c>
      <c r="M19" s="9">
        <f t="shared" si="41"/>
        <v>0.25920424233711881</v>
      </c>
      <c r="N19" s="9"/>
      <c r="O19" s="9"/>
      <c r="S19" s="9"/>
      <c r="T19" s="9">
        <f>(T3/S3)-1</f>
        <v>0.47150446768252863</v>
      </c>
      <c r="U19" s="9">
        <f>(U3/T3)-1</f>
        <v>0.41111659206368234</v>
      </c>
      <c r="V19" s="9">
        <f t="shared" ref="V19:AD19" si="42">(V3/U3)-1</f>
        <v>0.23225472131910929</v>
      </c>
      <c r="W19" s="9">
        <f t="shared" si="42"/>
        <v>0.25</v>
      </c>
      <c r="X19" s="9">
        <f t="shared" si="42"/>
        <v>0.25</v>
      </c>
      <c r="Y19" s="9">
        <f t="shared" si="42"/>
        <v>0.25</v>
      </c>
      <c r="Z19" s="9">
        <f t="shared" si="42"/>
        <v>0.25</v>
      </c>
      <c r="AA19" s="9">
        <f t="shared" si="42"/>
        <v>0.25</v>
      </c>
      <c r="AB19" s="9">
        <f t="shared" si="42"/>
        <v>0.25</v>
      </c>
      <c r="AC19" s="9">
        <f t="shared" si="42"/>
        <v>0.25</v>
      </c>
      <c r="AD19" s="9">
        <f t="shared" si="42"/>
        <v>0.25</v>
      </c>
      <c r="AE19" s="9">
        <f t="shared" ref="AE19" si="43">(AE3/AD3)-1</f>
        <v>0.25</v>
      </c>
      <c r="AF19" s="9">
        <f t="shared" ref="AF19" si="44">(AF3/AE3)-1</f>
        <v>0.25</v>
      </c>
      <c r="AG19" s="9">
        <f t="shared" ref="AG19" si="45">(AG3/AF3)-1</f>
        <v>0.25</v>
      </c>
      <c r="AH19" s="9">
        <f t="shared" ref="AH19" si="46">(AH3/AG3)-1</f>
        <v>0.25</v>
      </c>
      <c r="AI19" s="9">
        <f t="shared" ref="AI19" si="47">(AI3/AH3)-1</f>
        <v>0.25</v>
      </c>
      <c r="AJ19" s="9">
        <f t="shared" ref="AJ19" si="48">(AJ3/AI3)-1</f>
        <v>0.25</v>
      </c>
      <c r="AK19" s="9">
        <f t="shared" ref="AK19" si="49">(AK3/AJ3)-1</f>
        <v>0.25</v>
      </c>
      <c r="AL19" s="9">
        <f t="shared" ref="AL19" si="50">(AL3/AK3)-1</f>
        <v>0.25</v>
      </c>
      <c r="AM19" s="9">
        <f t="shared" ref="AM19" si="51">(AM3/AL3)-1</f>
        <v>0.25</v>
      </c>
      <c r="AN19" s="9">
        <f t="shared" ref="AN19" si="52">(AN3/AM3)-1</f>
        <v>0.25</v>
      </c>
    </row>
    <row r="20" spans="2:40" x14ac:dyDescent="0.25">
      <c r="B20" s="26" t="s">
        <v>33</v>
      </c>
      <c r="C20" s="8">
        <f>C5/C3</f>
        <v>0.66906757122053739</v>
      </c>
      <c r="D20" s="8">
        <f>D5/D3</f>
        <v>0.71964051332812973</v>
      </c>
      <c r="E20" s="8">
        <f t="shared" ref="E20:L20" si="53">E5/E3</f>
        <v>0.72841211803611916</v>
      </c>
      <c r="F20" s="8">
        <f t="shared" si="53"/>
        <v>0.48390619492269304</v>
      </c>
      <c r="G20" s="8">
        <f t="shared" si="53"/>
        <v>0.78110844450791861</v>
      </c>
      <c r="H20" s="8">
        <f t="shared" si="53"/>
        <v>0.78281472537906538</v>
      </c>
      <c r="I20" s="8">
        <f t="shared" si="53"/>
        <v>0.75794506471587308</v>
      </c>
      <c r="J20" s="8">
        <f t="shared" si="53"/>
        <v>0.77864366842961541</v>
      </c>
      <c r="K20" s="8">
        <f t="shared" si="53"/>
        <v>0.79771384744043783</v>
      </c>
      <c r="L20" s="8">
        <f t="shared" si="53"/>
        <v>0.78850337286073702</v>
      </c>
      <c r="M20" s="8">
        <f t="shared" ref="M20" si="54">M5/M3</f>
        <v>0.78388617576795416</v>
      </c>
      <c r="N20" s="8"/>
      <c r="O20" s="8"/>
      <c r="S20" s="8">
        <f>S5/S3</f>
        <v>0.67359589525355024</v>
      </c>
      <c r="T20" s="8">
        <f>T5/T3</f>
        <v>0.67735360899372454</v>
      </c>
      <c r="U20" s="8">
        <f>U5/U3</f>
        <v>0.77987779924495215</v>
      </c>
      <c r="V20" s="8">
        <f t="shared" ref="V20:AD20" si="55">V5/V3</f>
        <v>0.8</v>
      </c>
      <c r="W20" s="8">
        <f t="shared" si="55"/>
        <v>0.8</v>
      </c>
      <c r="X20" s="8">
        <f t="shared" si="55"/>
        <v>0.8</v>
      </c>
      <c r="Y20" s="8">
        <f t="shared" si="55"/>
        <v>0.8</v>
      </c>
      <c r="Z20" s="8">
        <f t="shared" si="55"/>
        <v>0.8</v>
      </c>
      <c r="AA20" s="8">
        <f t="shared" si="55"/>
        <v>0.8</v>
      </c>
      <c r="AB20" s="8">
        <f t="shared" si="55"/>
        <v>0.8</v>
      </c>
      <c r="AC20" s="8">
        <f t="shared" si="55"/>
        <v>0.8</v>
      </c>
      <c r="AD20" s="8">
        <f t="shared" si="55"/>
        <v>0.8</v>
      </c>
      <c r="AE20" s="8">
        <f t="shared" ref="AE20:AN20" si="56">AE5/AE3</f>
        <v>0.8</v>
      </c>
      <c r="AF20" s="8">
        <f t="shared" si="56"/>
        <v>0.8</v>
      </c>
      <c r="AG20" s="8">
        <f t="shared" si="56"/>
        <v>0.8</v>
      </c>
      <c r="AH20" s="8">
        <f t="shared" si="56"/>
        <v>0.8</v>
      </c>
      <c r="AI20" s="8">
        <f t="shared" si="56"/>
        <v>0.8</v>
      </c>
      <c r="AJ20" s="8">
        <f t="shared" si="56"/>
        <v>0.8</v>
      </c>
      <c r="AK20" s="8">
        <f t="shared" si="56"/>
        <v>0.8</v>
      </c>
      <c r="AL20" s="8">
        <f t="shared" si="56"/>
        <v>0.8</v>
      </c>
      <c r="AM20" s="8">
        <f t="shared" si="56"/>
        <v>0.8</v>
      </c>
      <c r="AN20" s="8">
        <f t="shared" si="56"/>
        <v>0.8</v>
      </c>
    </row>
    <row r="21" spans="2:40" x14ac:dyDescent="0.25">
      <c r="B21" s="26" t="s">
        <v>48</v>
      </c>
      <c r="C21" s="8">
        <f>C14/C3</f>
        <v>-0.6946651086947041</v>
      </c>
      <c r="D21" s="8">
        <f>D14/D3</f>
        <v>-0.23666641956681944</v>
      </c>
      <c r="E21" s="8">
        <f t="shared" ref="E21:L21" si="57">E14/E3</f>
        <v>-0.43850664379945137</v>
      </c>
      <c r="F21" s="8">
        <f t="shared" si="57"/>
        <v>-2.9489262733009416</v>
      </c>
      <c r="G21" s="8">
        <f t="shared" si="57"/>
        <v>-0.46056238764821111</v>
      </c>
      <c r="H21" s="8">
        <f t="shared" si="57"/>
        <v>-0.3618455370801269</v>
      </c>
      <c r="I21" s="8">
        <f t="shared" si="57"/>
        <v>-0.36891508404278545</v>
      </c>
      <c r="J21" s="8">
        <f t="shared" si="57"/>
        <v>-0.2604565646468408</v>
      </c>
      <c r="K21" s="8">
        <f t="shared" si="57"/>
        <v>-0.36082214629435816</v>
      </c>
      <c r="L21" s="8">
        <f t="shared" si="57"/>
        <v>-0.22712537273975766</v>
      </c>
      <c r="M21" s="8">
        <f t="shared" ref="M21" si="58">M14/M3</f>
        <v>-0.37912306293735865</v>
      </c>
      <c r="S21" s="8">
        <f>S14/S3</f>
        <v>-0.78061019049094005</v>
      </c>
      <c r="T21" s="8">
        <f>T14/T3</f>
        <v>-1.0674657468428339</v>
      </c>
      <c r="U21" s="8">
        <f>U14/U3</f>
        <v>-0.33749446296069308</v>
      </c>
      <c r="V21" s="8">
        <f t="shared" ref="V21:AD21" si="59">V14/V3</f>
        <v>-0.15885336842105266</v>
      </c>
      <c r="W21" s="8">
        <f t="shared" si="59"/>
        <v>-0.10122418442105266</v>
      </c>
      <c r="X21" s="8">
        <f t="shared" si="59"/>
        <v>-4.8789173692631513E-2</v>
      </c>
      <c r="Y21" s="8">
        <f t="shared" si="59"/>
        <v>-9.9388859553678618E-4</v>
      </c>
      <c r="Z21" s="8">
        <f t="shared" si="59"/>
        <v>4.2652338919747387E-2</v>
      </c>
      <c r="AA21" s="8">
        <f t="shared" si="59"/>
        <v>8.2583940697844679E-2</v>
      </c>
      <c r="AB21" s="8">
        <f t="shared" si="59"/>
        <v>9.3775411175230208E-2</v>
      </c>
      <c r="AC21" s="8">
        <f t="shared" si="59"/>
        <v>0.10401101595773217</v>
      </c>
      <c r="AD21" s="8">
        <f t="shared" si="59"/>
        <v>0.11330866139811453</v>
      </c>
      <c r="AE21" s="8">
        <f t="shared" ref="AE21:AN21" si="60">AE14/AE3</f>
        <v>0.11784100785403911</v>
      </c>
      <c r="AF21" s="8">
        <f t="shared" si="60"/>
        <v>0.12255464816820068</v>
      </c>
      <c r="AG21" s="8">
        <f t="shared" si="60"/>
        <v>0.12745683409492872</v>
      </c>
      <c r="AH21" s="8">
        <f t="shared" si="60"/>
        <v>0.13255510745872587</v>
      </c>
      <c r="AI21" s="8">
        <f t="shared" si="60"/>
        <v>0.13785731175707491</v>
      </c>
      <c r="AJ21" s="8">
        <f t="shared" si="60"/>
        <v>0.14337160422735792</v>
      </c>
      <c r="AK21" s="8">
        <f t="shared" si="60"/>
        <v>0.14910646839645225</v>
      </c>
      <c r="AL21" s="8">
        <f t="shared" si="60"/>
        <v>0.15507072713231035</v>
      </c>
      <c r="AM21" s="8">
        <f t="shared" si="60"/>
        <v>0.16127355621760275</v>
      </c>
      <c r="AN21" s="8">
        <f t="shared" si="60"/>
        <v>0.16772449846630688</v>
      </c>
    </row>
    <row r="22" spans="2:40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40" x14ac:dyDescent="0.25">
      <c r="AG23" t="s">
        <v>49</v>
      </c>
      <c r="AH23" s="14">
        <v>-0.02</v>
      </c>
    </row>
    <row r="24" spans="2:40" s="3" customFormat="1" x14ac:dyDescent="0.25">
      <c r="B24" s="29" t="s">
        <v>3</v>
      </c>
      <c r="C24" s="3">
        <v>1079.154</v>
      </c>
      <c r="D24" s="3">
        <f>1800.19</f>
        <v>1800.19</v>
      </c>
      <c r="E24" s="4"/>
      <c r="F24" s="4">
        <f>2269.411+252.563</f>
        <v>2521.9740000000002</v>
      </c>
      <c r="G24" s="4">
        <f>2011.323</f>
        <v>2011.3230000000001</v>
      </c>
      <c r="H24" s="4">
        <v>2339.4369999999999</v>
      </c>
      <c r="I24" s="4">
        <v>2341.1559999999999</v>
      </c>
      <c r="J24" s="4">
        <f>2335.068+148.077</f>
        <v>2483.1450000000004</v>
      </c>
      <c r="K24" s="4">
        <f>2290.674+234.153</f>
        <v>2524.8269999999998</v>
      </c>
      <c r="L24" s="4">
        <f>2269.411+252.563</f>
        <v>2521.9740000000002</v>
      </c>
      <c r="M24" s="4">
        <f>2358.393+99.21</f>
        <v>2457.6030000000001</v>
      </c>
      <c r="N24" s="4"/>
      <c r="O24" s="4"/>
      <c r="AG24" s="13" t="s">
        <v>50</v>
      </c>
      <c r="AH24" s="15">
        <v>0.1</v>
      </c>
    </row>
    <row r="25" spans="2:40" s="3" customFormat="1" x14ac:dyDescent="0.25">
      <c r="B25" s="29" t="s">
        <v>92</v>
      </c>
      <c r="C25" s="3">
        <f>52.099+270.709</f>
        <v>322.80799999999999</v>
      </c>
      <c r="D25" s="3">
        <f>43.8+86.343</f>
        <v>130.143</v>
      </c>
      <c r="E25" s="4"/>
      <c r="F25" s="4"/>
      <c r="G25" s="4">
        <f>37.285+79.538</f>
        <v>116.82299999999999</v>
      </c>
      <c r="H25" s="4">
        <f>37.106+71.933</f>
        <v>109.03900000000002</v>
      </c>
      <c r="I25" s="4">
        <f>36.75+61.914</f>
        <v>98.664000000000001</v>
      </c>
      <c r="J25" s="4">
        <f>41.316+46.791</f>
        <v>88.106999999999999</v>
      </c>
      <c r="K25" s="4">
        <f>36.628+39.612</f>
        <v>76.240000000000009</v>
      </c>
      <c r="L25" s="4"/>
      <c r="M25" s="4">
        <f>28.125+28.647</f>
        <v>56.771999999999998</v>
      </c>
      <c r="N25" s="4"/>
      <c r="O25" s="4"/>
      <c r="AG25" s="13"/>
      <c r="AH25" s="15"/>
    </row>
    <row r="26" spans="2:40" s="3" customFormat="1" x14ac:dyDescent="0.25">
      <c r="B26" s="29" t="s">
        <v>34</v>
      </c>
      <c r="C26" s="3">
        <v>50.314999999999998</v>
      </c>
      <c r="D26" s="3">
        <v>162.26900000000001</v>
      </c>
      <c r="E26" s="4"/>
      <c r="F26" s="4">
        <v>256.55399999999997</v>
      </c>
      <c r="G26" s="4">
        <v>156.93199999999999</v>
      </c>
      <c r="H26" s="4">
        <v>151.4</v>
      </c>
      <c r="I26" s="4">
        <v>242.99799999999999</v>
      </c>
      <c r="J26" s="4">
        <v>174.405</v>
      </c>
      <c r="K26" s="4">
        <v>190.923</v>
      </c>
      <c r="L26" s="4">
        <v>256.55399999999997</v>
      </c>
      <c r="M26" s="4">
        <v>265.82600000000002</v>
      </c>
      <c r="N26" s="4"/>
      <c r="O26" s="4"/>
      <c r="W26" s="12"/>
      <c r="AG26" t="s">
        <v>51</v>
      </c>
      <c r="AH26" s="16">
        <f>NPV(AH24,EL14:GK14)</f>
        <v>18730.015685587197</v>
      </c>
    </row>
    <row r="27" spans="2:40" s="3" customFormat="1" x14ac:dyDescent="0.25">
      <c r="B27" s="29" t="s">
        <v>35</v>
      </c>
      <c r="C27" s="3">
        <v>32.585000000000001</v>
      </c>
      <c r="D27" s="3">
        <v>388.16500000000002</v>
      </c>
      <c r="E27" s="4"/>
      <c r="F27" s="4">
        <v>115.042</v>
      </c>
      <c r="G27" s="4">
        <v>51.889000000000003</v>
      </c>
      <c r="H27" s="4">
        <v>61.755000000000003</v>
      </c>
      <c r="I27" s="4">
        <v>41.648000000000003</v>
      </c>
      <c r="J27" s="4">
        <v>112.624</v>
      </c>
      <c r="K27" s="4">
        <v>110.872</v>
      </c>
      <c r="L27" s="4">
        <v>115.042</v>
      </c>
      <c r="M27" s="4">
        <v>150.88499999999999</v>
      </c>
      <c r="N27" s="4"/>
      <c r="O27" s="4"/>
      <c r="AG27" t="s">
        <v>52</v>
      </c>
      <c r="AH27" s="17">
        <f>Main!H5</f>
        <v>2585</v>
      </c>
    </row>
    <row r="28" spans="2:40" s="3" customFormat="1" x14ac:dyDescent="0.25">
      <c r="B28" s="29" t="s">
        <v>36</v>
      </c>
      <c r="C28" s="3">
        <v>31.588999999999999</v>
      </c>
      <c r="D28" s="3">
        <v>29.369</v>
      </c>
      <c r="E28" s="4"/>
      <c r="F28" s="4">
        <v>41.866</v>
      </c>
      <c r="G28" s="4">
        <v>29.541</v>
      </c>
      <c r="H28" s="4">
        <v>27.378</v>
      </c>
      <c r="I28" s="4">
        <v>24.824000000000002</v>
      </c>
      <c r="J28" s="4">
        <v>28.777999999999999</v>
      </c>
      <c r="K28" s="4">
        <v>31.303999999999998</v>
      </c>
      <c r="L28" s="4">
        <v>41.866</v>
      </c>
      <c r="M28" s="4">
        <v>47.643999999999998</v>
      </c>
      <c r="N28" s="4"/>
      <c r="O28" s="4"/>
      <c r="AG28" t="s">
        <v>55</v>
      </c>
      <c r="AH28" s="18">
        <f>AH26+AH27</f>
        <v>21315.015685587197</v>
      </c>
    </row>
    <row r="29" spans="2:40" s="3" customFormat="1" x14ac:dyDescent="0.25">
      <c r="B29" s="29" t="s">
        <v>37</v>
      </c>
      <c r="E29" s="4"/>
      <c r="F29" s="4">
        <v>224.88800000000001</v>
      </c>
      <c r="G29" s="4">
        <v>217.07499999999999</v>
      </c>
      <c r="H29" s="4">
        <v>213.33099999999999</v>
      </c>
      <c r="I29" s="4">
        <v>209.24299999999999</v>
      </c>
      <c r="J29" s="4">
        <v>220.846</v>
      </c>
      <c r="K29" s="4">
        <v>216.898</v>
      </c>
      <c r="L29" s="4">
        <v>224.88800000000001</v>
      </c>
      <c r="M29" s="4">
        <v>211.41</v>
      </c>
      <c r="N29" s="4"/>
      <c r="O29" s="4"/>
      <c r="AG29" t="s">
        <v>1</v>
      </c>
      <c r="AH29" s="3">
        <v>2036.307</v>
      </c>
    </row>
    <row r="30" spans="2:40" s="3" customFormat="1" x14ac:dyDescent="0.25">
      <c r="B30" s="29" t="s">
        <v>38</v>
      </c>
      <c r="C30" s="3">
        <v>77.573999999999998</v>
      </c>
      <c r="D30" s="3">
        <v>93.575999999999993</v>
      </c>
      <c r="E30" s="4"/>
      <c r="F30" s="4">
        <f>33.804+29.222+95.829</f>
        <v>158.85499999999999</v>
      </c>
      <c r="G30" s="4">
        <v>106.92100000000001</v>
      </c>
      <c r="H30" s="4">
        <v>111.845</v>
      </c>
      <c r="I30" s="4">
        <v>117.13500000000001</v>
      </c>
      <c r="J30" s="4">
        <v>116.422</v>
      </c>
      <c r="K30" s="4">
        <v>96.385999999999996</v>
      </c>
      <c r="L30" s="4">
        <f>33.804+29.222+95.829</f>
        <v>158.85499999999999</v>
      </c>
      <c r="M30" s="4">
        <v>92.197999999999993</v>
      </c>
      <c r="N30" s="4"/>
      <c r="O30" s="4"/>
      <c r="AG30" s="3" t="s">
        <v>53</v>
      </c>
      <c r="AH30" s="19">
        <f>AH28/AH29</f>
        <v>10.467486329707258</v>
      </c>
    </row>
    <row r="31" spans="2:40" s="3" customFormat="1" x14ac:dyDescent="0.25">
      <c r="B31" s="29" t="s">
        <v>39</v>
      </c>
      <c r="C31" s="4">
        <f>SUM(C24:C30)</f>
        <v>1594.0250000000001</v>
      </c>
      <c r="D31" s="4">
        <f>SUM(D24:D30)</f>
        <v>2603.712</v>
      </c>
      <c r="E31" s="4"/>
      <c r="F31" s="4">
        <f t="shared" ref="F31:L31" si="61">SUM(F24:F30)</f>
        <v>3319.1790000000001</v>
      </c>
      <c r="G31" s="4">
        <f t="shared" si="61"/>
        <v>2690.5039999999999</v>
      </c>
      <c r="H31" s="4">
        <f t="shared" si="61"/>
        <v>3014.1850000000004</v>
      </c>
      <c r="I31" s="4">
        <f t="shared" si="61"/>
        <v>3075.6680000000006</v>
      </c>
      <c r="J31" s="4">
        <f t="shared" si="61"/>
        <v>3224.3270000000002</v>
      </c>
      <c r="K31" s="4">
        <f t="shared" si="61"/>
        <v>3247.45</v>
      </c>
      <c r="L31" s="4">
        <f t="shared" si="61"/>
        <v>3319.1790000000001</v>
      </c>
      <c r="M31" s="4">
        <f t="shared" ref="M31" si="62">SUM(M24:M30)</f>
        <v>3282.3379999999997</v>
      </c>
      <c r="N31" s="4"/>
      <c r="O31" s="4"/>
      <c r="AG31" s="3" t="s">
        <v>54</v>
      </c>
      <c r="AH31" s="19">
        <f>Main!H2</f>
        <v>10.34</v>
      </c>
    </row>
    <row r="33" spans="2:21" x14ac:dyDescent="0.25">
      <c r="B33" s="29" t="s">
        <v>4</v>
      </c>
      <c r="C33" s="4">
        <v>396.065</v>
      </c>
      <c r="D33" s="4">
        <v>197.75299999999999</v>
      </c>
      <c r="G33" s="4">
        <v>197.977</v>
      </c>
      <c r="H33" s="4">
        <v>198.185</v>
      </c>
      <c r="I33" s="2" t="s">
        <v>94</v>
      </c>
      <c r="J33" s="2" t="s">
        <v>94</v>
      </c>
      <c r="K33" s="2" t="s">
        <v>94</v>
      </c>
    </row>
    <row r="34" spans="2:21" s="3" customFormat="1" x14ac:dyDescent="0.25">
      <c r="B34" s="29" t="s">
        <v>40</v>
      </c>
      <c r="C34" s="3">
        <f>51.735</f>
        <v>51.734999999999999</v>
      </c>
      <c r="D34" s="3">
        <v>22.221</v>
      </c>
      <c r="E34" s="4"/>
      <c r="F34" s="4">
        <v>27.454000000000001</v>
      </c>
      <c r="G34" s="4">
        <v>16.358000000000001</v>
      </c>
      <c r="H34" s="4">
        <v>17.234000000000002</v>
      </c>
      <c r="I34" s="4">
        <v>30.914000000000001</v>
      </c>
      <c r="J34" s="4">
        <v>17.654</v>
      </c>
      <c r="K34" s="4">
        <v>74.906999999999996</v>
      </c>
      <c r="L34" s="4">
        <v>27.454000000000001</v>
      </c>
      <c r="M34" s="4">
        <v>56.798000000000002</v>
      </c>
      <c r="N34" s="4"/>
      <c r="O34" s="4"/>
    </row>
    <row r="35" spans="2:21" s="3" customFormat="1" x14ac:dyDescent="0.25">
      <c r="B35" s="29" t="s">
        <v>41</v>
      </c>
      <c r="C35" s="3">
        <v>126.62</v>
      </c>
      <c r="D35" s="3">
        <v>466.99900000000002</v>
      </c>
      <c r="E35" s="4"/>
      <c r="F35" s="4">
        <v>150.17599999999999</v>
      </c>
      <c r="G35" s="4">
        <v>158.54599999999999</v>
      </c>
      <c r="H35" s="4">
        <v>181.60300000000001</v>
      </c>
      <c r="I35" s="4">
        <v>166.25200000000001</v>
      </c>
      <c r="J35" s="4">
        <v>179.46700000000001</v>
      </c>
      <c r="K35" s="4">
        <v>155.80600000000001</v>
      </c>
      <c r="L35" s="4">
        <v>150.17599999999999</v>
      </c>
      <c r="M35" s="4">
        <v>187.56800000000001</v>
      </c>
      <c r="N35" s="4"/>
      <c r="O35" s="4"/>
    </row>
    <row r="36" spans="2:21" s="3" customFormat="1" x14ac:dyDescent="0.25">
      <c r="B36" s="29" t="s">
        <v>42</v>
      </c>
      <c r="C36" s="3">
        <f>186.105+77.03</f>
        <v>263.13499999999999</v>
      </c>
      <c r="D36" s="3">
        <f>172.066+67.064</f>
        <v>239.13</v>
      </c>
      <c r="E36" s="4"/>
      <c r="F36" s="4">
        <v>218.52099999999999</v>
      </c>
      <c r="G36" s="4">
        <f>189.52+50.525</f>
        <v>240.04500000000002</v>
      </c>
      <c r="H36" s="4">
        <f>186.498+44.998</f>
        <v>231.49599999999998</v>
      </c>
      <c r="I36" s="4">
        <f>194.511+40.518</f>
        <v>235.029</v>
      </c>
      <c r="J36" s="4">
        <f>208.1+26.723</f>
        <v>234.82299999999998</v>
      </c>
      <c r="K36" s="4">
        <f>227.816+40.217</f>
        <v>268.03300000000002</v>
      </c>
      <c r="L36" s="4">
        <v>218.52099999999999</v>
      </c>
      <c r="M36" s="4">
        <f>219.441+34.143</f>
        <v>253.584</v>
      </c>
      <c r="N36" s="4"/>
      <c r="O36" s="4"/>
    </row>
    <row r="37" spans="2:21" s="3" customFormat="1" x14ac:dyDescent="0.25">
      <c r="B37" s="29" t="s">
        <v>43</v>
      </c>
      <c r="C37" s="3">
        <f>364.138+167.538</f>
        <v>531.67599999999993</v>
      </c>
      <c r="D37" s="3">
        <f>280.901+102.231</f>
        <v>383.13200000000001</v>
      </c>
      <c r="E37" s="4"/>
      <c r="F37" s="4">
        <v>232.90799999999999</v>
      </c>
      <c r="G37" s="4">
        <f>210.32+81.513</f>
        <v>291.83299999999997</v>
      </c>
      <c r="H37" s="4">
        <f>250.181+70.768</f>
        <v>320.94900000000001</v>
      </c>
      <c r="I37" s="4">
        <f>257.747+62.732</f>
        <v>320.47900000000004</v>
      </c>
      <c r="J37" s="4">
        <f>232.707+42.734</f>
        <v>275.44099999999997</v>
      </c>
      <c r="K37" s="4">
        <f>161.605+33.699</f>
        <v>195.30399999999997</v>
      </c>
      <c r="L37" s="4">
        <v>232.90799999999999</v>
      </c>
      <c r="M37" s="4">
        <f>161.026+15.412</f>
        <v>176.43800000000002</v>
      </c>
      <c r="N37" s="4"/>
      <c r="O37" s="4"/>
    </row>
    <row r="38" spans="2:21" s="3" customFormat="1" x14ac:dyDescent="0.25">
      <c r="B38" s="29" t="s">
        <v>37</v>
      </c>
      <c r="E38" s="4"/>
      <c r="F38" s="4">
        <v>40.045000000000002</v>
      </c>
      <c r="G38" s="4">
        <f>29.079+229.8</f>
        <v>258.87900000000002</v>
      </c>
      <c r="H38" s="4">
        <f>32.11+222.429</f>
        <v>254.53899999999999</v>
      </c>
      <c r="I38" s="4">
        <f>33.162+216.63</f>
        <v>249.792</v>
      </c>
      <c r="J38" s="4">
        <f>43.581+219.646</f>
        <v>263.22699999999998</v>
      </c>
      <c r="K38" s="4">
        <f>39.927+220.146</f>
        <v>260.07299999999998</v>
      </c>
      <c r="L38" s="4">
        <v>40.045000000000002</v>
      </c>
      <c r="M38" s="4">
        <f>40.909+216.059</f>
        <v>256.96800000000002</v>
      </c>
      <c r="N38" s="4"/>
      <c r="O38" s="4"/>
    </row>
    <row r="39" spans="2:21" s="3" customFormat="1" x14ac:dyDescent="0.25">
      <c r="B39" s="29" t="s">
        <v>46</v>
      </c>
      <c r="C39" s="3">
        <v>78.204999999999998</v>
      </c>
      <c r="D39" s="3">
        <v>42.723999999999997</v>
      </c>
      <c r="E39" s="4"/>
      <c r="F39" s="4">
        <f>33.244+22.276+227.617+2.192</f>
        <v>285.32900000000001</v>
      </c>
      <c r="G39" s="4">
        <v>4.3159999999999998</v>
      </c>
      <c r="H39" s="4">
        <v>4.2359999999999998</v>
      </c>
      <c r="I39" s="4">
        <v>4.3289999999999997</v>
      </c>
      <c r="J39" s="4">
        <v>5.6589999999999998</v>
      </c>
      <c r="K39" s="4">
        <v>2.2970000000000002</v>
      </c>
      <c r="L39" s="4">
        <f>33.244+22.276+227.617+2.192</f>
        <v>285.32900000000001</v>
      </c>
      <c r="M39" s="4">
        <v>2.1579999999999999</v>
      </c>
      <c r="N39" s="4"/>
      <c r="O39" s="4"/>
    </row>
    <row r="40" spans="2:21" s="3" customFormat="1" x14ac:dyDescent="0.25">
      <c r="B40" s="29" t="s">
        <v>93</v>
      </c>
      <c r="C40">
        <f>2093.662+33.569</f>
        <v>2127.2309999999998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21" s="3" customFormat="1" x14ac:dyDescent="0.25">
      <c r="B41" s="29" t="s">
        <v>44</v>
      </c>
      <c r="C41" s="3">
        <v>-1980.6420000000001</v>
      </c>
      <c r="D41" s="3">
        <v>1251.7529999999999</v>
      </c>
      <c r="E41" s="4"/>
      <c r="F41" s="4">
        <v>2364.7460000000001</v>
      </c>
      <c r="G41" s="4">
        <v>1522.55</v>
      </c>
      <c r="H41" s="4">
        <v>1805.943</v>
      </c>
      <c r="I41" s="4">
        <v>2068.9630000000002</v>
      </c>
      <c r="J41" s="4">
        <v>2248.056</v>
      </c>
      <c r="K41" s="4">
        <v>2291.0300000000002</v>
      </c>
      <c r="L41" s="4">
        <v>2364.7460000000001</v>
      </c>
      <c r="M41" s="4">
        <v>2348.8240000000001</v>
      </c>
      <c r="N41" s="4"/>
      <c r="O41" s="4"/>
    </row>
    <row r="42" spans="2:21" s="3" customFormat="1" x14ac:dyDescent="0.25">
      <c r="B42" s="29" t="s">
        <v>45</v>
      </c>
      <c r="C42" s="4">
        <f>SUM(C33:C41)</f>
        <v>1594.0249999999994</v>
      </c>
      <c r="D42" s="4">
        <f>SUM(D33:D41)</f>
        <v>2603.7119999999995</v>
      </c>
      <c r="E42" s="4"/>
      <c r="F42" s="4">
        <f>SUM(F33:F41)</f>
        <v>3319.1790000000001</v>
      </c>
      <c r="G42" s="4">
        <f>SUM(G33:G41)</f>
        <v>2690.5039999999999</v>
      </c>
      <c r="H42" s="4">
        <f>SUM(H33:H41)</f>
        <v>3014.1850000000004</v>
      </c>
      <c r="I42" s="4">
        <f>SUM(I33:I41)</f>
        <v>3075.7580000000003</v>
      </c>
      <c r="J42" s="4">
        <f>SUM(J33:J41)</f>
        <v>3224.3270000000002</v>
      </c>
      <c r="K42" s="4">
        <f>SUM(K34:K41)</f>
        <v>3247.4500000000003</v>
      </c>
      <c r="L42" s="4">
        <f>SUM(L34:L41)</f>
        <v>3319.1790000000001</v>
      </c>
      <c r="M42" s="4">
        <f>SUM(M34:M41)</f>
        <v>3282.3380000000002</v>
      </c>
      <c r="N42" s="4"/>
      <c r="O42" s="4"/>
    </row>
    <row r="44" spans="2:21" s="3" customFormat="1" x14ac:dyDescent="0.25">
      <c r="B44" s="2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2:21" x14ac:dyDescent="0.25">
      <c r="B45" s="29" t="s">
        <v>96</v>
      </c>
      <c r="C45" s="3"/>
      <c r="D45" s="4">
        <v>-54.274000000000001</v>
      </c>
      <c r="H45" s="4">
        <v>-123.474</v>
      </c>
      <c r="I45" s="4">
        <f>-262.054-H45</f>
        <v>-138.57999999999998</v>
      </c>
      <c r="J45" s="4">
        <f>-364.191-I45-H45</f>
        <v>-102.13699999999999</v>
      </c>
      <c r="L45" s="4">
        <v>-101.379</v>
      </c>
      <c r="M45" s="4">
        <f>-280.708-L45</f>
        <v>-179.32900000000001</v>
      </c>
      <c r="R45" s="3">
        <v>-580.02700000000004</v>
      </c>
      <c r="S45" s="3">
        <v>-579.64599999999996</v>
      </c>
      <c r="T45" s="3">
        <v>-1166.3910000000001</v>
      </c>
      <c r="U45" s="3">
        <v>-520.37900000000002</v>
      </c>
    </row>
    <row r="46" spans="2:21" s="3" customFormat="1" ht="24" customHeight="1" x14ac:dyDescent="0.25">
      <c r="B46" s="29" t="s">
        <v>103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2:21" x14ac:dyDescent="0.25">
      <c r="B47" s="29" t="s">
        <v>97</v>
      </c>
      <c r="D47" s="4">
        <v>3.6709999999999998</v>
      </c>
      <c r="H47" s="4">
        <v>3.2370000000000001</v>
      </c>
      <c r="I47" s="4">
        <f>7.999-H47</f>
        <v>4.7619999999999996</v>
      </c>
      <c r="J47" s="4">
        <f>11.057-I47-H47</f>
        <v>3.0580000000000007</v>
      </c>
      <c r="L47" s="4">
        <v>4.3120000000000003</v>
      </c>
      <c r="M47" s="4">
        <f>9.207-L47</f>
        <v>4.8950000000000005</v>
      </c>
      <c r="R47" s="3">
        <v>13.91</v>
      </c>
      <c r="S47" s="3">
        <v>12.255000000000001</v>
      </c>
      <c r="T47" s="3">
        <v>13.871</v>
      </c>
      <c r="U47" s="3">
        <v>14.897</v>
      </c>
    </row>
    <row r="48" spans="2:21" x14ac:dyDescent="0.25">
      <c r="B48" s="29" t="s">
        <v>98</v>
      </c>
      <c r="D48" s="4">
        <v>54.106999999999999</v>
      </c>
      <c r="H48" s="4">
        <v>193.73099999999999</v>
      </c>
      <c r="I48" s="4">
        <f>426.473-H48</f>
        <v>232.74200000000002</v>
      </c>
      <c r="J48" s="4">
        <f>611.308-I48-H48</f>
        <v>184.83499999999998</v>
      </c>
      <c r="L48" s="4">
        <v>149.32300000000001</v>
      </c>
      <c r="M48" s="4">
        <f>295.092-L48</f>
        <v>145.76899999999998</v>
      </c>
      <c r="R48" s="3">
        <v>248.50299999999999</v>
      </c>
      <c r="S48" s="3">
        <v>241.97</v>
      </c>
      <c r="T48" s="3">
        <v>1270.702</v>
      </c>
      <c r="U48" s="3">
        <v>778.21500000000003</v>
      </c>
    </row>
    <row r="49" spans="2:21" ht="26.4" x14ac:dyDescent="0.25">
      <c r="B49" s="29" t="s">
        <v>117</v>
      </c>
      <c r="D49" s="4">
        <v>-13.695</v>
      </c>
      <c r="H49" s="4"/>
      <c r="I49" s="4"/>
      <c r="J49" s="4"/>
      <c r="L49" s="4"/>
      <c r="M49" s="4"/>
      <c r="R49" s="3">
        <v>-48.093000000000004</v>
      </c>
      <c r="S49" s="3">
        <v>3.0000000000000001E-3</v>
      </c>
      <c r="T49" s="3">
        <v>-0.81100000000000005</v>
      </c>
      <c r="U49" s="3"/>
    </row>
    <row r="50" spans="2:21" x14ac:dyDescent="0.25">
      <c r="B50" s="29" t="s">
        <v>120</v>
      </c>
      <c r="D50" s="4"/>
      <c r="H50" s="4"/>
      <c r="I50" s="4"/>
      <c r="J50" s="4"/>
      <c r="L50" s="4"/>
      <c r="M50" s="4"/>
      <c r="R50" s="3">
        <v>23.7</v>
      </c>
      <c r="S50" s="3">
        <v>23.407</v>
      </c>
      <c r="T50" s="3">
        <v>0.67400000000000004</v>
      </c>
      <c r="U50" s="3">
        <v>0</v>
      </c>
    </row>
    <row r="51" spans="2:21" s="20" customFormat="1" x14ac:dyDescent="0.25">
      <c r="B51" s="36" t="s">
        <v>99</v>
      </c>
      <c r="D51" s="37">
        <v>0</v>
      </c>
      <c r="E51" s="38"/>
      <c r="F51" s="38"/>
      <c r="G51" s="38"/>
      <c r="H51" s="37">
        <v>1.8460000000000001</v>
      </c>
      <c r="I51" s="37">
        <f>0-H51</f>
        <v>-1.8460000000000001</v>
      </c>
      <c r="J51" s="37"/>
      <c r="K51" s="38"/>
      <c r="L51" s="37">
        <v>-3.0000000000000001E-3</v>
      </c>
      <c r="M51" s="37">
        <f>-0.014-L51</f>
        <v>-1.0999999999999999E-2</v>
      </c>
      <c r="N51" s="38"/>
      <c r="O51" s="38"/>
      <c r="R51" s="39"/>
      <c r="S51" s="39"/>
      <c r="T51" s="39">
        <v>-20.385000000000002</v>
      </c>
      <c r="U51" s="39">
        <v>43.316000000000003</v>
      </c>
    </row>
    <row r="52" spans="2:21" x14ac:dyDescent="0.25">
      <c r="B52" s="29" t="s">
        <v>100</v>
      </c>
      <c r="D52" s="4">
        <v>10.16</v>
      </c>
      <c r="H52" s="4">
        <v>6.4770000000000003</v>
      </c>
      <c r="I52" s="4">
        <f>14.435-H52</f>
        <v>7.9580000000000002</v>
      </c>
      <c r="J52" s="4">
        <f>23.417-I52-H52</f>
        <v>8.9820000000000011</v>
      </c>
      <c r="L52" s="4">
        <v>10.141999999999999</v>
      </c>
      <c r="M52" s="4">
        <f>20.246-L52</f>
        <v>10.103999999999999</v>
      </c>
      <c r="R52" s="40">
        <v>0</v>
      </c>
      <c r="S52" s="40">
        <v>0</v>
      </c>
      <c r="T52" s="40">
        <v>35.048999999999999</v>
      </c>
      <c r="U52" s="40">
        <v>33.820999999999998</v>
      </c>
    </row>
    <row r="53" spans="2:21" ht="52.8" x14ac:dyDescent="0.25">
      <c r="B53" s="29" t="s">
        <v>101</v>
      </c>
      <c r="D53" s="4">
        <v>0</v>
      </c>
      <c r="H53" s="4">
        <v>0</v>
      </c>
      <c r="I53" s="4"/>
      <c r="J53" s="4">
        <f>7.238-I53-H53</f>
        <v>7.2380000000000004</v>
      </c>
      <c r="L53" s="4">
        <v>62.843000000000004</v>
      </c>
      <c r="M53" s="4">
        <f>201.341-L53</f>
        <v>138.49799999999999</v>
      </c>
      <c r="R53" s="3"/>
      <c r="S53" s="3"/>
      <c r="T53" s="3"/>
      <c r="U53" s="3">
        <v>73.311000000000007</v>
      </c>
    </row>
    <row r="54" spans="2:21" ht="26.4" x14ac:dyDescent="0.25">
      <c r="B54" s="29" t="s">
        <v>102</v>
      </c>
      <c r="D54" s="4">
        <v>0.51400000000000001</v>
      </c>
      <c r="H54" s="4">
        <v>0.77100000000000002</v>
      </c>
      <c r="I54" s="4">
        <f>0.56-H54</f>
        <v>-0.21099999999999997</v>
      </c>
      <c r="J54" s="4">
        <f>3.076-I54-H54</f>
        <v>2.516</v>
      </c>
      <c r="L54" s="4">
        <v>-2.7509999999999999</v>
      </c>
      <c r="M54" s="4">
        <f>-3.678-L54</f>
        <v>-0.92700000000000005</v>
      </c>
      <c r="R54" s="3">
        <v>0.42</v>
      </c>
      <c r="S54" s="3">
        <v>2.7690000000000001</v>
      </c>
      <c r="T54" s="3">
        <v>4.4169999999999998</v>
      </c>
      <c r="U54" s="3">
        <v>2.722</v>
      </c>
    </row>
    <row r="55" spans="2:21" ht="26.4" x14ac:dyDescent="0.25">
      <c r="B55" s="29" t="s">
        <v>104</v>
      </c>
      <c r="D55" s="4"/>
      <c r="H55" s="4"/>
      <c r="I55" s="4"/>
      <c r="J55" s="4"/>
      <c r="L55" s="4"/>
      <c r="M55" s="4"/>
      <c r="R55" s="3"/>
      <c r="S55" s="3"/>
      <c r="T55" s="3"/>
      <c r="U55" s="3"/>
    </row>
    <row r="56" spans="2:21" x14ac:dyDescent="0.25">
      <c r="B56" s="29" t="s">
        <v>34</v>
      </c>
      <c r="D56" s="4">
        <v>-51.402999999999999</v>
      </c>
      <c r="H56" s="4">
        <v>4.4800000000000004</v>
      </c>
      <c r="I56" s="4">
        <f>-83.883-H56</f>
        <v>-88.363</v>
      </c>
      <c r="J56" s="4">
        <f>-15.412-I56-H56</f>
        <v>68.470999999999989</v>
      </c>
      <c r="L56" s="4">
        <v>-65.867000000000004</v>
      </c>
      <c r="M56" s="4">
        <f>-75.739-L56</f>
        <v>-9.8719999999999999</v>
      </c>
      <c r="R56" s="3">
        <v>-10.483000000000001</v>
      </c>
      <c r="S56" s="3">
        <v>-23.905000000000001</v>
      </c>
      <c r="T56" s="3">
        <v>-108.476</v>
      </c>
      <c r="U56" s="3">
        <v>-35.237000000000002</v>
      </c>
    </row>
    <row r="57" spans="2:21" x14ac:dyDescent="0.25">
      <c r="B57" s="29" t="s">
        <v>105</v>
      </c>
      <c r="D57" s="4">
        <v>-7.9740000000000002</v>
      </c>
      <c r="H57" s="4">
        <v>-9.7530000000000001</v>
      </c>
      <c r="I57" s="4">
        <f>12.77-H57</f>
        <v>22.523</v>
      </c>
      <c r="J57" s="4">
        <f>-7.872-I57-H57</f>
        <v>-20.641999999999999</v>
      </c>
      <c r="L57" s="4">
        <v>-4.32</v>
      </c>
      <c r="M57" s="4">
        <f>-36.351-L57</f>
        <v>-32.030999999999999</v>
      </c>
      <c r="R57" s="3">
        <v>-19.361000000000001</v>
      </c>
      <c r="S57" s="3">
        <v>18.806000000000001</v>
      </c>
      <c r="T57" s="3">
        <v>-18.565000000000001</v>
      </c>
      <c r="U57" s="3">
        <v>-10.929</v>
      </c>
    </row>
    <row r="58" spans="2:21" x14ac:dyDescent="0.25">
      <c r="B58" s="29" t="s">
        <v>110</v>
      </c>
      <c r="D58" s="4">
        <v>-8.4030000000000005</v>
      </c>
      <c r="H58" s="4">
        <v>-6.7110000000000003</v>
      </c>
      <c r="I58" s="4">
        <f>-9.522-H58</f>
        <v>-2.8109999999999999</v>
      </c>
      <c r="J58" s="4">
        <f>-8.155-I58-H58</f>
        <v>1.3670000000000009</v>
      </c>
      <c r="L58" s="4">
        <v>2.891</v>
      </c>
      <c r="M58" s="4">
        <f>8.087-L58</f>
        <v>5.1959999999999997</v>
      </c>
      <c r="R58" s="3">
        <v>-3.4239999999999999</v>
      </c>
      <c r="S58" s="3">
        <v>-29.446999999999999</v>
      </c>
      <c r="T58" s="3">
        <v>-8.6050000000000004</v>
      </c>
      <c r="U58" s="3">
        <v>-3.3450000000000002</v>
      </c>
    </row>
    <row r="59" spans="2:21" x14ac:dyDescent="0.25">
      <c r="B59" s="29" t="s">
        <v>40</v>
      </c>
      <c r="D59" s="4">
        <v>-40.79</v>
      </c>
      <c r="H59" s="4">
        <v>5.0999999999999997E-2</v>
      </c>
      <c r="I59" s="4">
        <f>14.589-H59</f>
        <v>14.538</v>
      </c>
      <c r="J59" s="4">
        <f>1.158-I59-H59</f>
        <v>-13.431000000000001</v>
      </c>
      <c r="L59" s="4">
        <v>-47.404000000000003</v>
      </c>
      <c r="M59" s="4">
        <f>-19.985-L59</f>
        <v>27.419000000000004</v>
      </c>
      <c r="R59" s="3">
        <v>10.968</v>
      </c>
      <c r="S59" s="3">
        <v>23.423999999999999</v>
      </c>
      <c r="T59" s="3">
        <v>-34.680999999999997</v>
      </c>
      <c r="U59" s="3">
        <v>57.767000000000003</v>
      </c>
    </row>
    <row r="60" spans="2:21" x14ac:dyDescent="0.25">
      <c r="B60" s="29" t="s">
        <v>41</v>
      </c>
      <c r="D60" s="4">
        <v>-39.368000000000002</v>
      </c>
      <c r="H60" s="4">
        <v>44.488</v>
      </c>
      <c r="I60" s="4">
        <f>9.07-H60</f>
        <v>-35.417999999999999</v>
      </c>
      <c r="J60" s="4">
        <f>20.36-I60-H60</f>
        <v>11.29</v>
      </c>
      <c r="L60" s="4">
        <v>-5.3339999999999996</v>
      </c>
      <c r="M60" s="4">
        <f>28.85-L60</f>
        <v>34.183999999999997</v>
      </c>
      <c r="R60" s="3">
        <v>26.423999999999999</v>
      </c>
      <c r="S60" s="3">
        <v>3.7330000000000001</v>
      </c>
      <c r="T60" s="3">
        <v>38.505000000000003</v>
      </c>
      <c r="U60" s="3">
        <v>15.244999999999999</v>
      </c>
    </row>
    <row r="61" spans="2:21" x14ac:dyDescent="0.25">
      <c r="B61" s="29" t="s">
        <v>42</v>
      </c>
      <c r="D61" s="4">
        <v>8.5990000000000002</v>
      </c>
      <c r="H61" s="4">
        <v>-11.952</v>
      </c>
      <c r="I61" s="4">
        <f>-3.679-H61</f>
        <v>8.2729999999999997</v>
      </c>
      <c r="J61" s="4">
        <f>-3.781-I61-H61</f>
        <v>-0.10200000000000031</v>
      </c>
      <c r="L61" s="4">
        <v>-16.335000000000001</v>
      </c>
      <c r="M61" s="4">
        <f>-11.681-L61</f>
        <v>4.6540000000000017</v>
      </c>
      <c r="R61" s="3">
        <v>173.744</v>
      </c>
      <c r="S61" s="3">
        <v>-134.39599999999999</v>
      </c>
      <c r="T61" s="3">
        <v>-30.905000000000001</v>
      </c>
      <c r="U61" s="3">
        <v>24.731999999999999</v>
      </c>
    </row>
    <row r="62" spans="2:21" x14ac:dyDescent="0.25">
      <c r="B62" s="29" t="s">
        <v>106</v>
      </c>
      <c r="D62" s="4">
        <v>-132.077</v>
      </c>
      <c r="H62" s="4">
        <v>20.824999999999999</v>
      </c>
      <c r="I62" s="4">
        <f>28.668-H62</f>
        <v>7.843</v>
      </c>
      <c r="J62" s="4">
        <f>-16.227-I62-H62</f>
        <v>-44.894999999999996</v>
      </c>
      <c r="L62" s="4">
        <v>59.822000000000003</v>
      </c>
      <c r="M62" s="4">
        <f>-19.314-L62</f>
        <v>-79.135999999999996</v>
      </c>
      <c r="R62" s="3">
        <v>126.02800000000001</v>
      </c>
      <c r="S62" s="3">
        <v>279.226</v>
      </c>
      <c r="T62" s="3">
        <v>-230.87299999999999</v>
      </c>
      <c r="U62" s="3">
        <v>-104.944</v>
      </c>
    </row>
    <row r="63" spans="2:21" ht="26.4" x14ac:dyDescent="0.25">
      <c r="B63" s="29" t="s">
        <v>107</v>
      </c>
      <c r="D63" s="4">
        <v>-16.251000000000001</v>
      </c>
      <c r="H63" s="4">
        <v>-7.1319999999999997</v>
      </c>
      <c r="I63" s="4">
        <f>-15.795-H63</f>
        <v>-8.6630000000000003</v>
      </c>
      <c r="J63" s="4">
        <f>-22.786-I63-H63</f>
        <v>-6.9910000000000014</v>
      </c>
      <c r="L63" s="4">
        <v>-10.388</v>
      </c>
      <c r="M63" s="4">
        <f>-17.331-L63</f>
        <v>-6.9429999999999996</v>
      </c>
      <c r="R63" s="3">
        <v>0</v>
      </c>
      <c r="S63" s="3">
        <v>0</v>
      </c>
      <c r="T63" s="3">
        <v>-43.639000000000003</v>
      </c>
      <c r="U63" s="3">
        <v>-32.155999999999999</v>
      </c>
    </row>
    <row r="64" spans="2:21" x14ac:dyDescent="0.25">
      <c r="B64" s="29" t="s">
        <v>121</v>
      </c>
      <c r="D64" s="4"/>
      <c r="H64" s="4"/>
      <c r="I64" s="4"/>
      <c r="J64" s="4"/>
      <c r="L64" s="4"/>
      <c r="M64" s="4"/>
      <c r="R64" s="3">
        <v>-1.321</v>
      </c>
      <c r="S64" s="3">
        <v>-3.4140000000000001</v>
      </c>
      <c r="T64" s="3">
        <v>0</v>
      </c>
      <c r="U64" s="3">
        <v>0</v>
      </c>
    </row>
    <row r="65" spans="2:22" x14ac:dyDescent="0.25">
      <c r="B65" s="29" t="s">
        <v>108</v>
      </c>
      <c r="D65" s="4">
        <v>-7.4999999999999997E-2</v>
      </c>
      <c r="H65" s="4">
        <v>-3.0000000000000001E-3</v>
      </c>
      <c r="I65" s="4">
        <f>0-H65</f>
        <v>3.0000000000000001E-3</v>
      </c>
      <c r="J65" s="4">
        <f>1.234-I65-H65</f>
        <v>1.234</v>
      </c>
      <c r="L65" s="4">
        <v>-7.4999999999999997E-2</v>
      </c>
      <c r="M65" s="4">
        <f>-0.114-L65</f>
        <v>-3.9000000000000007E-2</v>
      </c>
      <c r="R65" s="3">
        <v>0</v>
      </c>
      <c r="S65" s="3">
        <v>0</v>
      </c>
      <c r="T65" s="3">
        <v>3.5049999999999999</v>
      </c>
      <c r="U65" s="3">
        <v>-3.1850000000000001</v>
      </c>
    </row>
    <row r="66" spans="2:22" s="10" customFormat="1" x14ac:dyDescent="0.25">
      <c r="B66" s="32" t="s">
        <v>47</v>
      </c>
      <c r="D66" s="31">
        <f>SUM(D45:D65)</f>
        <v>-287.25899999999996</v>
      </c>
      <c r="E66" s="30"/>
      <c r="F66" s="30"/>
      <c r="G66" s="30"/>
      <c r="H66" s="6">
        <f>SUM(H45:H65)</f>
        <v>116.881</v>
      </c>
      <c r="I66" s="6">
        <f>SUM(I45:I65)</f>
        <v>22.750000000000032</v>
      </c>
      <c r="J66" s="6">
        <f>SUM(J45:J65)</f>
        <v>100.79299999999996</v>
      </c>
      <c r="K66" s="30"/>
      <c r="L66" s="31">
        <f>SUM(L45:L65)</f>
        <v>35.476999999999983</v>
      </c>
      <c r="M66" s="31">
        <f>SUM(M45:M65)</f>
        <v>62.430999999999983</v>
      </c>
      <c r="N66" s="30"/>
      <c r="O66" s="30"/>
      <c r="R66" s="5">
        <f>R45+SUM(R47:R65)</f>
        <v>-39.012000000000057</v>
      </c>
      <c r="S66" s="5">
        <f>S45+SUM(S47:S65)</f>
        <v>-165.21499999999992</v>
      </c>
      <c r="T66" s="5">
        <f>T45+SUM(T47:T65)</f>
        <v>-296.60799999999995</v>
      </c>
      <c r="U66" s="5">
        <f>U45+SUM(U47:U65)</f>
        <v>333.85100000000034</v>
      </c>
      <c r="V66" s="41"/>
    </row>
    <row r="67" spans="2:22" x14ac:dyDescent="0.25">
      <c r="D67" s="4"/>
      <c r="H67" s="4"/>
      <c r="I67" s="4"/>
      <c r="J67" s="4"/>
      <c r="L67" s="4"/>
      <c r="M67" s="4"/>
    </row>
    <row r="68" spans="2:22" x14ac:dyDescent="0.25">
      <c r="B68" s="29" t="s">
        <v>36</v>
      </c>
      <c r="D68" s="4">
        <v>-3.016</v>
      </c>
      <c r="H68" s="4">
        <v>-0.70799999999999996</v>
      </c>
      <c r="I68" s="4">
        <f>-1.405-H68</f>
        <v>-0.69700000000000006</v>
      </c>
      <c r="J68" s="4">
        <f>-6.783-I68-H68</f>
        <v>-5.3780000000000001</v>
      </c>
      <c r="K68" s="4"/>
      <c r="L68" s="4">
        <v>-15.215</v>
      </c>
      <c r="M68" s="4">
        <f>-20.673-L68</f>
        <v>-5.4579999999999984</v>
      </c>
      <c r="R68" s="3">
        <v>-13.004</v>
      </c>
      <c r="S68" s="3">
        <v>-13.096</v>
      </c>
      <c r="T68" s="3">
        <v>-12.236000000000001</v>
      </c>
      <c r="U68" s="3">
        <v>-12.627000000000001</v>
      </c>
    </row>
    <row r="69" spans="2:22" x14ac:dyDescent="0.25">
      <c r="B69" s="29" t="s">
        <v>122</v>
      </c>
      <c r="D69" s="4">
        <v>0</v>
      </c>
      <c r="H69" s="4">
        <v>0</v>
      </c>
      <c r="I69" s="4">
        <v>0</v>
      </c>
      <c r="J69" s="4">
        <f>-155.315-50.941-3-I69-H69</f>
        <v>-209.256</v>
      </c>
      <c r="K69" s="4"/>
      <c r="L69" s="4">
        <v>-89.5</v>
      </c>
      <c r="M69" s="4">
        <f>-89.5-L69</f>
        <v>0</v>
      </c>
      <c r="R69" s="3">
        <v>-2.4</v>
      </c>
      <c r="S69" s="3">
        <v>-25.867999999999999</v>
      </c>
      <c r="T69" s="3">
        <v>-2.9340000000000002</v>
      </c>
      <c r="U69" s="3">
        <f>-308.315-50.941-23.009</f>
        <v>-382.26499999999999</v>
      </c>
    </row>
    <row r="70" spans="2:22" x14ac:dyDescent="0.25">
      <c r="B70" s="29" t="s">
        <v>123</v>
      </c>
      <c r="D70" s="4">
        <v>0</v>
      </c>
      <c r="H70" s="4">
        <v>0</v>
      </c>
      <c r="I70" s="4">
        <v>0</v>
      </c>
      <c r="J70" s="4">
        <v>0</v>
      </c>
      <c r="K70" s="4"/>
      <c r="L70" s="4">
        <v>8.2469999999999999</v>
      </c>
      <c r="M70" s="4">
        <f>19.009-L70</f>
        <v>10.762</v>
      </c>
      <c r="R70" s="3">
        <v>8.6199999999999992</v>
      </c>
      <c r="S70" s="3">
        <v>17</v>
      </c>
      <c r="T70" s="3">
        <v>0.25</v>
      </c>
      <c r="U70" s="3">
        <v>-3.02</v>
      </c>
    </row>
    <row r="71" spans="2:22" x14ac:dyDescent="0.25">
      <c r="B71" s="32" t="s">
        <v>109</v>
      </c>
      <c r="C71" s="10"/>
      <c r="D71" s="6">
        <f>SUM(D68:D70)</f>
        <v>-3.016</v>
      </c>
      <c r="E71" s="30"/>
      <c r="F71" s="30"/>
      <c r="G71" s="30"/>
      <c r="H71" s="6">
        <f>SUM(H68:H70)</f>
        <v>-0.70799999999999996</v>
      </c>
      <c r="I71" s="6">
        <f>SUM(I68:I70)</f>
        <v>-0.69700000000000006</v>
      </c>
      <c r="J71" s="6">
        <f>SUM(J68:J70)</f>
        <v>-214.63400000000001</v>
      </c>
      <c r="K71" s="6"/>
      <c r="L71" s="6">
        <f>SUM(L68:L70)</f>
        <v>-96.468000000000004</v>
      </c>
      <c r="M71" s="6">
        <f>SUM(M68:M70)</f>
        <v>5.304000000000002</v>
      </c>
      <c r="R71" s="6">
        <f>SUM(R68:R70)</f>
        <v>-6.7840000000000007</v>
      </c>
      <c r="S71" s="6">
        <f>SUM(S68:S70)</f>
        <v>-21.963999999999999</v>
      </c>
      <c r="T71" s="6">
        <f>SUM(T68:T70)</f>
        <v>-14.920000000000002</v>
      </c>
      <c r="U71" s="6">
        <f>SUM(U68:U70)</f>
        <v>-397.91199999999998</v>
      </c>
    </row>
    <row r="72" spans="2:22" x14ac:dyDescent="0.25">
      <c r="B72" s="29"/>
      <c r="J72" s="4"/>
    </row>
    <row r="73" spans="2:22" ht="26.4" x14ac:dyDescent="0.25">
      <c r="B73" s="29" t="s">
        <v>126</v>
      </c>
      <c r="J73" s="4"/>
      <c r="M73" s="4"/>
      <c r="R73" s="3">
        <f>96.48+12.671</f>
        <v>109.15100000000001</v>
      </c>
      <c r="S73" s="3">
        <f>100+16.897+7.5</f>
        <v>124.39699999999999</v>
      </c>
      <c r="T73" s="3">
        <f>942.529+298.829</f>
        <v>1241.3579999999999</v>
      </c>
      <c r="U73" s="3">
        <v>507.45499999999998</v>
      </c>
    </row>
    <row r="74" spans="2:22" x14ac:dyDescent="0.25">
      <c r="B74" s="29" t="s">
        <v>124</v>
      </c>
      <c r="J74" s="4"/>
      <c r="R74" s="3">
        <v>0</v>
      </c>
      <c r="S74" s="3">
        <v>544.41300000000001</v>
      </c>
      <c r="T74" s="3">
        <v>199.369</v>
      </c>
      <c r="U74" s="3">
        <v>0</v>
      </c>
    </row>
    <row r="75" spans="2:22" ht="26.4" x14ac:dyDescent="0.25">
      <c r="B75" s="29" t="s">
        <v>125</v>
      </c>
      <c r="J75" s="4"/>
      <c r="R75" s="3">
        <v>-56.491</v>
      </c>
      <c r="S75" s="3">
        <v>-150</v>
      </c>
      <c r="T75" s="3">
        <v>-400</v>
      </c>
      <c r="U75" s="3">
        <v>-200</v>
      </c>
    </row>
    <row r="76" spans="2:22" ht="26.4" x14ac:dyDescent="0.25">
      <c r="B76" s="29" t="s">
        <v>127</v>
      </c>
      <c r="J76" s="4"/>
      <c r="R76" s="3">
        <v>-7.7060000000000004</v>
      </c>
      <c r="S76" s="3">
        <f>-11.202-13.873-168</f>
        <v>-193.07499999999999</v>
      </c>
      <c r="T76" s="3">
        <v>-3.7770000000000001</v>
      </c>
      <c r="U76" s="3">
        <v>0</v>
      </c>
    </row>
    <row r="77" spans="2:22" x14ac:dyDescent="0.25">
      <c r="B77" s="29" t="s">
        <v>128</v>
      </c>
      <c r="D77" s="4">
        <v>6.71</v>
      </c>
      <c r="H77" s="4">
        <v>208.86</v>
      </c>
      <c r="I77" s="4">
        <f>176.688-H77</f>
        <v>-32.172000000000025</v>
      </c>
      <c r="J77" s="4">
        <f>274.683-I77-H77</f>
        <v>97.995000000000005</v>
      </c>
      <c r="L77" s="4">
        <v>27.225000000000001</v>
      </c>
      <c r="M77" s="4">
        <f>47.541-L77</f>
        <v>20.315999999999995</v>
      </c>
      <c r="R77" s="3">
        <f>SUM(R73:R76)</f>
        <v>44.954000000000008</v>
      </c>
      <c r="S77" s="3">
        <f>SUM(S73:S76)</f>
        <v>325.73499999999996</v>
      </c>
      <c r="T77" s="3">
        <f>SUM(T73:T76)</f>
        <v>1036.9499999999998</v>
      </c>
      <c r="U77" s="3">
        <f>SUM(U73:U76)</f>
        <v>307.45499999999998</v>
      </c>
    </row>
    <row r="78" spans="2:22" x14ac:dyDescent="0.25">
      <c r="B78" s="29" t="s">
        <v>111</v>
      </c>
      <c r="D78" s="4">
        <f>-3.777-0.439</f>
        <v>-4.2160000000000002</v>
      </c>
      <c r="H78" s="4">
        <v>-2.5059999999999998</v>
      </c>
      <c r="I78" s="4">
        <f>-1.744-H78</f>
        <v>0.76199999999999979</v>
      </c>
      <c r="J78" s="4">
        <f>-0.401-I78-H78</f>
        <v>1.343</v>
      </c>
      <c r="L78" s="4">
        <v>1.6E-2</v>
      </c>
      <c r="M78" s="4">
        <v>0.307</v>
      </c>
      <c r="R78" s="3">
        <v>1.2</v>
      </c>
      <c r="S78" s="3">
        <v>-1.202</v>
      </c>
      <c r="T78" s="3">
        <v>-0.497</v>
      </c>
      <c r="U78" s="3">
        <v>-0.70799999999999996</v>
      </c>
    </row>
    <row r="79" spans="2:22" x14ac:dyDescent="0.25">
      <c r="B79" s="29" t="s">
        <v>112</v>
      </c>
      <c r="D79" s="4">
        <f>SUM(D73:D78)</f>
        <v>2.4939999999999998</v>
      </c>
      <c r="E79" s="4">
        <f t="shared" ref="E79:M79" si="63">SUM(E73:E78)</f>
        <v>0</v>
      </c>
      <c r="F79" s="4">
        <f t="shared" si="63"/>
        <v>0</v>
      </c>
      <c r="G79" s="4">
        <f t="shared" si="63"/>
        <v>0</v>
      </c>
      <c r="H79" s="4">
        <f t="shared" si="63"/>
        <v>206.35400000000001</v>
      </c>
      <c r="I79" s="4">
        <f t="shared" si="63"/>
        <v>-31.410000000000025</v>
      </c>
      <c r="J79" s="4">
        <f t="shared" si="63"/>
        <v>99.338000000000008</v>
      </c>
      <c r="K79" s="4">
        <f t="shared" si="63"/>
        <v>0</v>
      </c>
      <c r="L79" s="4">
        <f t="shared" si="63"/>
        <v>27.241</v>
      </c>
      <c r="M79" s="4">
        <f t="shared" si="63"/>
        <v>20.622999999999994</v>
      </c>
      <c r="R79" s="3">
        <f>SUM(R77:R78)</f>
        <v>46.154000000000011</v>
      </c>
      <c r="S79" s="3">
        <f>SUM(S77:S78)</f>
        <v>324.53299999999996</v>
      </c>
      <c r="T79" s="3">
        <f>SUM(T77:T78)</f>
        <v>1036.4529999999997</v>
      </c>
      <c r="U79" s="3">
        <f>SUM(U77:U78)</f>
        <v>306.74699999999996</v>
      </c>
    </row>
    <row r="80" spans="2:22" x14ac:dyDescent="0.25">
      <c r="B80" s="29" t="s">
        <v>113</v>
      </c>
      <c r="D80" s="4">
        <v>-1.627</v>
      </c>
      <c r="H80" s="4">
        <v>-2.1970000000000001</v>
      </c>
      <c r="I80" s="4">
        <f>-1.496-H80</f>
        <v>0.70100000000000007</v>
      </c>
      <c r="J80" s="4">
        <f>-3.638-I80-H80</f>
        <v>-2.1420000000000003</v>
      </c>
      <c r="L80" s="4">
        <v>-0.72699999999999998</v>
      </c>
      <c r="M80" s="4">
        <f>-6.341-L80</f>
        <v>-5.6139999999999999</v>
      </c>
      <c r="R80" s="3">
        <v>-3.7029999999999998</v>
      </c>
      <c r="S80" s="3">
        <v>-2.2269999999999999</v>
      </c>
      <c r="T80" s="3">
        <v>1.2589999999999999</v>
      </c>
      <c r="U80" s="3">
        <v>-3.9180000000000001</v>
      </c>
    </row>
    <row r="81" spans="2:21" s="10" customFormat="1" x14ac:dyDescent="0.25">
      <c r="B81" s="32" t="s">
        <v>114</v>
      </c>
      <c r="C81" s="5">
        <v>135.12700000000001</v>
      </c>
      <c r="D81" s="6">
        <f>D80+D79+D71+D66</f>
        <v>-289.40799999999996</v>
      </c>
      <c r="E81" s="30"/>
      <c r="F81" s="30"/>
      <c r="G81" s="30"/>
      <c r="H81" s="6">
        <f>H80+H79+H71+H66</f>
        <v>320.33000000000004</v>
      </c>
      <c r="I81" s="6">
        <f>I80+I79+I71+I66</f>
        <v>-8.6559999999999917</v>
      </c>
      <c r="J81" s="6">
        <f>J80+J79+J71+J66</f>
        <v>-16.645000000000039</v>
      </c>
      <c r="K81" s="30"/>
      <c r="L81" s="6">
        <f>L80+L79+L71+L66</f>
        <v>-34.477000000000025</v>
      </c>
      <c r="M81" s="6">
        <f>M80+M79+M71+M66</f>
        <v>82.743999999999971</v>
      </c>
      <c r="N81" s="30"/>
      <c r="O81" s="30"/>
      <c r="R81" s="6">
        <f>R80+R79+R71+R66</f>
        <v>-3.3450000000000486</v>
      </c>
      <c r="S81" s="6">
        <f>S80+S79+S71+S66</f>
        <v>135.12700000000007</v>
      </c>
      <c r="T81" s="6">
        <f>T80+T79+T71+T66</f>
        <v>726.18399999999986</v>
      </c>
      <c r="U81" s="6">
        <f>U80+U79+U71+U66</f>
        <v>238.76800000000031</v>
      </c>
    </row>
    <row r="82" spans="2:21" x14ac:dyDescent="0.25">
      <c r="B82" s="29" t="s">
        <v>115</v>
      </c>
      <c r="C82" s="3">
        <v>1266.835</v>
      </c>
      <c r="D82" s="4">
        <f>C83</f>
        <v>1401.962</v>
      </c>
      <c r="H82" s="4">
        <v>2128.1460000000002</v>
      </c>
      <c r="I82" s="4">
        <f>H83</f>
        <v>2448.4760000000001</v>
      </c>
      <c r="J82" s="4">
        <f>I83</f>
        <v>2439.8200000000002</v>
      </c>
      <c r="L82" s="4">
        <v>2366.9140000000002</v>
      </c>
      <c r="M82" s="4">
        <f>L83</f>
        <v>2332.4370000000004</v>
      </c>
      <c r="R82" s="3">
        <v>1270.18</v>
      </c>
      <c r="S82" s="3">
        <f>R83</f>
        <v>1266.835</v>
      </c>
      <c r="T82" s="3">
        <f>S83</f>
        <v>1401.962</v>
      </c>
      <c r="U82" s="3">
        <f>T83</f>
        <v>2128.1459999999997</v>
      </c>
    </row>
    <row r="83" spans="2:21" x14ac:dyDescent="0.25">
      <c r="B83" s="29" t="s">
        <v>116</v>
      </c>
      <c r="C83" s="4">
        <f>C82+C81</f>
        <v>1401.962</v>
      </c>
      <c r="D83" s="4">
        <f>D82+D81</f>
        <v>1112.5540000000001</v>
      </c>
      <c r="G83" s="4">
        <f>G82+G81</f>
        <v>0</v>
      </c>
      <c r="H83" s="4">
        <f>H82+H81</f>
        <v>2448.4760000000001</v>
      </c>
      <c r="I83" s="4">
        <f>I82+I81</f>
        <v>2439.8200000000002</v>
      </c>
      <c r="J83" s="4">
        <f>J82+J81</f>
        <v>2423.1750000000002</v>
      </c>
      <c r="L83" s="4">
        <f>L82+L81</f>
        <v>2332.4370000000004</v>
      </c>
      <c r="M83" s="4">
        <f>M82+M81</f>
        <v>2415.1810000000005</v>
      </c>
      <c r="R83" s="3">
        <f>R82+R81</f>
        <v>1266.835</v>
      </c>
      <c r="S83" s="3">
        <f>S82+S81</f>
        <v>1401.962</v>
      </c>
      <c r="T83" s="3">
        <f>T82+T81</f>
        <v>2128.1459999999997</v>
      </c>
      <c r="U83" s="3">
        <f>U82+U81</f>
        <v>2366.9140000000002</v>
      </c>
    </row>
    <row r="86" spans="2:21" x14ac:dyDescent="0.25">
      <c r="R86" s="3"/>
      <c r="S86" s="3"/>
      <c r="T86" s="3"/>
      <c r="U86" s="3"/>
    </row>
    <row r="87" spans="2:21" x14ac:dyDescent="0.25">
      <c r="R87" s="42"/>
      <c r="S87" s="42"/>
      <c r="T87" s="42"/>
      <c r="U87" s="42"/>
    </row>
    <row r="89" spans="2:21" x14ac:dyDescent="0.25">
      <c r="R89" s="3"/>
      <c r="S89" s="3"/>
      <c r="T89" s="3"/>
      <c r="U89" s="3"/>
    </row>
    <row r="90" spans="2:21" x14ac:dyDescent="0.25">
      <c r="R90" s="42"/>
      <c r="S90" s="42"/>
      <c r="T90" s="42"/>
      <c r="U90" s="42"/>
    </row>
    <row r="91" spans="2:21" x14ac:dyDescent="0.25">
      <c r="S91" s="43"/>
      <c r="T91" s="43"/>
      <c r="U91" s="43"/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Steve Ng</cp:lastModifiedBy>
  <dcterms:created xsi:type="dcterms:W3CDTF">2022-07-18T16:27:52Z</dcterms:created>
  <dcterms:modified xsi:type="dcterms:W3CDTF">2022-11-07T15:55:23Z</dcterms:modified>
</cp:coreProperties>
</file>