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3.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7.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8.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9.xml" ContentType="application/vnd.openxmlformats-officedocument.spreadsheetml.comments+xml"/>
  <Override PartName="/xl/drawings/drawing2.xml" ContentType="application/vnd.openxmlformats-officedocument.drawing+xml"/>
  <Override PartName="/xl/comments10.xml" ContentType="application/vnd.openxmlformats-officedocument.spreadsheetml.comments+xml"/>
  <Override PartName="/xl/tables/table6.xml" ContentType="application/vnd.openxmlformats-officedocument.spreadsheetml.table+xml"/>
  <Override PartName="/xl/comments1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Y:\SS-ORIG\Budget_Accounting\Contracts\"/>
    </mc:Choice>
  </mc:AlternateContent>
  <xr:revisionPtr revIDLastSave="0" documentId="13_ncr:1_{B8CC1147-E0E7-4C41-8C17-DEFC532A5C60}" xr6:coauthVersionLast="47" xr6:coauthVersionMax="47" xr10:uidLastSave="{00000000-0000-0000-0000-000000000000}"/>
  <bookViews>
    <workbookView xWindow="-120" yWindow="-120" windowWidth="29040" windowHeight="15720" tabRatio="913" firstSheet="23" activeTab="23" xr2:uid="{1C8F862E-FEF3-44D7-A489-C3E510E1AC99}"/>
  </bookViews>
  <sheets>
    <sheet name="Plant Ops - Servce Agreements" sheetId="28" state="hidden" r:id="rId1"/>
    <sheet name="FY23 SA Status" sheetId="25" state="hidden" r:id="rId2"/>
    <sheet name="FY21 Service Agreement Summary" sheetId="19" state="hidden" r:id="rId3"/>
    <sheet name="Service Agreements - MP" sheetId="17" state="hidden" r:id="rId4"/>
    <sheet name="Inclement Weather" sheetId="24" state="hidden" r:id="rId5"/>
    <sheet name="Summer Maintenance" sheetId="7" state="hidden" r:id="rId6"/>
    <sheet name="Summer Maintenanace" sheetId="23" state="hidden" r:id="rId7"/>
    <sheet name="FY24 Service Agreements" sheetId="2" state="hidden" r:id="rId8"/>
    <sheet name="Vendors Rates FY23" sheetId="29" state="hidden" r:id="rId9"/>
    <sheet name="Procurement" sheetId="26" state="hidden" r:id="rId10"/>
    <sheet name="Enterprise" sheetId="22" state="hidden" r:id="rId11"/>
    <sheet name="37560 Rev Costs" sheetId="16" state="hidden" r:id="rId12"/>
    <sheet name="Contract Service Review" sheetId="18" state="hidden" r:id="rId13"/>
    <sheet name="Enterprise (Mtc Only)" sheetId="6" state="hidden" r:id="rId14"/>
    <sheet name="37510" sheetId="10" state="hidden" r:id="rId15"/>
    <sheet name="37520" sheetId="11" state="hidden" r:id="rId16"/>
    <sheet name="37530" sheetId="12" state="hidden" r:id="rId17"/>
    <sheet name="37540" sheetId="13" state="hidden" r:id="rId18"/>
    <sheet name="37550" sheetId="14" state="hidden" r:id="rId19"/>
    <sheet name="37560" sheetId="15" state="hidden" r:id="rId20"/>
    <sheet name="Service Agreement Bud v. Act" sheetId="4" state="hidden" r:id="rId21"/>
    <sheet name="Lookup" sheetId="3" state="hidden" r:id="rId22"/>
    <sheet name="Debbie" sheetId="5" state="hidden" r:id="rId23"/>
    <sheet name="Service Agreements_Validation" sheetId="35" r:id="rId24"/>
    <sheet name="Service Agreements" sheetId="30" r:id="rId25"/>
    <sheet name="Storeroom Blankets" sheetId="8" r:id="rId26"/>
    <sheet name="Vendors Rates" sheetId="20" r:id="rId27"/>
    <sheet name="Exterior Maintenance" sheetId="31" state="hidden" r:id="rId28"/>
    <sheet name="Vendor Contacts" sheetId="21" state="hidden" r:id="rId29"/>
    <sheet name="Vendor Contacts (Updating)" sheetId="34" r:id="rId30"/>
    <sheet name="Service Agreements Removed" sheetId="32" r:id="rId31"/>
    <sheet name="Lookups" sheetId="27" r:id="rId32"/>
  </sheets>
  <definedNames>
    <definedName name="_xlnm._FilterDatabase" localSheetId="12" hidden="1">'Contract Service Review'!$A$1:$C$66</definedName>
    <definedName name="_xlnm._FilterDatabase" localSheetId="0" hidden="1">'Plant Ops - Servce Agreements'!$A$1:$N$51</definedName>
    <definedName name="_xlnm._FilterDatabase" localSheetId="9" hidden="1">Procurement!$A$1:$N$1</definedName>
    <definedName name="_xlnm._FilterDatabase" localSheetId="20" hidden="1">'Service Agreement Bud v. Act'!$A$1:$K$60</definedName>
    <definedName name="_xlnm._FilterDatabase" localSheetId="24" hidden="1">'Service Agreements'!$V$89:$V$89</definedName>
    <definedName name="_xlnm._FilterDatabase" localSheetId="23" hidden="1">'Service Agreements_Validation'!$V$89:$V$89</definedName>
    <definedName name="_xlnm.Print_Area" localSheetId="22">Debbie!$A$1:$Y$87</definedName>
    <definedName name="_xlnm.Print_Area" localSheetId="7">'FY24 Service Agreements'!$A$1:$AH$82</definedName>
    <definedName name="_xlnm.Print_Area" localSheetId="24">'Service Agreements'!$A$1:$AJ$86</definedName>
    <definedName name="_xlnm.Print_Area" localSheetId="23">'Service Agreements_Validation'!$A$1:$AJ$86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62" i="35" l="1"/>
  <c r="AQ33" i="35"/>
  <c r="AQ34" i="35"/>
  <c r="AQ2" i="35" l="1"/>
  <c r="AG39" i="35" l="1"/>
  <c r="X86" i="35"/>
  <c r="K86" i="35"/>
  <c r="X85" i="35"/>
  <c r="K85" i="35"/>
  <c r="AG84" i="35"/>
  <c r="X84" i="35"/>
  <c r="K84" i="35"/>
  <c r="X83" i="35"/>
  <c r="K83" i="35"/>
  <c r="X82" i="35"/>
  <c r="X81" i="35"/>
  <c r="K81" i="35"/>
  <c r="X80" i="35"/>
  <c r="K80" i="35"/>
  <c r="AG79" i="35"/>
  <c r="X79" i="35"/>
  <c r="X78" i="35"/>
  <c r="K78" i="35"/>
  <c r="X77" i="35"/>
  <c r="X76" i="35"/>
  <c r="K76" i="35"/>
  <c r="X75" i="35"/>
  <c r="AG74" i="35"/>
  <c r="V74" i="35"/>
  <c r="X74" i="35" s="1"/>
  <c r="U74" i="35"/>
  <c r="K74" i="35"/>
  <c r="AG73" i="35"/>
  <c r="X73" i="35"/>
  <c r="K73" i="35"/>
  <c r="X72" i="35"/>
  <c r="K72" i="35"/>
  <c r="X71" i="35"/>
  <c r="K71" i="35"/>
  <c r="AG70" i="35"/>
  <c r="X70" i="35"/>
  <c r="K70" i="35"/>
  <c r="X69" i="35"/>
  <c r="K69" i="35"/>
  <c r="X68" i="35"/>
  <c r="K68" i="35"/>
  <c r="X67" i="35"/>
  <c r="K67" i="35"/>
  <c r="X66" i="35"/>
  <c r="K66" i="35"/>
  <c r="X65" i="35"/>
  <c r="K65" i="35"/>
  <c r="X64" i="35"/>
  <c r="K64" i="35"/>
  <c r="AG63" i="35"/>
  <c r="X63" i="35"/>
  <c r="K63" i="35"/>
  <c r="X62" i="35"/>
  <c r="X61" i="35"/>
  <c r="K61" i="35"/>
  <c r="X60" i="35"/>
  <c r="K60" i="35"/>
  <c r="X59" i="35"/>
  <c r="K59" i="35"/>
  <c r="X58" i="35"/>
  <c r="K58" i="35"/>
  <c r="X57" i="35"/>
  <c r="K57" i="35"/>
  <c r="X56" i="35"/>
  <c r="K56" i="35"/>
  <c r="X55" i="35"/>
  <c r="K55" i="35"/>
  <c r="AG54" i="35"/>
  <c r="X54" i="35"/>
  <c r="K54" i="35"/>
  <c r="X53" i="35"/>
  <c r="K53" i="35"/>
  <c r="X52" i="35"/>
  <c r="AG51" i="35"/>
  <c r="X51" i="35"/>
  <c r="K51" i="35"/>
  <c r="X50" i="35"/>
  <c r="K50" i="35"/>
  <c r="X49" i="35"/>
  <c r="AG48" i="35"/>
  <c r="W48" i="35"/>
  <c r="X48" i="35" s="1"/>
  <c r="K48" i="35"/>
  <c r="AG47" i="35"/>
  <c r="X47" i="35"/>
  <c r="K47" i="35"/>
  <c r="X46" i="35"/>
  <c r="K46" i="35"/>
  <c r="X45" i="35"/>
  <c r="X44" i="35"/>
  <c r="K44" i="35"/>
  <c r="X43" i="35"/>
  <c r="K43" i="35"/>
  <c r="X42" i="35"/>
  <c r="AF41" i="35"/>
  <c r="X41" i="35"/>
  <c r="K41" i="35"/>
  <c r="X40" i="35"/>
  <c r="K40" i="35"/>
  <c r="X39" i="35"/>
  <c r="K39" i="35"/>
  <c r="X38" i="35"/>
  <c r="K38" i="35"/>
  <c r="X37" i="35"/>
  <c r="AG36" i="35"/>
  <c r="X36" i="35"/>
  <c r="K36" i="35"/>
  <c r="AG35" i="35"/>
  <c r="Y35" i="35"/>
  <c r="W35" i="35"/>
  <c r="X35" i="35" s="1"/>
  <c r="U35" i="35"/>
  <c r="X34" i="35"/>
  <c r="X33" i="35"/>
  <c r="AG32" i="35"/>
  <c r="X32" i="35"/>
  <c r="K32" i="35"/>
  <c r="X31" i="35"/>
  <c r="K31" i="35"/>
  <c r="X30" i="35"/>
  <c r="K30" i="35"/>
  <c r="AG29" i="35"/>
  <c r="X29" i="35"/>
  <c r="K29" i="35"/>
  <c r="AG28" i="35"/>
  <c r="X28" i="35"/>
  <c r="K28" i="35"/>
  <c r="X27" i="35"/>
  <c r="K27" i="35"/>
  <c r="AG26" i="35"/>
  <c r="X26" i="35"/>
  <c r="X25" i="35"/>
  <c r="X24" i="35"/>
  <c r="K24" i="35"/>
  <c r="X23" i="35"/>
  <c r="K23" i="35"/>
  <c r="AG22" i="35"/>
  <c r="X22" i="35"/>
  <c r="K22" i="35"/>
  <c r="X21" i="35"/>
  <c r="K21" i="35"/>
  <c r="X20" i="35"/>
  <c r="X19" i="35"/>
  <c r="X18" i="35"/>
  <c r="K18" i="35"/>
  <c r="X17" i="35"/>
  <c r="X16" i="35"/>
  <c r="K16" i="35"/>
  <c r="AG15" i="35"/>
  <c r="X15" i="35"/>
  <c r="K15" i="35"/>
  <c r="AG14" i="35"/>
  <c r="X14" i="35"/>
  <c r="K14" i="35"/>
  <c r="X13" i="35"/>
  <c r="K13" i="35"/>
  <c r="X12" i="35"/>
  <c r="K12" i="35"/>
  <c r="X11" i="35"/>
  <c r="K11" i="35"/>
  <c r="X10" i="35"/>
  <c r="K10" i="35"/>
  <c r="X9" i="35"/>
  <c r="X8" i="35"/>
  <c r="K8" i="35"/>
  <c r="AG7" i="35"/>
  <c r="X7" i="35"/>
  <c r="AG6" i="35"/>
  <c r="X6" i="35"/>
  <c r="X5" i="35"/>
  <c r="X4" i="35"/>
  <c r="X3" i="35"/>
  <c r="T3" i="35"/>
  <c r="X2" i="35"/>
  <c r="X42" i="30"/>
  <c r="K60" i="30"/>
  <c r="X60" i="30"/>
  <c r="X19" i="30"/>
  <c r="X21" i="32"/>
  <c r="W48" i="30"/>
  <c r="E513" i="20"/>
  <c r="K20" i="32"/>
  <c r="X20" i="32"/>
  <c r="X64" i="30"/>
  <c r="K64" i="30"/>
  <c r="X82" i="30"/>
  <c r="C87" i="20"/>
  <c r="C88" i="20"/>
  <c r="C89" i="20"/>
  <c r="C90" i="20"/>
  <c r="C91" i="20"/>
  <c r="C92" i="20"/>
  <c r="C86" i="20"/>
  <c r="C93" i="20" s="1"/>
  <c r="G93" i="20"/>
  <c r="C85" i="20"/>
  <c r="H85" i="20"/>
  <c r="X19" i="32"/>
  <c r="K19" i="32"/>
  <c r="AG84" i="30"/>
  <c r="K84" i="30"/>
  <c r="X84" i="30"/>
  <c r="X18" i="32"/>
  <c r="X17" i="32"/>
  <c r="I664" i="20"/>
  <c r="H664" i="20"/>
  <c r="C664" i="20"/>
  <c r="I646" i="20"/>
  <c r="H646" i="20"/>
  <c r="C646" i="20"/>
  <c r="I635" i="20"/>
  <c r="H635" i="20"/>
  <c r="C635" i="20"/>
  <c r="H607" i="20"/>
  <c r="C607" i="20"/>
  <c r="I595" i="20"/>
  <c r="H595" i="20"/>
  <c r="C595" i="20"/>
  <c r="I590" i="20"/>
  <c r="H590" i="20"/>
  <c r="C590" i="20"/>
  <c r="I562" i="20"/>
  <c r="H562" i="20"/>
  <c r="C562" i="20"/>
  <c r="I538" i="20"/>
  <c r="H538" i="20"/>
  <c r="C538" i="20"/>
  <c r="I529" i="20"/>
  <c r="H529" i="20"/>
  <c r="C529" i="20"/>
  <c r="I523" i="20"/>
  <c r="H523" i="20"/>
  <c r="C523" i="20"/>
  <c r="I511" i="20"/>
  <c r="H511" i="20"/>
  <c r="C511" i="20"/>
  <c r="I504" i="20"/>
  <c r="H504" i="20"/>
  <c r="C504" i="20"/>
  <c r="I498" i="20"/>
  <c r="H498" i="20"/>
  <c r="C498" i="20"/>
  <c r="I463" i="20"/>
  <c r="H463" i="20"/>
  <c r="C463" i="20"/>
  <c r="I458" i="20"/>
  <c r="H458" i="20"/>
  <c r="C458" i="20"/>
  <c r="H447" i="20"/>
  <c r="C447" i="20"/>
  <c r="I433" i="20"/>
  <c r="H433" i="20"/>
  <c r="C433" i="20"/>
  <c r="I429" i="20"/>
  <c r="H429" i="20"/>
  <c r="C429" i="20"/>
  <c r="I413" i="20"/>
  <c r="H413" i="20"/>
  <c r="C413" i="20"/>
  <c r="I362" i="20"/>
  <c r="H362" i="20"/>
  <c r="C362" i="20"/>
  <c r="I338" i="20"/>
  <c r="H338" i="20"/>
  <c r="C338" i="20"/>
  <c r="I328" i="20"/>
  <c r="H328" i="20"/>
  <c r="C328" i="20"/>
  <c r="I324" i="20"/>
  <c r="H324" i="20"/>
  <c r="C324" i="20"/>
  <c r="I320" i="20"/>
  <c r="H320" i="20"/>
  <c r="C320" i="20"/>
  <c r="I252" i="20"/>
  <c r="H252" i="20"/>
  <c r="C252" i="20"/>
  <c r="H243" i="20"/>
  <c r="C243" i="20"/>
  <c r="H226" i="20"/>
  <c r="C226" i="20"/>
  <c r="I222" i="20"/>
  <c r="H222" i="20"/>
  <c r="C222" i="20"/>
  <c r="I199" i="20"/>
  <c r="H199" i="20"/>
  <c r="C199" i="20"/>
  <c r="I191" i="20"/>
  <c r="H191" i="20"/>
  <c r="C191" i="20"/>
  <c r="I153" i="20"/>
  <c r="H153" i="20"/>
  <c r="C153" i="20"/>
  <c r="I114" i="20"/>
  <c r="H114" i="20"/>
  <c r="I111" i="20"/>
  <c r="H111" i="20"/>
  <c r="C114" i="20"/>
  <c r="C111" i="20"/>
  <c r="I62" i="20"/>
  <c r="H62" i="20"/>
  <c r="C62" i="20"/>
  <c r="I58" i="20"/>
  <c r="H58" i="20"/>
  <c r="C58" i="20"/>
  <c r="X16" i="32"/>
  <c r="K16" i="32"/>
  <c r="X15" i="32"/>
  <c r="K15" i="32"/>
  <c r="X14" i="32"/>
  <c r="K14" i="32"/>
  <c r="X13" i="32"/>
  <c r="K13" i="32"/>
  <c r="X10" i="32"/>
  <c r="K10" i="32"/>
  <c r="X9" i="32"/>
  <c r="X8" i="32"/>
  <c r="AG79" i="30"/>
  <c r="AG54" i="30"/>
  <c r="V74" i="30"/>
  <c r="U74" i="30"/>
  <c r="AG70" i="30"/>
  <c r="AG74" i="30"/>
  <c r="AG15" i="30"/>
  <c r="X79" i="30"/>
  <c r="K83" i="30"/>
  <c r="X83" i="30"/>
  <c r="AG73" i="30"/>
  <c r="AG63" i="30"/>
  <c r="AG51" i="30"/>
  <c r="AG48" i="30"/>
  <c r="AG47" i="30"/>
  <c r="AG39" i="30"/>
  <c r="AG36" i="30"/>
  <c r="AG35" i="30"/>
  <c r="AG32" i="30"/>
  <c r="AG29" i="30"/>
  <c r="AG28" i="30"/>
  <c r="AG26" i="30"/>
  <c r="AG22" i="30"/>
  <c r="AG14" i="30"/>
  <c r="AG7" i="30"/>
  <c r="AG6" i="30"/>
  <c r="K12" i="30"/>
  <c r="X12" i="30"/>
  <c r="X68" i="30"/>
  <c r="K68" i="30"/>
  <c r="X2" i="30"/>
  <c r="X3" i="30"/>
  <c r="X4" i="30"/>
  <c r="X5" i="30"/>
  <c r="X6" i="30"/>
  <c r="X7" i="30"/>
  <c r="X8" i="30"/>
  <c r="X9" i="30"/>
  <c r="X10" i="30"/>
  <c r="X11" i="30"/>
  <c r="X13" i="30"/>
  <c r="X14" i="30"/>
  <c r="X15" i="30"/>
  <c r="X16" i="30"/>
  <c r="X17" i="30"/>
  <c r="X18" i="30"/>
  <c r="X20" i="30"/>
  <c r="X21" i="30"/>
  <c r="X22" i="30"/>
  <c r="X23" i="30"/>
  <c r="X24" i="30"/>
  <c r="X25" i="30"/>
  <c r="X26" i="30"/>
  <c r="X27" i="30"/>
  <c r="X28" i="30"/>
  <c r="X29" i="30"/>
  <c r="X30" i="30"/>
  <c r="X31" i="30"/>
  <c r="X32" i="30"/>
  <c r="X33" i="30"/>
  <c r="X34" i="30"/>
  <c r="X36" i="30"/>
  <c r="X37" i="30"/>
  <c r="X38" i="30"/>
  <c r="X39" i="30"/>
  <c r="X40" i="30"/>
  <c r="X41" i="30"/>
  <c r="X43" i="30"/>
  <c r="X44" i="30"/>
  <c r="X45" i="30"/>
  <c r="X46" i="30"/>
  <c r="X47" i="30"/>
  <c r="X48" i="30"/>
  <c r="X49" i="30"/>
  <c r="X50" i="30"/>
  <c r="X51" i="30"/>
  <c r="X53" i="30"/>
  <c r="X52" i="30"/>
  <c r="X54" i="30"/>
  <c r="X55" i="30"/>
  <c r="X56" i="30"/>
  <c r="X57" i="30"/>
  <c r="X59" i="30"/>
  <c r="X61" i="30"/>
  <c r="X71" i="30"/>
  <c r="X62" i="30"/>
  <c r="X63" i="30"/>
  <c r="X65" i="30"/>
  <c r="X66" i="30"/>
  <c r="X67" i="30"/>
  <c r="X69" i="30"/>
  <c r="X70" i="30"/>
  <c r="X72" i="30"/>
  <c r="X73" i="30"/>
  <c r="X74" i="30"/>
  <c r="X75" i="30"/>
  <c r="X76" i="30"/>
  <c r="X58" i="30"/>
  <c r="X77" i="30"/>
  <c r="X78" i="30"/>
  <c r="X80" i="30"/>
  <c r="X81" i="30"/>
  <c r="X85" i="30"/>
  <c r="X86" i="30"/>
  <c r="K43" i="30"/>
  <c r="U7" i="32"/>
  <c r="K7" i="32"/>
  <c r="Y2" i="32"/>
  <c r="S2" i="32"/>
  <c r="AF41" i="30"/>
  <c r="K41" i="30"/>
  <c r="C231" i="20"/>
  <c r="I226" i="20"/>
  <c r="H454" i="20"/>
  <c r="K51" i="30"/>
  <c r="C549" i="20"/>
  <c r="C461" i="20"/>
  <c r="E149" i="20"/>
  <c r="E147" i="20"/>
  <c r="E146" i="20"/>
  <c r="E145" i="20"/>
  <c r="E128" i="20"/>
  <c r="C129" i="20"/>
  <c r="C148" i="20" s="1"/>
  <c r="K63" i="30"/>
  <c r="E592" i="20"/>
  <c r="E564" i="20"/>
  <c r="C330" i="20"/>
  <c r="I243" i="20"/>
  <c r="C82" i="20"/>
  <c r="Y35" i="30"/>
  <c r="W35" i="30"/>
  <c r="X35" i="30" s="1"/>
  <c r="U35" i="30"/>
  <c r="K30" i="30"/>
  <c r="T3" i="30"/>
  <c r="K8" i="30"/>
  <c r="K47" i="30"/>
  <c r="K13" i="30"/>
  <c r="U3" i="31"/>
  <c r="K3" i="31"/>
  <c r="U2" i="31"/>
  <c r="K86" i="30"/>
  <c r="K24" i="30"/>
  <c r="K85" i="30"/>
  <c r="K81" i="30"/>
  <c r="K80" i="30"/>
  <c r="K78" i="30"/>
  <c r="K58" i="30"/>
  <c r="K76" i="30"/>
  <c r="K74" i="30"/>
  <c r="K73" i="30"/>
  <c r="K72" i="30"/>
  <c r="K69" i="30"/>
  <c r="K67" i="30"/>
  <c r="K70" i="30"/>
  <c r="K66" i="30"/>
  <c r="K65" i="30"/>
  <c r="K71" i="30"/>
  <c r="K61" i="30"/>
  <c r="K59" i="30"/>
  <c r="K57" i="30"/>
  <c r="K56" i="30"/>
  <c r="K55" i="30"/>
  <c r="K54" i="30"/>
  <c r="K53" i="30"/>
  <c r="K50" i="30"/>
  <c r="K48" i="30"/>
  <c r="K46" i="30"/>
  <c r="K44" i="30"/>
  <c r="K40" i="30"/>
  <c r="K39" i="30"/>
  <c r="K38" i="30"/>
  <c r="K36" i="30"/>
  <c r="K32" i="30"/>
  <c r="K31" i="30"/>
  <c r="K29" i="30"/>
  <c r="K28" i="30"/>
  <c r="K27" i="30"/>
  <c r="K23" i="30"/>
  <c r="K22" i="30"/>
  <c r="K21" i="30"/>
  <c r="K18" i="30"/>
  <c r="K16" i="30"/>
  <c r="K15" i="30"/>
  <c r="K14" i="30"/>
  <c r="K11" i="30"/>
  <c r="K10" i="30"/>
  <c r="V4" i="2"/>
  <c r="C195" i="20"/>
  <c r="C192" i="20"/>
  <c r="E141" i="20"/>
  <c r="U54" i="2"/>
  <c r="K54" i="2"/>
  <c r="K9" i="2"/>
  <c r="U9" i="2"/>
  <c r="U25" i="2"/>
  <c r="K12" i="2"/>
  <c r="U12" i="2"/>
  <c r="C22" i="29"/>
  <c r="C6" i="29"/>
  <c r="C2" i="20"/>
  <c r="C550" i="29"/>
  <c r="C546" i="29"/>
  <c r="C541" i="29"/>
  <c r="C538" i="29"/>
  <c r="C535" i="29"/>
  <c r="C531" i="29"/>
  <c r="C527" i="29"/>
  <c r="C523" i="29"/>
  <c r="C520" i="29"/>
  <c r="C509" i="29"/>
  <c r="C485" i="29"/>
  <c r="C482" i="29"/>
  <c r="C462" i="29"/>
  <c r="C437" i="29"/>
  <c r="C434" i="29"/>
  <c r="C431" i="29"/>
  <c r="C425" i="29"/>
  <c r="C420" i="29"/>
  <c r="C416" i="29"/>
  <c r="C412" i="29"/>
  <c r="C405" i="29"/>
  <c r="C398" i="29"/>
  <c r="C394" i="29"/>
  <c r="C388" i="29"/>
  <c r="C373" i="29"/>
  <c r="C377" i="29"/>
  <c r="C360" i="29"/>
  <c r="C356" i="29"/>
  <c r="C334" i="29"/>
  <c r="C320" i="29"/>
  <c r="C317" i="29"/>
  <c r="C309" i="29"/>
  <c r="C304" i="29"/>
  <c r="C294" i="29"/>
  <c r="C288" i="29"/>
  <c r="C276" i="29"/>
  <c r="C272" i="29"/>
  <c r="C252" i="29"/>
  <c r="C248" i="29"/>
  <c r="C193" i="29"/>
  <c r="C189" i="29"/>
  <c r="C180" i="29"/>
  <c r="C171" i="29"/>
  <c r="C165" i="29"/>
  <c r="C161" i="29"/>
  <c r="C141" i="29"/>
  <c r="C138" i="29"/>
  <c r="C131" i="29"/>
  <c r="C121" i="29"/>
  <c r="C111" i="29"/>
  <c r="C103" i="29"/>
  <c r="C22" i="20"/>
  <c r="C77" i="29"/>
  <c r="C70" i="29"/>
  <c r="C67" i="29"/>
  <c r="C61" i="29"/>
  <c r="C58" i="29"/>
  <c r="C45" i="29"/>
  <c r="C35" i="29"/>
  <c r="C32" i="29"/>
  <c r="C28" i="29"/>
  <c r="C2" i="29"/>
  <c r="H542" i="29"/>
  <c r="C488" i="29"/>
  <c r="E486" i="29"/>
  <c r="C479" i="29"/>
  <c r="I462" i="29"/>
  <c r="H462" i="29"/>
  <c r="C456" i="29"/>
  <c r="C428" i="29"/>
  <c r="C423" i="29"/>
  <c r="H417" i="29"/>
  <c r="G404" i="29"/>
  <c r="C404" i="29"/>
  <c r="I403" i="29"/>
  <c r="E403" i="29"/>
  <c r="I402" i="29"/>
  <c r="E402" i="29"/>
  <c r="K410" i="29"/>
  <c r="I401" i="29"/>
  <c r="E401" i="29"/>
  <c r="K409" i="29"/>
  <c r="I400" i="29"/>
  <c r="E400" i="29"/>
  <c r="F397" i="29"/>
  <c r="C380" i="29"/>
  <c r="H380" i="29" s="1"/>
  <c r="C379" i="29"/>
  <c r="H379" i="29" s="1"/>
  <c r="C371" i="29"/>
  <c r="H363" i="29"/>
  <c r="H362" i="29"/>
  <c r="H361" i="29"/>
  <c r="C357" i="29"/>
  <c r="E352" i="29"/>
  <c r="E351" i="29"/>
  <c r="E350" i="29"/>
  <c r="C318" i="29"/>
  <c r="G310" i="29"/>
  <c r="C301" i="29"/>
  <c r="C291" i="29"/>
  <c r="D285" i="29"/>
  <c r="D284" i="29"/>
  <c r="D283" i="29"/>
  <c r="D282" i="29"/>
  <c r="D279" i="29"/>
  <c r="D278" i="29"/>
  <c r="D277" i="29"/>
  <c r="D267" i="29"/>
  <c r="D266" i="29"/>
  <c r="D265" i="29"/>
  <c r="D264" i="29"/>
  <c r="D263" i="29"/>
  <c r="D262" i="29"/>
  <c r="D261" i="29"/>
  <c r="D260" i="29"/>
  <c r="D259" i="29"/>
  <c r="D258" i="29"/>
  <c r="D257" i="29"/>
  <c r="D256" i="29"/>
  <c r="D255" i="29"/>
  <c r="D254" i="29"/>
  <c r="D253" i="29"/>
  <c r="C246" i="29"/>
  <c r="D245" i="29"/>
  <c r="D244" i="29"/>
  <c r="D243" i="29"/>
  <c r="D242" i="29"/>
  <c r="D241" i="29"/>
  <c r="D240" i="29"/>
  <c r="D239" i="29"/>
  <c r="D238" i="29"/>
  <c r="D237" i="29"/>
  <c r="D236" i="29"/>
  <c r="D235" i="29"/>
  <c r="D234" i="29"/>
  <c r="D233" i="29"/>
  <c r="D232" i="29"/>
  <c r="D231" i="29"/>
  <c r="D230" i="29"/>
  <c r="D229" i="29"/>
  <c r="C227" i="29"/>
  <c r="D226" i="29"/>
  <c r="D225" i="29"/>
  <c r="D224" i="29"/>
  <c r="D223" i="29"/>
  <c r="D222" i="29"/>
  <c r="D221" i="29"/>
  <c r="D220" i="29"/>
  <c r="D219" i="29"/>
  <c r="D218" i="29"/>
  <c r="D217" i="29"/>
  <c r="D216" i="29"/>
  <c r="D215" i="29"/>
  <c r="D214" i="29"/>
  <c r="D213" i="29"/>
  <c r="D212" i="29"/>
  <c r="D211" i="29"/>
  <c r="C209" i="29"/>
  <c r="D208" i="29"/>
  <c r="D207" i="29"/>
  <c r="D206" i="29"/>
  <c r="C204" i="29"/>
  <c r="D203" i="29"/>
  <c r="D202" i="29"/>
  <c r="D201" i="29"/>
  <c r="D200" i="29"/>
  <c r="D199" i="29"/>
  <c r="D198" i="29"/>
  <c r="D197" i="29"/>
  <c r="D196" i="29"/>
  <c r="D195" i="29"/>
  <c r="D194" i="29"/>
  <c r="F181" i="29"/>
  <c r="C177" i="29"/>
  <c r="H167" i="29"/>
  <c r="H166" i="29"/>
  <c r="G159" i="29"/>
  <c r="C134" i="29"/>
  <c r="C133" i="29"/>
  <c r="C132" i="29"/>
  <c r="C123" i="29"/>
  <c r="C122" i="29"/>
  <c r="M119" i="29"/>
  <c r="C101" i="29"/>
  <c r="E100" i="29"/>
  <c r="E99" i="29"/>
  <c r="E98" i="29"/>
  <c r="E97" i="29"/>
  <c r="E96" i="29"/>
  <c r="E95" i="29"/>
  <c r="E94" i="29"/>
  <c r="E93" i="29"/>
  <c r="C91" i="29"/>
  <c r="E90" i="29"/>
  <c r="E89" i="29"/>
  <c r="E88" i="29"/>
  <c r="E87" i="29"/>
  <c r="E86" i="29"/>
  <c r="E85" i="29"/>
  <c r="E84" i="29"/>
  <c r="M92" i="29"/>
  <c r="E83" i="29"/>
  <c r="E82" i="29"/>
  <c r="E81" i="29"/>
  <c r="I80" i="29"/>
  <c r="I82" i="29" s="1"/>
  <c r="H89" i="29" s="1"/>
  <c r="E80" i="29"/>
  <c r="E79" i="29"/>
  <c r="E78" i="29"/>
  <c r="M84" i="29"/>
  <c r="C75" i="29"/>
  <c r="C68" i="29"/>
  <c r="C65" i="29"/>
  <c r="C62" i="29"/>
  <c r="C59" i="29"/>
  <c r="C56" i="29"/>
  <c r="F55" i="29"/>
  <c r="F54" i="29"/>
  <c r="F53" i="29"/>
  <c r="F52" i="29"/>
  <c r="F51" i="29"/>
  <c r="F50" i="29"/>
  <c r="M55" i="29"/>
  <c r="P54" i="29"/>
  <c r="P53" i="29"/>
  <c r="P52" i="29"/>
  <c r="D26" i="29"/>
  <c r="D25" i="29"/>
  <c r="M23" i="29"/>
  <c r="M13" i="29"/>
  <c r="U5" i="32" l="1"/>
  <c r="K5" i="32"/>
  <c r="U6" i="32"/>
  <c r="K6" i="32"/>
  <c r="E148" i="20"/>
  <c r="D209" i="29"/>
  <c r="G277" i="29"/>
  <c r="K413" i="29"/>
  <c r="I404" i="29"/>
  <c r="G282" i="29"/>
  <c r="D204" i="29"/>
  <c r="D246" i="29"/>
  <c r="H365" i="29"/>
  <c r="D268" i="29"/>
  <c r="H253" i="29" s="1"/>
  <c r="E101" i="29"/>
  <c r="H88" i="29" s="1"/>
  <c r="H168" i="29"/>
  <c r="E91" i="29"/>
  <c r="H87" i="29" s="1"/>
  <c r="P55" i="29"/>
  <c r="E404" i="29"/>
  <c r="F56" i="29"/>
  <c r="D227" i="29"/>
  <c r="C457" i="29"/>
  <c r="G194" i="29" l="1"/>
  <c r="H91" i="29"/>
  <c r="C458" i="29"/>
  <c r="C459" i="29" s="1"/>
  <c r="G218" i="20" l="1"/>
  <c r="I653" i="20"/>
  <c r="H653" i="20"/>
  <c r="C653" i="20"/>
  <c r="I626" i="20"/>
  <c r="H626" i="20"/>
  <c r="C626" i="20"/>
  <c r="H574" i="20"/>
  <c r="C454" i="20"/>
  <c r="C480" i="20"/>
  <c r="I480" i="20"/>
  <c r="H480" i="20"/>
  <c r="I454" i="20"/>
  <c r="C604" i="20" l="1"/>
  <c r="I604" i="20"/>
  <c r="H604" i="20"/>
  <c r="C599" i="20"/>
  <c r="I599" i="20"/>
  <c r="H599" i="20"/>
  <c r="I410" i="20"/>
  <c r="H410" i="20"/>
  <c r="C410" i="20"/>
  <c r="I399" i="20"/>
  <c r="H399" i="20"/>
  <c r="C399" i="20"/>
  <c r="C261" i="20"/>
  <c r="I261" i="20"/>
  <c r="H261" i="20"/>
  <c r="C202" i="20" l="1"/>
  <c r="I202" i="20"/>
  <c r="H202" i="20"/>
  <c r="I188" i="20"/>
  <c r="H188" i="20"/>
  <c r="C188" i="20"/>
  <c r="C107" i="20"/>
  <c r="K51" i="2"/>
  <c r="U51" i="2"/>
  <c r="I333" i="20"/>
  <c r="H333" i="20"/>
  <c r="C333" i="20"/>
  <c r="I233" i="20"/>
  <c r="H233" i="20"/>
  <c r="C233" i="20"/>
  <c r="I157" i="20"/>
  <c r="H157" i="20"/>
  <c r="C157" i="20"/>
  <c r="C182" i="20"/>
  <c r="H182" i="20"/>
  <c r="I182" i="20"/>
  <c r="I168" i="20"/>
  <c r="H168" i="20"/>
  <c r="C168" i="20"/>
  <c r="C161" i="20"/>
  <c r="I160" i="20"/>
  <c r="H160" i="20"/>
  <c r="C160" i="20"/>
  <c r="I107" i="20"/>
  <c r="H107" i="20"/>
  <c r="C105" i="20"/>
  <c r="C104" i="20"/>
  <c r="I104" i="20"/>
  <c r="H104" i="20"/>
  <c r="C96" i="20"/>
  <c r="I95" i="20"/>
  <c r="H95" i="20"/>
  <c r="C95" i="20"/>
  <c r="C98" i="20"/>
  <c r="I101" i="20"/>
  <c r="H101" i="20"/>
  <c r="I98" i="20"/>
  <c r="H98" i="20"/>
  <c r="C101" i="20"/>
  <c r="C54" i="20"/>
  <c r="I37" i="20"/>
  <c r="H37" i="20"/>
  <c r="H41" i="20"/>
  <c r="I41" i="20"/>
  <c r="C37" i="20"/>
  <c r="C41" i="20"/>
  <c r="E501" i="20"/>
  <c r="E500" i="20"/>
  <c r="E499" i="20"/>
  <c r="C422" i="20"/>
  <c r="C424" i="20" s="1"/>
  <c r="C427" i="20" s="1"/>
  <c r="C527" i="20"/>
  <c r="I516" i="20"/>
  <c r="H516" i="20"/>
  <c r="H178" i="20"/>
  <c r="C178" i="20"/>
  <c r="I559" i="20"/>
  <c r="C559" i="20"/>
  <c r="C516" i="20"/>
  <c r="I44" i="20"/>
  <c r="C44" i="20"/>
  <c r="C6" i="20"/>
  <c r="C24" i="20" s="1"/>
  <c r="I2" i="20"/>
  <c r="C542" i="20" l="1"/>
  <c r="K50" i="2" l="1"/>
  <c r="U50" i="2"/>
  <c r="U23" i="2"/>
  <c r="K4" i="2" l="1"/>
  <c r="K19" i="2"/>
  <c r="U19" i="2"/>
  <c r="U53" i="2"/>
  <c r="K43" i="2" l="1"/>
  <c r="U43" i="2"/>
  <c r="K38" i="2"/>
  <c r="U38" i="2"/>
  <c r="U24" i="2"/>
  <c r="K13" i="2"/>
  <c r="U13" i="2"/>
  <c r="U69" i="2"/>
  <c r="K69" i="2"/>
  <c r="K66" i="2"/>
  <c r="U66" i="2"/>
  <c r="U72" i="2"/>
  <c r="U81" i="2"/>
  <c r="C509" i="20" l="1"/>
  <c r="E507" i="20"/>
  <c r="E505" i="20"/>
  <c r="K56" i="2"/>
  <c r="U56" i="2"/>
  <c r="K58" i="2"/>
  <c r="E509" i="20" l="1"/>
  <c r="K2" i="2"/>
  <c r="K5" i="2"/>
  <c r="K6" i="2"/>
  <c r="K8" i="2"/>
  <c r="K7" i="2"/>
  <c r="K10" i="2"/>
  <c r="K11" i="2"/>
  <c r="K14" i="2"/>
  <c r="K15" i="2"/>
  <c r="K16" i="2"/>
  <c r="K18" i="2"/>
  <c r="K17" i="2"/>
  <c r="K20" i="2"/>
  <c r="K21" i="2"/>
  <c r="K22" i="2"/>
  <c r="K26" i="2"/>
  <c r="K27" i="2"/>
  <c r="K28" i="2"/>
  <c r="K29" i="2"/>
  <c r="K30" i="2"/>
  <c r="K31" i="2"/>
  <c r="K32" i="2"/>
  <c r="K33" i="2"/>
  <c r="K34" i="2"/>
  <c r="K35" i="2"/>
  <c r="K36" i="2"/>
  <c r="K37" i="2"/>
  <c r="K39" i="2"/>
  <c r="K40" i="2"/>
  <c r="K41" i="2"/>
  <c r="K42" i="2"/>
  <c r="K70" i="2"/>
  <c r="K44" i="2"/>
  <c r="K45" i="2"/>
  <c r="K46" i="2"/>
  <c r="K47" i="2"/>
  <c r="K48" i="2"/>
  <c r="K49" i="2"/>
  <c r="K52" i="2"/>
  <c r="K55" i="2"/>
  <c r="K57" i="2"/>
  <c r="K59" i="2"/>
  <c r="K60" i="2"/>
  <c r="K61" i="2"/>
  <c r="K62" i="2"/>
  <c r="K63" i="2"/>
  <c r="K64" i="2"/>
  <c r="K65" i="2"/>
  <c r="K67" i="2"/>
  <c r="K68" i="2"/>
  <c r="K71" i="2"/>
  <c r="K73" i="2"/>
  <c r="K74" i="2"/>
  <c r="K75" i="2"/>
  <c r="K76" i="2"/>
  <c r="K77" i="2"/>
  <c r="K79" i="2"/>
  <c r="K80" i="2"/>
  <c r="K81" i="2"/>
  <c r="K82" i="2"/>
  <c r="AD79" i="2" l="1"/>
  <c r="AD42" i="2"/>
  <c r="U29" i="2" l="1"/>
  <c r="AD10" i="2"/>
  <c r="C49" i="29" l="1"/>
  <c r="U8" i="2"/>
  <c r="U7" i="2"/>
  <c r="U18" i="2"/>
  <c r="U30" i="2"/>
  <c r="U36" i="2"/>
  <c r="U42" i="2"/>
  <c r="U60" i="2"/>
  <c r="U64" i="2"/>
  <c r="U74" i="2"/>
  <c r="U78" i="2"/>
  <c r="U79" i="2"/>
  <c r="M120" i="20"/>
  <c r="S115" i="20"/>
  <c r="R115" i="20"/>
  <c r="M115" i="20"/>
  <c r="E138" i="20" l="1"/>
  <c r="E137" i="20"/>
  <c r="E136" i="20"/>
  <c r="E135" i="20"/>
  <c r="E134" i="20"/>
  <c r="E133" i="20"/>
  <c r="E132" i="20"/>
  <c r="E131" i="20"/>
  <c r="E118" i="20"/>
  <c r="E127" i="20"/>
  <c r="E125" i="20"/>
  <c r="E124" i="20"/>
  <c r="E123" i="20"/>
  <c r="E122" i="20"/>
  <c r="E121" i="20"/>
  <c r="E120" i="20"/>
  <c r="E126" i="20"/>
  <c r="E115" i="20"/>
  <c r="E119" i="20"/>
  <c r="E117" i="20"/>
  <c r="E116" i="20"/>
  <c r="E448" i="20"/>
  <c r="E449" i="20"/>
  <c r="E450" i="20"/>
  <c r="E600" i="20"/>
  <c r="E129" i="20" l="1"/>
  <c r="E139" i="20"/>
  <c r="C602" i="20"/>
  <c r="C455" i="20"/>
  <c r="C411" i="20"/>
  <c r="D376" i="20"/>
  <c r="D373" i="20"/>
  <c r="D370" i="20"/>
  <c r="D374" i="20"/>
  <c r="D375" i="20"/>
  <c r="D368" i="20"/>
  <c r="D369" i="20"/>
  <c r="G373" i="20" l="1"/>
  <c r="G368" i="20"/>
  <c r="D357" i="20"/>
  <c r="D343" i="20"/>
  <c r="D345" i="20"/>
  <c r="D346" i="20"/>
  <c r="D347" i="20"/>
  <c r="D348" i="20"/>
  <c r="D349" i="20"/>
  <c r="D350" i="20"/>
  <c r="D351" i="20"/>
  <c r="D352" i="20"/>
  <c r="D353" i="20"/>
  <c r="D354" i="20"/>
  <c r="D355" i="20"/>
  <c r="D356" i="20"/>
  <c r="D344" i="20"/>
  <c r="D313" i="20"/>
  <c r="D315" i="20"/>
  <c r="D316" i="20"/>
  <c r="D317" i="20"/>
  <c r="D314" i="20"/>
  <c r="D304" i="20"/>
  <c r="D305" i="20"/>
  <c r="D306" i="20"/>
  <c r="D307" i="20"/>
  <c r="D308" i="20"/>
  <c r="D309" i="20"/>
  <c r="D310" i="20"/>
  <c r="D311" i="20"/>
  <c r="D312" i="20"/>
  <c r="D303" i="20"/>
  <c r="D302" i="20"/>
  <c r="D301" i="20"/>
  <c r="D298" i="20"/>
  <c r="D296" i="20"/>
  <c r="D297" i="20"/>
  <c r="D291" i="20"/>
  <c r="D292" i="20"/>
  <c r="D293" i="20"/>
  <c r="D294" i="20"/>
  <c r="D295" i="20"/>
  <c r="D290" i="20"/>
  <c r="D289" i="20"/>
  <c r="D288" i="20"/>
  <c r="D287" i="20"/>
  <c r="D286" i="20"/>
  <c r="D285" i="20"/>
  <c r="D284" i="20"/>
  <c r="D283" i="20"/>
  <c r="C281" i="20"/>
  <c r="D279" i="20"/>
  <c r="D280" i="20"/>
  <c r="D278" i="20"/>
  <c r="D275" i="20"/>
  <c r="D274" i="20"/>
  <c r="D273" i="20"/>
  <c r="D271" i="20"/>
  <c r="D270" i="20"/>
  <c r="D269" i="20"/>
  <c r="D267" i="20"/>
  <c r="D268" i="20"/>
  <c r="D272" i="20"/>
  <c r="D266" i="20"/>
  <c r="C237" i="20"/>
  <c r="D358" i="20" l="1"/>
  <c r="H343" i="20" s="1"/>
  <c r="F93" i="20"/>
  <c r="D281" i="20"/>
  <c r="D299" i="20"/>
  <c r="D318" i="20"/>
  <c r="D276" i="20"/>
  <c r="G266" i="20" l="1"/>
  <c r="S170" i="20"/>
  <c r="R170" i="20"/>
  <c r="M170" i="20"/>
  <c r="S162" i="20"/>
  <c r="R162" i="20"/>
  <c r="M162" i="20"/>
  <c r="S135" i="20"/>
  <c r="R135" i="20"/>
  <c r="M135" i="20"/>
  <c r="S127" i="20"/>
  <c r="R127" i="20"/>
  <c r="M127" i="20"/>
  <c r="S107" i="20"/>
  <c r="R107" i="20"/>
  <c r="M107" i="20"/>
  <c r="S51" i="20"/>
  <c r="R51" i="20"/>
  <c r="M51" i="20"/>
  <c r="S48" i="20"/>
  <c r="R48" i="20"/>
  <c r="M48" i="20"/>
  <c r="S43" i="20"/>
  <c r="R43" i="20"/>
  <c r="M43" i="20"/>
  <c r="S33" i="20"/>
  <c r="R33" i="20"/>
  <c r="M33" i="20"/>
  <c r="S19" i="20"/>
  <c r="R19" i="20"/>
  <c r="M19" i="20"/>
  <c r="S2" i="20"/>
  <c r="R2" i="20"/>
  <c r="M2" i="20"/>
  <c r="I668" i="20"/>
  <c r="H668" i="20"/>
  <c r="C668" i="20"/>
  <c r="I659" i="20"/>
  <c r="H659" i="20"/>
  <c r="C659" i="20"/>
  <c r="I656" i="20"/>
  <c r="H656" i="20"/>
  <c r="C656" i="20"/>
  <c r="I642" i="20"/>
  <c r="H642" i="20"/>
  <c r="C642" i="20"/>
  <c r="I638" i="20"/>
  <c r="H638" i="20"/>
  <c r="H570" i="20"/>
  <c r="I566" i="20"/>
  <c r="H566" i="20"/>
  <c r="C566" i="20"/>
  <c r="H559" i="20"/>
  <c r="I553" i="20"/>
  <c r="H553" i="20"/>
  <c r="C553" i="20"/>
  <c r="I534" i="20"/>
  <c r="H534" i="20"/>
  <c r="C534" i="20"/>
  <c r="I487" i="20"/>
  <c r="H487" i="20"/>
  <c r="C487" i="20"/>
  <c r="I483" i="20"/>
  <c r="H483" i="20"/>
  <c r="C483" i="20"/>
  <c r="I467" i="20"/>
  <c r="H467" i="20"/>
  <c r="C467" i="20"/>
  <c r="I402" i="20"/>
  <c r="H402" i="20"/>
  <c r="I395" i="20"/>
  <c r="H395" i="20"/>
  <c r="C395" i="20"/>
  <c r="I385" i="20"/>
  <c r="H385" i="20"/>
  <c r="C385" i="20"/>
  <c r="I379" i="20"/>
  <c r="H379" i="20"/>
  <c r="C379" i="20"/>
  <c r="I367" i="20"/>
  <c r="H367" i="20"/>
  <c r="C367" i="20"/>
  <c r="I342" i="20"/>
  <c r="H342" i="20"/>
  <c r="C342" i="20"/>
  <c r="I265" i="20"/>
  <c r="H265" i="20"/>
  <c r="C265" i="20"/>
  <c r="I237" i="20"/>
  <c r="H237" i="20"/>
  <c r="I178" i="20"/>
  <c r="I164" i="20"/>
  <c r="H164" i="20"/>
  <c r="C164" i="20"/>
  <c r="I54" i="20"/>
  <c r="H54" i="20"/>
  <c r="H44" i="20"/>
  <c r="I33" i="20"/>
  <c r="H33" i="20"/>
  <c r="C33" i="20"/>
  <c r="H2" i="20"/>
  <c r="C248" i="20"/>
  <c r="U21" i="2" l="1"/>
  <c r="U71" i="2"/>
  <c r="U15" i="2"/>
  <c r="J8" i="8"/>
  <c r="J7" i="8"/>
  <c r="J5" i="8"/>
  <c r="J4" i="8"/>
  <c r="H470" i="20" l="1"/>
  <c r="U59" i="2"/>
  <c r="U70" i="2"/>
  <c r="F253" i="20"/>
  <c r="C402" i="20"/>
  <c r="C64" i="29" l="1"/>
  <c r="AD16" i="2"/>
  <c r="AD47" i="2"/>
  <c r="AD48" i="2"/>
  <c r="AD67" i="2"/>
  <c r="AD73" i="2"/>
  <c r="C638" i="20"/>
  <c r="C466" i="29" l="1"/>
  <c r="I574" i="20"/>
  <c r="I570" i="20" s="1"/>
  <c r="C349" i="29"/>
  <c r="C490" i="29"/>
  <c r="C338" i="29"/>
  <c r="C74" i="29"/>
  <c r="C574" i="20"/>
  <c r="C570" i="20" s="1"/>
  <c r="V16" i="2"/>
  <c r="U14" i="2" l="1"/>
  <c r="U77" i="2" l="1"/>
  <c r="Q3" i="24"/>
  <c r="Q4" i="24"/>
  <c r="Q5" i="24"/>
  <c r="Q6" i="24"/>
  <c r="Q2" i="24"/>
  <c r="C139" i="20" l="1"/>
  <c r="C143" i="20" s="1"/>
  <c r="H238" i="20"/>
  <c r="H239" i="20"/>
  <c r="E143" i="20" l="1"/>
  <c r="C150" i="20"/>
  <c r="H240" i="20"/>
  <c r="E150" i="20" l="1"/>
  <c r="C151" i="20"/>
  <c r="E151" i="20" s="1"/>
  <c r="G141" i="20" s="1"/>
  <c r="H468" i="20"/>
  <c r="M13" i="20" l="1"/>
  <c r="D35" i="20" l="1"/>
  <c r="D34" i="20"/>
  <c r="Q2" i="7" l="1"/>
  <c r="C587" i="20" l="1"/>
  <c r="M55" i="20"/>
  <c r="P54" i="20"/>
  <c r="P53" i="20"/>
  <c r="P52" i="20"/>
  <c r="M23" i="20"/>
  <c r="P55" i="20" l="1"/>
  <c r="U46" i="2"/>
  <c r="U44" i="2"/>
  <c r="U31" i="2" l="1"/>
  <c r="U67" i="2"/>
  <c r="U75" i="2" l="1"/>
  <c r="A3"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2" i="21"/>
  <c r="M112" i="20" l="1"/>
  <c r="M167" i="20"/>
  <c r="H660" i="20"/>
  <c r="C556" i="20"/>
  <c r="H535" i="20"/>
  <c r="E326" i="20"/>
  <c r="E322" i="20"/>
  <c r="C489" i="20"/>
  <c r="H489" i="20" s="1"/>
  <c r="C490" i="20"/>
  <c r="H490" i="20" s="1"/>
  <c r="C478" i="20"/>
  <c r="H469" i="20"/>
  <c r="H472" i="20" s="1"/>
  <c r="G403" i="20" l="1"/>
  <c r="C392" i="20" l="1"/>
  <c r="C382" i="20"/>
  <c r="C318" i="20"/>
  <c r="C299" i="20"/>
  <c r="C276" i="20"/>
  <c r="C112" i="20"/>
  <c r="C102" i="20"/>
  <c r="C99" i="20"/>
  <c r="U2" i="2"/>
  <c r="U16" i="2" l="1"/>
  <c r="U11" i="2" l="1"/>
  <c r="J65" i="19" l="1"/>
  <c r="J64" i="19"/>
  <c r="J63" i="19"/>
  <c r="J62" i="19"/>
  <c r="J61" i="19"/>
  <c r="J60" i="19"/>
  <c r="J59" i="19"/>
  <c r="J58" i="19"/>
  <c r="J57" i="19"/>
  <c r="J56" i="19"/>
  <c r="J55" i="19"/>
  <c r="J54" i="19"/>
  <c r="J53" i="19"/>
  <c r="J52" i="19"/>
  <c r="J51" i="19"/>
  <c r="J50" i="19"/>
  <c r="J49" i="19"/>
  <c r="J48" i="19"/>
  <c r="J47" i="19"/>
  <c r="J46" i="19"/>
  <c r="J45" i="19"/>
  <c r="J44" i="19"/>
  <c r="J43" i="19"/>
  <c r="J42" i="19"/>
  <c r="J41" i="19"/>
  <c r="J40" i="19"/>
  <c r="J39" i="19"/>
  <c r="J38" i="19"/>
  <c r="J37" i="19"/>
  <c r="J36" i="19"/>
  <c r="J35" i="19"/>
  <c r="J34" i="19"/>
  <c r="J33" i="19"/>
  <c r="J32" i="19"/>
  <c r="J31" i="19"/>
  <c r="J30" i="19"/>
  <c r="J29" i="19"/>
  <c r="J28" i="19"/>
  <c r="J27" i="19"/>
  <c r="J26" i="19"/>
  <c r="J25" i="19"/>
  <c r="J24" i="19"/>
  <c r="J23" i="19"/>
  <c r="J22" i="19"/>
  <c r="J21" i="19"/>
  <c r="J20" i="19"/>
  <c r="J19" i="19"/>
  <c r="J18" i="19"/>
  <c r="J17" i="19"/>
  <c r="J16" i="19"/>
  <c r="J15" i="19"/>
  <c r="J14" i="19"/>
  <c r="J13" i="19"/>
  <c r="J12" i="19"/>
  <c r="J11" i="19"/>
  <c r="J10" i="19"/>
  <c r="J9" i="19"/>
  <c r="J8" i="19"/>
  <c r="J7" i="19"/>
  <c r="J6" i="19"/>
  <c r="J5" i="19"/>
  <c r="J4" i="19"/>
  <c r="J3" i="19"/>
  <c r="J2" i="19"/>
  <c r="U37" i="2" l="1"/>
  <c r="B4" i="16" l="1"/>
  <c r="D4" i="16" s="1"/>
  <c r="B3" i="16"/>
  <c r="D3" i="16" s="1"/>
  <c r="B2" i="16"/>
  <c r="D2" i="16" s="1"/>
  <c r="D5" i="16" l="1"/>
  <c r="U6" i="2" l="1"/>
  <c r="U10" i="2"/>
  <c r="U17" i="2"/>
  <c r="U20" i="2"/>
  <c r="U22" i="2"/>
  <c r="U26" i="2"/>
  <c r="U27" i="2"/>
  <c r="U28" i="2"/>
  <c r="U32" i="2"/>
  <c r="U33" i="2"/>
  <c r="U35" i="2"/>
  <c r="U39" i="2"/>
  <c r="U40" i="2"/>
  <c r="U41" i="2"/>
  <c r="U45" i="2"/>
  <c r="U47" i="2"/>
  <c r="U48" i="2"/>
  <c r="U49" i="2"/>
  <c r="U52" i="2"/>
  <c r="U55" i="2"/>
  <c r="U57" i="2"/>
  <c r="U58" i="2"/>
  <c r="U61" i="2"/>
  <c r="U62" i="2"/>
  <c r="U63" i="2"/>
  <c r="U65" i="2"/>
  <c r="U68" i="2"/>
  <c r="U73" i="2"/>
  <c r="U76" i="2"/>
  <c r="U80" i="2"/>
  <c r="U82" i="2"/>
  <c r="F29" i="6" l="1"/>
  <c r="F14" i="6" l="1"/>
  <c r="AC10" i="32"/>
  <c r="I85" i="20" l="1"/>
  <c r="I607" i="20"/>
  <c r="I447"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tc={EF49894F-B57B-4AB4-B03B-238C3796C03D}</author>
    <author>tc={97BD81CD-BF34-471D-AA53-B3EB28D7DFF0}</author>
    <author>tc={8F2A4B63-22E6-4BE1-91DB-C1D1525BC6ED}</author>
  </authors>
  <commentList>
    <comment ref="C6" authorId="0" shapeId="0" xr:uid="{EF49894F-B57B-4AB4-B03B-238C3796C03D}">
      <text>
        <t>[Threaded comment]
Your version of Excel allows you to read this threaded comment; however, any edits to it will get removed if the file is opened in a newer version of Excel. Learn more: https://go.microsoft.com/fwlink/?linkid=870924
Comment:
    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
      </text>
    </comment>
    <comment ref="C31" authorId="1" shapeId="0" xr:uid="{97BD81CD-BF34-471D-AA53-B3EB28D7DFF0}">
      <text>
        <t>[Threaded comment]
Your version of Excel allows you to read this threaded comment; however, any edits to it will get removed if the file is opened in a newer version of Excel. Learn more: https://go.microsoft.com/fwlink/?linkid=870924
Comment:
    Per Lis Wyatt: This service was bid out to 5 vendors and Mantis was the only one to participate at the time. The other 4 backed out in part due to our lack of anchoring capabilities on the roofs which makes the cleaning much harder and more expensive due to having to rent specialized lifts.</t>
      </text>
    </comment>
    <comment ref="C40" authorId="2" shapeId="0" xr:uid="{8F2A4B63-22E6-4BE1-91DB-C1D1525BC6ED}">
      <text>
        <t>[Threaded comment]
Your version of Excel allows you to read this threaded comment; however, any edits to it will get removed if the file is opened in a newer version of Excel. Learn more: https://go.microsoft.com/fwlink/?linkid=870924
Comment:
    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Reschke, James</author>
  </authors>
  <commentList>
    <comment ref="G112" authorId="0" shapeId="0" xr:uid="{205808E2-CED0-4AAC-92FA-A03A205AB1DD}">
      <text>
        <r>
          <rPr>
            <b/>
            <sz val="9"/>
            <color indexed="81"/>
            <rFont val="Tahoma"/>
            <family val="2"/>
          </rPr>
          <t>Reschke, James:</t>
        </r>
        <r>
          <rPr>
            <sz val="9"/>
            <color indexed="81"/>
            <rFont val="Tahoma"/>
            <family val="2"/>
          </rPr>
          <t xml:space="preserve">
Per Damon, billed out for 2021 and 2022.  Plan to cancel next year w/ reduced contract 11/22/2022
</t>
        </r>
      </text>
    </comment>
    <comment ref="C392" authorId="0" shapeId="0" xr:uid="{7D86E7C9-13A7-4D68-B8B5-AF296EE4C85C}">
      <text>
        <r>
          <rPr>
            <b/>
            <sz val="9"/>
            <color indexed="81"/>
            <rFont val="Tahoma"/>
            <family val="2"/>
          </rPr>
          <t>Reschke, James:</t>
        </r>
        <r>
          <rPr>
            <sz val="9"/>
            <color indexed="81"/>
            <rFont val="Tahoma"/>
            <family val="2"/>
          </rPr>
          <t xml:space="preserve">
Fully Billed for the Year (9/2/2021)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Reschke, James</author>
  </authors>
  <commentList>
    <comment ref="A2" authorId="0" shapeId="0" xr:uid="{32F6E0C1-FD7F-42B3-8F8B-539DAD3365D8}">
      <text>
        <r>
          <rPr>
            <b/>
            <sz val="9"/>
            <color indexed="81"/>
            <rFont val="Tahoma"/>
            <family val="2"/>
          </rPr>
          <t>Reschke, James:</t>
        </r>
        <r>
          <rPr>
            <sz val="9"/>
            <color indexed="81"/>
            <rFont val="Tahoma"/>
            <family val="2"/>
          </rPr>
          <t xml:space="preserve">
Per Damon, the plan is to discontinue year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Fogg, Christine M</author>
  </authors>
  <commentList>
    <comment ref="T2" authorId="0" shapeId="0" xr:uid="{AB98BF28-AF05-4EA6-9780-531B696C5C45}">
      <text>
        <r>
          <rPr>
            <b/>
            <sz val="9"/>
            <color indexed="81"/>
            <rFont val="Tahoma"/>
            <family val="2"/>
          </rPr>
          <t>Fogg, Christine M:</t>
        </r>
        <r>
          <rPr>
            <sz val="9"/>
            <color indexed="81"/>
            <rFont val="Tahoma"/>
            <family val="2"/>
          </rPr>
          <t xml:space="preserve">
Commitment 02/01/2022 - 01/31/2023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Fogg, Christine M</author>
  </authors>
  <commentList>
    <comment ref="I7" authorId="0" shapeId="0" xr:uid="{88E636DB-A93A-4F6D-9FCD-7853F9FA804C}">
      <text>
        <r>
          <rPr>
            <b/>
            <sz val="9"/>
            <color indexed="81"/>
            <rFont val="Tahoma"/>
            <family val="2"/>
          </rPr>
          <t>Fogg, Christine M:</t>
        </r>
        <r>
          <rPr>
            <sz val="9"/>
            <color indexed="81"/>
            <rFont val="Tahoma"/>
            <family val="2"/>
          </rPr>
          <t xml:space="preserve">
Combined with line above
</t>
        </r>
      </text>
    </comment>
    <comment ref="H22" authorId="0" shapeId="0" xr:uid="{1C3ED9EF-82AE-4854-8CF7-E083B425E017}">
      <text>
        <r>
          <rPr>
            <b/>
            <sz val="9"/>
            <color indexed="81"/>
            <rFont val="Tahoma"/>
            <family val="2"/>
          </rPr>
          <t>Fogg, Christine M:</t>
        </r>
        <r>
          <rPr>
            <sz val="9"/>
            <color indexed="81"/>
            <rFont val="Tahoma"/>
            <family val="2"/>
          </rPr>
          <t xml:space="preserve">
Budgeted to SWS Environmental
</t>
        </r>
      </text>
    </comment>
    <comment ref="I22" authorId="0" shapeId="0" xr:uid="{048522AE-C2D2-46AF-BAED-E8F3B15F2054}">
      <text>
        <r>
          <rPr>
            <b/>
            <sz val="9"/>
            <color indexed="81"/>
            <rFont val="Tahoma"/>
            <family val="2"/>
          </rPr>
          <t>Fogg, Christine M:</t>
        </r>
        <r>
          <rPr>
            <sz val="9"/>
            <color indexed="81"/>
            <rFont val="Tahoma"/>
            <family val="2"/>
          </rPr>
          <t xml:space="preserve">
Budgeted to SWS Environmental</t>
        </r>
      </text>
    </comment>
    <comment ref="K40" authorId="0" shapeId="0" xr:uid="{769A1740-F96D-48EE-A0C8-91A02E360E49}">
      <text>
        <r>
          <rPr>
            <b/>
            <sz val="9"/>
            <color indexed="81"/>
            <rFont val="Tahoma"/>
            <family val="2"/>
          </rPr>
          <t>Fogg, Christine M:</t>
        </r>
        <r>
          <rPr>
            <sz val="9"/>
            <color indexed="81"/>
            <rFont val="Tahoma"/>
            <family val="2"/>
          </rPr>
          <t xml:space="preserve">
Original amount $16,056</t>
        </r>
      </text>
    </comment>
    <comment ref="K47" authorId="0" shapeId="0" xr:uid="{4BFA6BDB-9CA4-4AA7-9F46-327C6C81BBF7}">
      <text>
        <r>
          <rPr>
            <b/>
            <sz val="9"/>
            <color indexed="81"/>
            <rFont val="Tahoma"/>
            <family val="2"/>
          </rPr>
          <t>Fogg, Christine M:</t>
        </r>
        <r>
          <rPr>
            <sz val="9"/>
            <color indexed="81"/>
            <rFont val="Tahoma"/>
            <family val="2"/>
          </rPr>
          <t xml:space="preserve">
Original PO amount $9,514</t>
        </r>
      </text>
    </comment>
    <comment ref="H63" authorId="0" shapeId="0" xr:uid="{86F386C3-A30E-4005-9C36-E1DC975BDB89}">
      <text>
        <r>
          <rPr>
            <b/>
            <sz val="9"/>
            <color indexed="81"/>
            <rFont val="Tahoma"/>
            <family val="2"/>
          </rPr>
          <t>Fogg, Christine M:</t>
        </r>
        <r>
          <rPr>
            <sz val="9"/>
            <color indexed="81"/>
            <rFont val="Tahoma"/>
            <family val="2"/>
          </rPr>
          <t xml:space="preserve">
Formerly Aramark, 4M, and TriStar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tc={D589720E-6CA4-4F04-9A5E-B7C677606082}</author>
    <author>Reschke, James</author>
    <author>Fogg, Christine M</author>
    <author>tc={95303D6C-3E1F-46DD-A5B1-8B9C52027813}</author>
    <author>tc={19828FFB-7163-4528-A8D6-C2F45A01DAEC}</author>
  </authors>
  <commentList>
    <comment ref="C11" authorId="0" shapeId="0" xr:uid="{D589720E-6CA4-4F04-9A5E-B7C677606082}">
      <text>
        <t>[Threaded comment]
Your version of Excel allows you to read this threaded comment; however, any edits to it will get removed if the file is opened in a newer version of Excel. Learn more: https://go.microsoft.com/fwlink/?linkid=870924
Comment:
    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
      </text>
    </comment>
    <comment ref="A16" authorId="1" shapeId="0" xr:uid="{DCFFDCB3-6283-40EA-B903-08AB64621AEF}">
      <text>
        <r>
          <rPr>
            <b/>
            <sz val="9"/>
            <color indexed="81"/>
            <rFont val="Tahoma"/>
            <family val="2"/>
          </rPr>
          <t>Reschke, James:</t>
        </r>
        <r>
          <rPr>
            <sz val="9"/>
            <color indexed="81"/>
            <rFont val="Tahoma"/>
            <family val="2"/>
          </rPr>
          <t xml:space="preserve">
Per Damon, the plan is to discontinue year 3</t>
        </r>
      </text>
    </comment>
    <comment ref="R37" authorId="2" shapeId="0" xr:uid="{D222158A-AE2C-49DB-AF73-D70A41E7EB0E}">
      <text>
        <r>
          <rPr>
            <b/>
            <sz val="9"/>
            <color indexed="81"/>
            <rFont val="Tahoma"/>
            <family val="2"/>
          </rPr>
          <t>Fogg, Christine M:</t>
        </r>
        <r>
          <rPr>
            <sz val="9"/>
            <color indexed="81"/>
            <rFont val="Tahoma"/>
            <family val="2"/>
          </rPr>
          <t xml:space="preserve">
Budgeted to SWS Environmental</t>
        </r>
      </text>
    </comment>
    <comment ref="W38" authorId="2" shapeId="0" xr:uid="{1E0D4161-DD4E-4844-856F-47F23B3C0970}">
      <text>
        <r>
          <rPr>
            <b/>
            <sz val="9"/>
            <color indexed="81"/>
            <rFont val="Tahoma"/>
            <family val="2"/>
          </rPr>
          <t>Fogg, Christine M:</t>
        </r>
        <r>
          <rPr>
            <sz val="9"/>
            <color indexed="81"/>
            <rFont val="Tahoma"/>
            <family val="2"/>
          </rPr>
          <t xml:space="preserve">
Created in PO in May 2023 - may need to renew in FY24? </t>
        </r>
      </text>
    </comment>
    <comment ref="AA53" authorId="2" shapeId="0" xr:uid="{54A1D797-EDB1-4A25-B63D-01BC27323942}">
      <text>
        <r>
          <rPr>
            <b/>
            <sz val="9"/>
            <color indexed="81"/>
            <rFont val="Tahoma"/>
            <family val="2"/>
          </rPr>
          <t>Fogg, Christine M:</t>
        </r>
        <r>
          <rPr>
            <sz val="9"/>
            <color indexed="81"/>
            <rFont val="Tahoma"/>
            <family val="2"/>
          </rPr>
          <t xml:space="preserve">
SCA's PO</t>
        </r>
      </text>
    </comment>
    <comment ref="C63" authorId="3" shapeId="0" xr:uid="{95303D6C-3E1F-46DD-A5B1-8B9C52027813}">
      <text>
        <t>[Threaded comment]
Your version of Excel allows you to read this threaded comment; however, any edits to it will get removed if the file is opened in a newer version of Excel. Learn more: https://go.microsoft.com/fwlink/?linkid=870924
Comment:
    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
      </text>
    </comment>
    <comment ref="C67" authorId="4" shapeId="0" xr:uid="{19828FFB-7163-4528-A8D6-C2F45A01DAEC}">
      <text>
        <t>[Threaded comment]
Your version of Excel allows you to read this threaded comment; however, any edits to it will get removed if the file is opened in a newer version of Excel. Learn more: https://go.microsoft.com/fwlink/?linkid=870924
Comment:
    Per Ryan Storey: Although technically we can get equipment from other vendors, Smith Turf and Irrigation is our vendor for all Toro purchases in the state of TN set up by Toro</t>
      </text>
    </comment>
    <comment ref="O73" authorId="2" shapeId="0" xr:uid="{0639755F-EDAC-498D-93D3-619F827634FA}">
      <text>
        <r>
          <rPr>
            <b/>
            <sz val="9"/>
            <color indexed="81"/>
            <rFont val="Tahoma"/>
            <family val="2"/>
          </rPr>
          <t>Fogg, Christine M:</t>
        </r>
        <r>
          <rPr>
            <sz val="9"/>
            <color indexed="81"/>
            <rFont val="Tahoma"/>
            <family val="2"/>
          </rPr>
          <t xml:space="preserve">
Evergreen Contract - 6/30/2021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Reschke, James</author>
  </authors>
  <commentList>
    <comment ref="G75" authorId="0" shapeId="0" xr:uid="{ACEE0894-7372-452B-AC43-A330DDE260E7}">
      <text>
        <r>
          <rPr>
            <b/>
            <sz val="9"/>
            <color indexed="81"/>
            <rFont val="Tahoma"/>
            <family val="2"/>
          </rPr>
          <t>Reschke, James:</t>
        </r>
        <r>
          <rPr>
            <sz val="9"/>
            <color indexed="81"/>
            <rFont val="Tahoma"/>
            <family val="2"/>
          </rPr>
          <t xml:space="preserve">
Per Damon, billed out for 2021 and 2022.  Plan to cancel next year w/ reduced contract 11/22/2022
</t>
        </r>
      </text>
    </comment>
    <comment ref="C301" authorId="0" shapeId="0" xr:uid="{C3FA492C-3763-4B65-BAE6-42CEFDDAB58B}">
      <text>
        <r>
          <rPr>
            <b/>
            <sz val="9"/>
            <color indexed="81"/>
            <rFont val="Tahoma"/>
            <family val="2"/>
          </rPr>
          <t>Reschke, James:</t>
        </r>
        <r>
          <rPr>
            <sz val="9"/>
            <color indexed="81"/>
            <rFont val="Tahoma"/>
            <family val="2"/>
          </rPr>
          <t xml:space="preserve">
Fully Billed for the Year (9/2/2021)</t>
        </r>
      </text>
    </comment>
    <comment ref="D400" authorId="0" shapeId="0" xr:uid="{5B725D01-7B36-4020-85BC-1F98C90B2823}">
      <text>
        <r>
          <rPr>
            <b/>
            <sz val="9"/>
            <color indexed="81"/>
            <rFont val="Tahoma"/>
            <family val="2"/>
          </rPr>
          <t>Reschke, James:</t>
        </r>
        <r>
          <rPr>
            <sz val="9"/>
            <color indexed="81"/>
            <rFont val="Tahoma"/>
            <family val="2"/>
          </rPr>
          <t xml:space="preserve">
Spoke with Darren at Nashville Chemical.  Per RFP, rates will increase in Oct-22.  FY23 rates will stay in effect for Jul-Sep.  Double payment for July with refund of one payment( both at FY22 rates)
</t>
        </r>
      </text>
    </comment>
    <comment ref="H400" authorId="0" shapeId="0" xr:uid="{9C3A7A97-EDE6-40A2-91C8-A24BC336DDE4}">
      <text>
        <r>
          <rPr>
            <b/>
            <sz val="9"/>
            <color indexed="81"/>
            <rFont val="Tahoma"/>
            <family val="2"/>
          </rPr>
          <t>Reschke, James:</t>
        </r>
        <r>
          <rPr>
            <sz val="9"/>
            <color indexed="81"/>
            <rFont val="Tahoma"/>
            <family val="2"/>
          </rPr>
          <t xml:space="preserve">
Spoke with Darren at Nashville Chemical.  Per RFP, rates will increase in Oct-22.  FY23 rates will stay in effect for Jul-Sep.  Double payment for July with refund of one payment( both at FY22 rates)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tc={A1F23AAB-4F85-439F-AD60-404090CC56C1}</author>
    <author>Fogg, Christine M</author>
    <author>tc={160283E4-82F4-4E02-87FA-D2E649FFD3AB}</author>
  </authors>
  <commentList>
    <comment ref="C5" authorId="0" shapeId="0" xr:uid="{A1F23AAB-4F85-439F-AD60-404090CC56C1}">
      <text>
        <t>[Threaded comment]
Your version of Excel allows you to read this threaded comment; however, any edits to it will get removed if the file is opened in a newer version of Excel. Learn more: https://go.microsoft.com/fwlink/?linkid=870924
Comment:
    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
      </text>
    </comment>
    <comment ref="J23" authorId="1" shapeId="0" xr:uid="{A8D8CE15-537D-422F-8054-8AFF57B317D9}">
      <text>
        <r>
          <rPr>
            <b/>
            <sz val="9"/>
            <color indexed="81"/>
            <rFont val="Tahoma"/>
            <family val="2"/>
          </rPr>
          <t>Fogg, Christine M:</t>
        </r>
        <r>
          <rPr>
            <sz val="9"/>
            <color indexed="81"/>
            <rFont val="Tahoma"/>
            <family val="2"/>
          </rPr>
          <t xml:space="preserve">
Evergreen contract</t>
        </r>
      </text>
    </comment>
    <comment ref="C25" authorId="2" shapeId="0" xr:uid="{160283E4-82F4-4E02-87FA-D2E649FFD3AB}">
      <text>
        <t>[Threaded comment]
Your version of Excel allows you to read this threaded comment; however, any edits to it will get removed if the file is opened in a newer version of Excel. Learn more: https://go.microsoft.com/fwlink/?linkid=870924
Comment:
    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tc={F0940A9F-A874-4C3F-B544-9ADC05238DF3}</author>
    <author>Adams, Aubrey</author>
    <author>tc={1740FF7B-C012-4E6B-AC54-7B2C6E008B71}</author>
    <author>Fogg, Christine M</author>
    <author>tc={25854396-DDBA-4718-99AF-E5FF4A7A2F17}</author>
    <author>tc={1EB22E99-3537-4594-A6A1-61854CFDCF7C}</author>
    <author>tc={6E0EB6C7-8A66-4A9C-8997-F047099425EB}</author>
  </authors>
  <commentList>
    <comment ref="C8" authorId="0" shapeId="0" xr:uid="{F0940A9F-A874-4C3F-B544-9ADC05238DF3}">
      <text>
        <t>[Threaded comment]
Your version of Excel allows you to read this threaded comment; however, any edits to it will get removed if the file is opened in a newer version of Excel. Learn more: https://go.microsoft.com/fwlink/?linkid=870924
Comment:
    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
      </text>
    </comment>
    <comment ref="AE11" authorId="1" shapeId="0" xr:uid="{9DC67CB0-7F1C-4067-9B78-CFA88195BB35}">
      <text>
        <r>
          <rPr>
            <sz val="11"/>
            <color theme="1"/>
            <rFont val="Calibri"/>
            <family val="2"/>
            <scheme val="minor"/>
          </rPr>
          <t xml:space="preserve">Adams, Aubrey:
Moving to EHS Jan 2025, PO extended. Will remove highlight  once complete
(10/28/24)
</t>
        </r>
      </text>
    </comment>
    <comment ref="Y12" authorId="2" shapeId="0" xr:uid="{1740FF7B-C012-4E6B-AC54-7B2C6E008B71}">
      <text>
        <t>[Threaded comment]
Your version of Excel allows you to read this threaded comment; however, any edits to it will get removed if the file is opened in a newer version of Excel. Learn more: https://go.microsoft.com/fwlink/?linkid=870924
Comment:
    Amount for FY26-FY28; proposal not broken out between years</t>
      </text>
    </comment>
    <comment ref="R37" authorId="3" shapeId="0" xr:uid="{FD4A73BF-E371-411A-B47C-5FB53228DD61}">
      <text>
        <r>
          <rPr>
            <b/>
            <sz val="9"/>
            <color indexed="81"/>
            <rFont val="Tahoma"/>
            <family val="2"/>
          </rPr>
          <t>Fogg, Christine M:</t>
        </r>
        <r>
          <rPr>
            <sz val="9"/>
            <color indexed="81"/>
            <rFont val="Tahoma"/>
            <family val="2"/>
          </rPr>
          <t xml:space="preserve">
Budgeted to SWS Environmental</t>
        </r>
      </text>
    </comment>
    <comment ref="U38" authorId="3" shapeId="0" xr:uid="{C1FD96BD-C46B-4E36-B392-490511FA635F}">
      <text>
        <r>
          <rPr>
            <b/>
            <sz val="9"/>
            <color indexed="81"/>
            <rFont val="Tahoma"/>
            <family val="2"/>
          </rPr>
          <t>Fogg, Christine M:</t>
        </r>
        <r>
          <rPr>
            <sz val="9"/>
            <color indexed="81"/>
            <rFont val="Tahoma"/>
            <family val="2"/>
          </rPr>
          <t xml:space="preserve">
Created in PO in May 2023 - may need to renew in FY24? </t>
        </r>
      </text>
    </comment>
    <comment ref="C70" authorId="4" shapeId="0" xr:uid="{25854396-DDBA-4718-99AF-E5FF4A7A2F17}">
      <text>
        <t>[Threaded comment]
Your version of Excel allows you to read this threaded comment; however, any edits to it will get removed if the file is opened in a newer version of Excel. Learn more: https://go.microsoft.com/fwlink/?linkid=870924
Comment:
    Per Ryan Storey: Although technically we can get equipment from other vendors, Smith Turf and Irrigation is our vendor for all Toro purchases in the state of TN set up by Toro</t>
      </text>
    </comment>
    <comment ref="C71" authorId="5" shapeId="0" xr:uid="{1EB22E99-3537-4594-A6A1-61854CFDCF7C}">
      <text>
        <t>[Threaded comment]
Your version of Excel allows you to read this threaded comment; however, any edits to it will get removed if the file is opened in a newer version of Excel. Learn more: https://go.microsoft.com/fwlink/?linkid=870924
Comment:
    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
      </text>
    </comment>
    <comment ref="Y75" authorId="6" shapeId="0" xr:uid="{6E0EB6C7-8A66-4A9C-8997-F047099425EB}">
      <text>
        <t>[Threaded comment]
Your version of Excel allows you to read this threaded comment; however, any edits to it will get removed if the file is opened in a newer version of Excel. Learn more: https://go.microsoft.com/fwlink/?linkid=870924
Comment:
    No PO for final year - will need to setup</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tc={0DC7A3DB-3C2D-4DC6-97B6-1D35659EFDD6}</author>
    <author>Adams, Aubrey</author>
    <author>tc={6E8A40BA-B7F5-4134-A0B9-C49488CC79D6}</author>
    <author>Fogg, Christine M</author>
    <author>tc={B0ED0C16-A735-4006-8A67-ACD1B47A6BA4}</author>
    <author>tc={A083E33F-0BC7-4086-945F-1512966EE3FB}</author>
    <author>tc={9E2D13E2-9FE6-4CEC-AD55-CCB74C25F356}</author>
  </authors>
  <commentList>
    <comment ref="C8" authorId="0" shapeId="0" xr:uid="{0DC7A3DB-3C2D-4DC6-97B6-1D35659EFDD6}">
      <text>
        <t>[Threaded comment]
Your version of Excel allows you to read this threaded comment; however, any edits to it will get removed if the file is opened in a newer version of Excel. Learn more: https://go.microsoft.com/fwlink/?linkid=870924
Comment:
    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
      </text>
    </comment>
    <comment ref="AE11" authorId="1" shapeId="0" xr:uid="{2F8F9672-A22D-4146-818E-0036888DA4D7}">
      <text>
        <r>
          <rPr>
            <sz val="11"/>
            <color theme="1"/>
            <rFont val="Calibri"/>
            <family val="2"/>
            <scheme val="minor"/>
          </rPr>
          <t xml:space="preserve">Adams, Aubrey:
Moving to EHS Jan 2025, PO extended. Will remove highlight  once complete
(10/28/24)
</t>
        </r>
      </text>
    </comment>
    <comment ref="Y12" authorId="2" shapeId="0" xr:uid="{6E8A40BA-B7F5-4134-A0B9-C49488CC79D6}">
      <text>
        <t>[Threaded comment]
Your version of Excel allows you to read this threaded comment; however, any edits to it will get removed if the file is opened in a newer version of Excel. Learn more: https://go.microsoft.com/fwlink/?linkid=870924
Comment:
    Amount for FY26-FY28; proposal not broken out between years</t>
      </text>
    </comment>
    <comment ref="R37" authorId="3" shapeId="0" xr:uid="{68588268-617D-4A63-AFA0-7BE6C7EC6613}">
      <text>
        <r>
          <rPr>
            <b/>
            <sz val="9"/>
            <color indexed="81"/>
            <rFont val="Tahoma"/>
            <family val="2"/>
          </rPr>
          <t>Fogg, Christine M:</t>
        </r>
        <r>
          <rPr>
            <sz val="9"/>
            <color indexed="81"/>
            <rFont val="Tahoma"/>
            <family val="2"/>
          </rPr>
          <t xml:space="preserve">
Budgeted to SWS Environmental</t>
        </r>
      </text>
    </comment>
    <comment ref="U38" authorId="3" shapeId="0" xr:uid="{1EC77075-F69C-4EEB-96CA-877E64DF539C}">
      <text>
        <r>
          <rPr>
            <b/>
            <sz val="9"/>
            <color indexed="81"/>
            <rFont val="Tahoma"/>
            <family val="2"/>
          </rPr>
          <t>Fogg, Christine M:</t>
        </r>
        <r>
          <rPr>
            <sz val="9"/>
            <color indexed="81"/>
            <rFont val="Tahoma"/>
            <family val="2"/>
          </rPr>
          <t xml:space="preserve">
Created in PO in May 2023 - may need to renew in FY24? </t>
        </r>
      </text>
    </comment>
    <comment ref="C70" authorId="4" shapeId="0" xr:uid="{B0ED0C16-A735-4006-8A67-ACD1B47A6BA4}">
      <text>
        <t>[Threaded comment]
Your version of Excel allows you to read this threaded comment; however, any edits to it will get removed if the file is opened in a newer version of Excel. Learn more: https://go.microsoft.com/fwlink/?linkid=870924
Comment:
    Per Ryan Storey: Although technically we can get equipment from other vendors, Smith Turf and Irrigation is our vendor for all Toro purchases in the state of TN set up by Toro</t>
      </text>
    </comment>
    <comment ref="C71" authorId="5" shapeId="0" xr:uid="{A083E33F-0BC7-4086-945F-1512966EE3FB}">
      <text>
        <t>[Threaded comment]
Your version of Excel allows you to read this threaded comment; however, any edits to it will get removed if the file is opened in a newer version of Excel. Learn more: https://go.microsoft.com/fwlink/?linkid=870924
Comment:
    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
      </text>
    </comment>
    <comment ref="Y75" authorId="6" shapeId="0" xr:uid="{9E2D13E2-9FE6-4CEC-AD55-CCB74C25F356}">
      <text>
        <t>[Threaded comment]
Your version of Excel allows you to read this threaded comment; however, any edits to it will get removed if the file is opened in a newer version of Excel. Learn more: https://go.microsoft.com/fwlink/?linkid=870924
Comment:
    No PO for final year - will need to setup</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Adams, Aubrey</author>
  </authors>
  <commentList>
    <comment ref="W16" authorId="0" shapeId="0" xr:uid="{707E661E-11EB-44E8-A5B8-9B7E5F2AC87F}">
      <text>
        <r>
          <rPr>
            <sz val="11"/>
            <color theme="1"/>
            <rFont val="Calibri"/>
            <family val="2"/>
            <scheme val="minor"/>
          </rPr>
          <t>Adams, Aubrey:
note for me - update these columns x &amp; y with fy24/25  once blankets are in place</t>
        </r>
      </text>
    </comment>
  </commentList>
</comments>
</file>

<file path=xl/sharedStrings.xml><?xml version="1.0" encoding="utf-8"?>
<sst xmlns="http://schemas.openxmlformats.org/spreadsheetml/2006/main" count="9962" uniqueCount="2239">
  <si>
    <t>Supplier</t>
  </si>
  <si>
    <t>Scope</t>
  </si>
  <si>
    <t>Proprietary?
(Y/N)</t>
  </si>
  <si>
    <t>FUM</t>
  </si>
  <si>
    <t>Admin</t>
  </si>
  <si>
    <t>Financial Unit</t>
  </si>
  <si>
    <t>Financial Unit Name</t>
  </si>
  <si>
    <t>Account Code</t>
  </si>
  <si>
    <t>Main Contact</t>
  </si>
  <si>
    <t>Director</t>
  </si>
  <si>
    <t>Contract No</t>
  </si>
  <si>
    <t>FY24 Budget</t>
  </si>
  <si>
    <t>YoY Budget Change</t>
  </si>
  <si>
    <t>FY24 Committed</t>
  </si>
  <si>
    <t>Ace Exterminating (Scottie A Yant)</t>
  </si>
  <si>
    <t>Annual termite inspection for select buildings</t>
  </si>
  <si>
    <t>N</t>
  </si>
  <si>
    <t>James Reshcke</t>
  </si>
  <si>
    <t>Kathy Carney</t>
  </si>
  <si>
    <t>Plant Operations Services</t>
  </si>
  <si>
    <t>Robert West</t>
  </si>
  <si>
    <t>Matthew Buckley</t>
  </si>
  <si>
    <t>Airtech LLC a.k.a IDG Compressor</t>
  </si>
  <si>
    <t>MRBIII Descant Drier # 1 Annual Service</t>
  </si>
  <si>
    <t>Heather Watkins</t>
  </si>
  <si>
    <t>Telitha Collier</t>
  </si>
  <si>
    <t>Building Maintenance</t>
  </si>
  <si>
    <t>Jimmy Thompson</t>
  </si>
  <si>
    <t>Mike Meadows</t>
  </si>
  <si>
    <t>None</t>
  </si>
  <si>
    <t>AL Compressed Gases</t>
  </si>
  <si>
    <t>Cylinder rental (grounds)</t>
  </si>
  <si>
    <t>Grounds Maintenance</t>
  </si>
  <si>
    <t>Tyler Morris</t>
  </si>
  <si>
    <t>Artisan Landscape</t>
  </si>
  <si>
    <t>Irrigation systems repairs - Campus &amp; Med Ctr.</t>
  </si>
  <si>
    <t>Automated Doors and Access</t>
  </si>
  <si>
    <t>Labor and materials of door and door hardware repair</t>
  </si>
  <si>
    <t>Y</t>
  </si>
  <si>
    <t>Kelly Corbett</t>
  </si>
  <si>
    <t>Big Belly - 04/01/2018 - 03/31/2023</t>
  </si>
  <si>
    <t>Solar trash Compacting Bins</t>
  </si>
  <si>
    <t>BioWaste Services LLC</t>
  </si>
  <si>
    <t>Bio-waste disposal (Learned Lab, MRBIII, SC2, SC5, ESB, Jacobs, Olin)</t>
  </si>
  <si>
    <t>Custodial Services</t>
  </si>
  <si>
    <t>Lamar Cumings</t>
  </si>
  <si>
    <t>Blinds All Around (Justin Romano)</t>
  </si>
  <si>
    <t>Blind cleaning</t>
  </si>
  <si>
    <t>BuildingLogiX (Waibel Energy)</t>
  </si>
  <si>
    <t>FD&amp;D monthly service (Warren/Moore, Featheringill/Jacobs, Alumni, Buttrick, Common)</t>
  </si>
  <si>
    <t>Utility Distribution</t>
  </si>
  <si>
    <t>Darren Bevill</t>
  </si>
  <si>
    <t>Cintas Corporation (Floormats)</t>
  </si>
  <si>
    <t>Cleaning of floormats</t>
  </si>
  <si>
    <t>Comfort Group (Automated Controls)</t>
  </si>
  <si>
    <t xml:space="preserve">Service call basis only </t>
  </si>
  <si>
    <t>Damon Varble</t>
  </si>
  <si>
    <t>Complete Comfort Control</t>
  </si>
  <si>
    <t>Maintenance contract carrier chiller</t>
  </si>
  <si>
    <t>Compost Company</t>
  </si>
  <si>
    <t>Compost waste services</t>
  </si>
  <si>
    <t>Critical Components Inc</t>
  </si>
  <si>
    <t>Annual maintenance checks for UPS emergency power</t>
  </si>
  <si>
    <t>CSR Engineering</t>
  </si>
  <si>
    <t>Annual inspection of North and South pedestrian bridge</t>
  </si>
  <si>
    <t>Chris Preston</t>
  </si>
  <si>
    <t>Cumberland Predictive Maintenance</t>
  </si>
  <si>
    <t>Vibration analysis (Zones &amp; Powerhouse)</t>
  </si>
  <si>
    <t>Building Maintenance
Utility Operations</t>
  </si>
  <si>
    <t>Daikin Applied</t>
  </si>
  <si>
    <t xml:space="preserve">Chiller maint - inspections -Eskind, Olin, Student Rec, Lewis Morgan, Baker </t>
  </si>
  <si>
    <t>Diamond Clean JVG (Llareli Gomora Villasenor)</t>
  </si>
  <si>
    <t>Custodial services for Dyer Observatory</t>
  </si>
  <si>
    <t>Alexandra Rockafeller</t>
  </si>
  <si>
    <t>Christine Fogg</t>
  </si>
  <si>
    <t>Don Kennedy Roofing</t>
  </si>
  <si>
    <t>Roof inspections (Zones 1, 4, 5)</t>
  </si>
  <si>
    <t>Jesse Chandler
Jason Pernell
Jimmy Thompson</t>
  </si>
  <si>
    <t>Elitte Septic</t>
  </si>
  <si>
    <t>Grease trap maintenance</t>
  </si>
  <si>
    <t>Terry Haley</t>
  </si>
  <si>
    <t>Empire Roofing</t>
  </si>
  <si>
    <t>Roof inspections (Zones 2 and 3)</t>
  </si>
  <si>
    <t>Dennis Wilcox
Ricky Chandler</t>
  </si>
  <si>
    <t>200016
200107</t>
  </si>
  <si>
    <t>Enerflex</t>
  </si>
  <si>
    <t>Annual preventative maintenance for gas compressor</t>
  </si>
  <si>
    <t>Utility Operations</t>
  </si>
  <si>
    <t>Evoqua Water Technologies</t>
  </si>
  <si>
    <t>Deionized water maintenance (ESB and MRBIII)</t>
  </si>
  <si>
    <t>IWTC Inc.</t>
  </si>
  <si>
    <t>Reverse osmosis unit maintenance</t>
  </si>
  <si>
    <t>Jani King of Nashville</t>
  </si>
  <si>
    <t>Custodial services for 17th and Horton (formerly Sony)</t>
  </si>
  <si>
    <t>John Bouchard &amp; Sons</t>
  </si>
  <si>
    <t>Fire sprinkler inspections (includes move-in)</t>
  </si>
  <si>
    <t>Minor repairs (less than $3,000)</t>
  </si>
  <si>
    <t>K&amp;A Landscaping (Kelly Gregory)</t>
  </si>
  <si>
    <t xml:space="preserve">Landscaping services - Dyer Observatory &amp; Cemetery </t>
  </si>
  <si>
    <t>Lerch Bates Inc.</t>
  </si>
  <si>
    <t>Elevator maintenance (consulting)</t>
  </si>
  <si>
    <t>Mantis Building Services</t>
  </si>
  <si>
    <t>Window cleaning</t>
  </si>
  <si>
    <t>Mechanical Resource Group (Chillers)</t>
  </si>
  <si>
    <t>Chiller maintenance (Multistack)</t>
  </si>
  <si>
    <t>Mechanical Resource Group (VRV System)</t>
  </si>
  <si>
    <t>Bi-Annual Service Checker / Quaterly Prev Maint for Outdoor Units</t>
  </si>
  <si>
    <t>Mid South Instrument Services Inc.</t>
  </si>
  <si>
    <t>Controls work for powerhouse</t>
  </si>
  <si>
    <t>Nashville Chemical &amp; Equip Co (DuBois Chemicals)</t>
  </si>
  <si>
    <t>Water treatment for powerhouse, campus, &amp; water-safety</t>
  </si>
  <si>
    <t>Nashville Door Closer Services</t>
  </si>
  <si>
    <t>Install various door hardware</t>
  </si>
  <si>
    <t>Perk Products</t>
  </si>
  <si>
    <t>Salt delivery for cogeneration plant</t>
  </si>
  <si>
    <t>Pye Barker (PB Parent Holdco LP)</t>
  </si>
  <si>
    <t>CO2 Suppression Testing</t>
  </si>
  <si>
    <t>Fire extinguisher inspections &amp; call backs</t>
  </si>
  <si>
    <t>Reladyne</t>
  </si>
  <si>
    <t>Fuel (Chestnut, Peabody, and Powerhouse)</t>
  </si>
  <si>
    <t>Tyler Morris
Robert West</t>
  </si>
  <si>
    <t>Russell's Glass</t>
  </si>
  <si>
    <t>Campus glass and window repairs</t>
  </si>
  <si>
    <t>Zones</t>
  </si>
  <si>
    <t>SCA (Sani-Tech JetVac Serv)</t>
  </si>
  <si>
    <t>Storm water units maintenance</t>
  </si>
  <si>
    <t>Solar Turbines Inc.</t>
  </si>
  <si>
    <t>Turbine maintenance (GT#1 and GT #3)</t>
  </si>
  <si>
    <t>The Budd Group</t>
  </si>
  <si>
    <t>Custodial services for athletic buildings and preseason cleaning</t>
  </si>
  <si>
    <t xml:space="preserve">Weekend custodial services for student recreation center </t>
  </si>
  <si>
    <t>Underground Locators of Nashville</t>
  </si>
  <si>
    <t>Utility location</t>
  </si>
  <si>
    <t>Urban Elevator Services</t>
  </si>
  <si>
    <t>Monthly elevator inspections and game day support</t>
  </si>
  <si>
    <t>Veolia Technical Solutions</t>
  </si>
  <si>
    <t>Hazardous waste disposal</t>
  </si>
  <si>
    <t>Warren Insulation</t>
  </si>
  <si>
    <t>Chiller reinsulation</t>
  </si>
  <si>
    <t>Waste Management of TN (Trash)</t>
  </si>
  <si>
    <t>Trash service for Greeks &amp; Univ, scrap metal recycling</t>
  </si>
  <si>
    <t>WW Williams</t>
  </si>
  <si>
    <t>Generator maintenance</t>
  </si>
  <si>
    <t>Manager / Contact</t>
  </si>
  <si>
    <t>Asst Director / Director</t>
  </si>
  <si>
    <t>Documentation Type</t>
  </si>
  <si>
    <t>Multiple Quotes/Estimates needed</t>
  </si>
  <si>
    <t>Contract Type</t>
  </si>
  <si>
    <t>Contract Start Date</t>
  </si>
  <si>
    <t>Contract End Date</t>
  </si>
  <si>
    <t>RFP / Contract Renewal</t>
  </si>
  <si>
    <t>FY22 Budget</t>
  </si>
  <si>
    <t>FY22 Committed</t>
  </si>
  <si>
    <t>FY23 Budget</t>
  </si>
  <si>
    <t>FY23 Committed</t>
  </si>
  <si>
    <t>FY24</t>
  </si>
  <si>
    <t>FY25</t>
  </si>
  <si>
    <t>FY26</t>
  </si>
  <si>
    <t>FYY27</t>
  </si>
  <si>
    <t>FY22 PO</t>
  </si>
  <si>
    <t>PO Start</t>
  </si>
  <si>
    <t>PO End</t>
  </si>
  <si>
    <t>FY23 PO#</t>
  </si>
  <si>
    <t>Target PO Renewal Date</t>
  </si>
  <si>
    <t>Complete in Oracle?</t>
  </si>
  <si>
    <t>Notes</t>
  </si>
  <si>
    <t>AiM Entry?</t>
  </si>
  <si>
    <t>AiM Complete?</t>
  </si>
  <si>
    <t>Template Complete</t>
  </si>
  <si>
    <t>AiM Notes</t>
  </si>
  <si>
    <t>Chemsearch (NCH Corporation)</t>
  </si>
  <si>
    <t>Grease trap maintenance - chemicals to kitchen systems (Kissam, Rand, Commons)</t>
  </si>
  <si>
    <t>Mitch Lampley</t>
  </si>
  <si>
    <t>Quote</t>
  </si>
  <si>
    <t>No</t>
  </si>
  <si>
    <t>Service/Maintenance</t>
  </si>
  <si>
    <t>3 months</t>
  </si>
  <si>
    <t>P22034773</t>
  </si>
  <si>
    <t>Yes</t>
  </si>
  <si>
    <t>MWA</t>
  </si>
  <si>
    <t>P21050013</t>
  </si>
  <si>
    <t>200016; 200107</t>
  </si>
  <si>
    <t>P21048375</t>
  </si>
  <si>
    <t>P21049588</t>
  </si>
  <si>
    <t>PSA</t>
  </si>
  <si>
    <t>P21047595</t>
  </si>
  <si>
    <t>Overhead - no AiM entry</t>
  </si>
  <si>
    <t>Rambo Glass</t>
  </si>
  <si>
    <t>Rate chart</t>
  </si>
  <si>
    <t>Purchase</t>
  </si>
  <si>
    <t>P22014200</t>
  </si>
  <si>
    <t>Work orders to be provided by managers - based on building</t>
  </si>
  <si>
    <t>Estimate</t>
  </si>
  <si>
    <t>P21044994</t>
  </si>
  <si>
    <t>Contract</t>
  </si>
  <si>
    <t>Purchase (Services)</t>
  </si>
  <si>
    <t>6 months</t>
  </si>
  <si>
    <t>P22033209</t>
  </si>
  <si>
    <t>Estimate/quote</t>
  </si>
  <si>
    <t>P21050007</t>
  </si>
  <si>
    <t>Get work orders from managers as needed</t>
  </si>
  <si>
    <t>Facilities Signed Memo</t>
  </si>
  <si>
    <t>Document Type</t>
  </si>
  <si>
    <t>FY20 Budget</t>
  </si>
  <si>
    <t>FY21 Budget</t>
  </si>
  <si>
    <t>FY21 Committed</t>
  </si>
  <si>
    <t>ADS Security (Child Care Centers)</t>
  </si>
  <si>
    <t>Fire monitoring; fire alarm inspection</t>
  </si>
  <si>
    <t>ADS Security</t>
  </si>
  <si>
    <t>N/A - under $25k</t>
  </si>
  <si>
    <t>Quotes</t>
  </si>
  <si>
    <t>Artisan</t>
  </si>
  <si>
    <t>Estimated cost</t>
  </si>
  <si>
    <t>Atlas</t>
  </si>
  <si>
    <t>Compressed air equipment maintenance</t>
  </si>
  <si>
    <t>Service agreement</t>
  </si>
  <si>
    <t>Big Belly</t>
  </si>
  <si>
    <t>Pricing list</t>
  </si>
  <si>
    <t>Big Belly Addition</t>
  </si>
  <si>
    <t>BuildingLogiX</t>
  </si>
  <si>
    <t>BuildingLogix</t>
  </si>
  <si>
    <t>Proposal</t>
  </si>
  <si>
    <t>Grease trap maintenance (Kissam, Rand, Commons)</t>
  </si>
  <si>
    <t>Chemsearch</t>
  </si>
  <si>
    <t>Chilton Turf Center</t>
  </si>
  <si>
    <t>Grounds materials, parts, and supplies</t>
  </si>
  <si>
    <t>Chilton Turf</t>
  </si>
  <si>
    <t>Cintas Corporation</t>
  </si>
  <si>
    <t>Floormats</t>
  </si>
  <si>
    <t>Cintas Mats</t>
  </si>
  <si>
    <t>Uniforms</t>
  </si>
  <si>
    <t>Cintas Uniforms</t>
  </si>
  <si>
    <t>Automated Logic system support/maintenance</t>
  </si>
  <si>
    <t>Comfort Group</t>
  </si>
  <si>
    <t>N/A</t>
  </si>
  <si>
    <t>Quote/proposal</t>
  </si>
  <si>
    <t>Cumberland Machine</t>
  </si>
  <si>
    <t>Vacuum pump annual pm's at MRB III</t>
  </si>
  <si>
    <t>Cumberland Predictive Maint.</t>
  </si>
  <si>
    <t>Vibration analysis (Zones)</t>
  </si>
  <si>
    <t>Vibration analysis (Powerhouse)</t>
  </si>
  <si>
    <t>Cummins Crosspoint</t>
  </si>
  <si>
    <t>Planned equipment maintenance</t>
  </si>
  <si>
    <t>Chiller maint - 4 inspect/yr (Eskind, Olin, Student Rec, Lewis Morgan, Data Center)</t>
  </si>
  <si>
    <t>Daikin</t>
  </si>
  <si>
    <t>Don Kennedy</t>
  </si>
  <si>
    <t>Enterprise FM Trust</t>
  </si>
  <si>
    <t>Vehicle lease program</t>
  </si>
  <si>
    <t>Vehicle maintenance program</t>
  </si>
  <si>
    <t>Deionized water maintenance (ESB)</t>
  </si>
  <si>
    <t>Evoqua - ESB</t>
  </si>
  <si>
    <t>Deionized water maintenance (MRB III)</t>
  </si>
  <si>
    <t>Evoqua - MRBIII</t>
  </si>
  <si>
    <t>Ferrellgas</t>
  </si>
  <si>
    <t>Propane purchase</t>
  </si>
  <si>
    <t>Golf Management Group</t>
  </si>
  <si>
    <t>Sports field aeration</t>
  </si>
  <si>
    <t>Golf Management</t>
  </si>
  <si>
    <t>Holston Gases</t>
  </si>
  <si>
    <t>Cylinder rental (powerhouse)</t>
  </si>
  <si>
    <t>IWTC</t>
  </si>
  <si>
    <t>John Bouchard</t>
  </si>
  <si>
    <t>Johnson Controls</t>
  </si>
  <si>
    <t>Chiller maintenance</t>
  </si>
  <si>
    <t>Johnson Controls - Chillers</t>
  </si>
  <si>
    <t>Johnson Controls (Metasys)</t>
  </si>
  <si>
    <t>Metasys controls programming</t>
  </si>
  <si>
    <t>Johnson Controls - Metasys</t>
  </si>
  <si>
    <t>K &amp; A Landscaping</t>
  </si>
  <si>
    <t>Lerch Bates</t>
  </si>
  <si>
    <t>Mantis</t>
  </si>
  <si>
    <t>Quote/Pricing</t>
  </si>
  <si>
    <t>Mechanical Resource Group</t>
  </si>
  <si>
    <t>Mechanical Resource Group Chillers</t>
  </si>
  <si>
    <t>PM for Liebert units</t>
  </si>
  <si>
    <t>Mechanical Resource Group - Lieberts</t>
  </si>
  <si>
    <t>Mid South Instrument Service</t>
  </si>
  <si>
    <t>Quote - work with Mitch</t>
  </si>
  <si>
    <t>Nashville Chemical &amp; Equip Co</t>
  </si>
  <si>
    <t>Water treatment for powerhouse, campus, and water-safety</t>
  </si>
  <si>
    <t>Nashville Chemical</t>
  </si>
  <si>
    <t>PeopleReady (was CLP Resources)</t>
  </si>
  <si>
    <t>Moving crew support</t>
  </si>
  <si>
    <t>Perk Products and Chemical</t>
  </si>
  <si>
    <t>Premier Elevator</t>
  </si>
  <si>
    <t>Monthly elevator inspection</t>
  </si>
  <si>
    <t>Pye Barker Fire &amp; Safety Inc.</t>
  </si>
  <si>
    <t>Pye Barker</t>
  </si>
  <si>
    <t>Pye Barker - CO2 Suppression</t>
  </si>
  <si>
    <t>Reladyne (formerly JB Weimar)</t>
  </si>
  <si>
    <t>Resource Facility Solutions (RFS)</t>
  </si>
  <si>
    <t>Russells Glass</t>
  </si>
  <si>
    <t>Smith Turf &amp; Irrigation</t>
  </si>
  <si>
    <t>Turbine maintenance (GT#1)</t>
  </si>
  <si>
    <t>Solar Turbines</t>
  </si>
  <si>
    <t>SWS Environmental Services (NRC)</t>
  </si>
  <si>
    <t>SWS Environmental - Grease Traps</t>
  </si>
  <si>
    <t>Annual storm catch basin maintenance</t>
  </si>
  <si>
    <t>SWS Environmental - Storm Water</t>
  </si>
  <si>
    <t>TPI (The Precisionists)</t>
  </si>
  <si>
    <t>Disability Employment Model</t>
  </si>
  <si>
    <t>Trane</t>
  </si>
  <si>
    <t>Chiller maintenance (Campus + Powerhouse)</t>
  </si>
  <si>
    <t>101380 / 102252</t>
  </si>
  <si>
    <t>Underground Utility Locators</t>
  </si>
  <si>
    <t>Veolia</t>
  </si>
  <si>
    <t>Waste Management of TN</t>
  </si>
  <si>
    <t>Bio-waste disposal (Learned Lab, MRB III, Stevenson)</t>
  </si>
  <si>
    <t>Waste Management - Biowaste</t>
  </si>
  <si>
    <t>Trash service for Greeks and University, scrap metal recycling</t>
  </si>
  <si>
    <t>Waste Management Metal Recycle and Trash</t>
  </si>
  <si>
    <t>WFF</t>
  </si>
  <si>
    <t>Custodial services, stadium annual pre-season cleaning, projects</t>
  </si>
  <si>
    <t>William R Faxon</t>
  </si>
  <si>
    <t>Sculpture restoration &amp; cleaning</t>
  </si>
  <si>
    <t>Reladyne (JB Weimar)</t>
  </si>
  <si>
    <t>Chiller maintenance (Powerhouse)</t>
  </si>
  <si>
    <t>FY23</t>
  </si>
  <si>
    <t>FY21 PO</t>
  </si>
  <si>
    <t>FY22 PO#</t>
  </si>
  <si>
    <t>Homewood Suites</t>
  </si>
  <si>
    <t>Hotel accomodations</t>
  </si>
  <si>
    <t>Lis Wyatt</t>
  </si>
  <si>
    <t>Mark Petty</t>
  </si>
  <si>
    <t>Business Affairs</t>
  </si>
  <si>
    <t>P22019682</t>
  </si>
  <si>
    <t>Entered by Marsha</t>
  </si>
  <si>
    <t>Holiday Inn dba West Trace</t>
  </si>
  <si>
    <t>P22019683</t>
  </si>
  <si>
    <t>Scarritt Bennett</t>
  </si>
  <si>
    <t>LSI</t>
  </si>
  <si>
    <t>Snow and ice removal</t>
  </si>
  <si>
    <t>Matt Buckley</t>
  </si>
  <si>
    <t>Receive wo# from managers as needed</t>
  </si>
  <si>
    <t>The Parke Company</t>
  </si>
  <si>
    <t>Annual Snow Plan</t>
  </si>
  <si>
    <t>Description</t>
  </si>
  <si>
    <t>LSI (Landscape Services)</t>
  </si>
  <si>
    <t>Holiday Inn (West Trace)</t>
  </si>
  <si>
    <t>Hotel room reservations</t>
  </si>
  <si>
    <t>Scarritt-Bennett</t>
  </si>
  <si>
    <t>P21044814</t>
  </si>
  <si>
    <t>Harold W Moore and Sons</t>
  </si>
  <si>
    <t>Summer painting</t>
  </si>
  <si>
    <t>John S Shacklett and Sons</t>
  </si>
  <si>
    <t>Pro Clean</t>
  </si>
  <si>
    <t>Carpet cleaning -  sororities</t>
  </si>
  <si>
    <t>Resource Facility Solutions (Sandra L Ramirez)</t>
  </si>
  <si>
    <t>Rose Carpet Cleaning</t>
  </si>
  <si>
    <t>Carpet cleaning</t>
  </si>
  <si>
    <t>Summer maintenance - code with activity code 014</t>
  </si>
  <si>
    <t>Summer Painting (information from 2019)</t>
  </si>
  <si>
    <t>RSF - FY21-22 Summer cleaning</t>
  </si>
  <si>
    <t>ERC# 2021-0367 (EBI)</t>
  </si>
  <si>
    <t>ERC# 2021-0365 (Moore College)</t>
  </si>
  <si>
    <t>ERC# 2021-0364 (Zeppos)</t>
  </si>
  <si>
    <t>Work order</t>
  </si>
  <si>
    <t>Date</t>
  </si>
  <si>
    <t>Sandra L Ramirez dba Resource Facility Solutions LLC</t>
  </si>
  <si>
    <t>Summer Detail Cleaning</t>
  </si>
  <si>
    <t>P21002740</t>
  </si>
  <si>
    <t>21-001145</t>
  </si>
  <si>
    <t>Summer Maintenance Supplemental Cleaning</t>
  </si>
  <si>
    <t>P21003847</t>
  </si>
  <si>
    <t>Summer Maintenance Supplemental Floor Cleaning</t>
  </si>
  <si>
    <t>P21003846</t>
  </si>
  <si>
    <t>20-046478</t>
  </si>
  <si>
    <t>P21005282</t>
  </si>
  <si>
    <t>20-046474</t>
  </si>
  <si>
    <t>P21005129</t>
  </si>
  <si>
    <t>Summer Maintenance Floor Care</t>
  </si>
  <si>
    <t xml:space="preserve">P21005916
	</t>
  </si>
  <si>
    <t>20-046523-002</t>
  </si>
  <si>
    <t>Camfil</t>
  </si>
  <si>
    <t>Summer Housing Filters 2021</t>
  </si>
  <si>
    <t>P21040341</t>
  </si>
  <si>
    <t>Multiple</t>
  </si>
  <si>
    <t>Blinds All Around a.k.a. Justin Romano</t>
  </si>
  <si>
    <t>Window Blinds Cleaning-Summer Maint.</t>
  </si>
  <si>
    <t>multiple</t>
  </si>
  <si>
    <t>Summer Maintenance Carpet Cleaning</t>
  </si>
  <si>
    <t>RXXXXXXX</t>
  </si>
  <si>
    <t>21-057444-002</t>
  </si>
  <si>
    <t>P21047590</t>
  </si>
  <si>
    <t>21-057225-002</t>
  </si>
  <si>
    <t>21-057224-002</t>
  </si>
  <si>
    <t>P21047496</t>
  </si>
  <si>
    <t>21-057221-002</t>
  </si>
  <si>
    <t>Summer Maintenance Cleaning</t>
  </si>
  <si>
    <t>P21046625</t>
  </si>
  <si>
    <t>21-064723-002/21-064722-002</t>
  </si>
  <si>
    <t>Blinds Cleaning-Summer Maint. (Greek Housing)</t>
  </si>
  <si>
    <t>P21046468</t>
  </si>
  <si>
    <t>Pro-Clean LLC</t>
  </si>
  <si>
    <t>Sorority Summer Carpet Cleaning 2021</t>
  </si>
  <si>
    <t>Single Bid
Multiple Bid
RFP</t>
  </si>
  <si>
    <t>SSJ Needed?</t>
  </si>
  <si>
    <t>Contract Extensions</t>
  </si>
  <si>
    <t>Date to Start Bid/RFP Process</t>
  </si>
  <si>
    <t>FY27</t>
  </si>
  <si>
    <t>FY28</t>
  </si>
  <si>
    <t>FY23 PO</t>
  </si>
  <si>
    <t>FY24 PO#</t>
  </si>
  <si>
    <t>Status Notes</t>
  </si>
  <si>
    <t>AiM Entry? (Yes/No)</t>
  </si>
  <si>
    <t>AiM Complete? (Yes/No/NA)</t>
  </si>
  <si>
    <t>Facilities Purchasing Team Notes</t>
  </si>
  <si>
    <t>VUMO Notes</t>
  </si>
  <si>
    <t>Aubrey Adams</t>
  </si>
  <si>
    <t>P23000336</t>
  </si>
  <si>
    <t>P24004070</t>
  </si>
  <si>
    <t>No template needed - WO#s provided by Robert West</t>
  </si>
  <si>
    <t>Contract expires 12/2/23 with an auto renewal unless terminated (12/2/24) Spend doesn't meet RFP; 3Qs to award</t>
  </si>
  <si>
    <t>Procurement to put new contract in place</t>
  </si>
  <si>
    <t>Advantra Waste Services</t>
  </si>
  <si>
    <t>Biological waste (specialty animals)</t>
  </si>
  <si>
    <t>EH&amp;S</t>
  </si>
  <si>
    <t>Robin Trundy</t>
  </si>
  <si>
    <t>Andrea George</t>
  </si>
  <si>
    <t>P24003196</t>
  </si>
  <si>
    <t>Christine to check (this is EH&amp;S)</t>
  </si>
  <si>
    <t>Good to move forward with PO</t>
  </si>
  <si>
    <t>MRBIII 3 vacuum pump maintenance</t>
  </si>
  <si>
    <t>P23002150
P23002211</t>
  </si>
  <si>
    <t>P24009505</t>
  </si>
  <si>
    <t>Christine to check with Chris</t>
  </si>
  <si>
    <t>Low spend; a few occasions where an SSJ required ($25k+)</t>
  </si>
  <si>
    <t>MRBIII Descant Drier # 1 Annual Service (4yr service)</t>
  </si>
  <si>
    <t>P23002211</t>
  </si>
  <si>
    <t>P24016813</t>
  </si>
  <si>
    <t>Need to get work order from manager</t>
  </si>
  <si>
    <t>Joe Kovolyan</t>
  </si>
  <si>
    <t>P22056250</t>
  </si>
  <si>
    <t>P23055119</t>
  </si>
  <si>
    <t xml:space="preserve">Contract expired (Andrew G did last extension); meets spend for RFP (from FY20 to date $1.9M+ campus-wide spend) </t>
  </si>
  <si>
    <t>AssetWorks (Fuel Drive)</t>
  </si>
  <si>
    <t>Fuel Drive (should be included on SA in FY23)</t>
  </si>
  <si>
    <t>James Reschke</t>
  </si>
  <si>
    <t>William Nwaokolo</t>
  </si>
  <si>
    <t>Tanish Newell</t>
  </si>
  <si>
    <t>P23005777</t>
  </si>
  <si>
    <t>P24019269</t>
  </si>
  <si>
    <t>IT contract (JZ to run-DV follow-up)</t>
  </si>
  <si>
    <t>Good through December 2024</t>
  </si>
  <si>
    <t>AssetWorks (Systems)</t>
  </si>
  <si>
    <t>AiM, GIS, ANA, AiMCAD plug-in, GO AM, ReADY Request, AiMCAD Revit, and AssetSync</t>
  </si>
  <si>
    <t>P22058471</t>
  </si>
  <si>
    <t>P24002247</t>
  </si>
  <si>
    <t>07/06/23: Memo signed - ready to be sent to Kathy</t>
  </si>
  <si>
    <t>Atlantic Training</t>
  </si>
  <si>
    <t>Comprehensive training for up to 250 users</t>
  </si>
  <si>
    <t>Scotty Glasgow</t>
  </si>
  <si>
    <t>Scott Eller</t>
  </si>
  <si>
    <t>P24017111</t>
  </si>
  <si>
    <t>NPO - will need to create a new PO for each year to pay for subscription ( 3 years FY24-FY26)</t>
  </si>
  <si>
    <t>Exclude - multi year through 2026</t>
  </si>
  <si>
    <t>Atlas Copco</t>
  </si>
  <si>
    <t>P22052202</t>
  </si>
  <si>
    <t>Renewal March 2027</t>
  </si>
  <si>
    <t>Added Distribution; Changed to multi-phase WO w/assets linked (28860,28861,30518,30553,30563,30583)</t>
  </si>
  <si>
    <t>Contract expires 3/8/27 (no auto renewals); 5 year spend (as of 4/7/23) doesn't meet RFP; 3Qs to award</t>
  </si>
  <si>
    <t>Exclude - multi year through 2027</t>
  </si>
  <si>
    <t>P23000360</t>
  </si>
  <si>
    <t>P24000969</t>
  </si>
  <si>
    <t>Change order created 2/15/23 to increase PO by $3000</t>
  </si>
  <si>
    <t>No template needed - WO#s provided by Kelly Corbett</t>
  </si>
  <si>
    <t>Contract expires 10/12/23 with an auto renewal (10/12/24); spend doesn't meet RFP; 3Qs to award; 2/20/2024- FY 24 PO increased to $13,000</t>
  </si>
  <si>
    <t>Procurement to negotiate contract</t>
  </si>
  <si>
    <t>Barcodes - 05/15/2023 - 05/14/2025</t>
  </si>
  <si>
    <t>Renewal plan for printers</t>
  </si>
  <si>
    <t>P24013495</t>
  </si>
  <si>
    <t>Exclude - multi year through 2025</t>
  </si>
  <si>
    <t>Bionomics</t>
  </si>
  <si>
    <t>Radioactive waste</t>
  </si>
  <si>
    <t>Marcus Balanky</t>
  </si>
  <si>
    <t>P23057482</t>
  </si>
  <si>
    <t>2 year</t>
  </si>
  <si>
    <t>P22036729</t>
  </si>
  <si>
    <t>P23062724</t>
  </si>
  <si>
    <t>Finance Shop; Olin (64920); ESB (64921); FEL (64922); MRB III (64923); Learned Lab (64924); SC2 (64926); SC5 (64925); SC6 (64927); SC7(64928)</t>
  </si>
  <si>
    <t>Contract expires 6/30/2025 with an auto renewal (6/30/26); spend does meet RFP threshold</t>
  </si>
  <si>
    <t>P22055417</t>
  </si>
  <si>
    <t>P24007015</t>
  </si>
  <si>
    <t xml:space="preserve">Can a template be created for this? </t>
  </si>
  <si>
    <t>Contract expires 5/18/25 with 2 one-year renewals (5/18/27); meets spend for RFP</t>
  </si>
  <si>
    <t>Border States (Schneider Electric)</t>
  </si>
  <si>
    <t>Provide software support and in person quarterly visits</t>
  </si>
  <si>
    <t>P22010691</t>
  </si>
  <si>
    <t>No template needed</t>
  </si>
  <si>
    <t>Contract expires 6/30/21 with 2 one-year renewals (6/30/23); meets spend for RFP (FY20 to date $3M+)</t>
  </si>
  <si>
    <t>James to find out if Damon wants to renew in 2025</t>
  </si>
  <si>
    <t>P22057499</t>
  </si>
  <si>
    <t>P24001557</t>
  </si>
  <si>
    <t>(FY22 tempdate 2612)</t>
  </si>
  <si>
    <t>Contract extended and will expire 6/30/24; meets spend for RFP (FY20 to date $500k+; recommend master service agreement)</t>
  </si>
  <si>
    <t>Procurement to negotiate new contract</t>
  </si>
  <si>
    <t>Service hours</t>
  </si>
  <si>
    <t>P24004918</t>
  </si>
  <si>
    <t>C &amp; G Turf Management (Color Burst Landscapes) formly Artisan Landscape</t>
  </si>
  <si>
    <t>Irrigation repairs</t>
  </si>
  <si>
    <t>P24002297</t>
  </si>
  <si>
    <t>P23050745</t>
  </si>
  <si>
    <t>FY25 PO# P24030907</t>
  </si>
  <si>
    <t>FY23 tempdate 2503</t>
  </si>
  <si>
    <t>Missing contract documents; unable to update; spend doesn't meet RFP</t>
  </si>
  <si>
    <t>P23022509</t>
  </si>
  <si>
    <t>P24002797</t>
  </si>
  <si>
    <t>Contract expires 6/30/23; spend doesn't meet RFP; extend for another year and/or piggyback state or consortium contract (3-5 year term)</t>
  </si>
  <si>
    <t>Procurement to negotiate new contract 05/30/2024</t>
  </si>
  <si>
    <t>Cintas Corporation (Uniforms)</t>
  </si>
  <si>
    <t>P22057229</t>
  </si>
  <si>
    <t>P23062682</t>
  </si>
  <si>
    <t>Contract expires 6/30/23; meets spend for RFP; extend for another year; MR looking into lease options for uniforms</t>
  </si>
  <si>
    <t>Procurement to negotiate new contract or extension - keep Jul - Jun</t>
  </si>
  <si>
    <t>Clarity Cleaning Services (formerly Mantis Building Services)</t>
  </si>
  <si>
    <t>RFP</t>
  </si>
  <si>
    <t>07/19: Pending response from Matthew on how to move forwward - SSJ, Paul &amp; Mike P approval</t>
  </si>
  <si>
    <t>Contract expired 6/30/22; meets spend for RFP; PO for summer 2023 cleaning; RFP to run FY24 Q2 to execute contract 7/1/24</t>
  </si>
  <si>
    <t>Clean Harbors</t>
  </si>
  <si>
    <t>Chemical waste</t>
  </si>
  <si>
    <t>P24012006</t>
  </si>
  <si>
    <t>9/8: Per Andrea - Stephen T requester - copy Stephen, Andrea and Leigh on invoices (and Christine)</t>
  </si>
  <si>
    <t>Universal waste</t>
  </si>
  <si>
    <t>P24029505</t>
  </si>
  <si>
    <t>P22057898</t>
  </si>
  <si>
    <t>P24017537</t>
  </si>
  <si>
    <t>Gap PO created for 1/1/2023 - 6/30/2023; Total amount $17,126.00;  R24041558</t>
  </si>
  <si>
    <t xml:space="preserve">No template needed if this is service work; shouldn't this be charged to Reactive WOs </t>
  </si>
  <si>
    <t>Contract extended and will expire 6/30/24 (must compete); meets spend for RFP (year to year until RFP award)</t>
  </si>
  <si>
    <t>P22044788</t>
  </si>
  <si>
    <t>P23062611</t>
  </si>
  <si>
    <t>(FY22 template 2618)</t>
  </si>
  <si>
    <t xml:space="preserve">Contract extended and will expire 6/30/24; meets spend for RFP </t>
  </si>
  <si>
    <t>P23002183</t>
  </si>
  <si>
    <t>9/15: Procurement is working through things - Temporary PO P24006480, renewed 10/17 P24018851,</t>
  </si>
  <si>
    <t>Contract expired; meets spend for RFP</t>
  </si>
  <si>
    <t>P24001015</t>
  </si>
  <si>
    <t>Pending Vendor Add by POSupport</t>
  </si>
  <si>
    <t>No contract; spend doesn't meet RFP; FY25 Quote received Feb 2024 - Folder and Memo created</t>
  </si>
  <si>
    <t>Good to move forward with PO - FY25 in works already</t>
  </si>
  <si>
    <t>P22056873</t>
  </si>
  <si>
    <t>P23058502</t>
  </si>
  <si>
    <t>No contract; spend doesn't meet RFP</t>
  </si>
  <si>
    <t>P23000930</t>
  </si>
  <si>
    <t>P24007093</t>
  </si>
  <si>
    <t>2531, 2619</t>
  </si>
  <si>
    <t>FY23 templates 2531 Zone, 2619 PH</t>
  </si>
  <si>
    <t>P19021636</t>
  </si>
  <si>
    <t>P22057796</t>
  </si>
  <si>
    <t>Renewal May 2026</t>
  </si>
  <si>
    <t>changed shop to Finance</t>
  </si>
  <si>
    <t>No contract; spend doesn't meet RFP; 2 occasions where an SSJ required</t>
  </si>
  <si>
    <t>P22058931</t>
  </si>
  <si>
    <t>P23062079</t>
  </si>
  <si>
    <t>No contract; spend doesn't meet RFP; a few occasions where an SSJ required</t>
  </si>
  <si>
    <t>Helen Morsette</t>
  </si>
  <si>
    <t>P23028063</t>
  </si>
  <si>
    <t>P24030157</t>
  </si>
  <si>
    <t>P22059195</t>
  </si>
  <si>
    <t>P23062725</t>
  </si>
  <si>
    <t>1/29: pending change order</t>
  </si>
  <si>
    <t>1073 (M), 1082 (Q), 1460 (SA)</t>
  </si>
  <si>
    <t>Contract expires 7/18/23; meets spend for RFP</t>
  </si>
  <si>
    <t>Need to bid out roofing PMs</t>
  </si>
  <si>
    <t>e-Builder</t>
  </si>
  <si>
    <t>Annual software subscription</t>
  </si>
  <si>
    <t>BOC</t>
  </si>
  <si>
    <t>Ally Sullivan</t>
  </si>
  <si>
    <t>P23014048</t>
  </si>
  <si>
    <t>P24011866</t>
  </si>
  <si>
    <t>September renewal - this will be charged to 37200 for FY24</t>
  </si>
  <si>
    <t>Contract expires 9/10/25 (JZ to run); meets spend for RFP; proprietary</t>
  </si>
  <si>
    <t>Good through September 2025</t>
  </si>
  <si>
    <t>P20056438</t>
  </si>
  <si>
    <t>P23060181</t>
  </si>
  <si>
    <t xml:space="preserve">Per Jesse 2/22/2024, additional buildings to be added for PO renewal. </t>
  </si>
  <si>
    <t>Contract expires 4/30/23 with an auto renewal (4/30/24) extend to expire 6/30/24; spend doesn't meet RFP; 3Qs to award</t>
  </si>
  <si>
    <t>eLogger</t>
  </si>
  <si>
    <t>Maintenance on 10-User eLogger Anywhere system</t>
  </si>
  <si>
    <t>P23054612</t>
  </si>
  <si>
    <t>May need to renew before end of FY24 due to when it was implemented</t>
  </si>
  <si>
    <t>P22057090</t>
  </si>
  <si>
    <t>P23051079</t>
  </si>
  <si>
    <t>1071 (M), 1072 (Q), 1083 (SA)</t>
  </si>
  <si>
    <t>Contract #200107 expires 6/30/24; meets spend for RFP</t>
  </si>
  <si>
    <t>P22057495</t>
  </si>
  <si>
    <t>P23060086</t>
  </si>
  <si>
    <t>Template needed (FY22 template 2558)</t>
  </si>
  <si>
    <t>Procurement to extend</t>
  </si>
  <si>
    <t>Evoqua Water Technologies (EWT Holdings III Corp)</t>
  </si>
  <si>
    <t>P22059439</t>
  </si>
  <si>
    <t>P24007016</t>
  </si>
  <si>
    <t>Procurement to try and bid out</t>
  </si>
  <si>
    <t>IMAGINiT Technologies (Rand Worldwide)</t>
  </si>
  <si>
    <t>CAD subscription &amp; support</t>
  </si>
  <si>
    <t>P21051970</t>
  </si>
  <si>
    <t>Renewal in May 2024</t>
  </si>
  <si>
    <t xml:space="preserve">Interstate AC Service </t>
  </si>
  <si>
    <t>Refrigerant recovery services for Surplus/Recycling operations</t>
  </si>
  <si>
    <t>P23062726</t>
  </si>
  <si>
    <t>Use WO# 23-070835</t>
  </si>
  <si>
    <t>P23000133</t>
  </si>
  <si>
    <t>P24004508</t>
  </si>
  <si>
    <t>Agreement terminated, effective 6/30/2024.  Do not reach out for renewal.</t>
  </si>
  <si>
    <t>Contract's end date is 6/30/25 with 2 consecutive one-year periods (6/30/27)</t>
  </si>
  <si>
    <t>Remove from list</t>
  </si>
  <si>
    <t>John Bouchard &amp; Sons (Inspections)</t>
  </si>
  <si>
    <t>P22059099</t>
  </si>
  <si>
    <t>P24001775</t>
  </si>
  <si>
    <t>Template needed (FY22 template 2667)</t>
  </si>
  <si>
    <t>RFP in process</t>
  </si>
  <si>
    <t>Good to move forward with PO - keep Jul - Jun</t>
  </si>
  <si>
    <t>John Bouchard &amp; Sons (repairs)</t>
  </si>
  <si>
    <t>P22059113</t>
  </si>
  <si>
    <t>P24002738</t>
  </si>
  <si>
    <t>Need to figure out best way to handle the one-off repairs</t>
  </si>
  <si>
    <t>Johnson Controls (Chillers)</t>
  </si>
  <si>
    <t>P21052458</t>
  </si>
  <si>
    <t>Template needed (FY22 template 2547)</t>
  </si>
  <si>
    <t>Contract expires 10/31/24 (on supplier's paper) may renew mutual written agreement</t>
  </si>
  <si>
    <t>P21053316</t>
  </si>
  <si>
    <t>Template needed (FY22 template 2614)</t>
  </si>
  <si>
    <t>P22059131</t>
  </si>
  <si>
    <t>P24001139</t>
  </si>
  <si>
    <t>Template needed (FY22 template 2564)</t>
  </si>
  <si>
    <t>Kings III of America Phase 4 &amp; 5</t>
  </si>
  <si>
    <t>Elevator Phone Migration</t>
  </si>
  <si>
    <t>P24002239</t>
  </si>
  <si>
    <t>CO Increase for Phase 4 &amp; 5</t>
  </si>
  <si>
    <t>Langley &amp; Taylor Pool Co (Swim Club Management Group)</t>
  </si>
  <si>
    <t>Maintenance for fountain at Divinity</t>
  </si>
  <si>
    <t>Lyn Eubanks</t>
  </si>
  <si>
    <t>P24006879</t>
  </si>
  <si>
    <t>P22053911</t>
  </si>
  <si>
    <t>P23055835</t>
  </si>
  <si>
    <t>Contract expires 12/31/23-Purchasing to extend to 6/30/24; RFP to run FY24 Q3 to execute contract 7/1/24</t>
  </si>
  <si>
    <t>3-1-1 will renew so PO can move forward</t>
  </si>
  <si>
    <t>LoJac LLC (formerly SCA)</t>
  </si>
  <si>
    <t>Three quotes</t>
  </si>
  <si>
    <t>P23000415</t>
  </si>
  <si>
    <t>P24002224</t>
  </si>
  <si>
    <t>Use WO# 23-070228</t>
  </si>
  <si>
    <t>Lutron Services Co</t>
  </si>
  <si>
    <t>Lighting Coverage and Support</t>
  </si>
  <si>
    <t>P24026307</t>
  </si>
  <si>
    <t>P21001861</t>
  </si>
  <si>
    <t>P24001627</t>
  </si>
  <si>
    <t>Template needed (FY22 template 2551)</t>
  </si>
  <si>
    <t>Contract expires 8/13/22 with an auto renewal (8/13/23); meets spend for RFP; proprietary?</t>
  </si>
  <si>
    <t>Bi-annual service checker / quaterly PM for outdoor units</t>
  </si>
  <si>
    <t>P23058674</t>
  </si>
  <si>
    <t>P22038086</t>
  </si>
  <si>
    <t>P23061336</t>
  </si>
  <si>
    <t>Template needed (FY22 template 2565)</t>
  </si>
  <si>
    <t>Contract expires 12/31/25 with an auto renewal (12/31/26); meets spend for RFP</t>
  </si>
  <si>
    <t>P23002057</t>
  </si>
  <si>
    <t>P24001538</t>
  </si>
  <si>
    <t>Template needed (FY22 template 2566)</t>
  </si>
  <si>
    <t>Contract expires 9/30/25 with 2 one-year auto renewals (9/30/27); meets spend for RFP</t>
  </si>
  <si>
    <t>P23000361</t>
  </si>
  <si>
    <t>P24001063</t>
  </si>
  <si>
    <t>On Site</t>
  </si>
  <si>
    <t>EH&amp;S assist</t>
  </si>
  <si>
    <t>P22051477</t>
  </si>
  <si>
    <t>P23060249</t>
  </si>
  <si>
    <t>Contract expires 5/2/23; 3 quotes conducted to renew each year (JZ contract)</t>
  </si>
  <si>
    <t>P22057497</t>
  </si>
  <si>
    <t>P23056925</t>
  </si>
  <si>
    <t>Template needed (FY22 template 2567)</t>
  </si>
  <si>
    <t>No contract; 3-year spend doesn't meet RFP</t>
  </si>
  <si>
    <t>Pye Barker (PB Parent Holdco LP) (Extinguishers + Kitchen suppression)</t>
  </si>
  <si>
    <t>P22059228</t>
  </si>
  <si>
    <t>P24002303</t>
  </si>
  <si>
    <t xml:space="preserve">CO Increase ($56,396.00 + $12,104.00 = $68,500.00) </t>
  </si>
  <si>
    <t>Template needed (FY22 template 2621)</t>
  </si>
  <si>
    <t>Joe Kovolyan
Robert West</t>
  </si>
  <si>
    <t>P23011516</t>
  </si>
  <si>
    <t>P24002299</t>
  </si>
  <si>
    <t>Contract expires 6/30/22 with 2 one-year auto renewals (6/30/24); meets spend for RFP</t>
  </si>
  <si>
    <t>Revenue Source Group (RSG)</t>
  </si>
  <si>
    <t>Natural gas purchase strategy consulting</t>
  </si>
  <si>
    <t>Jon Williams</t>
  </si>
  <si>
    <t>P23031716</t>
  </si>
  <si>
    <t>P24028157</t>
  </si>
  <si>
    <t>Contract expires 1/9/26 with 2 one-year renewals (1/9/28); meets spend for RFP</t>
  </si>
  <si>
    <t>P22057444</t>
  </si>
  <si>
    <t>P23058580</t>
  </si>
  <si>
    <t xml:space="preserve">No template needed - WO#s provided by Zone managers </t>
  </si>
  <si>
    <t>Seth David Frost dba Frost Enviro Services</t>
  </si>
  <si>
    <t>Mold testing</t>
  </si>
  <si>
    <t>P23058582</t>
  </si>
  <si>
    <t>Christine to check with Tamara and VUMO</t>
  </si>
  <si>
    <t>Smith Turf &amp; Irrigation (STI) - WeatherTrak</t>
  </si>
  <si>
    <t>CIM service for WeatherTrak clocks</t>
  </si>
  <si>
    <t>P21044995</t>
  </si>
  <si>
    <t>Template needed for FY23 potentially?</t>
  </si>
  <si>
    <t>Contract expires 3/31/24. This is a state of TN contract, SWC 242, used; followup with contract specialist (see contract) for status updates (renewal, extension, etc.) Not used since 2019; spend doesn't meet RFP</t>
  </si>
  <si>
    <t>P22054880</t>
  </si>
  <si>
    <t>P24031461</t>
  </si>
  <si>
    <t>James to start renewal process November 2023; PO for Jan 2024 - P24031461</t>
  </si>
  <si>
    <t>Template needed (FY22 template 2568)</t>
  </si>
  <si>
    <t>Contract expires 12/31/23; meets RFP spend but was sole sourced per agreement. See (2022.05.23) Solar...doc in Oracle to extend contract if desired.</t>
  </si>
  <si>
    <t>Pending BoT. Christine to check with Ally</t>
  </si>
  <si>
    <t>Stericycle</t>
  </si>
  <si>
    <t>P23054242</t>
  </si>
  <si>
    <t>Stuart C Irby (Irby A Sonepar Company)</t>
  </si>
  <si>
    <t>Annual health check Power House</t>
  </si>
  <si>
    <t>P23016212</t>
  </si>
  <si>
    <t>Renewal in May 2027</t>
  </si>
  <si>
    <t>Weekend Custodial services for athletic buildings and preseason cleaning</t>
  </si>
  <si>
    <t>P23001561</t>
  </si>
  <si>
    <t>P24013136</t>
  </si>
  <si>
    <t>This is for cleaning of the Atheletics buildings as pre-season cleaning - can get POs from Matt?</t>
  </si>
  <si>
    <t>Contract expires 6/30/2025 with 3 one-year renewals (6/30/28); meets spend for RFP</t>
  </si>
  <si>
    <t>The Precisionists</t>
  </si>
  <si>
    <t>Temporary custodial staffing</t>
  </si>
  <si>
    <t>P22042368</t>
  </si>
  <si>
    <t>P24018481</t>
  </si>
  <si>
    <t>No contract; FY21 to date meets spend for RFP</t>
  </si>
  <si>
    <t>101380; 102252</t>
  </si>
  <si>
    <t>9/15/07; 1/7/15</t>
  </si>
  <si>
    <t>No end date; 6/30/21</t>
  </si>
  <si>
    <t>P21052459</t>
  </si>
  <si>
    <t>Template needed (FY22 template 2552)</t>
  </si>
  <si>
    <t>Contract 102252 expired 6/30/21; meets spend for RFP</t>
  </si>
  <si>
    <t>Procurement to get under a contract</t>
  </si>
  <si>
    <t>Tropical Design</t>
  </si>
  <si>
    <t>Leasing and care of plants at Baker Building</t>
  </si>
  <si>
    <t>Lori Ungurait</t>
  </si>
  <si>
    <t>P22055753</t>
  </si>
  <si>
    <t>P23060805</t>
  </si>
  <si>
    <t>Turf Tank (Intelligent Marking USA)</t>
  </si>
  <si>
    <t>GPS line marker robot</t>
  </si>
  <si>
    <t>P23000631</t>
  </si>
  <si>
    <t>P24004435</t>
  </si>
  <si>
    <t>(PO = 3YR of 5YR/ end date 03.2026)</t>
  </si>
  <si>
    <t>107257; 1001028</t>
  </si>
  <si>
    <t>P23038506</t>
  </si>
  <si>
    <t xml:space="preserve">P24028959 </t>
  </si>
  <si>
    <t>James to start renewal process November 2023</t>
  </si>
  <si>
    <t>No template needed - WO#s provided by Damon</t>
  </si>
  <si>
    <t>Contract expires 3/28/26; 3 year spend doesn't meet RFP-revisit contract costs in 2026</t>
  </si>
  <si>
    <t>P23034161</t>
  </si>
  <si>
    <t>P24033966</t>
  </si>
  <si>
    <t>FY25 PO# P24033966</t>
  </si>
  <si>
    <t>Contract expires 1/31/25 with 2 one-year renewals (1/31/27)</t>
  </si>
  <si>
    <t>Verizon Wireless</t>
  </si>
  <si>
    <t>Monthly cellular plan</t>
  </si>
  <si>
    <t>P22055909</t>
  </si>
  <si>
    <t>P23056766</t>
  </si>
  <si>
    <t>Contract expires 10/31/2023; meets RFP spend (JZ). This is a state of TN contract; followup with contract specialist (see contract) for status update</t>
  </si>
  <si>
    <t>Vision Southeast Company (Vision Security Technologies)</t>
  </si>
  <si>
    <t>Traka box support</t>
  </si>
  <si>
    <t>1000323; 1000245</t>
  </si>
  <si>
    <t>P20003379</t>
  </si>
  <si>
    <t>Contract expires 5/9/23; meets RFP spend (JZ) but not able to determine traka box or other supplier offered products (C #1000245). On supplier paper and renewed annually</t>
  </si>
  <si>
    <t>P22058923</t>
  </si>
  <si>
    <t>P23057025</t>
  </si>
  <si>
    <t>Submitted Change Order request increase of $10,000  ($14,999 + $10,000 = $24,999)</t>
  </si>
  <si>
    <t>Ask Damon if we anticipate any more spend? (above $20kish)</t>
  </si>
  <si>
    <t>P23000931</t>
  </si>
  <si>
    <t>P24003022</t>
  </si>
  <si>
    <t>Contract expires 1/31/25 with 2 one-year renewals (1/31/27); meets spend for RFP</t>
  </si>
  <si>
    <t>3-1-1 will renew so PO can move forward - keep Jul - Jun</t>
  </si>
  <si>
    <t>P23013049</t>
  </si>
  <si>
    <t>P24014669</t>
  </si>
  <si>
    <t>Template needed for FY23 potentially</t>
  </si>
  <si>
    <t>Repairs and Maintenance Vendors</t>
  </si>
  <si>
    <t>Other Vendors (Software, etc)</t>
  </si>
  <si>
    <t>Bill cycle:</t>
  </si>
  <si>
    <t>AssetWorks</t>
  </si>
  <si>
    <t>Billing cycle:</t>
  </si>
  <si>
    <t>Annual</t>
  </si>
  <si>
    <t>Contract  dates:</t>
  </si>
  <si>
    <t>Zone 1</t>
  </si>
  <si>
    <t>Annual maintenance and support includes product updates and enhancements, unlimited phone and email support</t>
  </si>
  <si>
    <t>Zone 2</t>
  </si>
  <si>
    <t>AiM/GIS/FCA (ANA)/AimCAD/AiM IQ</t>
  </si>
  <si>
    <t>Zone 3</t>
  </si>
  <si>
    <t>Go Combo (formerly iDesk) mtx</t>
  </si>
  <si>
    <t>Total</t>
  </si>
  <si>
    <t>AiMCAD Plug In Bit</t>
  </si>
  <si>
    <t>GO AM (formerly FiRE AM)</t>
  </si>
  <si>
    <t>Address</t>
  </si>
  <si>
    <t>Amount</t>
  </si>
  <si>
    <t>Building</t>
  </si>
  <si>
    <t>Key &amp; Access</t>
  </si>
  <si>
    <t>110 Magnolia Cir</t>
  </si>
  <si>
    <t>OMC Building</t>
  </si>
  <si>
    <t>ReADY Request</t>
  </si>
  <si>
    <t>2500 Kensington Dr</t>
  </si>
  <si>
    <t>SAE House</t>
  </si>
  <si>
    <t>AiMCAD Revit</t>
  </si>
  <si>
    <t>2408 Kensington Pl</t>
  </si>
  <si>
    <t>Pi Beth Phi House</t>
  </si>
  <si>
    <t>FuelFocus</t>
  </si>
  <si>
    <t>115 28th Ave S</t>
  </si>
  <si>
    <t>VUPD</t>
  </si>
  <si>
    <t xml:space="preserve">FuelFocus extended warranty </t>
  </si>
  <si>
    <t>111 28th Ave S</t>
  </si>
  <si>
    <t>Total Invoice</t>
  </si>
  <si>
    <t>2800 Vanderbilt Pl</t>
  </si>
  <si>
    <t>(Dept of Buildings &amp; Grounds) 222 Appleton Dr</t>
  </si>
  <si>
    <t>Dept of Bldings &amp; Grounds</t>
  </si>
  <si>
    <t>(English Language Center) 1208 18th Ave S</t>
  </si>
  <si>
    <t>English Language Center</t>
  </si>
  <si>
    <t>(Curb Center) 1801 Edgehill Ave</t>
  </si>
  <si>
    <t>Curb Center</t>
  </si>
  <si>
    <t>1202 18th Ave S</t>
  </si>
  <si>
    <t>1202 18th Ave S./Kid Talk</t>
  </si>
  <si>
    <t>(Blair School) 2400 Blakemore Ave</t>
  </si>
  <si>
    <t>Blair School</t>
  </si>
  <si>
    <t>(East Hall) 1920 South Dr</t>
  </si>
  <si>
    <t>Vanderbilt University Plant Operations</t>
  </si>
  <si>
    <t>Annual maint, and support for Fuel Focus-- will be replaced by FuelDrive</t>
  </si>
  <si>
    <t>(Furman) 2111 Westend Ave</t>
  </si>
  <si>
    <t>Furman Building</t>
  </si>
  <si>
    <t>3 Year Term</t>
  </si>
  <si>
    <t>Baker</t>
  </si>
  <si>
    <t>Fire Monitoring</t>
  </si>
  <si>
    <t>Sony</t>
  </si>
  <si>
    <t>Communication Check-in &amp; Cell Communication Path - Primary</t>
  </si>
  <si>
    <t>PO Dates:</t>
  </si>
  <si>
    <t xml:space="preserve">Coming In -FY24 </t>
  </si>
  <si>
    <t>Perform a full annual service on dryer #1. Changing filters, drains, valves and dessicant. Test run, perform necessary system
checks, and record all applicable data.</t>
  </si>
  <si>
    <t>Rental of compressed cylinders</t>
  </si>
  <si>
    <t>DLT Solutions</t>
  </si>
  <si>
    <t>Toad for Oracle Prof Edition</t>
  </si>
  <si>
    <t>- 1 @ $591.40</t>
  </si>
  <si>
    <t>Toad for Oracle Xpert Edition</t>
  </si>
  <si>
    <t>- 1 @ $808.22</t>
  </si>
  <si>
    <t>Regular - service charge</t>
  </si>
  <si>
    <t>per trip</t>
  </si>
  <si>
    <r>
      <rPr>
        <b/>
        <sz val="11"/>
        <color theme="1"/>
        <rFont val="Calibri"/>
        <family val="2"/>
        <scheme val="minor"/>
      </rPr>
      <t>Regular hours</t>
    </r>
    <r>
      <rPr>
        <sz val="11"/>
        <color theme="1"/>
        <rFont val="Calibri"/>
        <family val="2"/>
        <scheme val="minor"/>
      </rPr>
      <t>: M-F 7am-4pm</t>
    </r>
  </si>
  <si>
    <t>Toad for SQL Service Developer Ed.</t>
  </si>
  <si>
    <t>- 2 @ $356.57</t>
  </si>
  <si>
    <t>Regular - on-site labor</t>
  </si>
  <si>
    <t>per hour</t>
  </si>
  <si>
    <t>Toad Data Point Base Edition</t>
  </si>
  <si>
    <t>- 4 @ $159.92</t>
  </si>
  <si>
    <t>Overtime - service charge</t>
  </si>
  <si>
    <r>
      <rPr>
        <b/>
        <sz val="11"/>
        <color theme="1"/>
        <rFont val="Calibri"/>
        <family val="2"/>
        <scheme val="minor"/>
      </rPr>
      <t>Emergency hours</t>
    </r>
    <r>
      <rPr>
        <sz val="11"/>
        <color theme="1"/>
        <rFont val="Calibri"/>
        <family val="2"/>
        <scheme val="minor"/>
      </rPr>
      <t>: M-R before 7am - after 4pm; F after 4pm thru S 12pm</t>
    </r>
  </si>
  <si>
    <t>Toad Data Modeler Base Edition</t>
  </si>
  <si>
    <t>- 2 @ $140.61</t>
  </si>
  <si>
    <t>Overtime - labor</t>
  </si>
  <si>
    <t>Sunday / Holidays</t>
  </si>
  <si>
    <r>
      <rPr>
        <b/>
        <sz val="11"/>
        <color theme="1"/>
        <rFont val="Calibri"/>
        <family val="2"/>
        <scheme val="minor"/>
      </rPr>
      <t>Emergency hours</t>
    </r>
    <r>
      <rPr>
        <sz val="11"/>
        <color theme="1"/>
        <rFont val="Calibri"/>
        <family val="2"/>
        <scheme val="minor"/>
      </rPr>
      <t>: Sunday + Holidays - All day</t>
    </r>
  </si>
  <si>
    <t xml:space="preserve">Service Agreement FY23 </t>
  </si>
  <si>
    <t>EAB Global, Inc</t>
  </si>
  <si>
    <t>Year 1 (08/31/2018 - 08/30/2019)</t>
  </si>
  <si>
    <t>As needed</t>
  </si>
  <si>
    <t>Year 2 (08/31/2019 - 08/30/2020)</t>
  </si>
  <si>
    <t>not yet billed</t>
  </si>
  <si>
    <t>Repair irrigation system as needed</t>
  </si>
  <si>
    <t>Year 3 (08/31/2020 - 08/30/2021)</t>
  </si>
  <si>
    <t>Throughout Campus and Medical Center</t>
  </si>
  <si>
    <t>Annual subscription</t>
  </si>
  <si>
    <t>- 09/11/2020 - 09/10/2021</t>
  </si>
  <si>
    <t>GA75VSD W</t>
  </si>
  <si>
    <t>GA75+</t>
  </si>
  <si>
    <t>Energy Strategies LLC</t>
  </si>
  <si>
    <t>P23000135</t>
  </si>
  <si>
    <t>GA 18 VSD+</t>
  </si>
  <si>
    <t>Risk mgmt strategy  fee</t>
  </si>
  <si>
    <t>monthly</t>
  </si>
  <si>
    <t xml:space="preserve">EDRS </t>
  </si>
  <si>
    <t>CD50+</t>
  </si>
  <si>
    <t>Annual risk mgmt strategy review meet</t>
  </si>
  <si>
    <t>Total monthly</t>
  </si>
  <si>
    <t>Total Annual</t>
  </si>
  <si>
    <t>Monthly cost</t>
  </si>
  <si>
    <t>Big Belly - 02/01/2019 - 01/31/2024</t>
  </si>
  <si>
    <t>Big Belly - 03/06/2020 - 07/31/2025</t>
  </si>
  <si>
    <t>Disposal services in 15 VUSE labs in ESB, Featheringill-Jacobs, SC5, SC2, MRBIII, Keck FEL, Olin</t>
  </si>
  <si>
    <t>Lum sum:</t>
  </si>
  <si>
    <t>*See Service Agreement for Building Costs</t>
  </si>
  <si>
    <t xml:space="preserve">Lump sum: </t>
  </si>
  <si>
    <t>BuildingLogix (Waibel Energy)</t>
  </si>
  <si>
    <t>Bronson Studio Arts</t>
  </si>
  <si>
    <t>Buttrick Hall</t>
  </si>
  <si>
    <t>Insource Software Solutions</t>
  </si>
  <si>
    <t>Featheringill/Jacobs</t>
  </si>
  <si>
    <t>License Fee:</t>
  </si>
  <si>
    <t>CustomerFirst elite renewal</t>
  </si>
  <si>
    <t>Alumni Hall</t>
  </si>
  <si>
    <t>Wonderware HMI SCADA</t>
  </si>
  <si>
    <t>Commons Center</t>
  </si>
  <si>
    <t>Upgrade, InTouch 2017</t>
  </si>
  <si>
    <t>Hank Ingram</t>
  </si>
  <si>
    <t>License Reactivation</t>
  </si>
  <si>
    <t>Kissam</t>
  </si>
  <si>
    <t>MRBIII</t>
  </si>
  <si>
    <t>Murray</t>
  </si>
  <si>
    <t>Stambaugh</t>
  </si>
  <si>
    <t>Kings III of America</t>
  </si>
  <si>
    <t>P23031854</t>
  </si>
  <si>
    <t>Student Rec</t>
  </si>
  <si>
    <t>Phase 3 Elevator Migration</t>
  </si>
  <si>
    <t>Wilson Hall</t>
  </si>
  <si>
    <t>COA 460.05.46300.6235.300.100.000.0.0</t>
  </si>
  <si>
    <t>Connection Fee (One Time)</t>
  </si>
  <si>
    <t>Eskind Library</t>
  </si>
  <si>
    <t>COA 370.05.37560.6235.000.000.000.0.0</t>
  </si>
  <si>
    <t>Monthly Fee</t>
  </si>
  <si>
    <t>Monthly Billing</t>
  </si>
  <si>
    <t>Chillers</t>
  </si>
  <si>
    <t>ESB</t>
  </si>
  <si>
    <t>Power House</t>
  </si>
  <si>
    <t>Peabody</t>
  </si>
  <si>
    <t>Konica Minolta</t>
  </si>
  <si>
    <t>Morgan/Lewis</t>
  </si>
  <si>
    <t>Lump sum:</t>
  </si>
  <si>
    <t>Dispensers for Rand, Kissiam and Common Kitchens</t>
  </si>
  <si>
    <t>Parallels (CDW)</t>
  </si>
  <si>
    <t>Chilton Turf Center (Sigma Organics)</t>
  </si>
  <si>
    <t>Parallels desktop for MAC enterprise</t>
  </si>
  <si>
    <t>Annual Service Agreement FY22</t>
  </si>
  <si>
    <t>edition - subscription renewal</t>
  </si>
  <si>
    <t>09/15/2020 - 09/14/2023</t>
  </si>
  <si>
    <t>Rates included in email, however, vendor doesn't indicate building on invoices</t>
  </si>
  <si>
    <t>Rand Worldwide Subsidary (IMAGINiT Technologies)</t>
  </si>
  <si>
    <t>AutoCad annual subscription</t>
  </si>
  <si>
    <t>- 8 @ $1,410</t>
  </si>
  <si>
    <t>Arch Eng + Const annual subscription</t>
  </si>
  <si>
    <t>- 2 @ $2,120</t>
  </si>
  <si>
    <t>IMAGINiT software utilities</t>
  </si>
  <si>
    <t>- 10 @ $0</t>
  </si>
  <si>
    <t>IMAGINiT priority support</t>
  </si>
  <si>
    <t>- 10 @ $75 each</t>
  </si>
  <si>
    <t>Total invoice</t>
  </si>
  <si>
    <t>Estimated</t>
  </si>
  <si>
    <t>Vision Security Technologies</t>
  </si>
  <si>
    <t>8 boxes, 5 years</t>
  </si>
  <si>
    <t>Cintas Corporation (Hand sanitizing stations)</t>
  </si>
  <si>
    <t>Sig Germx Adv Foam Svc (8072)</t>
  </si>
  <si>
    <t>per unit</t>
  </si>
  <si>
    <t>32oz Pump Hand Sntzr (43940)</t>
  </si>
  <si>
    <t>Sig Hand Santzr Stand (9559)</t>
  </si>
  <si>
    <t>Contract states 1,000 units, however, have only been billed for 975 units</t>
  </si>
  <si>
    <t>Quarterly (Year 1)</t>
  </si>
  <si>
    <t>Quarterly (Year 2)</t>
  </si>
  <si>
    <t>Quarterly (Year 3)</t>
  </si>
  <si>
    <t>*Procurement sugProcurement suggested a 6-month PO while they renew the contract and get them under MWA</t>
  </si>
  <si>
    <t>Lump sum</t>
  </si>
  <si>
    <t>Rates included in contract, however, vendor doesn't indicate building on invoices</t>
  </si>
  <si>
    <t>Location</t>
  </si>
  <si>
    <t>Item</t>
  </si>
  <si>
    <t>Qty</t>
  </si>
  <si>
    <t>Unit Cost</t>
  </si>
  <si>
    <t>FY23 Number of Services</t>
  </si>
  <si>
    <t>FY23 Cost</t>
  </si>
  <si>
    <t>Rand</t>
  </si>
  <si>
    <t>3 cubic yard dumpster</t>
  </si>
  <si>
    <t>64 gallon cart</t>
  </si>
  <si>
    <t>48 gallon cart</t>
  </si>
  <si>
    <t>McGugin</t>
  </si>
  <si>
    <t>EBI</t>
  </si>
  <si>
    <t>Kissam Center</t>
  </si>
  <si>
    <t>Zeppos</t>
  </si>
  <si>
    <t>Branscomb</t>
  </si>
  <si>
    <t>McTyeire</t>
  </si>
  <si>
    <t>Morgan House</t>
  </si>
  <si>
    <t>Divinity</t>
  </si>
  <si>
    <t>Rothchild</t>
  </si>
  <si>
    <t>Commons Houses</t>
  </si>
  <si>
    <t>Additional Contract Info</t>
  </si>
  <si>
    <t>North &amp; South Bridge Inspections</t>
  </si>
  <si>
    <t>Prices may increase in 2023</t>
  </si>
  <si>
    <t>per zone * 2 surveys</t>
  </si>
  <si>
    <t>Annual total</t>
  </si>
  <si>
    <t>Powerhouse</t>
  </si>
  <si>
    <t>per survey</t>
  </si>
  <si>
    <t>Total PO</t>
  </si>
  <si>
    <t>Does not include quote for balancing/laser alignment ($115.00/Hour)</t>
  </si>
  <si>
    <t>February - Inspection</t>
  </si>
  <si>
    <t>August - Full Service</t>
  </si>
  <si>
    <t>February - Loadbank (4 hours)</t>
  </si>
  <si>
    <t>August - Battery</t>
  </si>
  <si>
    <t>August - Lab Fuel, Oil and Coolant Tests</t>
  </si>
  <si>
    <t>Total annual</t>
  </si>
  <si>
    <t xml:space="preserve">Lump sum </t>
  </si>
  <si>
    <t>Eskind Library (2 centrifigual chillers)</t>
  </si>
  <si>
    <t>Student Rec (2 mag bearing chillers)</t>
  </si>
  <si>
    <t>Baker Building</t>
  </si>
  <si>
    <t>Lewis Morgan</t>
  </si>
  <si>
    <t>Olin Hall</t>
  </si>
  <si>
    <t>Note: invoicing doesn't breakout charges</t>
  </si>
  <si>
    <t>Dyer Observatory rate</t>
  </si>
  <si>
    <t>Residence rate</t>
  </si>
  <si>
    <t>Jesup</t>
  </si>
  <si>
    <t>Mayborn</t>
  </si>
  <si>
    <t>Hobbs</t>
  </si>
  <si>
    <t>1208 18th Ave S</t>
  </si>
  <si>
    <t>Peabody Library</t>
  </si>
  <si>
    <t>Library Annex</t>
  </si>
  <si>
    <t>Vipps - Siegenthaler</t>
  </si>
  <si>
    <t>Zone 1 Total</t>
  </si>
  <si>
    <t>Dyer Garage</t>
  </si>
  <si>
    <t>Dyer Observatory</t>
  </si>
  <si>
    <t>Dyer Residence</t>
  </si>
  <si>
    <t>Zone 2 Total</t>
  </si>
  <si>
    <t>Zone 4</t>
  </si>
  <si>
    <t>Engineering</t>
  </si>
  <si>
    <t>Biomelecular NMR</t>
  </si>
  <si>
    <t>Keck FEL</t>
  </si>
  <si>
    <t>Godchaux</t>
  </si>
  <si>
    <t>Godchaux - Nursing Annex</t>
  </si>
  <si>
    <t>MRB III</t>
  </si>
  <si>
    <t>University Club</t>
  </si>
  <si>
    <t>Stevenson - Math</t>
  </si>
  <si>
    <t>Stevenson - Molecular Biology</t>
  </si>
  <si>
    <t>Stevenson - Science &amp; Engineering</t>
  </si>
  <si>
    <t>Stevenson - Physics &amp; Astronomy</t>
  </si>
  <si>
    <t>Stevenson - Chemistry</t>
  </si>
  <si>
    <t>Stevenson - Lecture</t>
  </si>
  <si>
    <t>Zone 4 Total</t>
  </si>
  <si>
    <t>Zone 5</t>
  </si>
  <si>
    <t>Currey Tennis</t>
  </si>
  <si>
    <t>Blakemore</t>
  </si>
  <si>
    <t>Chaffin A</t>
  </si>
  <si>
    <t>Chaffin B</t>
  </si>
  <si>
    <t>Chaffin C</t>
  </si>
  <si>
    <t>Chaffin D</t>
  </si>
  <si>
    <t>Chaffin E</t>
  </si>
  <si>
    <t>Chaffin F</t>
  </si>
  <si>
    <t>Mayfield A</t>
  </si>
  <si>
    <t>Mayfield B</t>
  </si>
  <si>
    <t>Mayfield C</t>
  </si>
  <si>
    <t>Mayfield D</t>
  </si>
  <si>
    <t>Mayfield E</t>
  </si>
  <si>
    <t>Music Rehearsal</t>
  </si>
  <si>
    <t>Police Building</t>
  </si>
  <si>
    <t>Student Rec Center</t>
  </si>
  <si>
    <t>Track Storage</t>
  </si>
  <si>
    <t>Zone 5 Total</t>
  </si>
  <si>
    <t>Lump sum service</t>
  </si>
  <si>
    <t xml:space="preserve">*billed more in 3rd quarter bill </t>
  </si>
  <si>
    <t>McGugin, Football Stadium, Rand Hall, Rothchild, Zeppos, Kissam, E. Bronson Ingram, &amp; Commons Center @19 gallons</t>
  </si>
  <si>
    <t>Benson Hall</t>
  </si>
  <si>
    <t>Calhoun Hall</t>
  </si>
  <si>
    <t>Central Library</t>
  </si>
  <si>
    <t>Divinity Hall</t>
  </si>
  <si>
    <t>Garland Hall</t>
  </si>
  <si>
    <t>Heard Library</t>
  </si>
  <si>
    <t>Moore College</t>
  </si>
  <si>
    <t>Neely Auditorium</t>
  </si>
  <si>
    <t>Warren College</t>
  </si>
  <si>
    <t>Furman Hall</t>
  </si>
  <si>
    <t>Kirkland Hall</t>
  </si>
  <si>
    <t>Law School</t>
  </si>
  <si>
    <t>total</t>
  </si>
  <si>
    <t>proposal</t>
  </si>
  <si>
    <t>Year 2022</t>
  </si>
  <si>
    <t>Annual Maintenance and Operating Inspection</t>
  </si>
  <si>
    <t>Analysis, labor, expenses and materials</t>
  </si>
  <si>
    <t>PM Contract recurring parts and labor</t>
  </si>
  <si>
    <t>Fuel energy surcharge</t>
  </si>
  <si>
    <t>CONTINGENCY SVC EMERGENCY PART &amp; LABOR **as needed</t>
  </si>
  <si>
    <t>**varies charge</t>
  </si>
  <si>
    <t>SDI Mixed 30CF COATD NONE POT</t>
  </si>
  <si>
    <t>Gleason Steam</t>
  </si>
  <si>
    <t>Year 1</t>
  </si>
  <si>
    <t>Includes Zones 3-5 and Powerhouse</t>
  </si>
  <si>
    <t>Year 2</t>
  </si>
  <si>
    <t>Includes Zones 1 and 2, generator plant</t>
  </si>
  <si>
    <t>IM Capers</t>
  </si>
  <si>
    <t>IM2 (Sports Club)</t>
  </si>
  <si>
    <t>IM at door</t>
  </si>
  <si>
    <t>Football Practice field</t>
  </si>
  <si>
    <t>Track</t>
  </si>
  <si>
    <t>Soccer</t>
  </si>
  <si>
    <t>One monthly charge</t>
  </si>
  <si>
    <t>One annual charge</t>
  </si>
  <si>
    <t>Monthly charge</t>
  </si>
  <si>
    <t>per year</t>
  </si>
  <si>
    <t>PO is setup for three years [07/20 - 06/23], totaling $108,000</t>
  </si>
  <si>
    <t>Additional Emergency Services</t>
  </si>
  <si>
    <t>Normal business hours</t>
  </si>
  <si>
    <t>per hour w/2 hour min</t>
  </si>
  <si>
    <t>After hours</t>
  </si>
  <si>
    <t>per hour w/3 hour min</t>
  </si>
  <si>
    <t>Weekends</t>
  </si>
  <si>
    <t>per hour w/4 hour min</t>
  </si>
  <si>
    <t>17th &amp; Horton (includes
Carriage House)
 Custodial cleaning</t>
  </si>
  <si>
    <t>Vendor needs to start sending invoices w/breakout  11/22</t>
  </si>
  <si>
    <t>Tamper and Flow Switch Testing</t>
  </si>
  <si>
    <t>Quarterly</t>
  </si>
  <si>
    <t>Trip Testing</t>
  </si>
  <si>
    <t>Annual Inspections (Greeks/small bldgs)</t>
  </si>
  <si>
    <t>Low Point Draining</t>
  </si>
  <si>
    <t>Semi-annual</t>
  </si>
  <si>
    <t xml:space="preserve">        </t>
  </si>
  <si>
    <t>Monthly</t>
  </si>
  <si>
    <t>5-year internal inspections</t>
  </si>
  <si>
    <t>Every 5 years (FY21 was an inspection year)</t>
  </si>
  <si>
    <t>Monthly Pump Churn</t>
  </si>
  <si>
    <t>Monthly PRV Readings</t>
  </si>
  <si>
    <t>PRV Flows</t>
  </si>
  <si>
    <t>Inspections performed by building</t>
  </si>
  <si>
    <t>Annual charge</t>
  </si>
  <si>
    <t>Buildings covered:</t>
  </si>
  <si>
    <t>McTyiere Hall</t>
  </si>
  <si>
    <t>Chilled Water Plant</t>
  </si>
  <si>
    <t>Blair School of Music</t>
  </si>
  <si>
    <t>Peabody Maintenance</t>
  </si>
  <si>
    <t>Memorial Gym</t>
  </si>
  <si>
    <t>Commons / Sarratt</t>
  </si>
  <si>
    <t>*Agreement for 3 YR 07.01.2021 - 06.30.2024</t>
  </si>
  <si>
    <t>Year 3</t>
  </si>
  <si>
    <t>Monthly service</t>
  </si>
  <si>
    <t>lump sum:</t>
  </si>
  <si>
    <t>**Services Dyer Observatory &amp; Cemetery</t>
  </si>
  <si>
    <t>Maintenance mgmt fee</t>
  </si>
  <si>
    <t>June 2022 - May 2023</t>
  </si>
  <si>
    <t>Certificate mgmt fee</t>
  </si>
  <si>
    <t>AHJ Fees</t>
  </si>
  <si>
    <t>LB Fee of AHJ Fees (5%)</t>
  </si>
  <si>
    <t>*5% per elevator</t>
  </si>
  <si>
    <t>Lerch Bates certificate management fees covers:</t>
  </si>
  <si>
    <t>Units</t>
  </si>
  <si>
    <t>$96/Traction elevator</t>
  </si>
  <si>
    <t>$96/Hydraulic elevator</t>
  </si>
  <si>
    <t>$96/Chair lift</t>
  </si>
  <si>
    <t>$96/Escalator</t>
  </si>
  <si>
    <t>Total Units</t>
  </si>
  <si>
    <t>Window cleaning services usually based on quote from Mantis by building</t>
  </si>
  <si>
    <t>Mechanical Resource Group (Liebert)</t>
  </si>
  <si>
    <t>Year 1 (09/19 - 08/20)</t>
  </si>
  <si>
    <t>**billed once for full amount</t>
  </si>
  <si>
    <t>Year 2 (09/20 - 08/21)</t>
  </si>
  <si>
    <t>Year 3 (09/21 - 08/22)</t>
  </si>
  <si>
    <t>CO#1 - additional units</t>
  </si>
  <si>
    <t>year 2</t>
  </si>
  <si>
    <t>year 3</t>
  </si>
  <si>
    <t>CO#2 - Featheringill</t>
  </si>
  <si>
    <t>CO#3 - Hill Center</t>
  </si>
  <si>
    <t>Year 1 (07/20 - 06/21)</t>
  </si>
  <si>
    <t>Year 2 (07/21 - 06/22)</t>
  </si>
  <si>
    <t>Year 3 (07/22 - 06/23)</t>
  </si>
  <si>
    <t>*Buildings covered: Rand, Wilson, and McGugin</t>
  </si>
  <si>
    <t>Regular</t>
  </si>
  <si>
    <t>per week</t>
  </si>
  <si>
    <t>60 hours per week at $159.00 per hour (Increased by 6.3% -  $169.00)</t>
  </si>
  <si>
    <t>Overtime</t>
  </si>
  <si>
    <t>not explicitly stated, applies to hours over 60 per week</t>
  </si>
  <si>
    <t>Overtime $253.50 per hour (primary &amp; secondary person)</t>
  </si>
  <si>
    <t>Time and a half at $159</t>
  </si>
  <si>
    <t>July 01, 2022 - September 30, 2022</t>
  </si>
  <si>
    <t>Octobert 01, 2022 - June 30, 2023</t>
  </si>
  <si>
    <t>Powerhouse water treatment</t>
  </si>
  <si>
    <t>Campus water treatment</t>
  </si>
  <si>
    <t>Campus transport fee</t>
  </si>
  <si>
    <t>Water safety program</t>
  </si>
  <si>
    <t>Total annual cost</t>
  </si>
  <si>
    <t>Misc labor and materials</t>
  </si>
  <si>
    <t>Install Automatic operators, door closers</t>
  </si>
  <si>
    <t>panic harware door adjustments, door repairs</t>
  </si>
  <si>
    <t>*As needed repairs</t>
  </si>
  <si>
    <t>Per quantity cost</t>
  </si>
  <si>
    <t xml:space="preserve">Total Estimate </t>
  </si>
  <si>
    <t>Freight and delivery / drop fee</t>
  </si>
  <si>
    <t>Premier Elevator (Oracle Elevator Holdco)</t>
  </si>
  <si>
    <t>Total annual costs</t>
  </si>
  <si>
    <t>*Premier can provide a full listing of elevators and cost</t>
  </si>
  <si>
    <t>Fire extinguisher inspections, refills</t>
  </si>
  <si>
    <t>-no set rates - based on estimate from vendor</t>
  </si>
  <si>
    <t>6 Month Service Agreement</t>
  </si>
  <si>
    <t>Kitchen suppression</t>
  </si>
  <si>
    <t>-semi-annual billing ~$20,000/each</t>
  </si>
  <si>
    <t>Pye Barker (PB Parent Holdco LP) (Co2 Suppression)</t>
  </si>
  <si>
    <t>Semi-annual Co2 - FEL</t>
  </si>
  <si>
    <t>Hydrotesting</t>
  </si>
  <si>
    <t>Using the FY22 PO for Reladyne for a few additional months</t>
  </si>
  <si>
    <t>Currently use an estimate</t>
  </si>
  <si>
    <t>SCA (Sweeping Corp of America)(Sani-Tech JutVac Serv)</t>
  </si>
  <si>
    <t>Lot 81 - Unit 1</t>
  </si>
  <si>
    <t>Lot 81 - Unit 2</t>
  </si>
  <si>
    <t>Lot 81 - Unit 3</t>
  </si>
  <si>
    <t>Lot 79 - Unit 1</t>
  </si>
  <si>
    <t>Lot 80 - Unit 1</t>
  </si>
  <si>
    <t>18th Ave Childcare</t>
  </si>
  <si>
    <t>Lot 5A - Unit 1</t>
  </si>
  <si>
    <t>ESB - Unit 1</t>
  </si>
  <si>
    <t>Power House - Unit 1</t>
  </si>
  <si>
    <t>MRB III - Unit 1</t>
  </si>
  <si>
    <t>West Garage - Unit 1</t>
  </si>
  <si>
    <t>West Garage - Unit 2</t>
  </si>
  <si>
    <t>Lot 75A - Unit 1</t>
  </si>
  <si>
    <t>VRWC and Outdoor - Unit 1</t>
  </si>
  <si>
    <t>VRWC and Outdoor - Unit 2</t>
  </si>
  <si>
    <t>Kissam Unit 1</t>
  </si>
  <si>
    <t>Kissam Unit 2</t>
  </si>
  <si>
    <t>Subtotal</t>
  </si>
  <si>
    <t>Variable Energy Charge (31.27%)</t>
  </si>
  <si>
    <t>Environmental Health and Safety Charge (4.5%)</t>
  </si>
  <si>
    <t xml:space="preserve">Smith Turf &amp; Irrigation (STI) - General </t>
  </si>
  <si>
    <t>Currently use an estimate - need to check if rates are available</t>
  </si>
  <si>
    <t>*25,000.00 for parts and repair July 1st 2021 thru June 30th 2022</t>
  </si>
  <si>
    <t>Wilson and Kissam</t>
  </si>
  <si>
    <t>Cental Sevice (1-48 stns)</t>
  </si>
  <si>
    <t>Commons Pro3 and Stambaugh Pro3</t>
  </si>
  <si>
    <t xml:space="preserve">Deans House and Crawford </t>
  </si>
  <si>
    <t>Library Lawn</t>
  </si>
  <si>
    <t>OptiFlow</t>
  </si>
  <si>
    <t>Benson Staion</t>
  </si>
  <si>
    <t>Kirkland Esplanade and EBI</t>
  </si>
  <si>
    <t>McGugin Train Room</t>
  </si>
  <si>
    <t>ESB and Blair School of Music</t>
  </si>
  <si>
    <t>Cohen and School of Nursing</t>
  </si>
  <si>
    <t>McGugin--Anchor</t>
  </si>
  <si>
    <t>Alumni Lawn and Student Life</t>
  </si>
  <si>
    <t>Monthly rate</t>
  </si>
  <si>
    <t>W/Annual Escalator</t>
  </si>
  <si>
    <t xml:space="preserve">Custodial routine services for Athletics buildings </t>
  </si>
  <si>
    <t xml:space="preserve"> Pre-season cleaning at the football, baseball, and soccer/lacrosse stadiums, Memorial Gym and Tennis Center</t>
  </si>
  <si>
    <t>* per contract pg 85 &amp; 123</t>
  </si>
  <si>
    <t>Year 1 (07/21 - 06/22)</t>
  </si>
  <si>
    <t>Year 2 (07/22 - 06/23)</t>
  </si>
  <si>
    <t>Year 3 (07/23 - 06/24)</t>
  </si>
  <si>
    <t>Blakemore House</t>
  </si>
  <si>
    <t>Branscomb Hall</t>
  </si>
  <si>
    <t>Godchaux Hall</t>
  </si>
  <si>
    <t>Morgan-Lewis</t>
  </si>
  <si>
    <t>Schulman Center</t>
  </si>
  <si>
    <t>Chancellor's Residence</t>
  </si>
  <si>
    <t>Stevenson Center</t>
  </si>
  <si>
    <t>Turf Tank (Intelligent Marking)</t>
  </si>
  <si>
    <t>Year 1 (03/01/2021 - 02/28/2022)</t>
  </si>
  <si>
    <t>Year 2 (03/01/2022 - 02/28/2023)</t>
  </si>
  <si>
    <t>billed quarterly at $2,500</t>
  </si>
  <si>
    <t>Year 3 (03/01/2023 - 02/28/2024)</t>
  </si>
  <si>
    <t>Year 4 (03/01/2024 - 02/28/2025)</t>
  </si>
  <si>
    <t>Year 5 (03/01/2025 - 02/28/2026)</t>
  </si>
  <si>
    <t>Year 1 (03/01/2026 - 02/28/2027)</t>
  </si>
  <si>
    <t>Setup purchase order annually as a contracted service</t>
  </si>
  <si>
    <t>Rate per hours (min of 2 hours)</t>
  </si>
  <si>
    <t>*estimate</t>
  </si>
  <si>
    <t xml:space="preserve">Monthly fee $46,800 x 12 months = $561,600 annually. Game day fee of $1,932 x 7 home games = $13,524. Total purchase request $575,124.	 </t>
  </si>
  <si>
    <t>We were provided an email estimate</t>
  </si>
  <si>
    <t>Can show you invoices to review</t>
  </si>
  <si>
    <t>*Quote includes all material, labor and supervision</t>
  </si>
  <si>
    <t>Labor = $58 hr &amp; Materials = cost + $19%</t>
  </si>
  <si>
    <t>Waste Management of TN (Bio-waste)</t>
  </si>
  <si>
    <t>Learned Lab, MRBIII and Stevenson Buildings</t>
  </si>
  <si>
    <t>Monthly fee</t>
  </si>
  <si>
    <t>Annual fee</t>
  </si>
  <si>
    <t>*Does not include event support. Event support is covered by Athletics.</t>
  </si>
  <si>
    <t>Won-Door Corporation</t>
  </si>
  <si>
    <t>Annual mainenance</t>
  </si>
  <si>
    <t>Building Name</t>
  </si>
  <si>
    <t>Invoice #</t>
  </si>
  <si>
    <t>Invoice dt</t>
  </si>
  <si>
    <t>Manager / Contact2</t>
  </si>
  <si>
    <t>Custodial serv, stadium annual pre-season cleaning, proj</t>
  </si>
  <si>
    <t>Master Agreement</t>
  </si>
  <si>
    <t>Custodial services for Baker and Sony (Baker moving in-house, Sony new vendor)</t>
  </si>
  <si>
    <t>Irby A Sonepar Company</t>
  </si>
  <si>
    <t>Annual Health Check Power House</t>
  </si>
  <si>
    <t>37510
37550</t>
  </si>
  <si>
    <t>Better Water, LLC</t>
  </si>
  <si>
    <t>Maintenance of DI water system for turbines</t>
  </si>
  <si>
    <t>John Bouchard &amp; Sons Repairs</t>
  </si>
  <si>
    <t>Nashville Door</t>
  </si>
  <si>
    <t>Van Laundry (Agile Pursuits Inc dba Tide Laundry)</t>
  </si>
  <si>
    <t>Clean linens at Commons dorms</t>
  </si>
  <si>
    <t>These are completed on an as-need basis</t>
  </si>
  <si>
    <t>Overhead cost</t>
  </si>
  <si>
    <t>Vanderbilt Owned</t>
  </si>
  <si>
    <t>Vendor</t>
  </si>
  <si>
    <t>FY21B</t>
  </si>
  <si>
    <t>FY21Rev</t>
  </si>
  <si>
    <t>Savings</t>
  </si>
  <si>
    <t>Terms</t>
  </si>
  <si>
    <t>1 year</t>
  </si>
  <si>
    <t>3 year</t>
  </si>
  <si>
    <t>Savings only reflect FY21; includes Powerhouse</t>
  </si>
  <si>
    <t>Total FY21 savings</t>
  </si>
  <si>
    <t>Need MP Approval</t>
  </si>
  <si>
    <t>Jul-20</t>
  </si>
  <si>
    <t>Jul-21</t>
  </si>
  <si>
    <t>Jul-22</t>
  </si>
  <si>
    <t>Jul-23</t>
  </si>
  <si>
    <t>Jul-24</t>
  </si>
  <si>
    <t>Jul-25</t>
  </si>
  <si>
    <t>Jul-26</t>
  </si>
  <si>
    <t>Jul-27</t>
  </si>
  <si>
    <t>Jul-28</t>
  </si>
  <si>
    <t>n</t>
  </si>
  <si>
    <t>y</t>
  </si>
  <si>
    <t>To be added in FY21</t>
  </si>
  <si>
    <t>Proctor &amp; Graves - need to add annual PM of boilers - see ERC package 2020-0188</t>
  </si>
  <si>
    <t>Discontinued</t>
  </si>
  <si>
    <t>Aramark</t>
  </si>
  <si>
    <t>Ad-Vance</t>
  </si>
  <si>
    <t>Tri Star</t>
  </si>
  <si>
    <t>GE Oil &amp; Gas</t>
  </si>
  <si>
    <t>Nasvhille Machine Co</t>
  </si>
  <si>
    <t>Volunteer Welding</t>
  </si>
  <si>
    <t>Vehicle</t>
  </si>
  <si>
    <t>FY19 Amount</t>
  </si>
  <si>
    <t>FY19 PO</t>
  </si>
  <si>
    <t>VU-00-0650</t>
  </si>
  <si>
    <t>P19016150</t>
  </si>
  <si>
    <t>VU-05-0743</t>
  </si>
  <si>
    <t>P19016148</t>
  </si>
  <si>
    <t>VU-13-1141</t>
  </si>
  <si>
    <t>P19016147</t>
  </si>
  <si>
    <t>VU-95-0470</t>
  </si>
  <si>
    <t>P19016146</t>
  </si>
  <si>
    <t>VU-99-0575</t>
  </si>
  <si>
    <t>P19016145</t>
  </si>
  <si>
    <t xml:space="preserve">VU-02-0675 </t>
  </si>
  <si>
    <t>Moving</t>
  </si>
  <si>
    <t>P19016142</t>
  </si>
  <si>
    <t>VU-03-0728</t>
  </si>
  <si>
    <t>P19016140</t>
  </si>
  <si>
    <t>VU-03-0735</t>
  </si>
  <si>
    <t>P19016137</t>
  </si>
  <si>
    <t>VU-03-0701</t>
  </si>
  <si>
    <t>Building Services</t>
  </si>
  <si>
    <t>P19016136</t>
  </si>
  <si>
    <t>VU-10-0990</t>
  </si>
  <si>
    <t>P19016133</t>
  </si>
  <si>
    <t>VU-16-0026</t>
  </si>
  <si>
    <t>P19016132</t>
  </si>
  <si>
    <t>FY20 Amount</t>
  </si>
  <si>
    <t>FY20 PO</t>
  </si>
  <si>
    <t>P20004922</t>
  </si>
  <si>
    <t>P20004926</t>
  </si>
  <si>
    <t>Co-Gen</t>
  </si>
  <si>
    <t>P20004925</t>
  </si>
  <si>
    <t>P20004919</t>
  </si>
  <si>
    <t>P20004915</t>
  </si>
  <si>
    <t>P20004924</t>
  </si>
  <si>
    <t>P20004920</t>
  </si>
  <si>
    <t>P20004917</t>
  </si>
  <si>
    <t>VU-02-0676</t>
  </si>
  <si>
    <t>P20004921</t>
  </si>
  <si>
    <t>Quote / Estimate?</t>
  </si>
  <si>
    <t>Supplier justification?</t>
  </si>
  <si>
    <t>Need quote</t>
  </si>
  <si>
    <t>Vibration analysis</t>
  </si>
  <si>
    <t>Does not need to updated until August / September</t>
  </si>
  <si>
    <t>Email sent to managers 03/30/2020</t>
  </si>
  <si>
    <t>Do not email out to managers - handled differently and by Terry Haley/Matt Buckley</t>
  </si>
  <si>
    <t>Do not email out, already complete</t>
  </si>
  <si>
    <t>Ferrellgas came to be after FY21 budget was submitted.</t>
  </si>
  <si>
    <t>Lis</t>
  </si>
  <si>
    <t>Matt</t>
  </si>
  <si>
    <t>A-L Compressed Gases Inc</t>
  </si>
  <si>
    <t>Golf Management Group**</t>
  </si>
  <si>
    <t>K&amp;A Landscaping</t>
  </si>
  <si>
    <t>Not budgeted for FY21</t>
  </si>
  <si>
    <t>Contact</t>
  </si>
  <si>
    <t>Vendor(s)</t>
  </si>
  <si>
    <t>Unit Name</t>
  </si>
  <si>
    <t>Account</t>
  </si>
  <si>
    <t>Account Descrption</t>
  </si>
  <si>
    <t>FY20 Committed</t>
  </si>
  <si>
    <t>Renewal Needed?</t>
  </si>
  <si>
    <t>Debbie</t>
  </si>
  <si>
    <t>Ad-Vance Building Services (now 4M)</t>
  </si>
  <si>
    <t>Custodial for Olin, Memorial Gym, and Baseball Field</t>
  </si>
  <si>
    <t>Repairs and Maintenance Expense</t>
  </si>
  <si>
    <t>Third shift custodial</t>
  </si>
  <si>
    <t>Aramark PO is available through October 2019</t>
  </si>
  <si>
    <t>Christine</t>
  </si>
  <si>
    <t>Tim / Olivia</t>
  </si>
  <si>
    <t>Solar trash compacting/recycling bin combo units</t>
  </si>
  <si>
    <t>Lease Expense</t>
  </si>
  <si>
    <t>Agreement good through January 2024</t>
  </si>
  <si>
    <t>Agreement good through December 2022</t>
  </si>
  <si>
    <t>Kelly</t>
  </si>
  <si>
    <t>Cintas</t>
  </si>
  <si>
    <t>Door mats</t>
  </si>
  <si>
    <t>Complete Comfort</t>
  </si>
  <si>
    <t>Maintenance of chiller</t>
  </si>
  <si>
    <t>Unbudgeted - legacy that slipped through transition</t>
  </si>
  <si>
    <t>Agreement good through June 2022</t>
  </si>
  <si>
    <t>Chiller maintenance (Eskind Library)</t>
  </si>
  <si>
    <t>Agreement good through June 2021</t>
  </si>
  <si>
    <t>Roof inspections</t>
  </si>
  <si>
    <t>Empire</t>
  </si>
  <si>
    <t xml:space="preserve">Enterprise </t>
  </si>
  <si>
    <t>This is handled with Procurement, Terry, and Kathy as needed.</t>
  </si>
  <si>
    <t>Jimmy sent info 04/30/2019</t>
  </si>
  <si>
    <t>Turbine maintenance (GT#2)</t>
  </si>
  <si>
    <t>GEOTAB (Sprint)</t>
  </si>
  <si>
    <t>Vehicle tracking program</t>
  </si>
  <si>
    <t>Cylinder rental</t>
  </si>
  <si>
    <t>Honeywell</t>
  </si>
  <si>
    <t>Fire alarm system maintenance</t>
  </si>
  <si>
    <t>International Systems of America</t>
  </si>
  <si>
    <t>Fire alarm system inspections</t>
  </si>
  <si>
    <t>Agreement good through June 2020</t>
  </si>
  <si>
    <t>Fire sprinkler inspections</t>
  </si>
  <si>
    <t>Huey Brantley</t>
  </si>
  <si>
    <t>FIS printer / scanner</t>
  </si>
  <si>
    <t>Supplies Expense</t>
  </si>
  <si>
    <t>Agreement good through February 2020</t>
  </si>
  <si>
    <t>Spray washing</t>
  </si>
  <si>
    <t>Summer cleaning</t>
  </si>
  <si>
    <t>Nashville Chemical &amp; Equipment Co</t>
  </si>
  <si>
    <t>Water treatment for powerhouse</t>
  </si>
  <si>
    <t>Legionella testing</t>
  </si>
  <si>
    <t>Nashville Machine</t>
  </si>
  <si>
    <t>PM leibert units</t>
  </si>
  <si>
    <t>People Ready</t>
  </si>
  <si>
    <t>Summer VTS carpentry</t>
  </si>
  <si>
    <t>Porter Paints</t>
  </si>
  <si>
    <t>Paint supplies</t>
  </si>
  <si>
    <t>Plant Services</t>
  </si>
  <si>
    <t>Elevator call backs</t>
  </si>
  <si>
    <t>This is now rolled into one PO for Premier</t>
  </si>
  <si>
    <t>Fire extinguisher inspections</t>
  </si>
  <si>
    <t>Robert West / Danny McKissack</t>
  </si>
  <si>
    <t>Fuel</t>
  </si>
  <si>
    <t>Resource Facility Solutions</t>
  </si>
  <si>
    <t>Custodial for Dyer Observatory</t>
  </si>
  <si>
    <t>Russ Faxon</t>
  </si>
  <si>
    <t>Sculpture maintenance</t>
  </si>
  <si>
    <t>Turbine maintenance (T-65 and T-70)</t>
  </si>
  <si>
    <t>SWS Environmental Services</t>
  </si>
  <si>
    <t>Powerhouse chiller PM agreement</t>
  </si>
  <si>
    <t>Agreement good through June 2023</t>
  </si>
  <si>
    <t>Chiller maintenance (Trane)</t>
  </si>
  <si>
    <t>TriStar Building Services</t>
  </si>
  <si>
    <t>Custodial VUPD 111 28th Ave, 115 28th Ave</t>
  </si>
  <si>
    <t>W.W. Williams</t>
  </si>
  <si>
    <t>Waste Management of Tennessee</t>
  </si>
  <si>
    <t>Bio-waste disposal (Learned Lab, MRB III)</t>
  </si>
  <si>
    <t>Trash service and scrap metal recycling</t>
  </si>
  <si>
    <t>Manager Contact</t>
  </si>
  <si>
    <t>FUM Contact</t>
  </si>
  <si>
    <t>Mark Petty / Tanish Newell / Ally Sullivan</t>
  </si>
  <si>
    <t>Catherine Koetters</t>
  </si>
  <si>
    <t>Debbie Kunik</t>
  </si>
  <si>
    <t>Kelly Rigali</t>
  </si>
  <si>
    <t>Tim Cook / Mitch Lampley</t>
  </si>
  <si>
    <t>Contract Start</t>
  </si>
  <si>
    <t>Contract End</t>
  </si>
  <si>
    <t>Contract Document</t>
  </si>
  <si>
    <t>PO Basis</t>
  </si>
  <si>
    <t>YTD FY19</t>
  </si>
  <si>
    <t>FY20</t>
  </si>
  <si>
    <t>FY21</t>
  </si>
  <si>
    <t>FY22</t>
  </si>
  <si>
    <t>Old PO No</t>
  </si>
  <si>
    <t>Complete?</t>
  </si>
  <si>
    <t>Blanket PO in Aim?</t>
  </si>
  <si>
    <t>4M (formerly Ad-Vance Bldg Serv)</t>
  </si>
  <si>
    <t>Olin, Memorial Gym, and Baseball Field</t>
  </si>
  <si>
    <t>4M</t>
  </si>
  <si>
    <t>Contracted value $58,200</t>
  </si>
  <si>
    <t>P19008402</t>
  </si>
  <si>
    <t>A L Compressed Gases Inc</t>
  </si>
  <si>
    <t>P19039458</t>
  </si>
  <si>
    <t>Memo completed by Kathy</t>
  </si>
  <si>
    <t>Advance Solutions</t>
  </si>
  <si>
    <t>CAD Subscription &amp; Support</t>
  </si>
  <si>
    <t>Advanced Solutions</t>
  </si>
  <si>
    <t>P19001685</t>
  </si>
  <si>
    <t>Aramark Educational Services LLC</t>
  </si>
  <si>
    <t>Third shift custodial services</t>
  </si>
  <si>
    <t>P18027201</t>
  </si>
  <si>
    <t>Annual Maintenance &amp; Support AiM &amp; Fuel Focus</t>
  </si>
  <si>
    <t>AssetWORKS</t>
  </si>
  <si>
    <t>P19044914</t>
  </si>
  <si>
    <t>ANA</t>
  </si>
  <si>
    <t>ReADY</t>
  </si>
  <si>
    <t>Professional support services</t>
  </si>
  <si>
    <t>Need memo coversheet before requisition is processed</t>
  </si>
  <si>
    <t>P18033535</t>
  </si>
  <si>
    <t>Solar Trash Compacting Bins</t>
  </si>
  <si>
    <t>P18024882</t>
  </si>
  <si>
    <t>done</t>
  </si>
  <si>
    <t>P19034081</t>
  </si>
  <si>
    <t>Blinds R Clean</t>
  </si>
  <si>
    <t>Summer Cleaning - Frats</t>
  </si>
  <si>
    <t>BP Energy Company</t>
  </si>
  <si>
    <t>Gas Contract</t>
  </si>
  <si>
    <t>BP Natural Gas</t>
  </si>
  <si>
    <t>Hedged commitments plus estimated spot purchases Sept 2017 thru June 2018</t>
  </si>
  <si>
    <t>P18035014</t>
  </si>
  <si>
    <t>FD&amp;D Monthly Service Warren/Moore</t>
  </si>
  <si>
    <t>P19034065</t>
  </si>
  <si>
    <t>Christine to get quote from Darren</t>
  </si>
  <si>
    <t>FD&amp;D Monthly Serv Featheringill/Jacobs, Alumni, Buttrick, Common</t>
  </si>
  <si>
    <t>P19018620</t>
  </si>
  <si>
    <t>P19039361</t>
  </si>
  <si>
    <t>PO renewal needed January 2020</t>
  </si>
  <si>
    <t>P19002435</t>
  </si>
  <si>
    <t>5/24 email to DM spent less than $5k in FY19</t>
  </si>
  <si>
    <t>P18033633</t>
  </si>
  <si>
    <t>Uniforms         5016007818</t>
  </si>
  <si>
    <t>P19001107</t>
  </si>
  <si>
    <t>Automated Logic System Support/Maintenance</t>
  </si>
  <si>
    <t>Proposal/balance of Legacy FY17 PO</t>
  </si>
  <si>
    <t>P19043448</t>
  </si>
  <si>
    <t>Christine emailed Damon for new quote; emailed Levi to have contract updated</t>
  </si>
  <si>
    <t>Maint Contract Carrier Chiller</t>
  </si>
  <si>
    <t>P19022892</t>
  </si>
  <si>
    <t>Complete</t>
  </si>
  <si>
    <t>Compost Waste Service</t>
  </si>
  <si>
    <t>FY19 balance of FY18 PO</t>
  </si>
  <si>
    <t>P19002433</t>
  </si>
  <si>
    <t>P18035483</t>
  </si>
  <si>
    <t>Cummins</t>
  </si>
  <si>
    <t>P18033476</t>
  </si>
  <si>
    <t>P19007462</t>
  </si>
  <si>
    <t>Yes -SC</t>
  </si>
  <si>
    <t>Facilities Forum Membership</t>
  </si>
  <si>
    <t>P18037728</t>
  </si>
  <si>
    <t>P19007787</t>
  </si>
  <si>
    <t>P19004993</t>
  </si>
  <si>
    <t xml:space="preserve">Yes </t>
  </si>
  <si>
    <t>Energy Strategies</t>
  </si>
  <si>
    <t>P18037805</t>
  </si>
  <si>
    <t>Handled by Terry Haley, Kathy Carney &amp; Rachel Bollinger</t>
  </si>
  <si>
    <t>Evoqua</t>
  </si>
  <si>
    <t>P19000257</t>
  </si>
  <si>
    <t>P18033694</t>
  </si>
  <si>
    <t>Quote  - follow-up with Christine</t>
  </si>
  <si>
    <t>P18037982</t>
  </si>
  <si>
    <t>Homeyer</t>
  </si>
  <si>
    <t>Water analysis</t>
  </si>
  <si>
    <t>Pricing sheet</t>
  </si>
  <si>
    <t>P19021337</t>
  </si>
  <si>
    <t>Wonderware Cust. First Elite Software</t>
  </si>
  <si>
    <t>P19000108</t>
  </si>
  <si>
    <t>ISA</t>
  </si>
  <si>
    <t>P19002640</t>
  </si>
  <si>
    <t>Damon to get quote; Christine to email Levi about contract renewal</t>
  </si>
  <si>
    <t>P18005842</t>
  </si>
  <si>
    <t>P18038063</t>
  </si>
  <si>
    <t>Christine to create estimate; put package together; email in June about contract expiring</t>
  </si>
  <si>
    <t>P19002642</t>
  </si>
  <si>
    <t>P19014935</t>
  </si>
  <si>
    <t>P19013952</t>
  </si>
  <si>
    <t>Ready to print memo</t>
  </si>
  <si>
    <t>FIS Printer &amp; Scanner Service &amp; Supplies</t>
  </si>
  <si>
    <t>P19040428</t>
  </si>
  <si>
    <t>P18030991</t>
  </si>
  <si>
    <t>P19008424</t>
  </si>
  <si>
    <t>Pressure Washing</t>
  </si>
  <si>
    <t>P18025891</t>
  </si>
  <si>
    <t>P19003700</t>
  </si>
  <si>
    <t>Mid-South</t>
  </si>
  <si>
    <t>P19006685</t>
  </si>
  <si>
    <t>P18038148</t>
  </si>
  <si>
    <t>Do not need an FY20 PO</t>
  </si>
  <si>
    <t>Nashville Machine Company Inc</t>
  </si>
  <si>
    <t>PM Leibert units</t>
  </si>
  <si>
    <t>P18037904</t>
  </si>
  <si>
    <t>Damon to get quote; contract will need to be renewed in September</t>
  </si>
  <si>
    <t>PeopleReady</t>
  </si>
  <si>
    <t>P18033313</t>
  </si>
  <si>
    <t>P19020939</t>
  </si>
  <si>
    <t>5/22 email to matt</t>
  </si>
  <si>
    <t>Perk</t>
  </si>
  <si>
    <t>P18033979</t>
  </si>
  <si>
    <t>P18010045</t>
  </si>
  <si>
    <t>Georgie will renew</t>
  </si>
  <si>
    <t>P18037390</t>
  </si>
  <si>
    <t>Pro-Clean</t>
  </si>
  <si>
    <t>Fire extinguisher inspections &amp; Call Backs</t>
  </si>
  <si>
    <t>P18038052</t>
  </si>
  <si>
    <t>Christine to create estimate; put package together; email Levi about expiring contract</t>
  </si>
  <si>
    <t>P19007408</t>
  </si>
  <si>
    <t>Resource Facility Group</t>
  </si>
  <si>
    <t>Summer Cleaning</t>
  </si>
  <si>
    <t>Summer Floor Care</t>
  </si>
  <si>
    <t>P19010407</t>
  </si>
  <si>
    <t>Janitorial &amp; Professional Cleaning - 1025 16th, 111 25th Ave, 115 28th Ave</t>
  </si>
  <si>
    <t>P19029622</t>
  </si>
  <si>
    <t>Analyze/Audit Costs of Metro Bills</t>
  </si>
  <si>
    <t>Replaces Legacy PO</t>
  </si>
  <si>
    <t>P19039462</t>
  </si>
  <si>
    <t>Sightlines LLC</t>
  </si>
  <si>
    <t>Consulting - operations analysis</t>
  </si>
  <si>
    <t>Sightlines</t>
  </si>
  <si>
    <t>P19010884</t>
  </si>
  <si>
    <t>P19002434</t>
  </si>
  <si>
    <t>5/24 email to DM spent less than $12k in FY19</t>
  </si>
  <si>
    <t>Solar</t>
  </si>
  <si>
    <t>P18035033</t>
  </si>
  <si>
    <t>P18030431</t>
  </si>
  <si>
    <t>5/24 email to Matt - exhausted last year's</t>
  </si>
  <si>
    <t>SWS Environmental - Stormwater</t>
  </si>
  <si>
    <t>PENDING</t>
  </si>
  <si>
    <t>Pending - process May 2020</t>
  </si>
  <si>
    <t>Trane - Chiller</t>
  </si>
  <si>
    <t>P18037797</t>
  </si>
  <si>
    <t>Trane - Powerhouse</t>
  </si>
  <si>
    <t>P19010076</t>
  </si>
  <si>
    <t>P18033630</t>
  </si>
  <si>
    <t>P19007727</t>
  </si>
  <si>
    <t>5/24 email to Matt - 75% of last year's</t>
  </si>
  <si>
    <t>P19020279</t>
  </si>
  <si>
    <t>P19021307</t>
  </si>
  <si>
    <t>Cylinder rental (zones, pest control)</t>
  </si>
  <si>
    <t>P19035040</t>
  </si>
  <si>
    <t>Complete - Equipment was purchased.</t>
  </si>
  <si>
    <t>P19031311</t>
  </si>
  <si>
    <t>Waste Mgmt - Bio-waste</t>
  </si>
  <si>
    <t>P18037957</t>
  </si>
  <si>
    <t>Scrap metal recycling</t>
  </si>
  <si>
    <t>Waste Management</t>
  </si>
  <si>
    <t>P19006432</t>
  </si>
  <si>
    <t>Kelly emailed Matt 5/8 for quote</t>
  </si>
  <si>
    <t>P18037321</t>
  </si>
  <si>
    <t>5/24 email to Danny</t>
  </si>
  <si>
    <t>Wilson Floor Care</t>
  </si>
  <si>
    <t>P19003464</t>
  </si>
  <si>
    <t>FY24 Budget2</t>
  </si>
  <si>
    <t>FY25 Budget</t>
  </si>
  <si>
    <t>FY25 Committed</t>
  </si>
  <si>
    <t>FY26 Budget</t>
  </si>
  <si>
    <t>FY26 Committed</t>
  </si>
  <si>
    <t>Budget v Actuals change</t>
  </si>
  <si>
    <t>FY29</t>
  </si>
  <si>
    <t>FY30</t>
  </si>
  <si>
    <t>FY24 PO</t>
  </si>
  <si>
    <t>FY25 PO</t>
  </si>
  <si>
    <t>Current PO</t>
  </si>
  <si>
    <t>Procurement Notes</t>
  </si>
  <si>
    <t>PM Template</t>
  </si>
  <si>
    <t>COA has correct FU 37560</t>
  </si>
  <si>
    <t>Laura Barker</t>
  </si>
  <si>
    <t>Mary McQuillan</t>
  </si>
  <si>
    <t>P24061268</t>
  </si>
  <si>
    <t>P25054847</t>
  </si>
  <si>
    <t>Apex Mechanical Services</t>
  </si>
  <si>
    <t>P25005722</t>
  </si>
  <si>
    <t>P25062506</t>
  </si>
  <si>
    <t>Andy Gelasco</t>
  </si>
  <si>
    <t>Stacey Crowhurst</t>
  </si>
  <si>
    <t>P25019504</t>
  </si>
  <si>
    <t>9/3 HW: requested quote</t>
  </si>
  <si>
    <t>P24063910</t>
  </si>
  <si>
    <t>P25063854</t>
  </si>
  <si>
    <t>Olivia Daugherty</t>
  </si>
  <si>
    <t>Ben Swaffer</t>
  </si>
  <si>
    <t>John Williams</t>
  </si>
  <si>
    <t>Multi-year through 2027</t>
  </si>
  <si>
    <t>2556 (multi year - does this need a new template?)</t>
  </si>
  <si>
    <t>Autodesk Inc</t>
  </si>
  <si>
    <t>Auto CAD Transition to Named User Discount MU 3year subscription</t>
  </si>
  <si>
    <t>Planning, Design, and Construction</t>
  </si>
  <si>
    <t>P25008734</t>
  </si>
  <si>
    <t xml:space="preserve">(PO =2YR out of 3years FY25 - FY27) </t>
  </si>
  <si>
    <t>PO = 2year - 3 year FY25 - FY27 - 37200</t>
  </si>
  <si>
    <t>Ancillary Services</t>
  </si>
  <si>
    <t>Jay Key</t>
  </si>
  <si>
    <t xml:space="preserve">P25011407 </t>
  </si>
  <si>
    <t>P26011245</t>
  </si>
  <si>
    <t>FY26 PO complete</t>
  </si>
  <si>
    <t>N/A - get WO from mgr</t>
  </si>
  <si>
    <t xml:space="preserve">Barcodes </t>
  </si>
  <si>
    <t>P25063595</t>
  </si>
  <si>
    <t>aa: 6/25 request sent to Kathy</t>
  </si>
  <si>
    <t>PO = 1year - 3year FY26 - FY28)</t>
  </si>
  <si>
    <t>Ed Krise</t>
  </si>
  <si>
    <t xml:space="preserve"> PO extended through 06/30/2026; not yet billed against</t>
  </si>
  <si>
    <t>Waste &amp; Recycling Services</t>
  </si>
  <si>
    <t>Kendra Miller/Kyle Becker</t>
  </si>
  <si>
    <t>Auto-renews</t>
  </si>
  <si>
    <t xml:space="preserve">P25062331 </t>
  </si>
  <si>
    <t>Border States</t>
  </si>
  <si>
    <t>Software maintenance and professional services @ 40 hours/year
Preventative Maintenance:</t>
  </si>
  <si>
    <t>6205/
6130</t>
  </si>
  <si>
    <t>P25060255</t>
  </si>
  <si>
    <t xml:space="preserve"> (PO =1YR out of 3years FY26 - FY28) </t>
  </si>
  <si>
    <t>PO =1YR out of 3years FY26 - FY28</t>
  </si>
  <si>
    <t>BuildingLogiX (Waibel Energy) BACnet Monitoring Service Hours</t>
  </si>
  <si>
    <t>BACnet system analysis and diagnostics and engineering services hours packet</t>
  </si>
  <si>
    <t>Energy Management</t>
  </si>
  <si>
    <t>Howard Parker</t>
  </si>
  <si>
    <t>P25005895</t>
  </si>
  <si>
    <t xml:space="preserve">P26001845 </t>
  </si>
  <si>
    <t>BuildingLogiX (Waibel Energy) FD&amp;D</t>
  </si>
  <si>
    <t>P25006264</t>
  </si>
  <si>
    <t>need new template (FY25 template = 2612)</t>
  </si>
  <si>
    <t>P24030907</t>
  </si>
  <si>
    <t>P25032834</t>
  </si>
  <si>
    <t>need new template (FY25 template = 2503)</t>
  </si>
  <si>
    <t>Robert Frazier</t>
  </si>
  <si>
    <t>P25016610</t>
  </si>
  <si>
    <t>P26013490</t>
  </si>
  <si>
    <t>Cintas Corporation (Launderables)</t>
  </si>
  <si>
    <t>Towels, dust mops, linens</t>
  </si>
  <si>
    <t>P25014795</t>
  </si>
  <si>
    <t>PO# P24025994 not S.A. /CO done on 4/25 increase $$</t>
  </si>
  <si>
    <t>AA: Cintas references this PO as  24172720 in their records.</t>
  </si>
  <si>
    <t>P25006609</t>
  </si>
  <si>
    <t xml:space="preserve">P26001129 </t>
  </si>
  <si>
    <t>Clean Harbors (chemical waste)</t>
  </si>
  <si>
    <t>Stephen T requester - copy Stephen, Andrea and Leigh on invoices (and Christine)</t>
  </si>
  <si>
    <t>PO extended through 06/30/2026; only billed ~$1,000 / $200,000</t>
  </si>
  <si>
    <t>Clean Harbors (universal waste)</t>
  </si>
  <si>
    <t>P26012221</t>
  </si>
  <si>
    <t>emailed Telitha to create PO on 9/9/26</t>
  </si>
  <si>
    <t>need new template (FY25 template = 2739)</t>
  </si>
  <si>
    <t>Controls (Building Automation)</t>
  </si>
  <si>
    <t>Mike McDonner</t>
  </si>
  <si>
    <t>P25011404</t>
  </si>
  <si>
    <t>P25063880</t>
  </si>
  <si>
    <t>CF: sent to Kathy for processing 06/26</t>
  </si>
  <si>
    <t>Distributed Water</t>
  </si>
  <si>
    <t>P24057936</t>
  </si>
  <si>
    <t>PO Request sent to Kathy</t>
  </si>
  <si>
    <t>need new template (FY25 template = 2618)</t>
  </si>
  <si>
    <t>Kyante Ridley</t>
  </si>
  <si>
    <t xml:space="preserve">P24055413 </t>
  </si>
  <si>
    <t>complete</t>
  </si>
  <si>
    <t>P24050303</t>
  </si>
  <si>
    <t>P25055507</t>
  </si>
  <si>
    <t>need new template (FY25 template = 2740)</t>
  </si>
  <si>
    <t>Crawford Electric Supply</t>
  </si>
  <si>
    <t>Rockwell automation PLC’s on the control networks</t>
  </si>
  <si>
    <t>P25031976</t>
  </si>
  <si>
    <t>One time Cost of $9,214.96; Annual Cost $1,720.12</t>
  </si>
  <si>
    <t xml:space="preserve">7/29 HW: John is reaching out to vendor; (PO =1YR out of 3years FY26 - FY28) </t>
  </si>
  <si>
    <t>need new template</t>
  </si>
  <si>
    <t>Crawford Electric Supply (Stuart C Irby (Irby A Sonepar Company))</t>
  </si>
  <si>
    <t>P25047659</t>
  </si>
  <si>
    <t>P23016212 formly Stuart C Irby; Per Christine pause on entering FY25 &amp; FY26 #'s into table for P25047659</t>
  </si>
  <si>
    <t>need new template (FY25 template = 2795)</t>
  </si>
  <si>
    <t>P25030310</t>
  </si>
  <si>
    <t>9/8 HW: requested quotes</t>
  </si>
  <si>
    <t>need new template (FY25 template = 2531)</t>
  </si>
  <si>
    <t xml:space="preserve">Cummins Inc </t>
  </si>
  <si>
    <t>need new template (FY25 template = 2557)</t>
  </si>
  <si>
    <t>need new template (FY25 template = 2553)</t>
  </si>
  <si>
    <t>Delta Landscapes</t>
  </si>
  <si>
    <t>Irrigation repairs (labor and parts)</t>
  </si>
  <si>
    <t>P25010541</t>
  </si>
  <si>
    <t>9/22 HW: sent documents to Christine for review</t>
  </si>
  <si>
    <t>Helen Morsette (Divinity)</t>
  </si>
  <si>
    <t>P25032257</t>
  </si>
  <si>
    <t>need template for FY26 (cleaning for Dyer)</t>
  </si>
  <si>
    <t>Roof inspections (Zones 2 and 4)</t>
  </si>
  <si>
    <t>P25011879</t>
  </si>
  <si>
    <t xml:space="preserve">(PO = 2YR out of 3years FY25 - FY27) </t>
  </si>
  <si>
    <t xml:space="preserve">(PO = 2year - 3year FY25 - FY27) </t>
  </si>
  <si>
    <t>need new template (FY25 template = 1073,1082,1460)</t>
  </si>
  <si>
    <t>Dubois Chemicals (Nashville Chemical - Campus</t>
  </si>
  <si>
    <t>Water treatment for  campus &amp; water-safety</t>
  </si>
  <si>
    <t>WCF</t>
  </si>
  <si>
    <t xml:space="preserve">P25000931 </t>
  </si>
  <si>
    <t>P25000931</t>
  </si>
  <si>
    <t xml:space="preserve">P25063346 </t>
  </si>
  <si>
    <t>FY26 complete</t>
  </si>
  <si>
    <t>need new template (FY25 template = 2566)</t>
  </si>
  <si>
    <t>Dubois Chemicals (Nashville Chemical - Powerhouse</t>
  </si>
  <si>
    <t xml:space="preserve">Water treatment for powerhouse </t>
  </si>
  <si>
    <t>P25000802</t>
  </si>
  <si>
    <t>P25062804</t>
  </si>
  <si>
    <t>Dubois Chemicals (replaced Evoqua) - Water Treatment</t>
  </si>
  <si>
    <t>Deionized water maintenance (ESB, MRBIII and Stevenson)</t>
  </si>
  <si>
    <t>Josiah Cupp</t>
  </si>
  <si>
    <t>P25014575</t>
  </si>
  <si>
    <t xml:space="preserve">(PO = 2year - 3year FY25 - FY27)  </t>
  </si>
  <si>
    <t>P25004591</t>
  </si>
  <si>
    <t>P25012415</t>
  </si>
  <si>
    <t>AA: 6/10 - FY26 quote is in Vendor Agreement folder</t>
  </si>
  <si>
    <t>Elitte Septic Tank and Grease Trap</t>
  </si>
  <si>
    <t>P25011399</t>
  </si>
  <si>
    <t xml:space="preserve"> 9/3 HW: pending PO; Move to 37510 in FY27</t>
  </si>
  <si>
    <t>P24058201</t>
  </si>
  <si>
    <t>P25054984</t>
  </si>
  <si>
    <t xml:space="preserve"> (PO = 1year - 3year FY26 - FY28)  Optional 2 additional years</t>
  </si>
  <si>
    <t>Roof inspections (Zones 1, 3 and 5)</t>
  </si>
  <si>
    <t>P25010101</t>
  </si>
  <si>
    <t>need new template (FY25 template = 1071,1072,1083)</t>
  </si>
  <si>
    <t>P25003884</t>
  </si>
  <si>
    <t>P25063887</t>
  </si>
  <si>
    <t>CF: Extend current PO through 10/31/2024</t>
  </si>
  <si>
    <t>need new template (FY25 template = 2558)</t>
  </si>
  <si>
    <t>Graywolf Sensing Solutions</t>
  </si>
  <si>
    <t>3 year calibration and probe clean up</t>
  </si>
  <si>
    <t>Leigh Shoup</t>
  </si>
  <si>
    <t>P25031664</t>
  </si>
  <si>
    <t>CF: Three year agreement - paid in full upfront</t>
  </si>
  <si>
    <t>Honeywell Automation</t>
  </si>
  <si>
    <t>Fire alarm maintenance and programming</t>
  </si>
  <si>
    <t>Fire &amp; Life Safety</t>
  </si>
  <si>
    <t>Insight Public Sector (Blue Beam)</t>
  </si>
  <si>
    <t>Collaboration software for PDC</t>
  </si>
  <si>
    <t>Hudson Partlow</t>
  </si>
  <si>
    <t>P25029455</t>
  </si>
  <si>
    <t>Should be under waste and recycling/ 11/7/24-extended PO thru 11/30/2025 due to available funds (AA)</t>
  </si>
  <si>
    <t>Purchase Agreement</t>
  </si>
  <si>
    <t>P25000549</t>
  </si>
  <si>
    <t xml:space="preserve">P26000156 </t>
  </si>
  <si>
    <t>need new template (FY25 template = 1257)</t>
  </si>
  <si>
    <t>P25000550</t>
  </si>
  <si>
    <t xml:space="preserve">P25063542 </t>
  </si>
  <si>
    <t>need new template (FY25 template = 2667)</t>
  </si>
  <si>
    <t>P25004593</t>
  </si>
  <si>
    <t>need new template (FY25 template = 2547)</t>
  </si>
  <si>
    <t>P25004592</t>
  </si>
  <si>
    <t>Increased scope in year 2 - price increased by $29,550</t>
  </si>
  <si>
    <t>need new template (FY25 template = 2614)</t>
  </si>
  <si>
    <t>P24056245</t>
  </si>
  <si>
    <t>P25059876</t>
  </si>
  <si>
    <t>need new template (FY25 template = 2827)</t>
  </si>
  <si>
    <t>Building System Controls (BSC)</t>
  </si>
  <si>
    <t>P25021125</t>
  </si>
  <si>
    <t>P26002036</t>
  </si>
  <si>
    <t>08/06 - Followed up with Tanish</t>
  </si>
  <si>
    <t>keep Jul - Jun</t>
  </si>
  <si>
    <t>need new template? phones in elevators</t>
  </si>
  <si>
    <t>Kings III of America - Repairs</t>
  </si>
  <si>
    <t>Elevator Phone Repairs</t>
  </si>
  <si>
    <t>P25026236</t>
  </si>
  <si>
    <t>CF: Extend current PO through 06/30/2026; only billed $925 / $5,000</t>
  </si>
  <si>
    <t>P24060621</t>
  </si>
  <si>
    <t>P25062649</t>
  </si>
  <si>
    <t>Move to 37510 in FY27</t>
  </si>
  <si>
    <t>need new template (FY25 template = 2720)</t>
  </si>
  <si>
    <t>P24055342</t>
  </si>
  <si>
    <t>P25054924</t>
  </si>
  <si>
    <t>CF 03/17: Procurement to work on 3 bids</t>
  </si>
  <si>
    <t>This needs to be moved to 37563 in FY27</t>
  </si>
  <si>
    <t>need new template (FY25 template = 2551)</t>
  </si>
  <si>
    <t>P25009013</t>
  </si>
  <si>
    <t>P26003063</t>
  </si>
  <si>
    <t>08/06 - Waiting on Procurement</t>
  </si>
  <si>
    <t>need new template (FY25 template = 2565)</t>
  </si>
  <si>
    <t>AA: extending FY25 PO no billing against it</t>
  </si>
  <si>
    <t>AA: 5/29/25 -no billing against PO, extending coverage date</t>
  </si>
  <si>
    <t>Jeremy Crantek</t>
  </si>
  <si>
    <t>P25029295</t>
  </si>
  <si>
    <t>Otis Elevator (formerly Urban Elevator Services)</t>
  </si>
  <si>
    <t>P25035475</t>
  </si>
  <si>
    <t>Otis Elevator (formerly Urban Elevator)</t>
  </si>
  <si>
    <t>need new template (FY25 template =2575)</t>
  </si>
  <si>
    <t>P25011405</t>
  </si>
  <si>
    <t>P25063533</t>
  </si>
  <si>
    <t>need new template (FY25 template =2567)</t>
  </si>
  <si>
    <t>Power Equipment Company of Memphis</t>
  </si>
  <si>
    <t xml:space="preserve">Licensing for annual Steam Trap Program </t>
  </si>
  <si>
    <t>Chris Preston/Howard Parker</t>
  </si>
  <si>
    <t>9/17 HW: pending PO</t>
  </si>
  <si>
    <t>P25011409</t>
  </si>
  <si>
    <t>P26002223</t>
  </si>
  <si>
    <t>need new template (FY25 template =1012)</t>
  </si>
  <si>
    <t>2 extensions</t>
  </si>
  <si>
    <t>P25034176</t>
  </si>
  <si>
    <t>CF [08/28]: Extending RSG using 1st of two extensions</t>
  </si>
  <si>
    <t>Rise Vision Inc.</t>
  </si>
  <si>
    <t>Employee engagement tv monitors</t>
  </si>
  <si>
    <t xml:space="preserve">P25018084 </t>
  </si>
  <si>
    <t>Rollins Pest Solutions</t>
  </si>
  <si>
    <t>P26008303</t>
  </si>
  <si>
    <t xml:space="preserve">AA: FY26 changing to Rollins Pest </t>
  </si>
  <si>
    <t>replaces Ace/Lookout</t>
  </si>
  <si>
    <t>P24057446</t>
  </si>
  <si>
    <t>P25062123</t>
  </si>
  <si>
    <t xml:space="preserve">Mold testing and Asbestos </t>
  </si>
  <si>
    <t>P25000547</t>
  </si>
  <si>
    <t>P25059880</t>
  </si>
  <si>
    <t>P25001657</t>
  </si>
  <si>
    <t>P25055808</t>
  </si>
  <si>
    <t>need new template (FY25 template =2568)</t>
  </si>
  <si>
    <t>Sound Communications</t>
  </si>
  <si>
    <t>Help desk and remote monitoring &amp; hardware support</t>
  </si>
  <si>
    <t>Michael Shrum</t>
  </si>
  <si>
    <t>P25055370</t>
  </si>
  <si>
    <t>STI Holdings (Smith Turf &amp; Irrigation)- WeatherTrak</t>
  </si>
  <si>
    <t>PO end 6/30/2026</t>
  </si>
  <si>
    <t>need template for FY26</t>
  </si>
  <si>
    <t>Sun Coast Resources LLC (Formerly Reladyne)</t>
  </si>
  <si>
    <t>P24058371</t>
  </si>
  <si>
    <t xml:space="preserve">P25059843 </t>
  </si>
  <si>
    <t>P25004364</t>
  </si>
  <si>
    <t>P26000686</t>
  </si>
  <si>
    <t>AA: 6/26 request sent to Telitha</t>
  </si>
  <si>
    <t>CF 03/17: Extension in progress</t>
  </si>
  <si>
    <t>need new template (FY25 template =1017)</t>
  </si>
  <si>
    <t>P25008733</t>
  </si>
  <si>
    <t>need new template (FY25 template =2552)</t>
  </si>
  <si>
    <t>P24057416</t>
  </si>
  <si>
    <t>(PO = 2YR out of 3YR/ end date 06.2027)</t>
  </si>
  <si>
    <t>(PO = 2YR of 3YR/ end date 06.2027)</t>
  </si>
  <si>
    <t>P24058540</t>
  </si>
  <si>
    <t>P25060014</t>
  </si>
  <si>
    <t>(PO = 5YR out of 6YR/ end date 03.2027); 6/02: HW: pending PO</t>
  </si>
  <si>
    <t>(PO = 4YR of 5YR/ end date 03.2026); 5/29 HW: sent documents for review</t>
  </si>
  <si>
    <t>need new template (FY25 template =2794)</t>
  </si>
  <si>
    <t>Underground Locators of Nashville (Underguard)</t>
  </si>
  <si>
    <t>P25045735</t>
  </si>
  <si>
    <t>need new template (FY25 template =2616)</t>
  </si>
  <si>
    <t>P24062449</t>
  </si>
  <si>
    <t>P25059198</t>
  </si>
  <si>
    <t>P25003331</t>
  </si>
  <si>
    <t>P25063023</t>
  </si>
  <si>
    <t xml:space="preserve">Vortex Air Duct Cleaning </t>
  </si>
  <si>
    <t>Air Duct Cleaning (Zone 2)</t>
  </si>
  <si>
    <t>Jesse Chandler</t>
  </si>
  <si>
    <t>P25059658</t>
  </si>
  <si>
    <t>P24062668</t>
  </si>
  <si>
    <t>P25062141</t>
  </si>
  <si>
    <t>P24060618</t>
  </si>
  <si>
    <t>P26000184</t>
  </si>
  <si>
    <t>West End Lock</t>
  </si>
  <si>
    <t>Locksmith Services  campus wide</t>
  </si>
  <si>
    <t>P25014807</t>
  </si>
  <si>
    <t>P26004125</t>
  </si>
  <si>
    <t>per James Cobb email on 6/12 - will not renew blanket for FY26</t>
  </si>
  <si>
    <t>Western Electrical Services (CBS Field Services)</t>
  </si>
  <si>
    <t>Field Services (breaker testing) with hourly or overtime rates</t>
  </si>
  <si>
    <t>N25000007</t>
  </si>
  <si>
    <t xml:space="preserve">P25057325 </t>
  </si>
  <si>
    <t>PO =1 year out of 5years FY25 - FY29</t>
  </si>
  <si>
    <t>need a template for FY26 ?</t>
  </si>
  <si>
    <t>WW Grainger</t>
  </si>
  <si>
    <t>Purchase of safety boots for employees</t>
  </si>
  <si>
    <t>Jennifer Burke</t>
  </si>
  <si>
    <t>P26001861</t>
  </si>
  <si>
    <t>Mike Meadows / Damon Varble</t>
  </si>
  <si>
    <t>GA-
68421</t>
  </si>
  <si>
    <t>P24063485</t>
  </si>
  <si>
    <t>P25062545</t>
  </si>
  <si>
    <t>need new template (FY25 template =2749)</t>
  </si>
  <si>
    <t>Fire Door Testing</t>
  </si>
  <si>
    <t>P24050715</t>
  </si>
  <si>
    <t>P24053468</t>
  </si>
  <si>
    <t>P25063511</t>
  </si>
  <si>
    <t xml:space="preserve">FY26 PO Complete </t>
  </si>
  <si>
    <t>Managed by Storeroom</t>
  </si>
  <si>
    <t>Proprietary 
(Y/N)</t>
  </si>
  <si>
    <t>Manager 
/ Contact</t>
  </si>
  <si>
    <t>Asst Director 
/ Director</t>
  </si>
  <si>
    <t>RFP / Contract
Renewal</t>
  </si>
  <si>
    <t>FY24 Commitment</t>
  </si>
  <si>
    <t>YoY Change</t>
  </si>
  <si>
    <t>FY26 PO</t>
  </si>
  <si>
    <t>Porter Paints (PPG Architectural Finishes Inc
Pittsburgh Coating Inc</t>
  </si>
  <si>
    <t>P22059129</t>
  </si>
  <si>
    <t>P24000864</t>
  </si>
  <si>
    <t>P25003569</t>
  </si>
  <si>
    <t>P26006928</t>
  </si>
  <si>
    <t>HW 8/11/2025: P26006928 replaced P26001098</t>
  </si>
  <si>
    <t>Sherwin Williams</t>
  </si>
  <si>
    <t>P22059120</t>
  </si>
  <si>
    <t>P24000860</t>
  </si>
  <si>
    <t>P25002980</t>
  </si>
  <si>
    <t>P26006869</t>
  </si>
  <si>
    <t>HW 8/11/2025: P26006869 replaced P26000956</t>
  </si>
  <si>
    <t>Sigma Organics (Chilton Turf)</t>
  </si>
  <si>
    <t xml:space="preserve">Provides equipment parts and supplies </t>
  </si>
  <si>
    <t>Email w Estimate</t>
  </si>
  <si>
    <t>P22059193</t>
  </si>
  <si>
    <t>P24002243</t>
  </si>
  <si>
    <t>P25003085</t>
  </si>
  <si>
    <t xml:space="preserve">	P26000699</t>
  </si>
  <si>
    <t>SiteOne Landscape Supply</t>
  </si>
  <si>
    <t>Grounds supplies</t>
  </si>
  <si>
    <t>P22059194</t>
  </si>
  <si>
    <t>P24002245</t>
  </si>
  <si>
    <t>P25003568</t>
  </si>
  <si>
    <t>P26000957</t>
  </si>
  <si>
    <t>STI Holdings (Smith Turf &amp; Irrigation)</t>
  </si>
  <si>
    <t>P22059192</t>
  </si>
  <si>
    <t>P24002244</t>
  </si>
  <si>
    <t>P25002979</t>
  </si>
  <si>
    <t>P26000700</t>
  </si>
  <si>
    <t>No Longer Using</t>
  </si>
  <si>
    <t>ForshawDistribution</t>
  </si>
  <si>
    <t>Pest control supplies</t>
  </si>
  <si>
    <t>P23001965</t>
  </si>
  <si>
    <t>P24002736</t>
  </si>
  <si>
    <t>Not using in FY25</t>
  </si>
  <si>
    <t>PO TOTAL</t>
  </si>
  <si>
    <t xml:space="preserve">Service Agreement FY24 </t>
  </si>
  <si>
    <t>Annual Fuel Drive SaaS Renewal</t>
  </si>
  <si>
    <t>Software Maintenance</t>
  </si>
  <si>
    <t>AiM O&amp;M</t>
  </si>
  <si>
    <t>Space Management</t>
  </si>
  <si>
    <t>GIS</t>
  </si>
  <si>
    <t>AiMCAD</t>
  </si>
  <si>
    <t>AiM IQ</t>
  </si>
  <si>
    <t>Go O&amp;M Combo</t>
  </si>
  <si>
    <t>AiMCAD Plug In</t>
  </si>
  <si>
    <t>Go Asset Management</t>
  </si>
  <si>
    <t>AssetSync</t>
  </si>
  <si>
    <t>ReADY Space (prorate to sync with annual term)</t>
  </si>
  <si>
    <t>SpaceSync (prorate to sync with annual term)</t>
  </si>
  <si>
    <t>ABP Bundle (prorate to sync with annual term)</t>
  </si>
  <si>
    <t>Biannual</t>
  </si>
  <si>
    <t>GA75VSD+P A 175 MEAF 460 60</t>
  </si>
  <si>
    <t>Big Belly - 04/01/2023 - 03/31/2028</t>
  </si>
  <si>
    <t>Disposal services in 15 VUSE labs in ESB, Featheringill-Jacobs, SC2, SC5, SC6, SC7, MRBIII, Keck FEL, Olin</t>
  </si>
  <si>
    <t>The Commons Center</t>
  </si>
  <si>
    <t>KIrkland</t>
  </si>
  <si>
    <t>Quarterly Invoice</t>
  </si>
  <si>
    <t>License and Maintenance Fee</t>
  </si>
  <si>
    <t>Total Annual Investment</t>
  </si>
  <si>
    <t>Platform Install</t>
  </si>
  <si>
    <t>BDX Software</t>
  </si>
  <si>
    <t>Monthly Connected Bld Svc</t>
  </si>
  <si>
    <t>On-going Buildings FDD</t>
  </si>
  <si>
    <t>BACnet System Monitoring</t>
  </si>
  <si>
    <t>On-going Chiller Plants FDD, Pos &amp; MBCx</t>
  </si>
  <si>
    <t>Total FY25 Service Agreement</t>
  </si>
  <si>
    <t>Service Hours Extension</t>
  </si>
  <si>
    <t>Irrigation Repair (service, time and material)</t>
  </si>
  <si>
    <t>*$10.00 shipping</t>
  </si>
  <si>
    <t>Indoor Mat $5.02</t>
  </si>
  <si>
    <t>Outdoor Mat $4.66</t>
  </si>
  <si>
    <t>Quarterly FY25</t>
  </si>
  <si>
    <t>R24041558</t>
  </si>
  <si>
    <t>Gap PO created for 1/1/2023 - 6/30/2023</t>
  </si>
  <si>
    <t>FY24 Number of Services</t>
  </si>
  <si>
    <t>FY24 Cost</t>
  </si>
  <si>
    <t>Rothschild</t>
  </si>
  <si>
    <t>*48 gallon = $14.00</t>
  </si>
  <si>
    <t>*64 gallon = $21.22</t>
  </si>
  <si>
    <t>*3 cubic yard dumpster = $136.64</t>
  </si>
  <si>
    <t>Annual Costs $1720.12</t>
  </si>
  <si>
    <t>One time Cost of $9,214.96</t>
  </si>
  <si>
    <t>FY25 PO Total</t>
  </si>
  <si>
    <t>Does not include quote for balancing/laser alignment ($140.00/Hour)</t>
  </si>
  <si>
    <t>P25063346</t>
  </si>
  <si>
    <t>Dubois Chemicals (replaced Evoqua)</t>
  </si>
  <si>
    <t>Deionized water maintenace</t>
  </si>
  <si>
    <t>Maintenance Renewal</t>
  </si>
  <si>
    <t>Year 2025</t>
  </si>
  <si>
    <t>Semi-annual tamper and flow switch teting for 110 locations</t>
  </si>
  <si>
    <t>Annual Trip Testing of dry system</t>
  </si>
  <si>
    <t>Semi-annual low point drain testing on dry systems</t>
  </si>
  <si>
    <t xml:space="preserve">Monthly Visual Valve checks (84 locations plys 26 Greek </t>
  </si>
  <si>
    <t>Internal Inspections (based on 1/5 of buildings per year</t>
  </si>
  <si>
    <t>Monthly fire pump churn testing</t>
  </si>
  <si>
    <t>Annual Fire pump testing (full flow)</t>
  </si>
  <si>
    <t>Monthly PRV testing (including flow)</t>
  </si>
  <si>
    <t>1-C Annual visual walkthrough inspections</t>
  </si>
  <si>
    <t>Annual Test Private Fire Hydrants on campus</t>
  </si>
  <si>
    <t>Flow Test 2.5" PRV</t>
  </si>
  <si>
    <t>Annual charge FY25</t>
  </si>
  <si>
    <t>Annual charge FY26</t>
  </si>
  <si>
    <t>*Agreement for 3 YR 07.01.2024 - 06.30.2027</t>
  </si>
  <si>
    <t xml:space="preserve">Multiple Units </t>
  </si>
  <si>
    <t>12 Months</t>
  </si>
  <si>
    <t>Repairs</t>
  </si>
  <si>
    <t>Clean and inspect 19 storm water control measures</t>
  </si>
  <si>
    <t>Year 1 (07/23 - 06/24)</t>
  </si>
  <si>
    <t>Year 2 (07/24 - 06/25)</t>
  </si>
  <si>
    <t>Year 3 (07/25 - 06/26)</t>
  </si>
  <si>
    <t>Did not renew</t>
  </si>
  <si>
    <t>Quarterly Preventative Maintenance for Outdoor Units</t>
  </si>
  <si>
    <t>60 hours per week at $182.07 per hour (COLA increased by 4.6% Annually)</t>
  </si>
  <si>
    <t>Overtime $265.16 per hour (primary &amp; secondary person)</t>
  </si>
  <si>
    <t>Annual SDS Hub Subscription</t>
  </si>
  <si>
    <t xml:space="preserve">Total Annual Recurring Support &amp; Maintenance </t>
  </si>
  <si>
    <t xml:space="preserve">Total </t>
  </si>
  <si>
    <t xml:space="preserve">Individual invoice costs and freight fees will vary </t>
  </si>
  <si>
    <t>Annual Fire Inspections (3,886 * $4.90)</t>
  </si>
  <si>
    <t>Annual Inspections (15) clean agent systems NFPA12 (2 * $6,750.00)</t>
  </si>
  <si>
    <t>Annual Inspections (184) kitchen inspections NFPA17/17a (2 * $39,423.84)</t>
  </si>
  <si>
    <t>Sub Total</t>
  </si>
  <si>
    <t>*Labor - $65.00 per Hour (130 Hours)</t>
  </si>
  <si>
    <t>**Service call $49.95 (110)</t>
  </si>
  <si>
    <t>Fire Extinguisher required service estimate</t>
  </si>
  <si>
    <t>Kitchen Suppression required service estimate</t>
  </si>
  <si>
    <t>Clean Agent Systems requires service estimate</t>
  </si>
  <si>
    <t>Total (Rounded up)</t>
  </si>
  <si>
    <t>Natural Gas price risk management services</t>
  </si>
  <si>
    <t>Monthly Rate (FY2026) - P25055808</t>
  </si>
  <si>
    <t>Paid 7/30, 8/1</t>
  </si>
  <si>
    <t>Annual health check to cover system monitoring Powerhouse</t>
  </si>
  <si>
    <t xml:space="preserve">The Precisionist </t>
  </si>
  <si>
    <t>Year 1 (07/24 - 06/25)</t>
  </si>
  <si>
    <t>Year 2 (07/25 - 06/26)</t>
  </si>
  <si>
    <t>Year 3 (07/26 - 06/27)</t>
  </si>
  <si>
    <t>Rate per hours (min of 2 hours) Calendar renewal</t>
  </si>
  <si>
    <t>Wage Rate:  Not quoted for FY25</t>
  </si>
  <si>
    <t xml:space="preserve">Foreman - </t>
  </si>
  <si>
    <t xml:space="preserve">Mechanic - </t>
  </si>
  <si>
    <t>Apprentice -</t>
  </si>
  <si>
    <t>FY25 PO#</t>
  </si>
  <si>
    <t>Border States (Schneider Electric) Not Renewing</t>
  </si>
  <si>
    <t>07/03:  Per John / Damon - Not renewing</t>
  </si>
  <si>
    <t>CF: Extend current PO through 08/31/2024; create new PO Sep'24-Aug'25</t>
  </si>
  <si>
    <t>NA; Not Renewed</t>
  </si>
  <si>
    <t>Single Quote</t>
  </si>
  <si>
    <t>No longer using - now using Apex Mechanical Services</t>
  </si>
  <si>
    <t>6/6/2024: not renewing; CF: Extend current PO through 07/31/2024; create new PO Aug'24-Jul'25</t>
  </si>
  <si>
    <t>N/A - no longer using services</t>
  </si>
  <si>
    <t>Mark Harrington</t>
  </si>
  <si>
    <t>6/6/2024: not renewing</t>
  </si>
  <si>
    <t>C &amp; G Turf Management (Color Burst Landscapes) formerly Artisan Landscape</t>
  </si>
  <si>
    <t xml:space="preserve">No longer using - now using Delta Landscape LLC 94388 </t>
  </si>
  <si>
    <t>8/19: Delta Landscapes replaced C&amp;G; CF: Extend current PO through 09/30/2024; create new PO Oct'24-Sep'25</t>
  </si>
  <si>
    <t xml:space="preserve">This will become Dubois Chem (Zone 4) </t>
  </si>
  <si>
    <t>not renewing</t>
  </si>
  <si>
    <t>2560</t>
  </si>
  <si>
    <t>Swim Club Management Group (Langley &amp; Taylor Pool Co)</t>
  </si>
  <si>
    <t>do nothing - agreement was to pay for maitenance for one year</t>
  </si>
  <si>
    <t>Ace Exterminating (Scottie A Yant) -mosquito</t>
  </si>
  <si>
    <t>Annual mosquito treatments</t>
  </si>
  <si>
    <t>P25007889</t>
  </si>
  <si>
    <t>AA: FY26 bringing mosquito treatments in-house</t>
  </si>
  <si>
    <t>06/03 CF: Will be bringing this in house</t>
  </si>
  <si>
    <t>2611</t>
  </si>
  <si>
    <t>06/03 CF: Can remove from list</t>
  </si>
  <si>
    <t>Renewal in May 2024 - this is Autodesk</t>
  </si>
  <si>
    <t>5/30: Pending Bid (1year - 3year FY25-FY27); CF: Extend current PO through 11/30/2024; create new PO Dec'24-Nov'25</t>
  </si>
  <si>
    <t>AA:  Per M. Buckley, services will not be used for FY25</t>
  </si>
  <si>
    <t>1017</t>
  </si>
  <si>
    <t xml:space="preserve">extending FY24 PO thru FY25 </t>
  </si>
  <si>
    <t>Lutron Services Co (Not renewing)</t>
  </si>
  <si>
    <t>Per Damon, Not Renewing</t>
  </si>
  <si>
    <t>Per Damon, we will not be renewing service agreement for FY25</t>
  </si>
  <si>
    <t>PO was create for FY24 - FY26</t>
  </si>
  <si>
    <t>Mechanical Resource Group (VRV System) Not renewing</t>
  </si>
  <si>
    <t>2748</t>
  </si>
  <si>
    <t>Stonehenge Properties - Revcord</t>
  </si>
  <si>
    <t>Help Desk and Remote Monitoring &amp; Hardware Support</t>
  </si>
  <si>
    <t xml:space="preserve">Damon Varble </t>
  </si>
  <si>
    <t>P23053787</t>
  </si>
  <si>
    <t>P24058542</t>
  </si>
  <si>
    <t>replaced with Sound Communications</t>
  </si>
  <si>
    <t>John Bouchard &amp; Sons (backflow testing)</t>
  </si>
  <si>
    <t>Fire line backflow testing</t>
  </si>
  <si>
    <t xml:space="preserve">Mike Meadows </t>
  </si>
  <si>
    <t>P25003990</t>
  </si>
  <si>
    <t>4/22 HW: Per Damon - Service no longer needed</t>
  </si>
  <si>
    <t>2667</t>
  </si>
  <si>
    <t>PO Request submitted with correct FU 37562</t>
  </si>
  <si>
    <t>Cintas Corporation (Jackets)</t>
  </si>
  <si>
    <t>Jackets</t>
  </si>
  <si>
    <t>P25011412</t>
  </si>
  <si>
    <t>Change Order request sent 12/3/2024 -$10,000 increase to make total $97,000 (will add when PO is complete)</t>
  </si>
  <si>
    <t>Will move this into uniforms</t>
  </si>
  <si>
    <t xml:space="preserve">P25013840 </t>
  </si>
  <si>
    <t>Create a new NPO for each year to pay for subscription ( 3 years FY24-FY26) - "professional services"</t>
  </si>
  <si>
    <t>7/03 HW: no longer needed; (3year of 3yr); NPO - will need to create a new PO for each year to pay for subscription ( 3 years FY24-FY26)</t>
  </si>
  <si>
    <t>It's Lillian Clean</t>
  </si>
  <si>
    <t>Weekly cleaning of Chancellor's condo</t>
  </si>
  <si>
    <t>P25037056</t>
  </si>
  <si>
    <t>vendor terminated servcies July 2025</t>
  </si>
  <si>
    <t>Ace Exterminating (Scottie A Yant) -termite</t>
  </si>
  <si>
    <t>P25006298</t>
  </si>
  <si>
    <t>06/03: Will be using new vendor.</t>
  </si>
  <si>
    <t>Will be come Rollins Pest</t>
  </si>
  <si>
    <t>P25014084</t>
  </si>
  <si>
    <t>8/20 HW: no longer needed</t>
  </si>
  <si>
    <t xml:space="preserve">N/A </t>
  </si>
  <si>
    <t xml:space="preserve"> </t>
  </si>
  <si>
    <t>Paul Approval ($25,000+)</t>
  </si>
  <si>
    <t>Pressure washing</t>
  </si>
  <si>
    <t>IEI</t>
  </si>
  <si>
    <t>ERT</t>
  </si>
  <si>
    <t>JMO Commercial Services</t>
  </si>
  <si>
    <t>Squeegee Squad</t>
  </si>
  <si>
    <t>Supplier Name</t>
  </si>
  <si>
    <t>Phone Contact</t>
  </si>
  <si>
    <t>Email Contact</t>
  </si>
  <si>
    <t>Justin Romano</t>
  </si>
  <si>
    <t>615-591-6861</t>
  </si>
  <si>
    <t>jromano@blindsallaround.com</t>
  </si>
  <si>
    <t>Jack King; Christen Crumley (accountant)</t>
  </si>
  <si>
    <t>937-776-6814 (Jack)</t>
  </si>
  <si>
    <t xml:space="preserve">Jack.King@buildinglogix.net; Christen.Crumley@gowaibel.com  </t>
  </si>
  <si>
    <t xml:space="preserve">Eric Whittemore </t>
  </si>
  <si>
    <t xml:space="preserve">615-493-5390 </t>
  </si>
  <si>
    <t xml:space="preserve">whittemoree@cintas.com </t>
  </si>
  <si>
    <t>Keith Kasinger</t>
  </si>
  <si>
    <t>615-838-3971</t>
  </si>
  <si>
    <t>keith@cumberlandpdm.com</t>
  </si>
  <si>
    <t>Tim Woodard</t>
  </si>
  <si>
    <t>615-456-2119</t>
  </si>
  <si>
    <t>tim@donkennedyroofing.com</t>
  </si>
  <si>
    <t xml:space="preserve">Sean Konrad </t>
  </si>
  <si>
    <t>615-519-9298</t>
  </si>
  <si>
    <t>sean@empireroofing.com</t>
  </si>
  <si>
    <t xml:space="preserve">Darrin Henderberg &amp; Paul Diekhouse </t>
  </si>
  <si>
    <t>615-479-8942</t>
  </si>
  <si>
    <t>darrin.henderberg@evoqua.com</t>
  </si>
  <si>
    <t>William Forkum</t>
  </si>
  <si>
    <t>William.Forkum@daikinapplied.com</t>
  </si>
  <si>
    <t>Corey Smith</t>
  </si>
  <si>
    <t>615-690-0142</t>
  </si>
  <si>
    <t>Corey.Smith@jbouchard.com</t>
  </si>
  <si>
    <t>David Oxley</t>
  </si>
  <si>
    <t>615-771-1366; 615-207-0158 (cell)</t>
  </si>
  <si>
    <t>Steve Shanks</t>
  </si>
  <si>
    <t>850-712-8576</t>
  </si>
  <si>
    <t>Steven.Shanks@LerchBates.com</t>
  </si>
  <si>
    <t>Joshua Ince</t>
  </si>
  <si>
    <t>joshua.ince@duboischemicals.com</t>
  </si>
  <si>
    <t>Tim Canady</t>
  </si>
  <si>
    <t>931-580-1206</t>
  </si>
  <si>
    <t>ramboco@bellsouth.net</t>
  </si>
  <si>
    <t>Cindy Wheeler</t>
  </si>
  <si>
    <t>c.russellglass@gmail.com</t>
  </si>
  <si>
    <t>Michael Sharp</t>
  </si>
  <si>
    <t>615-565-9479; 615-351-2906 (cell)</t>
  </si>
  <si>
    <t>michael.sharp@trane.com</t>
  </si>
  <si>
    <t>Jonathan Pemerton</t>
  </si>
  <si>
    <t>ugl@att.net</t>
  </si>
  <si>
    <t>Lance Warren</t>
  </si>
  <si>
    <t>warreninsulation@gmail.com</t>
  </si>
  <si>
    <t>Suzanne Morss; Kathy Haberman (acct.)</t>
  </si>
  <si>
    <t>smorss@wm.com; khaberma@wm.com</t>
  </si>
  <si>
    <t>Derick Hilker</t>
  </si>
  <si>
    <t>derick.hilker@veolia.com</t>
  </si>
  <si>
    <t>Vendor Name</t>
  </si>
  <si>
    <t>Contact Name</t>
  </si>
  <si>
    <t>Contact Email</t>
  </si>
  <si>
    <t>Contact Phone Number</t>
  </si>
  <si>
    <t>As Of</t>
  </si>
  <si>
    <t xml:space="preserve">William.Forkum@daikinapplied.com </t>
  </si>
  <si>
    <t xml:space="preserve">tim@donkennedyroofing.com </t>
  </si>
  <si>
    <t xml:space="preserve">joshua.ince@duboischemicals.com </t>
  </si>
  <si>
    <t>Sean Konrad</t>
  </si>
  <si>
    <t xml:space="preserve">sean@empireroofing.com </t>
  </si>
  <si>
    <t xml:space="preserve">Corey.Smith@jbouchard.com </t>
  </si>
  <si>
    <t xml:space="preserve">Steven.Shanks@LerchBates.com </t>
  </si>
  <si>
    <t xml:space="preserve">michael.sharp@trane.com </t>
  </si>
  <si>
    <t xml:space="preserve">warreninsulation@gmail.com </t>
  </si>
  <si>
    <t>Oracel Status</t>
  </si>
  <si>
    <t>AiM Entry</t>
  </si>
  <si>
    <t>Contract Threshold</t>
  </si>
  <si>
    <t>Lower</t>
  </si>
  <si>
    <t>Upper</t>
  </si>
  <si>
    <t>Pending</t>
  </si>
  <si>
    <t>Remove</t>
  </si>
  <si>
    <t>Amy Corlew</t>
  </si>
  <si>
    <t>NEED TO CHECK TEMPLATE - NO WO'S COME UP WHEN SEARCHING</t>
  </si>
  <si>
    <t>Rate type</t>
  </si>
  <si>
    <t>Rate Amount</t>
  </si>
  <si>
    <t>Variable</t>
  </si>
  <si>
    <t>P26018085</t>
  </si>
  <si>
    <t>P26018261</t>
  </si>
  <si>
    <t>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</si>
</sst>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00"/>
  </numFmts>
  <fonts count="40"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u/>
      <sz val="11"/>
      <color rgb="FF0070C0"/>
      <name val="Calibri"/>
      <family val="2"/>
      <scheme val="minor"/>
    </font>
    <font>
      <sz val="11"/>
      <name val="Calibri"/>
      <family val="2"/>
      <scheme val="minor"/>
    </font>
    <font>
      <u/>
      <sz val="11"/>
      <color theme="4" tint="-0.249977111117893"/>
      <name val="Calibri"/>
      <family val="2"/>
      <scheme val="minor"/>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i/>
      <sz val="11"/>
      <color theme="1"/>
      <name val="Calibri"/>
      <family val="2"/>
      <scheme val="minor"/>
    </font>
    <font>
      <b/>
      <sz val="11"/>
      <color theme="1"/>
      <name val="Calibri"/>
      <family val="2"/>
      <scheme val="minor"/>
    </font>
    <font>
      <i/>
      <sz val="11"/>
      <color rgb="FF7030A0"/>
      <name val="Calibri"/>
      <family val="2"/>
      <scheme val="minor"/>
    </font>
    <font>
      <b/>
      <i/>
      <sz val="11"/>
      <color rgb="FF7030A0"/>
      <name val="Calibri"/>
      <family val="2"/>
      <scheme val="minor"/>
    </font>
    <font>
      <sz val="8"/>
      <name val="Calibri"/>
      <family val="2"/>
      <scheme val="minor"/>
    </font>
    <font>
      <i/>
      <sz val="11"/>
      <color theme="0" tint="-0.34998626667073579"/>
      <name val="Calibri"/>
      <family val="2"/>
      <scheme val="minor"/>
    </font>
    <font>
      <sz val="11"/>
      <color rgb="FF1F497D"/>
      <name val="Calibri"/>
      <family val="2"/>
      <scheme val="minor"/>
    </font>
    <font>
      <b/>
      <sz val="15"/>
      <color theme="3"/>
      <name val="Calibri"/>
      <family val="2"/>
      <scheme val="minor"/>
    </font>
    <font>
      <b/>
      <sz val="15"/>
      <color theme="8" tint="-0.249977111117893"/>
      <name val="Calibri"/>
      <family val="2"/>
      <scheme val="minor"/>
    </font>
    <font>
      <sz val="10"/>
      <color theme="1"/>
      <name val="Calibri"/>
      <family val="2"/>
      <scheme val="minor"/>
    </font>
    <font>
      <i/>
      <sz val="11"/>
      <color rgb="FF0070C0"/>
      <name val="Calibri"/>
      <family val="2"/>
      <scheme val="minor"/>
    </font>
    <font>
      <i/>
      <sz val="11"/>
      <color theme="0"/>
      <name val="Calibri"/>
      <family val="2"/>
      <scheme val="minor"/>
    </font>
    <font>
      <sz val="9"/>
      <color theme="1"/>
      <name val="Calibri"/>
      <family val="2"/>
      <scheme val="minor"/>
    </font>
    <font>
      <strike/>
      <sz val="11"/>
      <color theme="1"/>
      <name val="Calibri"/>
      <family val="2"/>
      <scheme val="minor"/>
    </font>
    <font>
      <i/>
      <sz val="10"/>
      <color theme="1"/>
      <name val="Calibri"/>
      <family val="2"/>
      <scheme val="minor"/>
    </font>
    <font>
      <b/>
      <i/>
      <sz val="11"/>
      <color theme="1"/>
      <name val="Calibri"/>
      <family val="2"/>
      <scheme val="minor"/>
    </font>
    <font>
      <b/>
      <sz val="11"/>
      <name val="Calibri"/>
      <family val="2"/>
      <scheme val="minor"/>
    </font>
    <font>
      <sz val="11"/>
      <color rgb="FFFF0000"/>
      <name val="Calibri"/>
      <family val="2"/>
      <scheme val="minor"/>
    </font>
    <font>
      <sz val="11"/>
      <color rgb="FF0070C0"/>
      <name val="Calibri"/>
      <family val="2"/>
      <scheme val="minor"/>
    </font>
    <font>
      <sz val="11"/>
      <color rgb="FF000000"/>
      <name val="Calibri"/>
      <family val="2"/>
      <scheme val="minor"/>
    </font>
    <font>
      <sz val="11"/>
      <color rgb="FF000000"/>
      <name val="Calibri"/>
      <family val="2"/>
    </font>
    <font>
      <b/>
      <u/>
      <sz val="11"/>
      <color theme="1"/>
      <name val="Calibri"/>
      <family val="2"/>
      <scheme val="minor"/>
    </font>
    <font>
      <b/>
      <sz val="11"/>
      <color rgb="FF000000"/>
      <name val="Calibri"/>
      <family val="2"/>
    </font>
    <font>
      <sz val="11"/>
      <color rgb="FF242424"/>
      <name val="Aptos Narrow"/>
      <family val="2"/>
    </font>
    <font>
      <b/>
      <sz val="11"/>
      <color rgb="FF000000"/>
      <name val="Calibri"/>
      <family val="2"/>
      <scheme val="minor"/>
    </font>
    <font>
      <sz val="11"/>
      <color rgb="FF000000"/>
      <name val="Calibri"/>
      <family val="2"/>
      <scheme val="minor"/>
    </font>
    <font>
      <u/>
      <sz val="11"/>
      <color rgb="FF000000"/>
      <name val="Calibri"/>
      <family val="2"/>
      <scheme val="minor"/>
    </font>
    <font>
      <u/>
      <sz val="11"/>
      <color rgb="FF000000"/>
      <name val="Calibri"/>
      <family val="2"/>
      <scheme val="minor"/>
    </font>
  </fonts>
  <fills count="38">
    <fill>
      <patternFill patternType="none"/>
    </fill>
    <fill>
      <patternFill patternType="gray125"/>
    </fill>
    <fill>
      <patternFill patternType="solid">
        <fgColor theme="7" tint="0.79998168889431442"/>
        <bgColor indexed="64"/>
      </patternFill>
    </fill>
    <fill>
      <patternFill patternType="solid">
        <fgColor rgb="FF66008A"/>
        <bgColor indexed="64"/>
      </patternFill>
    </fill>
    <fill>
      <patternFill patternType="solid">
        <fgColor theme="9"/>
        <bgColor theme="9"/>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8"/>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9"/>
      </patternFill>
    </fill>
    <fill>
      <patternFill patternType="solid">
        <fgColor theme="9"/>
        <bgColor indexed="64"/>
      </patternFill>
    </fill>
    <fill>
      <patternFill patternType="solid">
        <fgColor theme="4" tint="0.39997558519241921"/>
        <bgColor indexed="65"/>
      </patternFill>
    </fill>
    <fill>
      <patternFill patternType="solid">
        <fgColor theme="4"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8" tint="0.39997558519241921"/>
        <bgColor indexed="65"/>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002060"/>
        <bgColor indexed="64"/>
      </patternFill>
    </fill>
    <fill>
      <patternFill patternType="solid">
        <fgColor rgb="FF7030A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indexed="64"/>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theme="9" tint="0.39997558519241921"/>
      </top>
      <bottom style="thin">
        <color theme="9" tint="0.39997558519241921"/>
      </bottom>
      <diagonal/>
    </border>
    <border>
      <left/>
      <right/>
      <top/>
      <bottom style="thin">
        <color rgb="FF000000"/>
      </bottom>
      <diagonal/>
    </border>
  </borders>
  <cellStyleXfs count="14">
    <xf numFmtId="0" fontId="0" fillId="0" borderId="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43" fontId="3" fillId="0" borderId="0" applyFont="0" applyFill="0" applyBorder="0" applyAlignment="0" applyProtection="0"/>
    <xf numFmtId="0" fontId="19" fillId="0" borderId="10" applyNumberFormat="0" applyFill="0" applyAlignment="0" applyProtection="0"/>
    <xf numFmtId="0" fontId="3" fillId="14" borderId="0" applyNumberFormat="0" applyBorder="0" applyAlignment="0" applyProtection="0"/>
    <xf numFmtId="0" fontId="3" fillId="18" borderId="0" applyNumberFormat="0" applyBorder="0" applyAlignment="0" applyProtection="0"/>
  </cellStyleXfs>
  <cellXfs count="507">
    <xf numFmtId="0" fontId="0" fillId="0" borderId="0" xfId="0"/>
    <xf numFmtId="164" fontId="0" fillId="0" borderId="0" xfId="1" applyNumberFormat="1" applyFont="1"/>
    <xf numFmtId="44" fontId="0" fillId="0" borderId="0" xfId="1" applyFont="1"/>
    <xf numFmtId="0" fontId="0" fillId="0" borderId="0" xfId="0" applyAlignment="1">
      <alignment horizontal="center"/>
    </xf>
    <xf numFmtId="0" fontId="0" fillId="0" borderId="0" xfId="0" applyAlignment="1">
      <alignment horizontal="center" wrapText="1"/>
    </xf>
    <xf numFmtId="14" fontId="0" fillId="0" borderId="0" xfId="0" applyNumberFormat="1" applyAlignment="1">
      <alignment horizontal="center" wrapText="1"/>
    </xf>
    <xf numFmtId="44" fontId="0" fillId="0" borderId="0" xfId="1" applyFont="1" applyAlignment="1">
      <alignment horizontal="center" wrapText="1"/>
    </xf>
    <xf numFmtId="44" fontId="0" fillId="0" borderId="0" xfId="1" applyFont="1" applyAlignment="1">
      <alignment wrapText="1"/>
    </xf>
    <xf numFmtId="0" fontId="0" fillId="0" borderId="0" xfId="0" applyAlignment="1">
      <alignment wrapText="1"/>
    </xf>
    <xf numFmtId="14" fontId="0" fillId="0" borderId="0" xfId="0" applyNumberFormat="1"/>
    <xf numFmtId="14" fontId="4" fillId="0" borderId="0" xfId="3" applyNumberFormat="1"/>
    <xf numFmtId="14" fontId="0" fillId="0" borderId="0" xfId="0" applyNumberFormat="1" applyAlignment="1">
      <alignment horizontal="center"/>
    </xf>
    <xf numFmtId="44" fontId="0" fillId="0" borderId="0" xfId="1" applyFont="1" applyFill="1" applyAlignment="1"/>
    <xf numFmtId="14" fontId="0" fillId="0" borderId="0" xfId="1" applyNumberFormat="1" applyFont="1"/>
    <xf numFmtId="14" fontId="5" fillId="0" borderId="0" xfId="3" applyNumberFormat="1" applyFont="1"/>
    <xf numFmtId="14" fontId="6" fillId="0" borderId="0" xfId="0" applyNumberFormat="1" applyFont="1" applyAlignment="1">
      <alignment horizontal="center"/>
    </xf>
    <xf numFmtId="44" fontId="0" fillId="0" borderId="0" xfId="1" applyFont="1" applyAlignment="1"/>
    <xf numFmtId="14" fontId="0" fillId="0" borderId="0" xfId="0" applyNumberFormat="1" applyAlignment="1">
      <alignment horizontal="right"/>
    </xf>
    <xf numFmtId="14" fontId="7" fillId="0" borderId="0" xfId="3" applyNumberFormat="1" applyFont="1"/>
    <xf numFmtId="14" fontId="6" fillId="0" borderId="0" xfId="1" applyNumberFormat="1" applyFont="1"/>
    <xf numFmtId="0" fontId="6" fillId="0" borderId="0" xfId="0" applyFont="1" applyAlignment="1">
      <alignment horizontal="center"/>
    </xf>
    <xf numFmtId="14" fontId="4" fillId="0" borderId="0" xfId="3" applyNumberFormat="1" applyFill="1"/>
    <xf numFmtId="0" fontId="4" fillId="0" borderId="0" xfId="3"/>
    <xf numFmtId="44" fontId="0" fillId="0" borderId="0" xfId="1" applyFont="1" applyBorder="1" applyAlignment="1"/>
    <xf numFmtId="9" fontId="0" fillId="0" borderId="0" xfId="2" applyFont="1"/>
    <xf numFmtId="2" fontId="0" fillId="0" borderId="0" xfId="0" applyNumberFormat="1"/>
    <xf numFmtId="44" fontId="0" fillId="0" borderId="0" xfId="1" applyFont="1" applyAlignment="1">
      <alignment horizontal="center"/>
    </xf>
    <xf numFmtId="0" fontId="0" fillId="2" borderId="0" xfId="0" applyFill="1" applyAlignment="1">
      <alignment horizontal="center"/>
    </xf>
    <xf numFmtId="164" fontId="0" fillId="2" borderId="0" xfId="1" applyNumberFormat="1" applyFont="1" applyFill="1"/>
    <xf numFmtId="0" fontId="0" fillId="2" borderId="0" xfId="0" applyFill="1"/>
    <xf numFmtId="164" fontId="8" fillId="3" borderId="0" xfId="1" applyNumberFormat="1" applyFont="1" applyFill="1" applyAlignment="1">
      <alignment horizontal="center"/>
    </xf>
    <xf numFmtId="0" fontId="8" fillId="3" borderId="0" xfId="0" applyFont="1" applyFill="1" applyAlignment="1">
      <alignment horizontal="center" wrapText="1"/>
    </xf>
    <xf numFmtId="164" fontId="8" fillId="3" borderId="0" xfId="1" applyNumberFormat="1" applyFont="1" applyFill="1" applyAlignment="1">
      <alignment horizontal="center" wrapText="1"/>
    </xf>
    <xf numFmtId="0" fontId="8" fillId="3" borderId="0" xfId="0" applyFont="1" applyFill="1" applyAlignment="1">
      <alignment horizontal="center"/>
    </xf>
    <xf numFmtId="14" fontId="0" fillId="0" borderId="0" xfId="0" quotePrefix="1" applyNumberFormat="1"/>
    <xf numFmtId="0" fontId="11" fillId="4" borderId="2" xfId="0" applyFont="1" applyFill="1" applyBorder="1" applyAlignment="1">
      <alignment horizontal="center" wrapText="1"/>
    </xf>
    <xf numFmtId="0" fontId="11" fillId="4" borderId="1" xfId="0" applyFont="1" applyFill="1" applyBorder="1" applyAlignment="1">
      <alignment horizontal="center" wrapText="1"/>
    </xf>
    <xf numFmtId="44" fontId="11" fillId="4" borderId="1" xfId="1" applyFont="1" applyFill="1" applyBorder="1" applyAlignment="1">
      <alignment horizontal="center" wrapText="1"/>
    </xf>
    <xf numFmtId="14" fontId="11" fillId="4" borderId="1" xfId="0" applyNumberFormat="1" applyFont="1" applyFill="1" applyBorder="1" applyAlignment="1">
      <alignment horizontal="center" wrapText="1"/>
    </xf>
    <xf numFmtId="14" fontId="4" fillId="0" borderId="0" xfId="0" applyNumberFormat="1" applyFont="1"/>
    <xf numFmtId="0" fontId="12" fillId="0" borderId="0" xfId="0" applyFont="1"/>
    <xf numFmtId="42" fontId="0" fillId="0" borderId="0" xfId="1" applyNumberFormat="1" applyFont="1" applyAlignment="1"/>
    <xf numFmtId="0" fontId="8" fillId="0" borderId="0" xfId="0" applyFont="1" applyAlignment="1">
      <alignment horizontal="center" wrapText="1"/>
    </xf>
    <xf numFmtId="14" fontId="8" fillId="0" borderId="0" xfId="0" applyNumberFormat="1" applyFont="1" applyAlignment="1">
      <alignment horizontal="center" wrapText="1"/>
    </xf>
    <xf numFmtId="42" fontId="8" fillId="5" borderId="0" xfId="1" applyNumberFormat="1" applyFont="1" applyFill="1" applyAlignment="1">
      <alignment horizontal="center" wrapText="1"/>
    </xf>
    <xf numFmtId="44" fontId="8" fillId="0" borderId="0" xfId="1" applyFont="1" applyAlignment="1">
      <alignment horizontal="center" wrapText="1"/>
    </xf>
    <xf numFmtId="0" fontId="8" fillId="0" borderId="0" xfId="0" applyFont="1" applyAlignment="1">
      <alignment wrapText="1"/>
    </xf>
    <xf numFmtId="14" fontId="0" fillId="0" borderId="0" xfId="0" applyNumberFormat="1" applyAlignment="1">
      <alignment wrapText="1"/>
    </xf>
    <xf numFmtId="164" fontId="8" fillId="5" borderId="0" xfId="1" applyNumberFormat="1" applyFont="1" applyFill="1" applyAlignment="1">
      <alignment horizontal="center" wrapText="1"/>
    </xf>
    <xf numFmtId="164" fontId="8" fillId="0" borderId="0" xfId="1" applyNumberFormat="1" applyFont="1" applyAlignment="1">
      <alignment horizontal="center" wrapText="1"/>
    </xf>
    <xf numFmtId="164" fontId="0" fillId="0" borderId="0" xfId="1" applyNumberFormat="1" applyFont="1" applyAlignment="1"/>
    <xf numFmtId="0" fontId="0" fillId="0" borderId="0" xfId="0" applyAlignment="1">
      <alignment horizontal="right"/>
    </xf>
    <xf numFmtId="0" fontId="0" fillId="0" borderId="0" xfId="0" applyAlignment="1">
      <alignment horizontal="left" indent="2"/>
    </xf>
    <xf numFmtId="0" fontId="13" fillId="0" borderId="0" xfId="0" applyFont="1" applyAlignment="1">
      <alignment horizontal="left"/>
    </xf>
    <xf numFmtId="0" fontId="13" fillId="0" borderId="0" xfId="0" applyFont="1"/>
    <xf numFmtId="0" fontId="14" fillId="0" borderId="0" xfId="0" applyFont="1"/>
    <xf numFmtId="164" fontId="14" fillId="0" borderId="0" xfId="1" applyNumberFormat="1" applyFont="1"/>
    <xf numFmtId="0" fontId="0" fillId="6" borderId="2" xfId="0" applyFill="1" applyBorder="1"/>
    <xf numFmtId="0" fontId="0" fillId="6" borderId="1" xfId="0" applyFill="1" applyBorder="1"/>
    <xf numFmtId="0" fontId="0" fillId="0" borderId="2" xfId="0" applyBorder="1"/>
    <xf numFmtId="0" fontId="0" fillId="0" borderId="1" xfId="0" applyBorder="1"/>
    <xf numFmtId="164" fontId="11" fillId="5" borderId="1" xfId="1" applyNumberFormat="1" applyFont="1" applyFill="1" applyBorder="1" applyAlignment="1">
      <alignment horizontal="center" wrapText="1"/>
    </xf>
    <xf numFmtId="14" fontId="0" fillId="6" borderId="1" xfId="0" applyNumberFormat="1" applyFill="1" applyBorder="1"/>
    <xf numFmtId="164" fontId="0" fillId="6" borderId="1" xfId="1" applyNumberFormat="1" applyFont="1" applyFill="1" applyBorder="1"/>
    <xf numFmtId="14" fontId="0" fillId="0" borderId="1" xfId="0" applyNumberFormat="1" applyBorder="1"/>
    <xf numFmtId="164" fontId="0" fillId="0" borderId="1" xfId="1" applyNumberFormat="1" applyFont="1" applyBorder="1"/>
    <xf numFmtId="0" fontId="0" fillId="0" borderId="4" xfId="0" applyBorder="1"/>
    <xf numFmtId="14" fontId="0" fillId="0" borderId="4" xfId="0" applyNumberFormat="1" applyBorder="1"/>
    <xf numFmtId="164" fontId="0" fillId="0" borderId="4" xfId="1" applyNumberFormat="1" applyFont="1" applyBorder="1"/>
    <xf numFmtId="0" fontId="11" fillId="4" borderId="5" xfId="0" applyFont="1" applyFill="1" applyBorder="1" applyAlignment="1">
      <alignment horizontal="center" wrapText="1"/>
    </xf>
    <xf numFmtId="0" fontId="11" fillId="4" borderId="4" xfId="0" applyFont="1" applyFill="1" applyBorder="1" applyAlignment="1">
      <alignment horizontal="center" wrapText="1"/>
    </xf>
    <xf numFmtId="14" fontId="11" fillId="4" borderId="4" xfId="0" applyNumberFormat="1" applyFont="1" applyFill="1" applyBorder="1" applyAlignment="1">
      <alignment horizontal="center" wrapText="1"/>
    </xf>
    <xf numFmtId="164" fontId="11" fillId="5" borderId="4" xfId="1" applyNumberFormat="1" applyFont="1" applyFill="1" applyBorder="1" applyAlignment="1">
      <alignment horizontal="center" wrapText="1"/>
    </xf>
    <xf numFmtId="14" fontId="11" fillId="4" borderId="7" xfId="0" applyNumberFormat="1" applyFont="1" applyFill="1" applyBorder="1" applyAlignment="1">
      <alignment horizontal="center" wrapText="1"/>
    </xf>
    <xf numFmtId="0" fontId="0" fillId="6" borderId="5" xfId="0" applyFill="1" applyBorder="1"/>
    <xf numFmtId="0" fontId="0" fillId="6" borderId="4" xfId="0" applyFill="1" applyBorder="1"/>
    <xf numFmtId="14" fontId="0" fillId="6" borderId="4" xfId="0" applyNumberFormat="1" applyFill="1" applyBorder="1"/>
    <xf numFmtId="164" fontId="0" fillId="6" borderId="4" xfId="1" applyNumberFormat="1" applyFont="1" applyFill="1" applyBorder="1"/>
    <xf numFmtId="14" fontId="0" fillId="6" borderId="7" xfId="0" applyNumberFormat="1" applyFill="1" applyBorder="1"/>
    <xf numFmtId="0" fontId="0" fillId="0" borderId="5" xfId="0" applyBorder="1"/>
    <xf numFmtId="14" fontId="0" fillId="0" borderId="7" xfId="0" applyNumberFormat="1" applyBorder="1"/>
    <xf numFmtId="14" fontId="0" fillId="0" borderId="6" xfId="0" applyNumberFormat="1" applyBorder="1"/>
    <xf numFmtId="0" fontId="15" fillId="0" borderId="0" xfId="0" applyFont="1"/>
    <xf numFmtId="14" fontId="0" fillId="6" borderId="0" xfId="0" applyNumberFormat="1" applyFill="1"/>
    <xf numFmtId="164" fontId="8" fillId="7" borderId="0" xfId="4" applyNumberFormat="1" applyAlignment="1">
      <alignment horizontal="center"/>
    </xf>
    <xf numFmtId="164" fontId="13" fillId="0" borderId="0" xfId="1" applyNumberFormat="1" applyFont="1"/>
    <xf numFmtId="164" fontId="13" fillId="0" borderId="3" xfId="1" applyNumberFormat="1" applyFont="1" applyBorder="1"/>
    <xf numFmtId="0" fontId="11" fillId="4" borderId="2" xfId="0" quotePrefix="1" applyFont="1" applyFill="1" applyBorder="1" applyAlignment="1">
      <alignment horizontal="center" wrapText="1"/>
    </xf>
    <xf numFmtId="164" fontId="0" fillId="0" borderId="0" xfId="1" applyNumberFormat="1" applyFont="1" applyAlignment="1">
      <alignment horizontal="center"/>
    </xf>
    <xf numFmtId="42" fontId="11" fillId="5" borderId="1" xfId="1" applyNumberFormat="1" applyFont="1" applyFill="1" applyBorder="1" applyAlignment="1">
      <alignment horizontal="center" wrapText="1"/>
    </xf>
    <xf numFmtId="164" fontId="11" fillId="4" borderId="1" xfId="1" applyNumberFormat="1" applyFont="1" applyFill="1" applyBorder="1" applyAlignment="1">
      <alignment horizontal="center" wrapText="1"/>
    </xf>
    <xf numFmtId="14" fontId="4" fillId="6" borderId="1" xfId="3" applyNumberFormat="1" applyFill="1" applyBorder="1"/>
    <xf numFmtId="0" fontId="0" fillId="6" borderId="1" xfId="0" applyFill="1" applyBorder="1" applyAlignment="1">
      <alignment horizontal="center"/>
    </xf>
    <xf numFmtId="42" fontId="0" fillId="6" borderId="1" xfId="1" applyNumberFormat="1" applyFont="1" applyFill="1" applyBorder="1" applyAlignment="1"/>
    <xf numFmtId="14" fontId="4" fillId="0" borderId="1" xfId="3" applyNumberFormat="1" applyBorder="1"/>
    <xf numFmtId="0" fontId="0" fillId="0" borderId="1" xfId="0" applyBorder="1" applyAlignment="1">
      <alignment horizontal="center"/>
    </xf>
    <xf numFmtId="42" fontId="0" fillId="0" borderId="1" xfId="1" applyNumberFormat="1" applyFont="1" applyBorder="1" applyAlignment="1"/>
    <xf numFmtId="2" fontId="0" fillId="6" borderId="1" xfId="0" applyNumberFormat="1" applyFill="1" applyBorder="1"/>
    <xf numFmtId="44" fontId="0" fillId="0" borderId="1" xfId="1" applyFont="1" applyBorder="1" applyAlignment="1">
      <alignment horizontal="center"/>
    </xf>
    <xf numFmtId="0" fontId="4" fillId="0" borderId="1" xfId="3" applyBorder="1"/>
    <xf numFmtId="0" fontId="4" fillId="6" borderId="1" xfId="3" applyFill="1" applyBorder="1"/>
    <xf numFmtId="0" fontId="8" fillId="13" borderId="0" xfId="9" applyFill="1"/>
    <xf numFmtId="44" fontId="8" fillId="13" borderId="0" xfId="1" applyFont="1" applyFill="1"/>
    <xf numFmtId="44" fontId="12" fillId="0" borderId="0" xfId="1" applyFont="1"/>
    <xf numFmtId="0" fontId="8" fillId="11" borderId="0" xfId="8"/>
    <xf numFmtId="44" fontId="8" fillId="11" borderId="0" xfId="8" applyNumberFormat="1"/>
    <xf numFmtId="0" fontId="8" fillId="8" borderId="0" xfId="5"/>
    <xf numFmtId="0" fontId="8" fillId="9" borderId="0" xfId="6"/>
    <xf numFmtId="0" fontId="8" fillId="10" borderId="0" xfId="7"/>
    <xf numFmtId="44" fontId="8" fillId="10" borderId="0" xfId="7" applyNumberFormat="1"/>
    <xf numFmtId="44" fontId="0" fillId="0" borderId="3" xfId="1" applyFont="1" applyBorder="1"/>
    <xf numFmtId="44" fontId="8" fillId="8" borderId="0" xfId="5" applyNumberFormat="1"/>
    <xf numFmtId="44" fontId="0" fillId="0" borderId="0" xfId="1" applyFont="1" applyBorder="1"/>
    <xf numFmtId="14" fontId="8" fillId="9" borderId="0" xfId="6" applyNumberFormat="1"/>
    <xf numFmtId="44" fontId="8" fillId="8" borderId="0" xfId="1" applyFont="1" applyFill="1"/>
    <xf numFmtId="0" fontId="8" fillId="7" borderId="0" xfId="4"/>
    <xf numFmtId="44" fontId="8" fillId="7" borderId="0" xfId="4" applyNumberFormat="1"/>
    <xf numFmtId="0" fontId="8" fillId="12" borderId="0" xfId="9"/>
    <xf numFmtId="44" fontId="8" fillId="12" borderId="0" xfId="9" applyNumberFormat="1"/>
    <xf numFmtId="44" fontId="13" fillId="0" borderId="0" xfId="1" applyFont="1"/>
    <xf numFmtId="44" fontId="13" fillId="0" borderId="3" xfId="1" applyFont="1" applyBorder="1"/>
    <xf numFmtId="14" fontId="8" fillId="7" borderId="0" xfId="4" applyNumberFormat="1"/>
    <xf numFmtId="14" fontId="8" fillId="10" borderId="0" xfId="7" applyNumberFormat="1"/>
    <xf numFmtId="14" fontId="8" fillId="8" borderId="0" xfId="5" applyNumberFormat="1"/>
    <xf numFmtId="14" fontId="8" fillId="11" borderId="0" xfId="8" applyNumberFormat="1"/>
    <xf numFmtId="14" fontId="8" fillId="12" borderId="0" xfId="9" applyNumberFormat="1"/>
    <xf numFmtId="0" fontId="0" fillId="0" borderId="1" xfId="1" applyNumberFormat="1" applyFont="1" applyBorder="1" applyAlignment="1">
      <alignment wrapText="1"/>
    </xf>
    <xf numFmtId="0" fontId="0" fillId="0" borderId="0" xfId="1" applyNumberFormat="1" applyFont="1" applyBorder="1" applyAlignment="1">
      <alignment wrapText="1"/>
    </xf>
    <xf numFmtId="0" fontId="0" fillId="0" borderId="0" xfId="1" applyNumberFormat="1" applyFont="1" applyFill="1" applyBorder="1" applyAlignment="1">
      <alignment wrapText="1"/>
    </xf>
    <xf numFmtId="0" fontId="8" fillId="0" borderId="0" xfId="1" applyNumberFormat="1" applyFont="1" applyAlignment="1">
      <alignment horizontal="center" wrapText="1"/>
    </xf>
    <xf numFmtId="0" fontId="0" fillId="0" borderId="0" xfId="1" applyNumberFormat="1" applyFont="1" applyAlignment="1">
      <alignment horizontal="center"/>
    </xf>
    <xf numFmtId="0" fontId="6" fillId="0" borderId="0" xfId="1" applyNumberFormat="1" applyFont="1" applyAlignment="1">
      <alignment horizontal="center"/>
    </xf>
    <xf numFmtId="0" fontId="0" fillId="0" borderId="0" xfId="1" applyNumberFormat="1" applyFont="1" applyAlignment="1">
      <alignment horizontal="center" wrapText="1"/>
    </xf>
    <xf numFmtId="0" fontId="17" fillId="0" borderId="0" xfId="0" applyFont="1"/>
    <xf numFmtId="44" fontId="17" fillId="0" borderId="0" xfId="1" applyFont="1"/>
    <xf numFmtId="165" fontId="0" fillId="0" borderId="0" xfId="10" applyNumberFormat="1" applyFont="1"/>
    <xf numFmtId="0" fontId="13" fillId="0" borderId="3" xfId="0" applyFont="1" applyBorder="1"/>
    <xf numFmtId="165" fontId="13" fillId="0" borderId="3" xfId="10" applyNumberFormat="1" applyFont="1" applyBorder="1"/>
    <xf numFmtId="0" fontId="17" fillId="0" borderId="0" xfId="0" applyFont="1" applyAlignment="1">
      <alignment horizontal="left" indent="2"/>
    </xf>
    <xf numFmtId="44" fontId="0" fillId="0" borderId="0" xfId="0" applyNumberFormat="1"/>
    <xf numFmtId="44" fontId="13" fillId="0" borderId="8" xfId="0" applyNumberFormat="1" applyFont="1" applyBorder="1"/>
    <xf numFmtId="44" fontId="4" fillId="0" borderId="0" xfId="3" applyNumberFormat="1"/>
    <xf numFmtId="0" fontId="12" fillId="0" borderId="0" xfId="0" quotePrefix="1" applyFont="1"/>
    <xf numFmtId="0" fontId="13" fillId="0" borderId="9" xfId="0" applyFont="1" applyBorder="1"/>
    <xf numFmtId="0" fontId="13" fillId="0" borderId="9" xfId="0" applyFont="1" applyBorder="1" applyAlignment="1">
      <alignment horizontal="center"/>
    </xf>
    <xf numFmtId="0" fontId="18" fillId="0" borderId="0" xfId="0" applyFont="1" applyAlignment="1">
      <alignment vertical="center"/>
    </xf>
    <xf numFmtId="0" fontId="4" fillId="0" borderId="0" xfId="3" applyAlignment="1">
      <alignment vertical="center"/>
    </xf>
    <xf numFmtId="14" fontId="11" fillId="0" borderId="0" xfId="0" applyNumberFormat="1" applyFont="1" applyAlignment="1">
      <alignment horizontal="center" wrapText="1"/>
    </xf>
    <xf numFmtId="14" fontId="13" fillId="0" borderId="0" xfId="0" applyNumberFormat="1" applyFont="1"/>
    <xf numFmtId="0" fontId="0" fillId="0" borderId="0" xfId="0" applyAlignment="1">
      <alignment vertical="center"/>
    </xf>
    <xf numFmtId="0" fontId="3" fillId="14" borderId="11" xfId="12" applyBorder="1"/>
    <xf numFmtId="0" fontId="3" fillId="14" borderId="11" xfId="12" applyBorder="1" applyAlignment="1">
      <alignment vertical="center"/>
    </xf>
    <xf numFmtId="0" fontId="20" fillId="0" borderId="10" xfId="11" applyFont="1"/>
    <xf numFmtId="0" fontId="6" fillId="14" borderId="11" xfId="12" applyFont="1" applyBorder="1"/>
    <xf numFmtId="0" fontId="4" fillId="14" borderId="11" xfId="3" applyFill="1" applyBorder="1"/>
    <xf numFmtId="0" fontId="4" fillId="15" borderId="11" xfId="3" applyFill="1" applyBorder="1" applyAlignment="1">
      <alignment vertical="center"/>
    </xf>
    <xf numFmtId="164" fontId="21" fillId="0" borderId="0" xfId="1" applyNumberFormat="1" applyFont="1"/>
    <xf numFmtId="0" fontId="4" fillId="14" borderId="11" xfId="3" applyFill="1" applyBorder="1" applyAlignment="1">
      <alignment vertical="center"/>
    </xf>
    <xf numFmtId="0" fontId="4" fillId="14" borderId="11" xfId="3" applyFill="1" applyBorder="1" applyAlignment="1">
      <alignment wrapText="1"/>
    </xf>
    <xf numFmtId="0" fontId="8" fillId="12" borderId="0" xfId="9" applyAlignment="1">
      <alignment horizontal="center"/>
    </xf>
    <xf numFmtId="14" fontId="8" fillId="12" borderId="0" xfId="9" applyNumberFormat="1" applyAlignment="1">
      <alignment horizontal="center"/>
    </xf>
    <xf numFmtId="164" fontId="8" fillId="12" borderId="0" xfId="9" applyNumberFormat="1" applyAlignment="1">
      <alignment horizontal="center"/>
    </xf>
    <xf numFmtId="0" fontId="8" fillId="12" borderId="0" xfId="9" applyNumberFormat="1" applyAlignment="1"/>
    <xf numFmtId="44" fontId="8" fillId="12" borderId="0" xfId="9" applyNumberFormat="1" applyAlignment="1">
      <alignment horizontal="center"/>
    </xf>
    <xf numFmtId="0" fontId="8" fillId="12" borderId="0" xfId="9" applyNumberFormat="1" applyAlignment="1">
      <alignment horizontal="center"/>
    </xf>
    <xf numFmtId="0" fontId="8" fillId="12" borderId="0" xfId="9" applyAlignment="1"/>
    <xf numFmtId="0" fontId="0" fillId="0" borderId="1" xfId="1" applyNumberFormat="1" applyFont="1" applyBorder="1" applyAlignment="1"/>
    <xf numFmtId="14" fontId="0" fillId="0" borderId="0" xfId="1" applyNumberFormat="1" applyFont="1" applyAlignment="1"/>
    <xf numFmtId="14" fontId="6" fillId="0" borderId="0" xfId="0" applyNumberFormat="1" applyFont="1" applyAlignment="1">
      <alignment horizontal="center" wrapText="1"/>
    </xf>
    <xf numFmtId="0" fontId="11" fillId="4" borderId="1" xfId="1" applyNumberFormat="1" applyFont="1" applyFill="1" applyBorder="1" applyAlignment="1">
      <alignment horizontal="center" wrapText="1"/>
    </xf>
    <xf numFmtId="0" fontId="3" fillId="16" borderId="11" xfId="12" applyFill="1" applyBorder="1"/>
    <xf numFmtId="0" fontId="3" fillId="16" borderId="11" xfId="12" applyFill="1" applyBorder="1" applyAlignment="1">
      <alignment wrapText="1"/>
    </xf>
    <xf numFmtId="14" fontId="11" fillId="4" borderId="1" xfId="1" applyNumberFormat="1" applyFont="1" applyFill="1" applyBorder="1" applyAlignment="1">
      <alignment horizontal="center" wrapText="1"/>
    </xf>
    <xf numFmtId="14" fontId="0" fillId="0" borderId="0" xfId="0" applyNumberFormat="1" applyAlignment="1">
      <alignment horizontal="left"/>
    </xf>
    <xf numFmtId="44" fontId="0" fillId="0" borderId="0" xfId="1" applyFont="1" applyBorder="1" applyAlignment="1">
      <alignment wrapText="1"/>
    </xf>
    <xf numFmtId="0" fontId="8" fillId="8" borderId="0" xfId="5" applyAlignment="1">
      <alignment horizontal="right"/>
    </xf>
    <xf numFmtId="0" fontId="13" fillId="0" borderId="0" xfId="0" applyFont="1" applyAlignment="1">
      <alignment horizontal="right"/>
    </xf>
    <xf numFmtId="44" fontId="13" fillId="0" borderId="3" xfId="0" applyNumberFormat="1" applyFont="1" applyBorder="1"/>
    <xf numFmtId="8" fontId="0" fillId="0" borderId="0" xfId="0" applyNumberFormat="1"/>
    <xf numFmtId="0" fontId="0" fillId="0" borderId="0" xfId="0" applyAlignment="1">
      <alignment horizontal="left"/>
    </xf>
    <xf numFmtId="0" fontId="11" fillId="4" borderId="1" xfId="1" applyNumberFormat="1" applyFont="1" applyFill="1" applyBorder="1" applyAlignment="1">
      <alignment wrapText="1"/>
    </xf>
    <xf numFmtId="44" fontId="11" fillId="4" borderId="6" xfId="1" applyFont="1" applyFill="1" applyBorder="1" applyAlignment="1">
      <alignment horizontal="center" wrapText="1"/>
    </xf>
    <xf numFmtId="0" fontId="22" fillId="0" borderId="0" xfId="0" applyFont="1"/>
    <xf numFmtId="0" fontId="8" fillId="17" borderId="0" xfId="0" applyFont="1" applyFill="1"/>
    <xf numFmtId="0" fontId="0" fillId="17" borderId="0" xfId="0" applyFill="1"/>
    <xf numFmtId="44" fontId="8" fillId="17" borderId="0" xfId="1" applyFont="1" applyFill="1"/>
    <xf numFmtId="0" fontId="8" fillId="0" borderId="0" xfId="7" applyFill="1"/>
    <xf numFmtId="44" fontId="0" fillId="0" borderId="0" xfId="1" applyFont="1" applyFill="1"/>
    <xf numFmtId="14" fontId="8" fillId="0" borderId="0" xfId="0" applyNumberFormat="1" applyFont="1"/>
    <xf numFmtId="44" fontId="13" fillId="0" borderId="0" xfId="1" applyFont="1" applyBorder="1"/>
    <xf numFmtId="0" fontId="21" fillId="0" borderId="0" xfId="0" applyFont="1"/>
    <xf numFmtId="0" fontId="24" fillId="0" borderId="0" xfId="0" applyFont="1"/>
    <xf numFmtId="0" fontId="13" fillId="18" borderId="0" xfId="13" applyFont="1"/>
    <xf numFmtId="44" fontId="13" fillId="18" borderId="0" xfId="13" applyNumberFormat="1" applyFont="1" applyAlignment="1">
      <alignment horizontal="center"/>
    </xf>
    <xf numFmtId="44" fontId="8" fillId="0" borderId="0" xfId="1" applyFont="1" applyFill="1"/>
    <xf numFmtId="14" fontId="8" fillId="0" borderId="0" xfId="7" applyNumberFormat="1" applyFill="1"/>
    <xf numFmtId="0" fontId="0" fillId="0" borderId="0" xfId="0" quotePrefix="1"/>
    <xf numFmtId="44" fontId="0" fillId="0" borderId="3" xfId="0" applyNumberFormat="1" applyBorder="1"/>
    <xf numFmtId="0" fontId="8" fillId="9" borderId="0" xfId="6" applyAlignment="1">
      <alignment horizontal="center" wrapText="1"/>
    </xf>
    <xf numFmtId="14" fontId="8" fillId="9" borderId="0" xfId="6" applyNumberFormat="1" applyAlignment="1">
      <alignment horizontal="center" wrapText="1"/>
    </xf>
    <xf numFmtId="42" fontId="8" fillId="9" borderId="0" xfId="6" applyNumberFormat="1" applyAlignment="1">
      <alignment horizontal="center" wrapText="1"/>
    </xf>
    <xf numFmtId="164" fontId="8" fillId="9" borderId="0" xfId="6" applyNumberFormat="1" applyAlignment="1">
      <alignment horizontal="center" wrapText="1"/>
    </xf>
    <xf numFmtId="0" fontId="8" fillId="9" borderId="0" xfId="6" applyNumberFormat="1" applyAlignment="1">
      <alignment wrapText="1"/>
    </xf>
    <xf numFmtId="44" fontId="8" fillId="9" borderId="0" xfId="6" applyNumberFormat="1" applyAlignment="1">
      <alignment horizontal="center" wrapText="1"/>
    </xf>
    <xf numFmtId="0" fontId="8" fillId="9" borderId="0" xfId="6" applyNumberFormat="1" applyAlignment="1">
      <alignment horizontal="center" wrapText="1"/>
    </xf>
    <xf numFmtId="0" fontId="8" fillId="0" borderId="0" xfId="6" applyFill="1" applyAlignment="1">
      <alignment wrapText="1"/>
    </xf>
    <xf numFmtId="0" fontId="8" fillId="12" borderId="0" xfId="9" applyAlignment="1">
      <alignment horizontal="center" wrapText="1"/>
    </xf>
    <xf numFmtId="14" fontId="8" fillId="12" borderId="0" xfId="9" applyNumberFormat="1" applyAlignment="1">
      <alignment horizontal="center" wrapText="1"/>
    </xf>
    <xf numFmtId="42" fontId="8" fillId="12" borderId="0" xfId="9" applyNumberFormat="1" applyAlignment="1">
      <alignment horizontal="center" wrapText="1"/>
    </xf>
    <xf numFmtId="164" fontId="8" fillId="12" borderId="0" xfId="9" applyNumberFormat="1" applyAlignment="1">
      <alignment horizontal="center" wrapText="1"/>
    </xf>
    <xf numFmtId="0" fontId="8" fillId="12" borderId="0" xfId="9" applyNumberFormat="1" applyAlignment="1">
      <alignment wrapText="1"/>
    </xf>
    <xf numFmtId="44" fontId="8" fillId="12" borderId="0" xfId="9" applyNumberFormat="1" applyAlignment="1">
      <alignment horizontal="center" wrapText="1"/>
    </xf>
    <xf numFmtId="0" fontId="8" fillId="12" borderId="0" xfId="9" applyNumberFormat="1" applyAlignment="1">
      <alignment horizontal="center" wrapText="1"/>
    </xf>
    <xf numFmtId="0" fontId="25" fillId="0" borderId="0" xfId="0" applyFont="1"/>
    <xf numFmtId="14" fontId="4" fillId="0" borderId="0" xfId="3" applyNumberFormat="1" applyFill="1" applyAlignment="1">
      <alignment wrapText="1"/>
    </xf>
    <xf numFmtId="0" fontId="8" fillId="0" borderId="0" xfId="9" applyFill="1"/>
    <xf numFmtId="0" fontId="0" fillId="0" borderId="12" xfId="0" applyBorder="1"/>
    <xf numFmtId="0" fontId="0" fillId="0" borderId="13" xfId="0" applyBorder="1"/>
    <xf numFmtId="44" fontId="8" fillId="12" borderId="0" xfId="9" applyNumberFormat="1" applyAlignment="1">
      <alignment wrapText="1"/>
    </xf>
    <xf numFmtId="0" fontId="0" fillId="0" borderId="13" xfId="0" applyBorder="1" applyAlignment="1">
      <alignment wrapText="1"/>
    </xf>
    <xf numFmtId="0" fontId="0" fillId="0" borderId="13" xfId="0" applyBorder="1" applyAlignment="1">
      <alignment horizontal="center"/>
    </xf>
    <xf numFmtId="14" fontId="4" fillId="0" borderId="13" xfId="3" applyNumberFormat="1" applyBorder="1" applyAlignment="1">
      <alignment wrapText="1"/>
    </xf>
    <xf numFmtId="14" fontId="0" fillId="0" borderId="13" xfId="0" applyNumberFormat="1" applyBorder="1" applyAlignment="1">
      <alignment horizontal="center" wrapText="1"/>
    </xf>
    <xf numFmtId="164" fontId="0" fillId="0" borderId="13" xfId="1" applyNumberFormat="1" applyFont="1" applyBorder="1"/>
    <xf numFmtId="14" fontId="6" fillId="0" borderId="13" xfId="0" applyNumberFormat="1" applyFont="1" applyBorder="1" applyAlignment="1">
      <alignment horizontal="center"/>
    </xf>
    <xf numFmtId="14" fontId="0" fillId="0" borderId="13" xfId="0" applyNumberFormat="1" applyBorder="1"/>
    <xf numFmtId="14" fontId="0" fillId="0" borderId="13" xfId="0" applyNumberFormat="1" applyBorder="1" applyAlignment="1">
      <alignment horizontal="right"/>
    </xf>
    <xf numFmtId="44" fontId="0" fillId="0" borderId="13" xfId="1" applyFont="1" applyBorder="1" applyAlignment="1">
      <alignment wrapText="1"/>
    </xf>
    <xf numFmtId="14" fontId="0" fillId="0" borderId="13" xfId="1" applyNumberFormat="1" applyFont="1" applyBorder="1"/>
    <xf numFmtId="44" fontId="0" fillId="0" borderId="14" xfId="1" applyFont="1" applyBorder="1" applyAlignment="1"/>
    <xf numFmtId="14" fontId="11" fillId="4" borderId="6" xfId="0" applyNumberFormat="1" applyFont="1" applyFill="1" applyBorder="1" applyAlignment="1">
      <alignment horizontal="center" wrapText="1"/>
    </xf>
    <xf numFmtId="14" fontId="0" fillId="6" borderId="6" xfId="0" applyNumberFormat="1" applyFill="1" applyBorder="1"/>
    <xf numFmtId="0" fontId="0" fillId="6" borderId="2" xfId="0" applyFill="1" applyBorder="1" applyAlignment="1">
      <alignment wrapText="1"/>
    </xf>
    <xf numFmtId="0" fontId="0" fillId="0" borderId="2" xfId="0" applyBorder="1" applyAlignment="1">
      <alignment wrapText="1"/>
    </xf>
    <xf numFmtId="14" fontId="0" fillId="0" borderId="0" xfId="1" applyNumberFormat="1" applyFont="1" applyAlignment="1">
      <alignment horizontal="center"/>
    </xf>
    <xf numFmtId="164" fontId="0" fillId="0" borderId="0" xfId="1" applyNumberFormat="1" applyFont="1" applyAlignment="1">
      <alignment horizontal="left"/>
    </xf>
    <xf numFmtId="14" fontId="0" fillId="0" borderId="13" xfId="0" applyNumberFormat="1" applyBorder="1" applyAlignment="1">
      <alignment wrapText="1"/>
    </xf>
    <xf numFmtId="164" fontId="0" fillId="0" borderId="0" xfId="1" applyNumberFormat="1" applyFont="1" applyBorder="1"/>
    <xf numFmtId="14" fontId="0" fillId="0" borderId="13" xfId="0" applyNumberFormat="1" applyBorder="1" applyAlignment="1">
      <alignment horizontal="center"/>
    </xf>
    <xf numFmtId="14" fontId="0" fillId="0" borderId="13" xfId="0" quotePrefix="1" applyNumberFormat="1" applyBorder="1"/>
    <xf numFmtId="44" fontId="13" fillId="0" borderId="0" xfId="0" applyNumberFormat="1" applyFont="1"/>
    <xf numFmtId="0" fontId="6" fillId="0" borderId="0" xfId="0" applyFont="1"/>
    <xf numFmtId="166" fontId="0" fillId="0" borderId="0" xfId="0" applyNumberFormat="1"/>
    <xf numFmtId="8" fontId="0" fillId="0" borderId="3" xfId="1" applyNumberFormat="1" applyFont="1" applyBorder="1"/>
    <xf numFmtId="8" fontId="0" fillId="0" borderId="0" xfId="1" applyNumberFormat="1" applyFont="1" applyBorder="1"/>
    <xf numFmtId="44" fontId="8" fillId="17" borderId="0" xfId="5" applyNumberFormat="1" applyFill="1"/>
    <xf numFmtId="0" fontId="8" fillId="17" borderId="0" xfId="5" applyFill="1"/>
    <xf numFmtId="14" fontId="8" fillId="17" borderId="0" xfId="5" applyNumberFormat="1" applyFill="1"/>
    <xf numFmtId="0" fontId="8" fillId="19" borderId="0" xfId="7" applyFill="1"/>
    <xf numFmtId="44" fontId="8" fillId="19" borderId="0" xfId="5" applyNumberFormat="1" applyFill="1"/>
    <xf numFmtId="0" fontId="8" fillId="19" borderId="0" xfId="5" applyFill="1"/>
    <xf numFmtId="44" fontId="8" fillId="19" borderId="0" xfId="1" applyFont="1" applyFill="1"/>
    <xf numFmtId="14" fontId="8" fillId="19" borderId="0" xfId="5" applyNumberFormat="1" applyFill="1"/>
    <xf numFmtId="44" fontId="8" fillId="20" borderId="0" xfId="5" applyNumberFormat="1" applyFill="1"/>
    <xf numFmtId="0" fontId="8" fillId="20" borderId="0" xfId="5" applyFill="1"/>
    <xf numFmtId="44" fontId="8" fillId="20" borderId="0" xfId="1" applyFont="1" applyFill="1"/>
    <xf numFmtId="14" fontId="8" fillId="20" borderId="0" xfId="5" applyNumberFormat="1" applyFill="1"/>
    <xf numFmtId="0" fontId="8" fillId="21" borderId="0" xfId="8" applyFill="1"/>
    <xf numFmtId="44" fontId="8" fillId="21" borderId="0" xfId="5" applyNumberFormat="1" applyFill="1"/>
    <xf numFmtId="0" fontId="8" fillId="21" borderId="0" xfId="5" applyFill="1"/>
    <xf numFmtId="44" fontId="8" fillId="21" borderId="0" xfId="1" applyFont="1" applyFill="1"/>
    <xf numFmtId="14" fontId="8" fillId="21" borderId="0" xfId="5" applyNumberFormat="1" applyFill="1"/>
    <xf numFmtId="0" fontId="8" fillId="22" borderId="0" xfId="5" applyFill="1"/>
    <xf numFmtId="44" fontId="8" fillId="22" borderId="0" xfId="5" applyNumberFormat="1" applyFill="1"/>
    <xf numFmtId="44" fontId="8" fillId="22" borderId="0" xfId="1" applyFont="1" applyFill="1"/>
    <xf numFmtId="14" fontId="8" fillId="22" borderId="0" xfId="5" applyNumberFormat="1" applyFill="1"/>
    <xf numFmtId="44" fontId="8" fillId="13" borderId="0" xfId="5" applyNumberFormat="1" applyFill="1"/>
    <xf numFmtId="0" fontId="8" fillId="13" borderId="0" xfId="5" applyFill="1"/>
    <xf numFmtId="14" fontId="8" fillId="13" borderId="0" xfId="5" applyNumberFormat="1" applyFill="1"/>
    <xf numFmtId="0" fontId="8" fillId="23" borderId="0" xfId="4" applyFill="1"/>
    <xf numFmtId="44" fontId="8" fillId="23" borderId="0" xfId="5" applyNumberFormat="1" applyFill="1"/>
    <xf numFmtId="0" fontId="8" fillId="23" borderId="0" xfId="5" applyFill="1"/>
    <xf numFmtId="44" fontId="8" fillId="23" borderId="0" xfId="1" applyFont="1" applyFill="1"/>
    <xf numFmtId="14" fontId="8" fillId="23" borderId="0" xfId="5" applyNumberFormat="1" applyFill="1"/>
    <xf numFmtId="0" fontId="8" fillId="22" borderId="0" xfId="0" applyFont="1" applyFill="1"/>
    <xf numFmtId="0" fontId="0" fillId="22" borderId="0" xfId="0" applyFill="1"/>
    <xf numFmtId="0" fontId="23" fillId="21" borderId="0" xfId="0" applyFont="1" applyFill="1"/>
    <xf numFmtId="0" fontId="8" fillId="20" borderId="0" xfId="7" applyFill="1"/>
    <xf numFmtId="0" fontId="8" fillId="13" borderId="0" xfId="0" applyFont="1" applyFill="1"/>
    <xf numFmtId="0" fontId="0" fillId="13" borderId="0" xfId="0" applyFill="1"/>
    <xf numFmtId="0" fontId="8" fillId="10" borderId="0" xfId="7" applyAlignment="1">
      <alignment horizontal="right"/>
    </xf>
    <xf numFmtId="0" fontId="8" fillId="9" borderId="0" xfId="6" applyAlignment="1">
      <alignment horizontal="right"/>
    </xf>
    <xf numFmtId="0" fontId="8" fillId="11" borderId="0" xfId="8" applyAlignment="1">
      <alignment horizontal="right"/>
    </xf>
    <xf numFmtId="0" fontId="8" fillId="7" borderId="0" xfId="4" applyAlignment="1">
      <alignment horizontal="right"/>
    </xf>
    <xf numFmtId="0" fontId="8" fillId="12" borderId="0" xfId="9" applyAlignment="1">
      <alignment horizontal="right"/>
    </xf>
    <xf numFmtId="44" fontId="0" fillId="2" borderId="0" xfId="1" applyFont="1" applyFill="1"/>
    <xf numFmtId="44" fontId="8" fillId="19" borderId="0" xfId="1" applyFont="1" applyFill="1" applyAlignment="1">
      <alignment horizontal="right"/>
    </xf>
    <xf numFmtId="44" fontId="8" fillId="11" borderId="0" xfId="8" applyNumberFormat="1" applyAlignment="1">
      <alignment horizontal="right"/>
    </xf>
    <xf numFmtId="44" fontId="8" fillId="13" borderId="0" xfId="1" applyFont="1" applyFill="1" applyAlignment="1">
      <alignment horizontal="right"/>
    </xf>
    <xf numFmtId="44" fontId="8" fillId="20" borderId="0" xfId="1" applyFont="1" applyFill="1" applyAlignment="1">
      <alignment horizontal="right"/>
    </xf>
    <xf numFmtId="44" fontId="0" fillId="0" borderId="9" xfId="1" applyFont="1" applyBorder="1"/>
    <xf numFmtId="0" fontId="0" fillId="0" borderId="9" xfId="0" applyBorder="1"/>
    <xf numFmtId="44" fontId="8" fillId="21" borderId="0" xfId="1" applyFont="1" applyFill="1" applyAlignment="1">
      <alignment horizontal="right"/>
    </xf>
    <xf numFmtId="44" fontId="8" fillId="22" borderId="0" xfId="1" applyFont="1" applyFill="1" applyAlignment="1">
      <alignment horizontal="right"/>
    </xf>
    <xf numFmtId="8" fontId="0" fillId="0" borderId="0" xfId="0" applyNumberFormat="1" applyAlignment="1">
      <alignment horizontal="center"/>
    </xf>
    <xf numFmtId="8" fontId="0" fillId="0" borderId="3" xfId="1" applyNumberFormat="1" applyFont="1" applyBorder="1" applyAlignment="1">
      <alignment horizontal="center"/>
    </xf>
    <xf numFmtId="44" fontId="8" fillId="23" borderId="0" xfId="1" applyFont="1" applyFill="1" applyAlignment="1">
      <alignment horizontal="right"/>
    </xf>
    <xf numFmtId="0" fontId="26" fillId="0" borderId="0" xfId="0" applyFont="1"/>
    <xf numFmtId="8" fontId="0" fillId="0" borderId="9" xfId="0" applyNumberFormat="1" applyBorder="1"/>
    <xf numFmtId="6" fontId="0" fillId="0" borderId="0" xfId="1" applyNumberFormat="1" applyFont="1"/>
    <xf numFmtId="6" fontId="0" fillId="0" borderId="9" xfId="1" applyNumberFormat="1" applyFont="1" applyBorder="1"/>
    <xf numFmtId="44" fontId="13" fillId="0" borderId="0" xfId="1" applyFont="1" applyAlignment="1">
      <alignment horizontal="center"/>
    </xf>
    <xf numFmtId="0" fontId="6" fillId="0" borderId="0" xfId="4" applyFont="1" applyFill="1"/>
    <xf numFmtId="0" fontId="6" fillId="0" borderId="0" xfId="5" applyFont="1" applyFill="1"/>
    <xf numFmtId="0" fontId="0" fillId="24" borderId="0" xfId="0" applyFill="1"/>
    <xf numFmtId="14" fontId="8" fillId="24" borderId="0" xfId="6" applyNumberFormat="1" applyFill="1" applyAlignment="1">
      <alignment horizontal="center"/>
    </xf>
    <xf numFmtId="0" fontId="8" fillId="24" borderId="0" xfId="6" applyFill="1" applyAlignment="1">
      <alignment horizontal="right"/>
    </xf>
    <xf numFmtId="0" fontId="8" fillId="24" borderId="12" xfId="0" applyFont="1" applyFill="1" applyBorder="1"/>
    <xf numFmtId="14" fontId="8" fillId="25" borderId="0" xfId="0" applyNumberFormat="1" applyFont="1" applyFill="1" applyAlignment="1">
      <alignment horizontal="center" wrapText="1"/>
    </xf>
    <xf numFmtId="0" fontId="8" fillId="26" borderId="0" xfId="7" applyFill="1"/>
    <xf numFmtId="44" fontId="8" fillId="26" borderId="0" xfId="5" applyNumberFormat="1" applyFill="1"/>
    <xf numFmtId="0" fontId="8" fillId="26" borderId="0" xfId="5" applyFill="1"/>
    <xf numFmtId="44" fontId="8" fillId="26" borderId="0" xfId="1" applyFont="1" applyFill="1"/>
    <xf numFmtId="14" fontId="8" fillId="26" borderId="0" xfId="5" applyNumberFormat="1" applyFill="1"/>
    <xf numFmtId="0" fontId="0" fillId="6" borderId="1" xfId="0" applyFill="1" applyBorder="1" applyAlignment="1">
      <alignment horizontal="left"/>
    </xf>
    <xf numFmtId="0" fontId="0" fillId="0" borderId="1" xfId="0" applyBorder="1" applyAlignment="1">
      <alignment horizontal="left"/>
    </xf>
    <xf numFmtId="0" fontId="0" fillId="0" borderId="1" xfId="0" applyBorder="1" applyAlignment="1">
      <alignment wrapText="1"/>
    </xf>
    <xf numFmtId="0" fontId="0" fillId="6" borderId="1" xfId="0" applyFill="1" applyBorder="1" applyAlignment="1">
      <alignment wrapText="1"/>
    </xf>
    <xf numFmtId="0" fontId="0" fillId="0" borderId="1" xfId="0" applyBorder="1" applyAlignment="1">
      <alignment horizontal="right" wrapText="1"/>
    </xf>
    <xf numFmtId="0" fontId="0" fillId="6" borderId="1" xfId="0" applyFill="1" applyBorder="1" applyAlignment="1">
      <alignment horizontal="center" wrapText="1"/>
    </xf>
    <xf numFmtId="0" fontId="13" fillId="0" borderId="0" xfId="0" applyFont="1" applyAlignment="1">
      <alignment horizontal="center" wrapText="1"/>
    </xf>
    <xf numFmtId="8" fontId="13" fillId="0" borderId="0" xfId="0" applyNumberFormat="1" applyFont="1"/>
    <xf numFmtId="0" fontId="13" fillId="0" borderId="0" xfId="0" applyFont="1" applyAlignment="1">
      <alignment horizontal="center"/>
    </xf>
    <xf numFmtId="8" fontId="13" fillId="0" borderId="0" xfId="1" applyNumberFormat="1" applyFont="1" applyBorder="1"/>
    <xf numFmtId="0" fontId="8" fillId="23" borderId="0" xfId="6" applyFill="1"/>
    <xf numFmtId="0" fontId="8" fillId="21" borderId="0" xfId="0" applyFont="1" applyFill="1"/>
    <xf numFmtId="0" fontId="0" fillId="21" borderId="0" xfId="0" applyFill="1"/>
    <xf numFmtId="0" fontId="8" fillId="19" borderId="0" xfId="6" applyFill="1"/>
    <xf numFmtId="0" fontId="27" fillId="0" borderId="9" xfId="0" applyFont="1" applyBorder="1"/>
    <xf numFmtId="44" fontId="13" fillId="0" borderId="9" xfId="1" applyFont="1" applyBorder="1"/>
    <xf numFmtId="0" fontId="8" fillId="20" borderId="0" xfId="9" applyFill="1"/>
    <xf numFmtId="0" fontId="8" fillId="22" borderId="0" xfId="9" applyFill="1"/>
    <xf numFmtId="37" fontId="0" fillId="0" borderId="0" xfId="1" applyNumberFormat="1" applyFont="1"/>
    <xf numFmtId="0" fontId="8" fillId="7" borderId="0" xfId="4" applyAlignment="1">
      <alignment horizontal="left"/>
    </xf>
    <xf numFmtId="0" fontId="8" fillId="13" borderId="0" xfId="7" applyFill="1"/>
    <xf numFmtId="44" fontId="8" fillId="0" borderId="0" xfId="5" applyNumberFormat="1" applyFill="1"/>
    <xf numFmtId="0" fontId="8" fillId="0" borderId="0" xfId="5" applyFill="1"/>
    <xf numFmtId="44" fontId="8" fillId="0" borderId="0" xfId="1" applyFont="1" applyFill="1" applyAlignment="1">
      <alignment horizontal="right"/>
    </xf>
    <xf numFmtId="14" fontId="8" fillId="0" borderId="0" xfId="5" applyNumberFormat="1" applyFill="1"/>
    <xf numFmtId="0" fontId="8" fillId="0" borderId="0" xfId="4" applyFill="1"/>
    <xf numFmtId="165" fontId="13" fillId="0" borderId="0" xfId="10" applyNumberFormat="1" applyFont="1" applyBorder="1"/>
    <xf numFmtId="44" fontId="25" fillId="0" borderId="0" xfId="1" applyFont="1"/>
    <xf numFmtId="0" fontId="25" fillId="0" borderId="0" xfId="0" quotePrefix="1" applyFont="1"/>
    <xf numFmtId="8" fontId="13" fillId="0" borderId="3" xfId="1" applyNumberFormat="1" applyFont="1" applyBorder="1"/>
    <xf numFmtId="8" fontId="0" fillId="0" borderId="0" xfId="1" applyNumberFormat="1" applyFont="1"/>
    <xf numFmtId="6" fontId="0" fillId="0" borderId="0" xfId="0" applyNumberFormat="1"/>
    <xf numFmtId="0" fontId="8" fillId="27" borderId="0" xfId="0" applyFont="1" applyFill="1"/>
    <xf numFmtId="0" fontId="0" fillId="27" borderId="0" xfId="0" applyFill="1"/>
    <xf numFmtId="44" fontId="8" fillId="27" borderId="0" xfId="5" applyNumberFormat="1" applyFill="1"/>
    <xf numFmtId="0" fontId="8" fillId="27" borderId="0" xfId="5" applyFill="1"/>
    <xf numFmtId="44" fontId="8" fillId="27" borderId="0" xfId="1" applyFont="1" applyFill="1"/>
    <xf numFmtId="14" fontId="8" fillId="27" borderId="0" xfId="5" applyNumberFormat="1" applyFill="1"/>
    <xf numFmtId="8" fontId="0" fillId="28" borderId="0" xfId="0" applyNumberFormat="1" applyFill="1"/>
    <xf numFmtId="0" fontId="0" fillId="28" borderId="0" xfId="0" applyFill="1"/>
    <xf numFmtId="8" fontId="13" fillId="0" borderId="0" xfId="0" applyNumberFormat="1" applyFont="1" applyAlignment="1">
      <alignment horizontal="center"/>
    </xf>
    <xf numFmtId="8" fontId="13" fillId="0" borderId="8" xfId="0" applyNumberFormat="1" applyFont="1" applyBorder="1" applyAlignment="1">
      <alignment horizontal="center"/>
    </xf>
    <xf numFmtId="8" fontId="0" fillId="0" borderId="9" xfId="1" applyNumberFormat="1" applyFont="1" applyBorder="1"/>
    <xf numFmtId="0" fontId="29" fillId="0" borderId="1" xfId="1" applyNumberFormat="1" applyFont="1" applyBorder="1" applyAlignment="1"/>
    <xf numFmtId="8" fontId="0" fillId="0" borderId="0" xfId="1" applyNumberFormat="1" applyFont="1" applyBorder="1" applyAlignment="1">
      <alignment horizontal="center"/>
    </xf>
    <xf numFmtId="44" fontId="0" fillId="0" borderId="0" xfId="1" applyFont="1" applyBorder="1" applyAlignment="1">
      <alignment horizontal="center"/>
    </xf>
    <xf numFmtId="8" fontId="30" fillId="0" borderId="0" xfId="0" applyNumberFormat="1" applyFont="1"/>
    <xf numFmtId="44" fontId="30" fillId="0" borderId="0" xfId="1" applyFont="1"/>
    <xf numFmtId="8" fontId="30" fillId="0" borderId="9" xfId="0" applyNumberFormat="1" applyFont="1" applyBorder="1"/>
    <xf numFmtId="14" fontId="31" fillId="30" borderId="0" xfId="0" applyNumberFormat="1" applyFont="1" applyFill="1"/>
    <xf numFmtId="14" fontId="31" fillId="30" borderId="0" xfId="0" applyNumberFormat="1" applyFont="1" applyFill="1" applyAlignment="1">
      <alignment horizontal="center"/>
    </xf>
    <xf numFmtId="14" fontId="31" fillId="0" borderId="0" xfId="0" applyNumberFormat="1" applyFont="1"/>
    <xf numFmtId="164" fontId="0" fillId="0" borderId="16" xfId="1" applyNumberFormat="1" applyFont="1" applyBorder="1"/>
    <xf numFmtId="14" fontId="6" fillId="0" borderId="1" xfId="0" applyNumberFormat="1" applyFont="1" applyBorder="1" applyAlignment="1">
      <alignment horizontal="center"/>
    </xf>
    <xf numFmtId="14" fontId="0" fillId="0" borderId="1" xfId="1" applyNumberFormat="1" applyFont="1" applyBorder="1" applyAlignment="1">
      <alignment horizontal="center"/>
    </xf>
    <xf numFmtId="44" fontId="0" fillId="0" borderId="1" xfId="1" applyFont="1" applyBorder="1"/>
    <xf numFmtId="44" fontId="0" fillId="0" borderId="6" xfId="1" applyFont="1" applyBorder="1"/>
    <xf numFmtId="164" fontId="11" fillId="5" borderId="15" xfId="1" applyNumberFormat="1" applyFont="1" applyFill="1" applyBorder="1" applyAlignment="1">
      <alignment horizontal="center" wrapText="1"/>
    </xf>
    <xf numFmtId="14" fontId="11" fillId="25" borderId="1" xfId="0" applyNumberFormat="1" applyFont="1" applyFill="1" applyBorder="1" applyAlignment="1">
      <alignment horizontal="center" wrapText="1"/>
    </xf>
    <xf numFmtId="14" fontId="0" fillId="0" borderId="1" xfId="0" applyNumberFormat="1" applyBorder="1" applyAlignment="1">
      <alignment horizontal="center"/>
    </xf>
    <xf numFmtId="0" fontId="0" fillId="0" borderId="1" xfId="1" applyNumberFormat="1" applyFont="1" applyBorder="1" applyAlignment="1">
      <alignment horizontal="center"/>
    </xf>
    <xf numFmtId="44" fontId="0" fillId="0" borderId="1" xfId="1" applyFont="1" applyBorder="1" applyAlignment="1"/>
    <xf numFmtId="164" fontId="0" fillId="0" borderId="1" xfId="0" applyNumberFormat="1" applyBorder="1"/>
    <xf numFmtId="164" fontId="0" fillId="0" borderId="16" xfId="0" applyNumberFormat="1" applyBorder="1"/>
    <xf numFmtId="44" fontId="0" fillId="0" borderId="1" xfId="0" applyNumberFormat="1" applyBorder="1"/>
    <xf numFmtId="44" fontId="0" fillId="0" borderId="6" xfId="0" applyNumberFormat="1" applyBorder="1"/>
    <xf numFmtId="49" fontId="8" fillId="0" borderId="0" xfId="10" applyNumberFormat="1" applyFont="1" applyAlignment="1">
      <alignment horizontal="center" wrapText="1"/>
    </xf>
    <xf numFmtId="49" fontId="0" fillId="0" borderId="0" xfId="10" applyNumberFormat="1" applyFont="1"/>
    <xf numFmtId="0" fontId="32" fillId="0" borderId="0" xfId="0" applyFont="1"/>
    <xf numFmtId="0" fontId="0" fillId="0" borderId="12" xfId="0" applyBorder="1" applyAlignment="1">
      <alignment wrapText="1"/>
    </xf>
    <xf numFmtId="0" fontId="0" fillId="0" borderId="0" xfId="1" applyNumberFormat="1" applyFont="1" applyBorder="1" applyAlignment="1"/>
    <xf numFmtId="0" fontId="0" fillId="32" borderId="0" xfId="0" applyFill="1"/>
    <xf numFmtId="0" fontId="0" fillId="0" borderId="17" xfId="0" applyBorder="1"/>
    <xf numFmtId="44" fontId="0" fillId="0" borderId="17" xfId="1" applyFont="1" applyBorder="1"/>
    <xf numFmtId="0" fontId="33" fillId="0" borderId="0" xfId="0" applyFont="1"/>
    <xf numFmtId="0" fontId="8" fillId="22" borderId="0" xfId="8" applyFill="1"/>
    <xf numFmtId="44" fontId="8" fillId="22" borderId="0" xfId="8" applyNumberFormat="1" applyFill="1"/>
    <xf numFmtId="44" fontId="8" fillId="22" borderId="0" xfId="8" applyNumberFormat="1" applyFill="1" applyAlignment="1">
      <alignment horizontal="right"/>
    </xf>
    <xf numFmtId="14" fontId="8" fillId="22" borderId="0" xfId="8" applyNumberFormat="1" applyFill="1"/>
    <xf numFmtId="0" fontId="8" fillId="0" borderId="0" xfId="8" applyFill="1"/>
    <xf numFmtId="44" fontId="8" fillId="0" borderId="0" xfId="8" applyNumberFormat="1" applyFill="1"/>
    <xf numFmtId="14" fontId="8" fillId="0" borderId="0" xfId="8" applyNumberFormat="1" applyFill="1"/>
    <xf numFmtId="44" fontId="8" fillId="0" borderId="0" xfId="9" applyNumberFormat="1" applyFill="1"/>
    <xf numFmtId="14" fontId="8" fillId="0" borderId="0" xfId="9" applyNumberFormat="1" applyFill="1"/>
    <xf numFmtId="8" fontId="0" fillId="0" borderId="17" xfId="0" applyNumberFormat="1" applyBorder="1"/>
    <xf numFmtId="0" fontId="34" fillId="0" borderId="0" xfId="0" applyFont="1"/>
    <xf numFmtId="164" fontId="13" fillId="0" borderId="17" xfId="1" applyNumberFormat="1" applyFont="1" applyBorder="1"/>
    <xf numFmtId="0" fontId="8" fillId="33" borderId="0" xfId="9" applyFill="1"/>
    <xf numFmtId="44" fontId="8" fillId="33" borderId="0" xfId="5" applyNumberFormat="1" applyFill="1"/>
    <xf numFmtId="0" fontId="8" fillId="33" borderId="0" xfId="5" applyFill="1"/>
    <xf numFmtId="44" fontId="8" fillId="33" borderId="0" xfId="1" applyFont="1" applyFill="1" applyAlignment="1">
      <alignment horizontal="right"/>
    </xf>
    <xf numFmtId="14" fontId="8" fillId="33" borderId="0" xfId="5" applyNumberFormat="1" applyFill="1"/>
    <xf numFmtId="8" fontId="0" fillId="0" borderId="0" xfId="0" applyNumberFormat="1" applyAlignment="1">
      <alignment horizontal="left" indent="1"/>
    </xf>
    <xf numFmtId="0" fontId="8" fillId="34" borderId="0" xfId="4" applyFill="1"/>
    <xf numFmtId="44" fontId="8" fillId="34" borderId="0" xfId="5" applyNumberFormat="1" applyFill="1"/>
    <xf numFmtId="0" fontId="8" fillId="34" borderId="0" xfId="5" applyFill="1"/>
    <xf numFmtId="44" fontId="8" fillId="34" borderId="0" xfId="1" applyFont="1" applyFill="1"/>
    <xf numFmtId="14" fontId="8" fillId="34" borderId="0" xfId="5" applyNumberFormat="1" applyFill="1"/>
    <xf numFmtId="164" fontId="8" fillId="35" borderId="0" xfId="1" applyNumberFormat="1" applyFont="1" applyFill="1" applyAlignment="1">
      <alignment horizontal="center" wrapText="1"/>
    </xf>
    <xf numFmtId="42" fontId="8" fillId="31" borderId="0" xfId="1" applyNumberFormat="1" applyFont="1" applyFill="1" applyAlignment="1">
      <alignment horizontal="center" wrapText="1"/>
    </xf>
    <xf numFmtId="14" fontId="0" fillId="16" borderId="0" xfId="0" applyNumberFormat="1" applyFill="1"/>
    <xf numFmtId="0" fontId="0" fillId="0" borderId="0" xfId="1" applyNumberFormat="1" applyFont="1"/>
    <xf numFmtId="0" fontId="0" fillId="0" borderId="0" xfId="0" applyAlignment="1">
      <alignment horizontal="right" wrapText="1"/>
    </xf>
    <xf numFmtId="164" fontId="0" fillId="0" borderId="1" xfId="1" applyNumberFormat="1" applyFont="1" applyFill="1" applyBorder="1"/>
    <xf numFmtId="0" fontId="0" fillId="0" borderId="1" xfId="1" applyNumberFormat="1" applyFont="1" applyFill="1" applyBorder="1" applyAlignment="1"/>
    <xf numFmtId="14" fontId="0" fillId="0" borderId="1" xfId="1" applyNumberFormat="1" applyFont="1" applyFill="1" applyBorder="1" applyAlignment="1">
      <alignment horizontal="center"/>
    </xf>
    <xf numFmtId="0" fontId="0" fillId="0" borderId="1" xfId="1" applyNumberFormat="1" applyFont="1" applyFill="1" applyBorder="1" applyAlignment="1">
      <alignment horizontal="center"/>
    </xf>
    <xf numFmtId="44" fontId="0" fillId="0" borderId="1" xfId="1" applyFont="1" applyFill="1" applyBorder="1" applyAlignment="1"/>
    <xf numFmtId="44" fontId="0" fillId="0" borderId="1" xfId="1" applyFont="1" applyFill="1" applyBorder="1"/>
    <xf numFmtId="49" fontId="0" fillId="0" borderId="6" xfId="10" applyNumberFormat="1" applyFont="1" applyFill="1" applyBorder="1"/>
    <xf numFmtId="49" fontId="0" fillId="0" borderId="6" xfId="0" applyNumberFormat="1" applyBorder="1"/>
    <xf numFmtId="14" fontId="6" fillId="0" borderId="1" xfId="1" applyNumberFormat="1" applyFont="1" applyFill="1" applyBorder="1" applyAlignment="1">
      <alignment horizontal="center"/>
    </xf>
    <xf numFmtId="14" fontId="0" fillId="0" borderId="1" xfId="1" applyNumberFormat="1" applyFont="1" applyFill="1" applyBorder="1"/>
    <xf numFmtId="14" fontId="31" fillId="0" borderId="1" xfId="1" applyNumberFormat="1" applyFont="1" applyFill="1" applyBorder="1"/>
    <xf numFmtId="14" fontId="0" fillId="0" borderId="1" xfId="10" applyNumberFormat="1" applyFont="1" applyFill="1" applyBorder="1" applyAlignment="1">
      <alignment horizontal="center"/>
    </xf>
    <xf numFmtId="49" fontId="0" fillId="0" borderId="6" xfId="1" applyNumberFormat="1" applyFont="1" applyFill="1" applyBorder="1"/>
    <xf numFmtId="164" fontId="0" fillId="0" borderId="0" xfId="1" applyNumberFormat="1" applyFont="1" applyFill="1"/>
    <xf numFmtId="49" fontId="0" fillId="0" borderId="0" xfId="10" applyNumberFormat="1" applyFont="1" applyFill="1"/>
    <xf numFmtId="0" fontId="0" fillId="0" borderId="1" xfId="1" applyNumberFormat="1" applyFont="1" applyFill="1" applyBorder="1"/>
    <xf numFmtId="14" fontId="0" fillId="0" borderId="0" xfId="1" applyNumberFormat="1" applyFont="1" applyFill="1" applyAlignment="1">
      <alignment horizontal="center"/>
    </xf>
    <xf numFmtId="14" fontId="0" fillId="0" borderId="1" xfId="0" applyNumberFormat="1" applyBorder="1" applyAlignment="1">
      <alignment horizontal="right"/>
    </xf>
    <xf numFmtId="14" fontId="0" fillId="6" borderId="1" xfId="0" applyNumberFormat="1" applyFill="1" applyBorder="1" applyAlignment="1">
      <alignment horizontal="center"/>
    </xf>
    <xf numFmtId="14" fontId="6" fillId="6" borderId="1" xfId="0" applyNumberFormat="1" applyFont="1" applyFill="1" applyBorder="1" applyAlignment="1">
      <alignment horizontal="center"/>
    </xf>
    <xf numFmtId="14" fontId="31" fillId="6" borderId="1" xfId="0" applyNumberFormat="1" applyFont="1" applyFill="1" applyBorder="1"/>
    <xf numFmtId="164" fontId="0" fillId="31" borderId="1" xfId="1" applyNumberFormat="1" applyFont="1" applyFill="1" applyBorder="1"/>
    <xf numFmtId="164" fontId="0" fillId="29" borderId="1" xfId="1" applyNumberFormat="1" applyFont="1" applyFill="1" applyBorder="1"/>
    <xf numFmtId="0" fontId="0" fillId="6" borderId="1" xfId="1" applyNumberFormat="1" applyFont="1" applyFill="1" applyBorder="1" applyAlignment="1"/>
    <xf numFmtId="14" fontId="0" fillId="6" borderId="1" xfId="1" applyNumberFormat="1" applyFont="1" applyFill="1" applyBorder="1" applyAlignment="1">
      <alignment horizontal="center"/>
    </xf>
    <xf numFmtId="0" fontId="0" fillId="36" borderId="0" xfId="0" applyFill="1"/>
    <xf numFmtId="14" fontId="6" fillId="37" borderId="0" xfId="0" applyNumberFormat="1" applyFont="1" applyFill="1" applyAlignment="1">
      <alignment horizontal="center"/>
    </xf>
    <xf numFmtId="164" fontId="0" fillId="31" borderId="1" xfId="0" applyNumberFormat="1" applyFill="1" applyBorder="1"/>
    <xf numFmtId="164" fontId="0" fillId="29" borderId="1" xfId="0" applyNumberFormat="1" applyFill="1" applyBorder="1"/>
    <xf numFmtId="164" fontId="0" fillId="6" borderId="1" xfId="0" applyNumberFormat="1" applyFill="1" applyBorder="1"/>
    <xf numFmtId="44" fontId="0" fillId="6" borderId="1" xfId="0" applyNumberFormat="1" applyFill="1" applyBorder="1"/>
    <xf numFmtId="49" fontId="0" fillId="6" borderId="6" xfId="0" applyNumberFormat="1" applyFill="1" applyBorder="1"/>
    <xf numFmtId="14" fontId="6" fillId="6" borderId="1" xfId="1" applyNumberFormat="1" applyFont="1" applyFill="1" applyBorder="1" applyAlignment="1">
      <alignment horizontal="center"/>
    </xf>
    <xf numFmtId="14" fontId="0" fillId="6" borderId="1" xfId="1" applyNumberFormat="1" applyFont="1" applyFill="1" applyBorder="1"/>
    <xf numFmtId="14" fontId="31" fillId="6" borderId="1" xfId="1" applyNumberFormat="1" applyFont="1" applyFill="1" applyBorder="1"/>
    <xf numFmtId="14" fontId="0" fillId="6" borderId="1" xfId="10" applyNumberFormat="1" applyFont="1" applyFill="1" applyBorder="1" applyAlignment="1">
      <alignment horizontal="center"/>
    </xf>
    <xf numFmtId="0" fontId="35" fillId="0" borderId="0" xfId="0" applyFont="1"/>
    <xf numFmtId="44" fontId="2" fillId="0" borderId="0" xfId="1" applyFont="1"/>
    <xf numFmtId="0" fontId="2" fillId="0" borderId="1" xfId="1" applyNumberFormat="1" applyFont="1" applyBorder="1" applyAlignment="1"/>
    <xf numFmtId="49" fontId="2" fillId="0" borderId="0" xfId="10" applyNumberFormat="1" applyFont="1"/>
    <xf numFmtId="44" fontId="2" fillId="0" borderId="0" xfId="1" applyFont="1" applyFill="1"/>
    <xf numFmtId="164" fontId="2" fillId="0" borderId="0" xfId="1" applyNumberFormat="1" applyFont="1" applyFill="1"/>
    <xf numFmtId="0" fontId="2" fillId="0" borderId="0" xfId="0" applyFont="1"/>
    <xf numFmtId="0" fontId="2" fillId="0" borderId="0" xfId="0" applyFont="1" applyAlignment="1">
      <alignment horizontal="center"/>
    </xf>
    <xf numFmtId="164" fontId="2" fillId="31" borderId="0" xfId="1" applyNumberFormat="1" applyFont="1" applyFill="1"/>
    <xf numFmtId="164" fontId="2" fillId="29" borderId="0" xfId="1" applyNumberFormat="1" applyFont="1" applyFill="1"/>
    <xf numFmtId="164" fontId="2" fillId="0" borderId="0" xfId="1" applyNumberFormat="1" applyFont="1"/>
    <xf numFmtId="164" fontId="2" fillId="0" borderId="0" xfId="1" applyNumberFormat="1" applyFont="1" applyAlignment="1">
      <alignment horizontal="center"/>
    </xf>
    <xf numFmtId="44" fontId="2" fillId="0" borderId="0" xfId="1" applyFont="1" applyAlignment="1"/>
    <xf numFmtId="0" fontId="2" fillId="0" borderId="1" xfId="1" applyNumberFormat="1" applyFont="1" applyFill="1" applyBorder="1" applyAlignment="1">
      <alignment wrapText="1"/>
    </xf>
    <xf numFmtId="14" fontId="2" fillId="0" borderId="0" xfId="1" applyNumberFormat="1" applyFont="1"/>
    <xf numFmtId="164" fontId="2" fillId="0" borderId="0" xfId="1" applyNumberFormat="1" applyFont="1" applyAlignment="1"/>
    <xf numFmtId="14" fontId="2" fillId="0" borderId="0" xfId="1" applyNumberFormat="1" applyFont="1" applyAlignment="1">
      <alignment horizontal="center"/>
    </xf>
    <xf numFmtId="44" fontId="2" fillId="0" borderId="0" xfId="1" applyFont="1" applyFill="1" applyAlignment="1"/>
    <xf numFmtId="44" fontId="2" fillId="0" borderId="0" xfId="0" applyNumberFormat="1" applyFont="1"/>
    <xf numFmtId="0" fontId="2" fillId="0" borderId="13" xfId="0" applyFont="1" applyBorder="1" applyAlignment="1">
      <alignment horizontal="center"/>
    </xf>
    <xf numFmtId="164" fontId="2" fillId="0" borderId="13" xfId="1" applyNumberFormat="1" applyFont="1" applyBorder="1"/>
    <xf numFmtId="44" fontId="2" fillId="0" borderId="0" xfId="1" applyFont="1" applyFill="1" applyBorder="1" applyAlignment="1">
      <alignment wrapText="1"/>
    </xf>
    <xf numFmtId="164" fontId="2" fillId="31" borderId="0" xfId="1" applyNumberFormat="1" applyFont="1" applyFill="1" applyAlignment="1"/>
    <xf numFmtId="164" fontId="0" fillId="31" borderId="0" xfId="1" applyNumberFormat="1" applyFont="1" applyFill="1"/>
    <xf numFmtId="14" fontId="31" fillId="0" borderId="1" xfId="0" applyNumberFormat="1" applyFont="1" applyBorder="1"/>
    <xf numFmtId="14" fontId="31" fillId="30" borderId="0" xfId="0" applyNumberFormat="1" applyFont="1" applyFill="1" applyAlignment="1">
      <alignment horizontal="right"/>
    </xf>
    <xf numFmtId="14" fontId="6" fillId="30" borderId="0" xfId="0" applyNumberFormat="1" applyFont="1" applyFill="1" applyAlignment="1">
      <alignment horizontal="center"/>
    </xf>
    <xf numFmtId="8" fontId="0" fillId="0" borderId="0" xfId="0" applyNumberFormat="1" applyAlignment="1">
      <alignment horizontal="right"/>
    </xf>
    <xf numFmtId="8" fontId="0" fillId="0" borderId="3" xfId="1" applyNumberFormat="1" applyFont="1" applyBorder="1" applyAlignment="1">
      <alignment horizontal="right"/>
    </xf>
    <xf numFmtId="0" fontId="36" fillId="28" borderId="0" xfId="0" applyFont="1" applyFill="1"/>
    <xf numFmtId="0" fontId="36" fillId="0" borderId="0" xfId="0" applyFont="1"/>
    <xf numFmtId="0" fontId="37" fillId="0" borderId="0" xfId="0" applyFont="1"/>
    <xf numFmtId="0" fontId="38" fillId="0" borderId="0" xfId="3" applyFont="1"/>
    <xf numFmtId="14" fontId="37" fillId="0" borderId="0" xfId="0" applyNumberFormat="1" applyFont="1"/>
    <xf numFmtId="0" fontId="39" fillId="0" borderId="0" xfId="3" applyFont="1"/>
    <xf numFmtId="0" fontId="0" fillId="6" borderId="1" xfId="1" applyNumberFormat="1" applyFont="1" applyFill="1" applyBorder="1"/>
    <xf numFmtId="14" fontId="31" fillId="16" borderId="0" xfId="0" applyNumberFormat="1" applyFont="1" applyFill="1" applyAlignment="1">
      <alignment horizontal="right"/>
    </xf>
    <xf numFmtId="0" fontId="0" fillId="16" borderId="0" xfId="0" applyFill="1" applyAlignment="1">
      <alignment horizontal="left"/>
    </xf>
    <xf numFmtId="0" fontId="1" fillId="0" borderId="0" xfId="1" applyNumberFormat="1" applyFont="1" applyAlignment="1"/>
    <xf numFmtId="0" fontId="1" fillId="0" borderId="0" xfId="0" applyFont="1" applyAlignment="1">
      <alignment horizontal="center"/>
    </xf>
    <xf numFmtId="164" fontId="1" fillId="29" borderId="0" xfId="1" applyNumberFormat="1" applyFont="1" applyFill="1"/>
    <xf numFmtId="164" fontId="1" fillId="0" borderId="0" xfId="1" applyNumberFormat="1" applyFont="1"/>
    <xf numFmtId="0" fontId="1" fillId="0" borderId="0" xfId="1" applyNumberFormat="1" applyFont="1" applyBorder="1" applyAlignment="1"/>
    <xf numFmtId="14" fontId="1" fillId="0" borderId="0" xfId="1" applyNumberFormat="1" applyFont="1" applyAlignment="1">
      <alignment horizontal="center"/>
    </xf>
    <xf numFmtId="44" fontId="1" fillId="0" borderId="0" xfId="1" applyFont="1" applyAlignment="1"/>
    <xf numFmtId="44" fontId="1" fillId="0" borderId="0" xfId="1" applyFont="1"/>
    <xf numFmtId="0" fontId="29" fillId="0" borderId="0" xfId="0" applyFont="1"/>
    <xf numFmtId="44" fontId="32" fillId="0" borderId="0" xfId="1" applyFont="1"/>
    <xf numFmtId="0" fontId="32" fillId="0" borderId="0" xfId="1" applyNumberFormat="1" applyFont="1"/>
    <xf numFmtId="14" fontId="6" fillId="16" borderId="0" xfId="0" applyNumberFormat="1" applyFont="1" applyFill="1" applyAlignment="1">
      <alignment horizontal="center"/>
    </xf>
    <xf numFmtId="0" fontId="0" fillId="0" borderId="0" xfId="0" applyAlignment="1">
      <alignment horizontal="left" vertical="center" wrapText="1"/>
    </xf>
    <xf numFmtId="44" fontId="28" fillId="29" borderId="0" xfId="5" applyNumberFormat="1" applyFont="1" applyFill="1" applyAlignment="1">
      <alignment horizontal="center"/>
    </xf>
    <xf numFmtId="44" fontId="28" fillId="29" borderId="0" xfId="1" applyFont="1" applyFill="1" applyAlignment="1">
      <alignment horizontal="center"/>
    </xf>
    <xf numFmtId="14" fontId="0" fillId="0" borderId="0" xfId="0" applyNumberFormat="1" applyAlignment="1"/>
  </cellXfs>
  <cellStyles count="14">
    <cellStyle name="60% - Accent1" xfId="12" builtinId="32"/>
    <cellStyle name="60% - Accent5" xfId="13" builtinId="48"/>
    <cellStyle name="Accent1" xfId="5" builtinId="29"/>
    <cellStyle name="Accent2" xfId="6" builtinId="33"/>
    <cellStyle name="Accent3" xfId="7" builtinId="37"/>
    <cellStyle name="Accent4" xfId="8" builtinId="41"/>
    <cellStyle name="Accent5" xfId="4" builtinId="45"/>
    <cellStyle name="Accent6" xfId="9" builtinId="49"/>
    <cellStyle name="Comma" xfId="10" builtinId="3"/>
    <cellStyle name="Currency" xfId="1" builtinId="4"/>
    <cellStyle name="Heading 1" xfId="11" builtinId="16"/>
    <cellStyle name="Hyperlink" xfId="3" builtinId="8"/>
    <cellStyle name="Normal" xfId="0" builtinId="0"/>
    <cellStyle name="Percent" xfId="2" builtinId="5"/>
  </cellStyles>
  <dxfs count="255">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general" vertical="bottom" textRotation="0" wrapText="1" indent="0" justifyLastLine="0" shrinkToFit="0" readingOrder="0"/>
    </dxf>
    <dxf>
      <numFmt numFmtId="19" formatCode="m/d/yyyy"/>
    </dxf>
    <dxf>
      <numFmt numFmtId="19" formatCode="m/d/yyyy"/>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dxf>
    <dxf>
      <numFmt numFmtId="19" formatCode="m/d/yyyy"/>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9" formatCode="m/d/yyyy"/>
      <alignment horizontal="center" vertical="bottom"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center" vertical="bottom" textRotation="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9" formatCode="m/d/yyyy"/>
    </dxf>
    <dxf>
      <font>
        <b val="0"/>
      </font>
      <numFmt numFmtId="19" formatCode="m/d/yyyy"/>
    </dxf>
    <dxf>
      <font>
        <color auto="1"/>
      </font>
      <numFmt numFmtId="19" formatCode="m/d/yyyy"/>
      <fill>
        <patternFill patternType="solid">
          <fgColor indexed="64"/>
          <bgColor theme="0"/>
        </patternFill>
      </fill>
      <alignment horizontal="center" vertical="bottom" textRotation="0" wrapText="0" indent="0" justifyLastLine="0" shrinkToFit="0" readingOrder="0"/>
    </dxf>
    <dxf>
      <numFmt numFmtId="19" formatCode="m/d/yyyy"/>
    </dxf>
    <dxf>
      <numFmt numFmtId="19" formatCode="m/d/yyyy"/>
      <fill>
        <patternFill patternType="solid">
          <fgColor indexed="64"/>
          <bgColor rgb="FFFFFF00"/>
        </patternFill>
      </fill>
      <alignment horizontal="right" vertical="bottom" textRotation="0" indent="0" justifyLastLine="0" shrinkToFit="0" readingOrder="0"/>
    </dxf>
    <dxf>
      <font>
        <b val="0"/>
        <i val="0"/>
        <strike val="0"/>
        <condense val="0"/>
        <extend val="0"/>
        <outline val="0"/>
        <shadow val="0"/>
        <u val="none"/>
        <vertAlign val="baseline"/>
        <sz val="11"/>
        <color auto="1"/>
        <name val="Calibri"/>
        <family val="2"/>
        <scheme val="minor"/>
      </font>
      <numFmt numFmtId="19" formatCode="m/d/yyyy"/>
      <alignment horizontal="center" vertical="bottom" textRotation="0" wrapText="0" indent="0" justifyLastLine="0" shrinkToFit="0" readingOrder="0"/>
    </dxf>
    <dxf>
      <font>
        <color auto="1"/>
      </font>
      <numFmt numFmtId="19" formatCode="m/d/yyyy"/>
      <alignment horizontal="center" vertical="bottom" textRotation="0" wrapText="0" indent="0" justifyLastLine="0" shrinkToFit="0" readingOrder="0"/>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indexed="64"/>
          <bgColor theme="8" tint="0.79998168889431442"/>
        </patternFill>
      </fill>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indexed="64"/>
          <bgColor theme="8" tint="0.79998168889431442"/>
        </patternFill>
      </fill>
    </dxf>
    <dxf>
      <numFmt numFmtId="32"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solid">
          <fgColor indexed="64"/>
          <bgColor theme="5" tint="0.79998168889431442"/>
        </patternFill>
      </fill>
    </dxf>
    <dxf>
      <numFmt numFmtId="32" formatCode="_(&quot;$&quot;* #,##0_);_(&quot;$&quot;* \(#,##0\);_(&quot;$&quot;* &quot;-&quot;_);_(@_)"/>
    </dxf>
    <dxf>
      <numFmt numFmtId="164" formatCode="_(&quot;$&quot;* #,##0_);_(&quot;$&quot;* \(#,##0\);_(&quot;$&quot;* &quot;-&quot;??_);_(@_)"/>
      <fill>
        <patternFill patternType="solid">
          <fgColor indexed="64"/>
          <bgColor theme="5" tint="0.79998168889431442"/>
        </patternFill>
      </fill>
      <alignment horizontal="general"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dxf>
    <dxf>
      <numFmt numFmtId="19" formatCode="m/d/yyyy"/>
    </dxf>
    <dxf>
      <numFmt numFmtId="19" formatCode="m/d/yyyy"/>
      <alignment horizontal="general" vertical="bottom" textRotation="0" wrapText="0" indent="0" justifyLastLine="0" shrinkToFit="0" readingOrder="0"/>
    </dxf>
    <dxf>
      <numFmt numFmtId="19" formatCode="m/d/yyyy"/>
    </dxf>
    <dxf>
      <numFmt numFmtId="19" formatCode="m/d/yyyy"/>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family val="2"/>
        <scheme val="minor"/>
      </font>
      <alignment horizontal="center" vertical="bottom"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center" vertical="bottom" textRotation="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9" formatCode="m/d/yyyy"/>
    </dxf>
    <dxf>
      <font>
        <b val="0"/>
      </font>
      <numFmt numFmtId="19" formatCode="m/d/yyyy"/>
    </dxf>
    <dxf>
      <font>
        <color auto="1"/>
      </font>
      <numFmt numFmtId="19" formatCode="m/d/yyyy"/>
      <fill>
        <patternFill patternType="solid">
          <fgColor indexed="64"/>
          <bgColor theme="0"/>
        </patternFill>
      </fill>
      <alignment horizontal="center" vertical="bottom" textRotation="0" wrapText="0" indent="0" justifyLastLine="0" shrinkToFit="0" readingOrder="0"/>
    </dxf>
    <dxf>
      <numFmt numFmtId="19" formatCode="m/d/yyyy"/>
    </dxf>
    <dxf>
      <numFmt numFmtId="19" formatCode="m/d/yyyy"/>
      <fill>
        <patternFill patternType="solid">
          <fgColor indexed="64"/>
          <bgColor rgb="FFFFFF00"/>
        </patternFill>
      </fill>
      <alignment horizontal="right" vertical="bottom" textRotation="0" indent="0" justifyLastLine="0" shrinkToFit="0" readingOrder="0"/>
    </dxf>
    <dxf>
      <font>
        <b val="0"/>
        <i val="0"/>
        <strike val="0"/>
        <condense val="0"/>
        <extend val="0"/>
        <outline val="0"/>
        <shadow val="0"/>
        <u val="none"/>
        <vertAlign val="baseline"/>
        <sz val="11"/>
        <color auto="1"/>
        <name val="Calibri"/>
        <family val="2"/>
        <scheme val="minor"/>
      </font>
      <numFmt numFmtId="19" formatCode="m/d/yyyy"/>
      <alignment horizontal="center" vertical="bottom" textRotation="0" wrapText="0" indent="0" justifyLastLine="0" shrinkToFit="0" readingOrder="0"/>
    </dxf>
    <dxf>
      <font>
        <color auto="1"/>
      </font>
      <numFmt numFmtId="19" formatCode="m/d/yyyy"/>
      <alignment horizontal="center" vertical="bottom" textRotation="0" wrapText="0" indent="0" justifyLastLine="0" shrinkToFit="0" readingOrder="0"/>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indexed="64"/>
          <bgColor theme="8" tint="0.79998168889431442"/>
        </patternFill>
      </fill>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indexed="64"/>
          <bgColor theme="8" tint="0.79998168889431442"/>
        </patternFill>
      </fill>
    </dxf>
    <dxf>
      <numFmt numFmtId="32"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solid">
          <fgColor indexed="64"/>
          <bgColor theme="5" tint="0.79998168889431442"/>
        </patternFill>
      </fill>
    </dxf>
    <dxf>
      <numFmt numFmtId="32" formatCode="_(&quot;$&quot;* #,##0_);_(&quot;$&quot;* \(#,##0\);_(&quot;$&quot;* &quot;-&quot;_);_(@_)"/>
    </dxf>
    <dxf>
      <numFmt numFmtId="164" formatCode="_(&quot;$&quot;* #,##0_);_(&quot;$&quot;* \(#,##0\);_(&quot;$&quot;* &quot;-&quot;??_);_(@_)"/>
      <fill>
        <patternFill patternType="solid">
          <fgColor indexed="64"/>
          <bgColor theme="5" tint="0.79998168889431442"/>
        </patternFill>
      </fill>
      <alignment horizontal="general"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dxf>
    <dxf>
      <numFmt numFmtId="19" formatCode="m/d/yyyy"/>
    </dxf>
    <dxf>
      <numFmt numFmtId="19" formatCode="m/d/yyyy"/>
      <alignment horizontal="general" vertical="bottom" textRotation="0" wrapText="0" indent="0" justifyLastLine="0" shrinkToFit="0" readingOrder="0"/>
    </dxf>
    <dxf>
      <numFmt numFmtId="19" formatCode="m/d/yyyy"/>
    </dxf>
    <dxf>
      <numFmt numFmtId="19" formatCode="m/d/yyyy"/>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indent="0" justifyLastLine="0" shrinkToFit="0" readingOrder="0"/>
    </dxf>
    <dxf>
      <numFmt numFmtId="19" formatCode="m/d/yyyy"/>
    </dxf>
    <dxf>
      <numFmt numFmtId="19" formatCode="m/d/yyyy"/>
    </dxf>
    <dxf>
      <numFmt numFmtId="19" formatCode="m/d/yyyy"/>
    </dxf>
    <dxf>
      <numFmt numFmtId="19" formatCode="m/d/yyyy"/>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vertical="bottom" textRotation="0" wrapText="0" indent="0" justifyLastLine="0" shrinkToFit="0" readingOrder="0"/>
    </dxf>
    <dxf>
      <font>
        <b val="0"/>
        <i val="0"/>
        <strike val="0"/>
        <condense val="0"/>
        <extend val="0"/>
        <outline val="0"/>
        <shadow val="0"/>
        <u/>
        <vertAlign val="baseline"/>
        <sz val="11"/>
        <color theme="10"/>
        <name val="Calibri"/>
        <family val="2"/>
        <scheme val="minor"/>
      </font>
      <numFmt numFmtId="19" formatCode="m/d/yyyy"/>
    </dxf>
    <dxf>
      <numFmt numFmtId="19" formatCode="m/d/yyyy"/>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alignment horizontal="center" vertical="bottom" textRotation="0" wrapText="1"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center" vertical="bottom" textRotation="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9" formatCode="m/d/yyyy"/>
    </dxf>
    <dxf>
      <numFmt numFmtId="19" formatCode="m/d/yyyy"/>
    </dxf>
    <dxf>
      <numFmt numFmtId="19" formatCode="m/d/yyyy"/>
    </dxf>
    <dxf>
      <font>
        <b val="0"/>
      </font>
      <numFmt numFmtId="19" formatCode="m/d/yyyy"/>
    </dxf>
    <dxf>
      <alignment horizontal="center" vertical="bottom" textRotation="0" wrapText="0" indent="0" justifyLastLine="0" shrinkToFit="0" readingOrder="0"/>
    </dxf>
    <dxf>
      <font>
        <color auto="1"/>
      </font>
      <numFmt numFmtId="19" formatCode="m/d/yyyy"/>
      <fill>
        <patternFill patternType="solid">
          <fgColor indexed="64"/>
          <bgColor theme="0"/>
        </patternFill>
      </fill>
      <alignment horizontal="center" vertical="bottom" textRotation="0" wrapText="0" indent="0" justifyLastLine="0" shrinkToFit="0" readingOrder="0"/>
    </dxf>
    <dxf>
      <numFmt numFmtId="19" formatCode="m/d/yyyy"/>
    </dxf>
    <dxf>
      <numFmt numFmtId="19" formatCode="m/d/yyyy"/>
      <fill>
        <patternFill patternType="solid">
          <fgColor indexed="64"/>
          <bgColor rgb="FFFFFF00"/>
        </patternFill>
      </fill>
      <alignment horizontal="right" vertical="bottom" textRotation="0" indent="0" justifyLastLine="0" shrinkToFit="0" readingOrder="0"/>
    </dxf>
    <dxf>
      <alignment horizontal="center" vertical="bottom" textRotation="0" wrapText="0" indent="0" justifyLastLine="0" shrinkToFit="0" readingOrder="0"/>
    </dxf>
    <dxf>
      <font>
        <color auto="1"/>
      </font>
      <numFmt numFmtId="19" formatCode="m/d/yyyy"/>
      <alignment horizontal="center" vertical="bottom" textRotation="0" wrapText="0" indent="0" justifyLastLine="0" shrinkToFit="0" readingOrder="0"/>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32"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32" formatCode="_(&quot;$&quot;* #,##0_);_(&quot;$&quot;* \(#,##0\);_(&quot;$&quot;* &quot;-&quot;_);_(@_)"/>
    </dxf>
    <dxf>
      <numFmt numFmtId="164" formatCode="_(&quot;$&quot;* #,##0_);_(&quot;$&quot;* \(#,##0\);_(&quot;$&quot;* &quot;-&quot;??_);_(@_)"/>
      <alignment horizontal="general"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dxf>
    <dxf>
      <numFmt numFmtId="19" formatCode="m/d/yyyy"/>
    </dxf>
    <dxf>
      <numFmt numFmtId="19" formatCode="m/d/yyyy"/>
      <alignment horizontal="general" vertical="bottom" textRotation="0" wrapText="0" indent="0" justifyLastLine="0" shrinkToFit="0" readingOrder="0"/>
    </dxf>
    <dxf>
      <numFmt numFmtId="19" formatCode="m/d/yyyy"/>
    </dxf>
    <dxf>
      <numFmt numFmtId="19" formatCode="m/d/yyyy"/>
      <alignment horizontal="general" vertical="bottom" textRotation="0" wrapText="0" indent="0" justifyLastLine="0" shrinkToFit="0" readingOrder="0"/>
    </dxf>
    <dxf>
      <font>
        <strike val="0"/>
        <outline val="0"/>
        <shadow val="0"/>
        <u val="none"/>
        <vertAlign val="baseline"/>
        <sz val="11"/>
        <color theme="1"/>
        <name val="Calibri"/>
        <scheme val="minor"/>
      </font>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387350</xdr:colOff>
      <xdr:row>388</xdr:row>
      <xdr:rowOff>15875</xdr:rowOff>
    </xdr:from>
    <xdr:to>
      <xdr:col>7</xdr:col>
      <xdr:colOff>273050</xdr:colOff>
      <xdr:row>391</xdr:row>
      <xdr:rowOff>111125</xdr:rowOff>
    </xdr:to>
    <xdr:sp macro="" textlink="">
      <xdr:nvSpPr>
        <xdr:cNvPr id="2" name="Oval 1">
          <a:extLst>
            <a:ext uri="{FF2B5EF4-FFF2-40B4-BE49-F238E27FC236}">
              <a16:creationId xmlns:a16="http://schemas.microsoft.com/office/drawing/2014/main" id="{8FD65716-38C6-45AC-B2DB-B504E8562579}"/>
            </a:ext>
          </a:extLst>
        </xdr:cNvPr>
        <xdr:cNvSpPr/>
      </xdr:nvSpPr>
      <xdr:spPr>
        <a:xfrm>
          <a:off x="7788275" y="75825350"/>
          <a:ext cx="2266950" cy="66675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t>FY21 Fully billed</a:t>
          </a:r>
        </a:p>
        <a:p>
          <a:pPr algn="ctr"/>
          <a:endParaRPr lang="en-US" sz="1400"/>
        </a:p>
      </xdr:txBody>
    </xdr:sp>
    <xdr:clientData/>
  </xdr:twoCellAnchor>
  <xdr:twoCellAnchor>
    <xdr:from>
      <xdr:col>5</xdr:col>
      <xdr:colOff>381000</xdr:colOff>
      <xdr:row>489</xdr:row>
      <xdr:rowOff>28575</xdr:rowOff>
    </xdr:from>
    <xdr:to>
      <xdr:col>7</xdr:col>
      <xdr:colOff>266700</xdr:colOff>
      <xdr:row>492</xdr:row>
      <xdr:rowOff>123825</xdr:rowOff>
    </xdr:to>
    <xdr:sp macro="" textlink="">
      <xdr:nvSpPr>
        <xdr:cNvPr id="3" name="Oval 2">
          <a:extLst>
            <a:ext uri="{FF2B5EF4-FFF2-40B4-BE49-F238E27FC236}">
              <a16:creationId xmlns:a16="http://schemas.microsoft.com/office/drawing/2014/main" id="{DD360251-E7DF-4730-9F34-1EF53E2E2EAB}"/>
            </a:ext>
          </a:extLst>
        </xdr:cNvPr>
        <xdr:cNvSpPr/>
      </xdr:nvSpPr>
      <xdr:spPr>
        <a:xfrm>
          <a:off x="7781925" y="95078550"/>
          <a:ext cx="2266950" cy="66675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t>FY21 Fully billed</a:t>
          </a:r>
        </a:p>
        <a:p>
          <a:pPr algn="ctr"/>
          <a:endParaRPr lang="en-US" sz="1400"/>
        </a:p>
      </xdr:txBody>
    </xdr:sp>
    <xdr:clientData/>
  </xdr:twoCellAnchor>
  <xdr:twoCellAnchor>
    <xdr:from>
      <xdr:col>15</xdr:col>
      <xdr:colOff>295275</xdr:colOff>
      <xdr:row>113</xdr:row>
      <xdr:rowOff>66675</xdr:rowOff>
    </xdr:from>
    <xdr:to>
      <xdr:col>17</xdr:col>
      <xdr:colOff>428625</xdr:colOff>
      <xdr:row>116</xdr:row>
      <xdr:rowOff>180975</xdr:rowOff>
    </xdr:to>
    <xdr:sp macro="" textlink="">
      <xdr:nvSpPr>
        <xdr:cNvPr id="4" name="Oval 3">
          <a:extLst>
            <a:ext uri="{FF2B5EF4-FFF2-40B4-BE49-F238E27FC236}">
              <a16:creationId xmlns:a16="http://schemas.microsoft.com/office/drawing/2014/main" id="{00745732-9A98-40DA-831B-F54C3E3C3FAC}"/>
            </a:ext>
          </a:extLst>
        </xdr:cNvPr>
        <xdr:cNvSpPr/>
      </xdr:nvSpPr>
      <xdr:spPr>
        <a:xfrm>
          <a:off x="19202400" y="21774150"/>
          <a:ext cx="2657475" cy="685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Fully billed for FY21</a:t>
          </a:r>
        </a:p>
      </xdr:txBody>
    </xdr:sp>
    <xdr:clientData/>
  </xdr:twoCellAnchor>
  <xdr:twoCellAnchor>
    <xdr:from>
      <xdr:col>16</xdr:col>
      <xdr:colOff>790575</xdr:colOff>
      <xdr:row>33</xdr:row>
      <xdr:rowOff>85725</xdr:rowOff>
    </xdr:from>
    <xdr:to>
      <xdr:col>19</xdr:col>
      <xdr:colOff>152400</xdr:colOff>
      <xdr:row>38</xdr:row>
      <xdr:rowOff>9525</xdr:rowOff>
    </xdr:to>
    <xdr:sp macro="" textlink="">
      <xdr:nvSpPr>
        <xdr:cNvPr id="5" name="Oval 4">
          <a:extLst>
            <a:ext uri="{FF2B5EF4-FFF2-40B4-BE49-F238E27FC236}">
              <a16:creationId xmlns:a16="http://schemas.microsoft.com/office/drawing/2014/main" id="{3B48691B-C70E-419E-BE8C-5B999B9FB8F1}"/>
            </a:ext>
          </a:extLst>
        </xdr:cNvPr>
        <xdr:cNvSpPr/>
      </xdr:nvSpPr>
      <xdr:spPr>
        <a:xfrm>
          <a:off x="20469225" y="6362700"/>
          <a:ext cx="2657475" cy="87630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t>Fully billed for FY22</a:t>
          </a:r>
        </a:p>
      </xdr:txBody>
    </xdr:sp>
    <xdr:clientData/>
  </xdr:twoCellAnchor>
  <xdr:twoCellAnchor>
    <xdr:from>
      <xdr:col>15</xdr:col>
      <xdr:colOff>323850</xdr:colOff>
      <xdr:row>78</xdr:row>
      <xdr:rowOff>57150</xdr:rowOff>
    </xdr:from>
    <xdr:to>
      <xdr:col>17</xdr:col>
      <xdr:colOff>457200</xdr:colOff>
      <xdr:row>82</xdr:row>
      <xdr:rowOff>171450</xdr:rowOff>
    </xdr:to>
    <xdr:sp macro="" textlink="">
      <xdr:nvSpPr>
        <xdr:cNvPr id="6" name="Oval 5">
          <a:extLst>
            <a:ext uri="{FF2B5EF4-FFF2-40B4-BE49-F238E27FC236}">
              <a16:creationId xmlns:a16="http://schemas.microsoft.com/office/drawing/2014/main" id="{C46F42A0-826E-4584-9F95-709F42C6A6F8}"/>
            </a:ext>
          </a:extLst>
        </xdr:cNvPr>
        <xdr:cNvSpPr/>
      </xdr:nvSpPr>
      <xdr:spPr>
        <a:xfrm>
          <a:off x="19230975" y="15097125"/>
          <a:ext cx="2657475" cy="8763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Fully billed for FY21</a:t>
          </a:r>
        </a:p>
      </xdr:txBody>
    </xdr:sp>
    <xdr:clientData/>
  </xdr:twoCellAnchor>
  <xdr:twoCellAnchor>
    <xdr:from>
      <xdr:col>15</xdr:col>
      <xdr:colOff>381001</xdr:colOff>
      <xdr:row>47</xdr:row>
      <xdr:rowOff>76200</xdr:rowOff>
    </xdr:from>
    <xdr:to>
      <xdr:col>17</xdr:col>
      <xdr:colOff>476250</xdr:colOff>
      <xdr:row>49</xdr:row>
      <xdr:rowOff>171450</xdr:rowOff>
    </xdr:to>
    <xdr:sp macro="" textlink="">
      <xdr:nvSpPr>
        <xdr:cNvPr id="7" name="Oval 6">
          <a:extLst>
            <a:ext uri="{FF2B5EF4-FFF2-40B4-BE49-F238E27FC236}">
              <a16:creationId xmlns:a16="http://schemas.microsoft.com/office/drawing/2014/main" id="{24A82288-F578-4C2A-AC32-8AC58C231615}"/>
            </a:ext>
          </a:extLst>
        </xdr:cNvPr>
        <xdr:cNvSpPr/>
      </xdr:nvSpPr>
      <xdr:spPr>
        <a:xfrm>
          <a:off x="19288126" y="9020175"/>
          <a:ext cx="2619374" cy="47625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100"/>
            <a:t>Fully billed for FY21</a:t>
          </a:r>
        </a:p>
      </xdr:txBody>
    </xdr:sp>
    <xdr:clientData/>
  </xdr:twoCellAnchor>
  <xdr:twoCellAnchor>
    <xdr:from>
      <xdr:col>11</xdr:col>
      <xdr:colOff>460375</xdr:colOff>
      <xdr:row>98</xdr:row>
      <xdr:rowOff>60325</xdr:rowOff>
    </xdr:from>
    <xdr:to>
      <xdr:col>12</xdr:col>
      <xdr:colOff>266700</xdr:colOff>
      <xdr:row>102</xdr:row>
      <xdr:rowOff>168275</xdr:rowOff>
    </xdr:to>
    <xdr:sp macro="" textlink="">
      <xdr:nvSpPr>
        <xdr:cNvPr id="8" name="Oval 7">
          <a:extLst>
            <a:ext uri="{FF2B5EF4-FFF2-40B4-BE49-F238E27FC236}">
              <a16:creationId xmlns:a16="http://schemas.microsoft.com/office/drawing/2014/main" id="{A43095D4-137A-4216-9C4D-D1C85E28BC44}"/>
            </a:ext>
          </a:extLst>
        </xdr:cNvPr>
        <xdr:cNvSpPr/>
      </xdr:nvSpPr>
      <xdr:spPr>
        <a:xfrm>
          <a:off x="14881225" y="18910300"/>
          <a:ext cx="2235200" cy="8699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Service agreement renewal</a:t>
          </a:r>
          <a:r>
            <a:rPr lang="en-US" sz="1400" baseline="0"/>
            <a:t> in process</a:t>
          </a:r>
          <a:endParaRPr lang="en-US" sz="1400"/>
        </a:p>
      </xdr:txBody>
    </xdr:sp>
    <xdr:clientData/>
  </xdr:twoCellAnchor>
  <xdr:twoCellAnchor>
    <xdr:from>
      <xdr:col>15</xdr:col>
      <xdr:colOff>200025</xdr:colOff>
      <xdr:row>105</xdr:row>
      <xdr:rowOff>57150</xdr:rowOff>
    </xdr:from>
    <xdr:to>
      <xdr:col>17</xdr:col>
      <xdr:colOff>333375</xdr:colOff>
      <xdr:row>110</xdr:row>
      <xdr:rowOff>171450</xdr:rowOff>
    </xdr:to>
    <xdr:sp macro="" textlink="">
      <xdr:nvSpPr>
        <xdr:cNvPr id="9" name="Oval 8">
          <a:extLst>
            <a:ext uri="{FF2B5EF4-FFF2-40B4-BE49-F238E27FC236}">
              <a16:creationId xmlns:a16="http://schemas.microsoft.com/office/drawing/2014/main" id="{E413038C-53E9-4DF4-A6C0-ABA933B81AF7}"/>
            </a:ext>
          </a:extLst>
        </xdr:cNvPr>
        <xdr:cNvSpPr/>
      </xdr:nvSpPr>
      <xdr:spPr>
        <a:xfrm>
          <a:off x="19107150" y="20240625"/>
          <a:ext cx="2657475" cy="106680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t>Fully billed for full three years</a:t>
          </a:r>
        </a:p>
      </xdr:txBody>
    </xdr:sp>
    <xdr:clientData/>
  </xdr:twoCellAnchor>
  <xdr:twoCellAnchor>
    <xdr:from>
      <xdr:col>15</xdr:col>
      <xdr:colOff>542925</xdr:colOff>
      <xdr:row>121</xdr:row>
      <xdr:rowOff>76200</xdr:rowOff>
    </xdr:from>
    <xdr:to>
      <xdr:col>17</xdr:col>
      <xdr:colOff>104775</xdr:colOff>
      <xdr:row>125</xdr:row>
      <xdr:rowOff>0</xdr:rowOff>
    </xdr:to>
    <xdr:sp macro="" textlink="">
      <xdr:nvSpPr>
        <xdr:cNvPr id="10" name="Oval 9">
          <a:extLst>
            <a:ext uri="{FF2B5EF4-FFF2-40B4-BE49-F238E27FC236}">
              <a16:creationId xmlns:a16="http://schemas.microsoft.com/office/drawing/2014/main" id="{AF95F011-FD12-4FCF-B2D1-51AD91694ADE}"/>
            </a:ext>
          </a:extLst>
        </xdr:cNvPr>
        <xdr:cNvSpPr/>
      </xdr:nvSpPr>
      <xdr:spPr>
        <a:xfrm>
          <a:off x="19450050" y="23307675"/>
          <a:ext cx="2085975" cy="6858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000"/>
            <a:t>Fully billed for full</a:t>
          </a:r>
          <a:r>
            <a:rPr lang="en-US" sz="1000" baseline="0"/>
            <a:t> 5 years</a:t>
          </a:r>
          <a:endParaRPr lang="en-US" sz="1000"/>
        </a:p>
      </xdr:txBody>
    </xdr:sp>
    <xdr:clientData/>
  </xdr:twoCellAnchor>
  <xdr:twoCellAnchor editAs="oneCell">
    <xdr:from>
      <xdr:col>1</xdr:col>
      <xdr:colOff>0</xdr:colOff>
      <xdr:row>112</xdr:row>
      <xdr:rowOff>0</xdr:rowOff>
    </xdr:from>
    <xdr:to>
      <xdr:col>4</xdr:col>
      <xdr:colOff>283845</xdr:colOff>
      <xdr:row>119</xdr:row>
      <xdr:rowOff>91440</xdr:rowOff>
    </xdr:to>
    <xdr:pic>
      <xdr:nvPicPr>
        <xdr:cNvPr id="11" name="Picture 10">
          <a:extLst>
            <a:ext uri="{FF2B5EF4-FFF2-40B4-BE49-F238E27FC236}">
              <a16:creationId xmlns:a16="http://schemas.microsoft.com/office/drawing/2014/main" id="{B81CD47D-6902-409D-A18A-4474CB0A1D32}"/>
            </a:ext>
          </a:extLst>
        </xdr:cNvPr>
        <xdr:cNvPicPr>
          <a:picLocks noChangeAspect="1"/>
        </xdr:cNvPicPr>
      </xdr:nvPicPr>
      <xdr:blipFill>
        <a:blip xmlns:r="http://schemas.openxmlformats.org/officeDocument/2006/relationships" r:embed="rId1"/>
        <a:stretch>
          <a:fillRect/>
        </a:stretch>
      </xdr:blipFill>
      <xdr:spPr>
        <a:xfrm>
          <a:off x="800100" y="23231475"/>
          <a:ext cx="5989320" cy="1424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419100</xdr:colOff>
      <xdr:row>607</xdr:row>
      <xdr:rowOff>28575</xdr:rowOff>
    </xdr:from>
    <xdr:to>
      <xdr:col>7</xdr:col>
      <xdr:colOff>304800</xdr:colOff>
      <xdr:row>610</xdr:row>
      <xdr:rowOff>123825</xdr:rowOff>
    </xdr:to>
    <xdr:sp macro="" textlink="">
      <xdr:nvSpPr>
        <xdr:cNvPr id="5" name="Oval 4">
          <a:extLst>
            <a:ext uri="{FF2B5EF4-FFF2-40B4-BE49-F238E27FC236}">
              <a16:creationId xmlns:a16="http://schemas.microsoft.com/office/drawing/2014/main" id="{49C4F0A6-6FA5-4691-8B00-D10288E5A0D3}"/>
            </a:ext>
          </a:extLst>
        </xdr:cNvPr>
        <xdr:cNvSpPr/>
      </xdr:nvSpPr>
      <xdr:spPr>
        <a:xfrm>
          <a:off x="10287000" y="113557050"/>
          <a:ext cx="3095625" cy="66675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t>FY21 Fully billed</a:t>
          </a:r>
        </a:p>
        <a:p>
          <a:pPr algn="ctr"/>
          <a:endParaRPr lang="en-US" sz="1400"/>
        </a:p>
      </xdr:txBody>
    </xdr:sp>
    <xdr:clientData/>
  </xdr:twoCellAnchor>
  <xdr:twoCellAnchor>
    <xdr:from>
      <xdr:col>15</xdr:col>
      <xdr:colOff>295275</xdr:colOff>
      <xdr:row>161</xdr:row>
      <xdr:rowOff>66675</xdr:rowOff>
    </xdr:from>
    <xdr:to>
      <xdr:col>17</xdr:col>
      <xdr:colOff>428625</xdr:colOff>
      <xdr:row>164</xdr:row>
      <xdr:rowOff>180975</xdr:rowOff>
    </xdr:to>
    <xdr:sp macro="" textlink="">
      <xdr:nvSpPr>
        <xdr:cNvPr id="6" name="Oval 5">
          <a:extLst>
            <a:ext uri="{FF2B5EF4-FFF2-40B4-BE49-F238E27FC236}">
              <a16:creationId xmlns:a16="http://schemas.microsoft.com/office/drawing/2014/main" id="{ED02D1EC-AB75-4525-BCCE-BD700DF28E48}"/>
            </a:ext>
          </a:extLst>
        </xdr:cNvPr>
        <xdr:cNvSpPr/>
      </xdr:nvSpPr>
      <xdr:spPr>
        <a:xfrm>
          <a:off x="14849475" y="11296650"/>
          <a:ext cx="2314575" cy="8763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Fully billed for FY21</a:t>
          </a:r>
        </a:p>
      </xdr:txBody>
    </xdr:sp>
    <xdr:clientData/>
  </xdr:twoCellAnchor>
  <xdr:twoCellAnchor>
    <xdr:from>
      <xdr:col>16</xdr:col>
      <xdr:colOff>790575</xdr:colOff>
      <xdr:row>33</xdr:row>
      <xdr:rowOff>85725</xdr:rowOff>
    </xdr:from>
    <xdr:to>
      <xdr:col>19</xdr:col>
      <xdr:colOff>152400</xdr:colOff>
      <xdr:row>38</xdr:row>
      <xdr:rowOff>9525</xdr:rowOff>
    </xdr:to>
    <xdr:sp macro="" textlink="">
      <xdr:nvSpPr>
        <xdr:cNvPr id="8" name="Oval 7">
          <a:extLst>
            <a:ext uri="{FF2B5EF4-FFF2-40B4-BE49-F238E27FC236}">
              <a16:creationId xmlns:a16="http://schemas.microsoft.com/office/drawing/2014/main" id="{373660FE-AFB6-4C5E-82C3-D560D086A724}"/>
            </a:ext>
          </a:extLst>
        </xdr:cNvPr>
        <xdr:cNvSpPr/>
      </xdr:nvSpPr>
      <xdr:spPr>
        <a:xfrm>
          <a:off x="16097250" y="4267200"/>
          <a:ext cx="2476500" cy="87630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t>Fully billed for FY22</a:t>
          </a:r>
        </a:p>
      </xdr:txBody>
    </xdr:sp>
    <xdr:clientData/>
  </xdr:twoCellAnchor>
  <xdr:twoCellAnchor>
    <xdr:from>
      <xdr:col>15</xdr:col>
      <xdr:colOff>323850</xdr:colOff>
      <xdr:row>106</xdr:row>
      <xdr:rowOff>57150</xdr:rowOff>
    </xdr:from>
    <xdr:to>
      <xdr:col>17</xdr:col>
      <xdr:colOff>457200</xdr:colOff>
      <xdr:row>110</xdr:row>
      <xdr:rowOff>171450</xdr:rowOff>
    </xdr:to>
    <xdr:sp macro="" textlink="">
      <xdr:nvSpPr>
        <xdr:cNvPr id="9" name="Oval 8">
          <a:extLst>
            <a:ext uri="{FF2B5EF4-FFF2-40B4-BE49-F238E27FC236}">
              <a16:creationId xmlns:a16="http://schemas.microsoft.com/office/drawing/2014/main" id="{41017B46-D843-4D64-B52F-F86244A8C7B9}"/>
            </a:ext>
          </a:extLst>
        </xdr:cNvPr>
        <xdr:cNvSpPr/>
      </xdr:nvSpPr>
      <xdr:spPr>
        <a:xfrm>
          <a:off x="14878050" y="7096125"/>
          <a:ext cx="2314575" cy="8763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Fully billed for FY21</a:t>
          </a:r>
        </a:p>
      </xdr:txBody>
    </xdr:sp>
    <xdr:clientData/>
  </xdr:twoCellAnchor>
  <xdr:twoCellAnchor>
    <xdr:from>
      <xdr:col>15</xdr:col>
      <xdr:colOff>381001</xdr:colOff>
      <xdr:row>47</xdr:row>
      <xdr:rowOff>76200</xdr:rowOff>
    </xdr:from>
    <xdr:to>
      <xdr:col>17</xdr:col>
      <xdr:colOff>476250</xdr:colOff>
      <xdr:row>49</xdr:row>
      <xdr:rowOff>171450</xdr:rowOff>
    </xdr:to>
    <xdr:sp macro="" textlink="">
      <xdr:nvSpPr>
        <xdr:cNvPr id="10" name="Oval 9">
          <a:extLst>
            <a:ext uri="{FF2B5EF4-FFF2-40B4-BE49-F238E27FC236}">
              <a16:creationId xmlns:a16="http://schemas.microsoft.com/office/drawing/2014/main" id="{A5F29D90-4206-49A8-BFB8-F1503B9C197C}"/>
            </a:ext>
          </a:extLst>
        </xdr:cNvPr>
        <xdr:cNvSpPr/>
      </xdr:nvSpPr>
      <xdr:spPr>
        <a:xfrm>
          <a:off x="14935201" y="5400675"/>
          <a:ext cx="2276474" cy="47625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100"/>
            <a:t>Fully billed for FY21</a:t>
          </a:r>
        </a:p>
      </xdr:txBody>
    </xdr:sp>
    <xdr:clientData/>
  </xdr:twoCellAnchor>
  <xdr:twoCellAnchor>
    <xdr:from>
      <xdr:col>11</xdr:col>
      <xdr:colOff>460375</xdr:colOff>
      <xdr:row>126</xdr:row>
      <xdr:rowOff>60325</xdr:rowOff>
    </xdr:from>
    <xdr:to>
      <xdr:col>12</xdr:col>
      <xdr:colOff>266700</xdr:colOff>
      <xdr:row>131</xdr:row>
      <xdr:rowOff>168275</xdr:rowOff>
    </xdr:to>
    <xdr:sp macro="" textlink="">
      <xdr:nvSpPr>
        <xdr:cNvPr id="11" name="Oval 10">
          <a:extLst>
            <a:ext uri="{FF2B5EF4-FFF2-40B4-BE49-F238E27FC236}">
              <a16:creationId xmlns:a16="http://schemas.microsoft.com/office/drawing/2014/main" id="{899147BC-95DB-4BF0-A6DD-5F287F85916E}"/>
            </a:ext>
          </a:extLst>
        </xdr:cNvPr>
        <xdr:cNvSpPr/>
      </xdr:nvSpPr>
      <xdr:spPr>
        <a:xfrm>
          <a:off x="10918825" y="9629775"/>
          <a:ext cx="2352675" cy="1028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Service agreement renewal</a:t>
          </a:r>
          <a:r>
            <a:rPr lang="en-US" sz="1400" baseline="0"/>
            <a:t> in process</a:t>
          </a:r>
          <a:endParaRPr lang="en-US" sz="1400"/>
        </a:p>
      </xdr:txBody>
    </xdr:sp>
    <xdr:clientData/>
  </xdr:twoCellAnchor>
  <xdr:twoCellAnchor>
    <xdr:from>
      <xdr:col>15</xdr:col>
      <xdr:colOff>200025</xdr:colOff>
      <xdr:row>134</xdr:row>
      <xdr:rowOff>57150</xdr:rowOff>
    </xdr:from>
    <xdr:to>
      <xdr:col>17</xdr:col>
      <xdr:colOff>333375</xdr:colOff>
      <xdr:row>158</xdr:row>
      <xdr:rowOff>171450</xdr:rowOff>
    </xdr:to>
    <xdr:sp macro="" textlink="">
      <xdr:nvSpPr>
        <xdr:cNvPr id="12" name="Oval 11">
          <a:extLst>
            <a:ext uri="{FF2B5EF4-FFF2-40B4-BE49-F238E27FC236}">
              <a16:creationId xmlns:a16="http://schemas.microsoft.com/office/drawing/2014/main" id="{57EC961E-56BB-4089-98E1-3A9EDF503DF0}"/>
            </a:ext>
          </a:extLst>
        </xdr:cNvPr>
        <xdr:cNvSpPr/>
      </xdr:nvSpPr>
      <xdr:spPr>
        <a:xfrm>
          <a:off x="14754225" y="9953625"/>
          <a:ext cx="2314575" cy="87630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t>Fully billed for full three years</a:t>
          </a:r>
        </a:p>
      </xdr:txBody>
    </xdr:sp>
    <xdr:clientData/>
  </xdr:twoCellAnchor>
  <xdr:twoCellAnchor>
    <xdr:from>
      <xdr:col>15</xdr:col>
      <xdr:colOff>542925</xdr:colOff>
      <xdr:row>169</xdr:row>
      <xdr:rowOff>76200</xdr:rowOff>
    </xdr:from>
    <xdr:to>
      <xdr:col>17</xdr:col>
      <xdr:colOff>104775</xdr:colOff>
      <xdr:row>173</xdr:row>
      <xdr:rowOff>0</xdr:rowOff>
    </xdr:to>
    <xdr:sp macro="" textlink="">
      <xdr:nvSpPr>
        <xdr:cNvPr id="13" name="Oval 12">
          <a:extLst>
            <a:ext uri="{FF2B5EF4-FFF2-40B4-BE49-F238E27FC236}">
              <a16:creationId xmlns:a16="http://schemas.microsoft.com/office/drawing/2014/main" id="{8B8127CE-66CD-49F4-9B9A-99CB2C087150}"/>
            </a:ext>
          </a:extLst>
        </xdr:cNvPr>
        <xdr:cNvSpPr/>
      </xdr:nvSpPr>
      <xdr:spPr>
        <a:xfrm>
          <a:off x="15097125" y="12830175"/>
          <a:ext cx="1743075" cy="685800"/>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000"/>
            <a:t>Fully billed for full</a:t>
          </a:r>
          <a:r>
            <a:rPr lang="en-US" sz="1000" baseline="0"/>
            <a:t> 5 years</a:t>
          </a:r>
          <a:endParaRPr lang="en-US" sz="1000"/>
        </a:p>
      </xdr:txBody>
    </xdr:sp>
    <xdr:clientData/>
  </xdr:twoCellAnchor>
  <xdr:twoCellAnchor>
    <xdr:from>
      <xdr:col>6</xdr:col>
      <xdr:colOff>1524000</xdr:colOff>
      <xdr:row>37</xdr:row>
      <xdr:rowOff>99060</xdr:rowOff>
    </xdr:from>
    <xdr:to>
      <xdr:col>7</xdr:col>
      <xdr:colOff>1005840</xdr:colOff>
      <xdr:row>39</xdr:row>
      <xdr:rowOff>38100</xdr:rowOff>
    </xdr:to>
    <xdr:sp macro="" textlink="">
      <xdr:nvSpPr>
        <xdr:cNvPr id="2" name="Oval 1">
          <a:extLst>
            <a:ext uri="{FF2B5EF4-FFF2-40B4-BE49-F238E27FC236}">
              <a16:creationId xmlns:a16="http://schemas.microsoft.com/office/drawing/2014/main" id="{1323D928-EED0-8D76-5760-3C6B258D5599}"/>
            </a:ext>
          </a:extLst>
        </xdr:cNvPr>
        <xdr:cNvSpPr/>
      </xdr:nvSpPr>
      <xdr:spPr>
        <a:xfrm>
          <a:off x="10187940" y="6858000"/>
          <a:ext cx="1912620" cy="304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Pending FY24 PO</a:t>
          </a:r>
        </a:p>
      </xdr:txBody>
    </xdr:sp>
    <xdr:clientData/>
  </xdr:twoCellAnchor>
  <xdr:twoCellAnchor editAs="oneCell">
    <xdr:from>
      <xdr:col>0</xdr:col>
      <xdr:colOff>236220</xdr:colOff>
      <xdr:row>169</xdr:row>
      <xdr:rowOff>83820</xdr:rowOff>
    </xdr:from>
    <xdr:to>
      <xdr:col>1</xdr:col>
      <xdr:colOff>4168140</xdr:colOff>
      <xdr:row>176</xdr:row>
      <xdr:rowOff>133350</xdr:rowOff>
    </xdr:to>
    <xdr:pic>
      <xdr:nvPicPr>
        <xdr:cNvPr id="7" name="Picture 6">
          <a:extLst>
            <a:ext uri="{FF2B5EF4-FFF2-40B4-BE49-F238E27FC236}">
              <a16:creationId xmlns:a16="http://schemas.microsoft.com/office/drawing/2014/main" id="{C73AD80B-8198-5AE3-8197-74A8DCB30AE9}"/>
            </a:ext>
          </a:extLst>
        </xdr:cNvPr>
        <xdr:cNvPicPr>
          <a:picLocks noChangeAspect="1"/>
        </xdr:cNvPicPr>
      </xdr:nvPicPr>
      <xdr:blipFill rotWithShape="1">
        <a:blip xmlns:r="http://schemas.openxmlformats.org/officeDocument/2006/relationships" r:embed="rId1"/>
        <a:srcRect l="919" t="2439" r="16499" b="45824"/>
        <a:stretch/>
      </xdr:blipFill>
      <xdr:spPr>
        <a:xfrm>
          <a:off x="236220" y="25496520"/>
          <a:ext cx="5135880" cy="1333500"/>
        </a:xfrm>
        <a:prstGeom prst="rect">
          <a:avLst/>
        </a:prstGeom>
      </xdr:spPr>
    </xdr:pic>
    <xdr:clientData/>
  </xdr:twoCellAnchor>
  <xdr:twoCellAnchor>
    <xdr:from>
      <xdr:col>6</xdr:col>
      <xdr:colOff>99060</xdr:colOff>
      <xdr:row>188</xdr:row>
      <xdr:rowOff>60960</xdr:rowOff>
    </xdr:from>
    <xdr:to>
      <xdr:col>6</xdr:col>
      <xdr:colOff>2103120</xdr:colOff>
      <xdr:row>189</xdr:row>
      <xdr:rowOff>144780</xdr:rowOff>
    </xdr:to>
    <xdr:sp macro="" textlink="">
      <xdr:nvSpPr>
        <xdr:cNvPr id="4" name="Oval 3">
          <a:extLst>
            <a:ext uri="{FF2B5EF4-FFF2-40B4-BE49-F238E27FC236}">
              <a16:creationId xmlns:a16="http://schemas.microsoft.com/office/drawing/2014/main" id="{AE2653FC-3010-FB4C-EA46-ACCEE4A98BA4}"/>
            </a:ext>
          </a:extLst>
        </xdr:cNvPr>
        <xdr:cNvSpPr/>
      </xdr:nvSpPr>
      <xdr:spPr>
        <a:xfrm>
          <a:off x="8755380" y="29679900"/>
          <a:ext cx="2004060" cy="266700"/>
        </a:xfrm>
        <a:prstGeom prst="ellipse">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Pending FY24 PO</a:t>
          </a:r>
        </a:p>
      </xdr:txBody>
    </xdr:sp>
    <xdr:clientData/>
  </xdr:twoCellAnchor>
  <xdr:twoCellAnchor>
    <xdr:from>
      <xdr:col>7</xdr:col>
      <xdr:colOff>476250</xdr:colOff>
      <xdr:row>203</xdr:row>
      <xdr:rowOff>38100</xdr:rowOff>
    </xdr:from>
    <xdr:to>
      <xdr:col>10</xdr:col>
      <xdr:colOff>200025</xdr:colOff>
      <xdr:row>207</xdr:row>
      <xdr:rowOff>19050</xdr:rowOff>
    </xdr:to>
    <xdr:sp macro="" textlink="">
      <xdr:nvSpPr>
        <xdr:cNvPr id="15" name="Oval 14">
          <a:extLst>
            <a:ext uri="{FF2B5EF4-FFF2-40B4-BE49-F238E27FC236}">
              <a16:creationId xmlns:a16="http://schemas.microsoft.com/office/drawing/2014/main" id="{7DEB7009-9B3E-4599-A1FB-C361733427B4}"/>
            </a:ext>
          </a:extLst>
        </xdr:cNvPr>
        <xdr:cNvSpPr/>
      </xdr:nvSpPr>
      <xdr:spPr>
        <a:xfrm>
          <a:off x="12573000" y="31880175"/>
          <a:ext cx="2000250" cy="704850"/>
        </a:xfrm>
        <a:prstGeom prst="ellipse">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t>Pending FY24 PO but added FY24</a:t>
          </a:r>
          <a:r>
            <a:rPr lang="en-US" sz="1100" baseline="0"/>
            <a:t> rates</a:t>
          </a:r>
          <a:r>
            <a:rPr lang="en-US" sz="1100"/>
            <a:t> </a:t>
          </a:r>
        </a:p>
      </xdr:txBody>
    </xdr:sp>
    <xdr:clientData/>
  </xdr:twoCellAnchor>
  <xdr:twoCellAnchor>
    <xdr:from>
      <xdr:col>4</xdr:col>
      <xdr:colOff>853440</xdr:colOff>
      <xdr:row>597</xdr:row>
      <xdr:rowOff>160020</xdr:rowOff>
    </xdr:from>
    <xdr:to>
      <xdr:col>6</xdr:col>
      <xdr:colOff>1676400</xdr:colOff>
      <xdr:row>602</xdr:row>
      <xdr:rowOff>137160</xdr:rowOff>
    </xdr:to>
    <xdr:sp macro="" textlink="">
      <xdr:nvSpPr>
        <xdr:cNvPr id="3" name="Oval 2">
          <a:extLst>
            <a:ext uri="{FF2B5EF4-FFF2-40B4-BE49-F238E27FC236}">
              <a16:creationId xmlns:a16="http://schemas.microsoft.com/office/drawing/2014/main" id="{4C90D0A8-E9C9-93A6-E1AA-EED4EEA4499C}"/>
            </a:ext>
          </a:extLst>
        </xdr:cNvPr>
        <xdr:cNvSpPr/>
      </xdr:nvSpPr>
      <xdr:spPr>
        <a:xfrm>
          <a:off x="7757160" y="101155500"/>
          <a:ext cx="2575560" cy="8915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Pending FY24 PO</a:t>
          </a:r>
        </a:p>
      </xdr:txBody>
    </xdr:sp>
    <xdr:clientData/>
  </xdr:twoCellAnchor>
  <xdr:twoCellAnchor>
    <xdr:from>
      <xdr:col>2</xdr:col>
      <xdr:colOff>518160</xdr:colOff>
      <xdr:row>603</xdr:row>
      <xdr:rowOff>30480</xdr:rowOff>
    </xdr:from>
    <xdr:to>
      <xdr:col>4</xdr:col>
      <xdr:colOff>502920</xdr:colOff>
      <xdr:row>606</xdr:row>
      <xdr:rowOff>0</xdr:rowOff>
    </xdr:to>
    <xdr:sp macro="" textlink="">
      <xdr:nvSpPr>
        <xdr:cNvPr id="14" name="Oval 13">
          <a:extLst>
            <a:ext uri="{FF2B5EF4-FFF2-40B4-BE49-F238E27FC236}">
              <a16:creationId xmlns:a16="http://schemas.microsoft.com/office/drawing/2014/main" id="{78C935E3-228F-4907-84C7-9775E11505B1}"/>
            </a:ext>
          </a:extLst>
        </xdr:cNvPr>
        <xdr:cNvSpPr/>
      </xdr:nvSpPr>
      <xdr:spPr>
        <a:xfrm>
          <a:off x="4831080" y="102123240"/>
          <a:ext cx="2575560" cy="518160"/>
        </a:xfrm>
        <a:prstGeom prst="ellips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Pending FY24 PO</a:t>
          </a:r>
        </a:p>
      </xdr:txBody>
    </xdr:sp>
    <xdr:clientData/>
  </xdr:twoCellAnchor>
</xdr:wsDr>
</file>

<file path=xl/persons/person.xml><?xml version="1.0" encoding="utf-8"?>
<personList xmlns="http://schemas.microsoft.com/office/spreadsheetml/2018/threadedcomments" xmlns:x="http://schemas.openxmlformats.org/spreadsheetml/2006/main">
  <person displayName="Christine Fogg" id="{305BA106-D91E-4665-9C69-2D9A758F54E0}" userId="" providerId=""/>
  <person displayName="Fogg, Christine M" id="{10366D9E-F233-45A7-AC3B-0F6AB68A0C01}" userId="S::christine.m.fogg@vanderbilt.edu::5de716fd-8de8-4fa9-ad21-b1463eb718a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N82" totalsRowShown="0" headerRowDxfId="254" dataDxfId="253" headerRowCellStyle="Currency" dataCellStyle="Currency">
  <autoFilter ref="A1:AN82" xr:uid="{00000000-000C-0000-FFFF-FFFF00000000}"/>
  <tableColumns count="40">
    <tableColumn id="1" xr3:uid="{00000000-0010-0000-0000-000001000000}" name="Supplier"/>
    <tableColumn id="2" xr3:uid="{00000000-0010-0000-0000-000002000000}" name="Scope"/>
    <tableColumn id="29" xr3:uid="{65283F28-E5BE-4017-A3FA-A4A5C496839B}" name="Proprietary?_x000a_(Y/N)" dataDxfId="252" totalsRowDxfId="251"/>
    <tableColumn id="36" xr3:uid="{9AB93C17-74BC-4FA8-92E9-D0045283F5D8}" name="FUM" dataDxfId="250" totalsRowDxfId="249"/>
    <tableColumn id="9" xr3:uid="{0139F9CF-BA10-41CD-A590-599C02F1F1A6}" name="Admin" dataDxfId="248" totalsRowDxfId="247"/>
    <tableColumn id="3" xr3:uid="{00000000-0010-0000-0000-000003000000}" name="Financial Unit"/>
    <tableColumn id="4" xr3:uid="{00000000-0010-0000-0000-000004000000}" name="Financial Unit Name"/>
    <tableColumn id="37" xr3:uid="{89CE6F91-3307-4F98-9D86-8152DB6D8A96}" name="Account Code"/>
    <tableColumn id="26" xr3:uid="{A0580A09-7182-41A5-8418-97290481E242}" name="Main Contact"/>
    <tableColumn id="27" xr3:uid="{22793FEF-9BD7-4708-BE26-E372B7C62215}" name="Director"/>
    <tableColumn id="32" xr3:uid="{2D228DE2-BC2E-4A9D-B04A-3AB3E1EDC5DE}" name="Single Bid_x000a_Multiple Bid_x000a_RFP" dataDxfId="246" totalsRowDxfId="245">
      <calculatedColumnFormula>IF(Table1[[#This Row],[Proprietary?
(Y/N)]]="Y","Proprietary",IF(Table1[[#This Row],[FY24 Budget]]&lt;Lookups!$F$3,"Single Quote",IF(Table1[[#This Row],[FY24 Budget]]&gt;Lookups!$G$3,"RFP","Three quotes")))</calculatedColumnFormula>
    </tableColumn>
    <tableColumn id="38" xr3:uid="{3AD958EE-4E0F-4919-B860-1A26385C2CC3}" name="SSJ Needed?" dataDxfId="244" totalsRowDxfId="243"/>
    <tableColumn id="5" xr3:uid="{00000000-0010-0000-0000-000005000000}" name="Contract No" dataDxfId="242"/>
    <tableColumn id="33" xr3:uid="{50D862B6-BA65-4FEB-884F-A40B5AFC71EE}" name="Contract Start Date" dataDxfId="241" totalsRowDxfId="240"/>
    <tableColumn id="34" xr3:uid="{C8025821-2084-4731-94CF-0A78E7CC0819}" name="Contract End Date" dataDxfId="239" totalsRowDxfId="238"/>
    <tableColumn id="8" xr3:uid="{99754FDB-FD73-4AB1-B512-79FEBA33CF65}" name="Contract Extensions" dataDxfId="237"/>
    <tableColumn id="30" xr3:uid="{C2826679-FE54-4ED0-9CB0-6330CC588682}" name="Date to Start Bid/RFP Process" dataDxfId="236" totalsRowDxfId="235"/>
    <tableColumn id="6" xr3:uid="{E61373DF-4498-4A02-9093-4383087A4F53}" name="FY23 Budget" dataDxfId="234" totalsRowDxfId="233" dataCellStyle="Currency"/>
    <tableColumn id="35" xr3:uid="{F76EF488-6D9D-4CFB-A24B-21E07E6DB242}" name="FY23 Committed" dataDxfId="232" totalsRowDxfId="231" dataCellStyle="Currency"/>
    <tableColumn id="20" xr3:uid="{00000000-0010-0000-0000-000014000000}" name="FY24 Budget" dataDxfId="230" totalsRowDxfId="229" dataCellStyle="Currency"/>
    <tableColumn id="7" xr3:uid="{1DC9B0A7-A9D7-4FB1-9638-15F6A530B830}" name="YoY Budget Change" dataDxfId="228" totalsRowDxfId="227" dataCellStyle="Currency">
      <calculatedColumnFormula>Table1[[#This Row],[FY24 Budget]]-Table1[[#This Row],[FY23 Budget]]</calculatedColumnFormula>
    </tableColumn>
    <tableColumn id="28" xr3:uid="{00000000-0010-0000-0000-00001C000000}" name="FY24 Committed" dataDxfId="226" totalsRowDxfId="225" dataCellStyle="Currency"/>
    <tableColumn id="10" xr3:uid="{00000000-0010-0000-0000-00000A000000}" name="FY25" dataDxfId="224" totalsRowDxfId="223" dataCellStyle="Currency"/>
    <tableColumn id="11" xr3:uid="{00000000-0010-0000-0000-00000B000000}" name="FY26" dataDxfId="222" totalsRowDxfId="221" dataCellStyle="Currency"/>
    <tableColumn id="12" xr3:uid="{00000000-0010-0000-0000-00000C000000}" name="FY27" dataDxfId="220" totalsRowDxfId="219" dataCellStyle="Currency"/>
    <tableColumn id="13" xr3:uid="{00000000-0010-0000-0000-00000D000000}" name="FY28" dataDxfId="218" totalsRowDxfId="217" dataCellStyle="Currency"/>
    <tableColumn id="14" xr3:uid="{00000000-0010-0000-0000-00000E000000}" name="FY23 PO" dataDxfId="216" totalsRowDxfId="215"/>
    <tableColumn id="18" xr3:uid="{00000000-0010-0000-0000-000012000000}" name="PO Start"/>
    <tableColumn id="19" xr3:uid="{00000000-0010-0000-0000-000013000000}" name="PO End" dataDxfId="214" totalsRowDxfId="213"/>
    <tableColumn id="22" xr3:uid="{00000000-0010-0000-0000-000016000000}" name="FY24 PO#" dataDxfId="212" totalsRowDxfId="211">
      <calculatedColumnFormula>Table1[[#This Row],[FY23 PO]]</calculatedColumnFormula>
    </tableColumn>
    <tableColumn id="15" xr3:uid="{00000000-0010-0000-0000-00000F000000}" name="Target PO Renewal Date" dataDxfId="210" totalsRowDxfId="209"/>
    <tableColumn id="23" xr3:uid="{00000000-0010-0000-0000-000017000000}" name="Complete in Oracle?" dataDxfId="208" totalsRowDxfId="207"/>
    <tableColumn id="17" xr3:uid="{00000000-0010-0000-0000-000011000000}" name="Status Notes" dataDxfId="206" dataCellStyle="Currency"/>
    <tableColumn id="24" xr3:uid="{00000000-0010-0000-0000-000018000000}" name="AiM Entry? (Yes/No)" dataDxfId="205" totalsRowDxfId="204" dataCellStyle="Currency"/>
    <tableColumn id="25" xr3:uid="{00000000-0010-0000-0000-000019000000}" name="AiM Complete? (Yes/No/NA)" dataDxfId="203" totalsRowDxfId="202" dataCellStyle="Currency"/>
    <tableColumn id="31" xr3:uid="{998A7336-DDAE-41CA-945B-44B4FD57534D}" name="Template Complete" dataDxfId="201" totalsRowDxfId="200" dataCellStyle="Currency"/>
    <tableColumn id="21" xr3:uid="{00000000-0010-0000-0000-000015000000}" name="AiM Notes" dataDxfId="199" dataCellStyle="Currency"/>
    <tableColumn id="39" xr3:uid="{DCF7F54F-C5BB-4E1F-ACE5-A8F06E5FF75F}" name="Facilities Purchasing Team Notes" dataDxfId="198" totalsRowDxfId="197" dataCellStyle="Currency"/>
    <tableColumn id="40" xr3:uid="{1F583562-7894-46F0-8A01-9E7CAB3745FD}" name="Notes" dataDxfId="196" totalsRowDxfId="195" dataCellStyle="Currency"/>
    <tableColumn id="41" xr3:uid="{4569870D-66EA-42A4-ADF3-DB194D6202E9}" name="VUMO Notes" dataDxfId="194" totalsRowDxfId="193" dataCellStyle="Currency"/>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3" displayName="Table13" ref="A1:Y88" totalsRowCount="1" headerRowDxfId="192" dataDxfId="191" headerRowCellStyle="Currency" dataCellStyle="Currency">
  <autoFilter ref="A1:Y87" xr:uid="{00000000-0009-0000-0100-000002000000}"/>
  <tableColumns count="25">
    <tableColumn id="1" xr3:uid="{00000000-0010-0000-0200-000001000000}" name="Supplier"/>
    <tableColumn id="2" xr3:uid="{00000000-0010-0000-0200-000002000000}" name="Scope"/>
    <tableColumn id="3" xr3:uid="{00000000-0010-0000-0200-000003000000}" name="Financial Unit"/>
    <tableColumn id="4" xr3:uid="{00000000-0010-0000-0200-000004000000}" name="Financial Unit Name"/>
    <tableColumn id="5" xr3:uid="{00000000-0010-0000-0200-000005000000}" name="Contract No" dataDxfId="190" totalsRowDxfId="189"/>
    <tableColumn id="6" xr3:uid="{00000000-0010-0000-0200-000006000000}" name="Contract Start" dataDxfId="188" totalsRowDxfId="187"/>
    <tableColumn id="7" xr3:uid="{00000000-0010-0000-0200-000007000000}" name="Contract End" dataDxfId="186" totalsRowDxfId="185"/>
    <tableColumn id="16" xr3:uid="{00000000-0010-0000-0200-000010000000}" name="Contract Document" dataDxfId="184" totalsRowDxfId="183" dataCellStyle="Hyperlink"/>
    <tableColumn id="8" xr3:uid="{00000000-0010-0000-0200-000008000000}" name="PO Basis" dataDxfId="182" totalsRowDxfId="181"/>
    <tableColumn id="9" xr3:uid="{00000000-0010-0000-0200-000009000000}" name="YTD FY19" dataDxfId="180" totalsRowDxfId="179"/>
    <tableColumn id="20" xr3:uid="{00000000-0010-0000-0200-000014000000}" name="FY20 Budget" dataDxfId="178" totalsRowDxfId="177" dataCellStyle="Currency"/>
    <tableColumn id="28" xr3:uid="{00000000-0010-0000-0200-00001C000000}" name="FY20" dataDxfId="176" totalsRowDxfId="175" dataCellStyle="Currency"/>
    <tableColumn id="10" xr3:uid="{00000000-0010-0000-0200-00000A000000}" name="FY21" dataDxfId="174" totalsRowDxfId="173" dataCellStyle="Currency"/>
    <tableColumn id="11" xr3:uid="{00000000-0010-0000-0200-00000B000000}" name="FY22" dataDxfId="172" totalsRowDxfId="171" dataCellStyle="Currency"/>
    <tableColumn id="12" xr3:uid="{00000000-0010-0000-0200-00000C000000}" name="FY23" dataDxfId="170" totalsRowDxfId="169" dataCellStyle="Currency"/>
    <tableColumn id="13" xr3:uid="{00000000-0010-0000-0200-00000D000000}" name="FY24" dataDxfId="168" totalsRowDxfId="167" dataCellStyle="Currency"/>
    <tableColumn id="26" xr3:uid="{00000000-0010-0000-0200-00001A000000}" name="FY25" dataDxfId="166" totalsRowDxfId="165" dataCellStyle="Currency"/>
    <tableColumn id="14" xr3:uid="{00000000-0010-0000-0200-00000E000000}" name="Old PO No" dataDxfId="164" totalsRowDxfId="163"/>
    <tableColumn id="18" xr3:uid="{00000000-0010-0000-0200-000012000000}" name="PO Start"/>
    <tableColumn id="19" xr3:uid="{00000000-0010-0000-0200-000013000000}" name="PO End"/>
    <tableColumn id="22" xr3:uid="{00000000-0010-0000-0200-000016000000}" name="FY20 PO" dataDxfId="162" totalsRowDxfId="161"/>
    <tableColumn id="15" xr3:uid="{00000000-0010-0000-0200-00000F000000}" name="Target PO Renewal Date" dataDxfId="160" totalsRowDxfId="159"/>
    <tableColumn id="23" xr3:uid="{00000000-0010-0000-0200-000017000000}" name="Complete?" dataDxfId="158" totalsRowDxfId="157"/>
    <tableColumn id="17" xr3:uid="{00000000-0010-0000-0200-000011000000}" name="Notes" dataDxfId="156" totalsRowDxfId="155" dataCellStyle="Currency"/>
    <tableColumn id="24" xr3:uid="{00000000-0010-0000-0200-000018000000}" name="Blanket PO in Aim?" dataDxfId="154" dataCellStyle="Currenc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BBE37B-DBD2-4C7C-9EA8-420B275717AF}" name="Table147" displayName="Table147" ref="A1:AQ86" totalsRowShown="0" headerRowDxfId="153" dataDxfId="152" headerRowCellStyle="Currency" dataCellStyle="Currency">
  <autoFilter ref="A1:AQ86" xr:uid="{3FEE734B-88E1-47F4-9862-39537DC666E3}"/>
  <tableColumns count="43">
    <tableColumn id="1" xr3:uid="{3E80979E-8206-4662-8745-0B4D098698E6}" name="Vendor"/>
    <tableColumn id="2" xr3:uid="{E457811A-32C4-4C5E-8BE9-D6154DDDE629}" name="Scope"/>
    <tableColumn id="29" xr3:uid="{244237D9-C824-4228-971B-40B22077348B}" name="Proprietary?_x000a_(Y/N)" dataDxfId="151" totalsRowDxfId="150"/>
    <tableColumn id="36" xr3:uid="{0E549F91-7C2A-45B9-A304-0E33155A0E12}" name="FUM" dataDxfId="149" totalsRowDxfId="148"/>
    <tableColumn id="9" xr3:uid="{E04BAE6D-81B6-4168-9351-E9F4C66B48B9}" name="Admin" dataDxfId="147" totalsRowDxfId="146"/>
    <tableColumn id="3" xr3:uid="{0E28DDF1-BC31-4256-9E2F-9184212A920A}" name="Financial Unit"/>
    <tableColumn id="4" xr3:uid="{AFA4D20C-BC96-4893-BFCD-7764C3718BDF}" name="Financial Unit Name"/>
    <tableColumn id="37" xr3:uid="{517709C5-7273-4B68-BAE9-1A4CCA720A77}" name="Account Code"/>
    <tableColumn id="26" xr3:uid="{71E4C55F-1D48-4539-BA0E-0D5586C7F8C4}" name="Main Contact"/>
    <tableColumn id="27" xr3:uid="{BA9CF6A1-7DE3-4E60-AD2F-9C3B46E1AEC0}" name="Asst Director / Director"/>
    <tableColumn id="32" xr3:uid="{2AC12C4F-59C9-4CCD-90D5-A7D64BE0404B}" name="Single Bid_x000a_Multiple Bid_x000a_RFP" dataDxfId="145" totalsRowDxfId="144">
      <calculatedColumnFormula>IF(Table147[[#This Row],[Proprietary?
(Y/N)]]="Y","Proprietary",IF(Table147[[#This Row],[FY25 Budget]]&lt;Lookups!$F$3,"Single Quote",IF(Table147[[#This Row],[FY25 Budget]]&gt;Lookups!$G$3,"RFP","Three quotes")))</calculatedColumnFormula>
    </tableColumn>
    <tableColumn id="38" xr3:uid="{F0896D93-3BC6-4DF7-8D4F-CA134EFB09A8}" name="SSJ Needed?" dataDxfId="143" totalsRowDxfId="142"/>
    <tableColumn id="5" xr3:uid="{324D062A-0BD8-48D6-AAC5-6A0007ECABD7}" name="Contract No" dataDxfId="141"/>
    <tableColumn id="33" xr3:uid="{96EFAD09-CEA8-4DB2-BE1D-490F9C267D60}" name="Contract Start Date" dataDxfId="140" totalsRowDxfId="139"/>
    <tableColumn id="34" xr3:uid="{13CEB32F-CD53-4ED2-9159-7EC655FD9D7D}" name="Contract End Date" dataDxfId="138" totalsRowDxfId="137"/>
    <tableColumn id="8" xr3:uid="{B0640A16-1368-44E5-AEE5-BEB2D72F0054}" name="Contract Extensions" dataDxfId="136"/>
    <tableColumn id="30" xr3:uid="{D9752BF7-B6F8-4F60-A11C-BEC87B98716C}" name="Date to Start Bid/RFP Process" dataDxfId="135" totalsRowDxfId="134"/>
    <tableColumn id="6" xr3:uid="{08C4BCAA-3AEF-4D62-9B27-75C8CDF6F72A}" name="FY24 Budget2" dataDxfId="133" totalsRowDxfId="132" dataCellStyle="Currency"/>
    <tableColumn id="35" xr3:uid="{D6521E5C-D06B-40CA-9B85-34E06E035BBA}" name="FY24 Committed" dataDxfId="131" totalsRowDxfId="130" dataCellStyle="Currency"/>
    <tableColumn id="20" xr3:uid="{D01B8B26-5457-4207-8CB2-9E6DA9703A34}" name="FY25 Budget" dataDxfId="129" totalsRowDxfId="128" dataCellStyle="Currency"/>
    <tableColumn id="28" xr3:uid="{C7597852-05DD-4D05-B641-B02B031B3CA3}" name="FY25 Committed" dataDxfId="127" totalsRowDxfId="126" dataCellStyle="Currency"/>
    <tableColumn id="39" xr3:uid="{67482E67-67C3-4ACE-A59E-B074DF215AD7}" name="FY26 Budget" dataDxfId="125" totalsRowDxfId="124" dataCellStyle="Currency"/>
    <tableColumn id="16" xr3:uid="{F180BFD6-F24E-49FF-9335-613D582C71C6}" name="FY26 Committed" dataDxfId="123" totalsRowDxfId="122" dataCellStyle="Currency"/>
    <tableColumn id="7" xr3:uid="{35823C77-7D3F-4B8A-9402-9E15D3B2423A}" name="Budget v Actuals change" dataDxfId="121" totalsRowDxfId="120" dataCellStyle="Currency">
      <calculatedColumnFormula>Table147[[#This Row],[FY26 Budget]]-Table147[[#This Row],[FY26 Committed]]</calculatedColumnFormula>
    </tableColumn>
    <tableColumn id="10" xr3:uid="{F1CF6ACB-24F2-49B2-A844-7DC20669EC93}" name="FY27" dataDxfId="119" totalsRowDxfId="118" dataCellStyle="Currency"/>
    <tableColumn id="11" xr3:uid="{3CF6B4E1-06DB-4501-8CF3-61E66AEC653E}" name="FY28" dataDxfId="117" totalsRowDxfId="116" dataCellStyle="Currency"/>
    <tableColumn id="12" xr3:uid="{2AD150BB-68C7-4A5C-A059-93A608CF887D}" name="FY29" dataDxfId="115" totalsRowDxfId="114" dataCellStyle="Currency"/>
    <tableColumn id="13" xr3:uid="{8242A967-2A8E-4F57-B03B-C3296C3A5DAD}" name="FY30" dataDxfId="113" totalsRowDxfId="112" dataCellStyle="Currency"/>
    <tableColumn id="14" xr3:uid="{0C93EF03-1CC8-4168-8097-473F52B801C1}" name="FY24 PO" dataDxfId="111"/>
    <tableColumn id="31" xr3:uid="{ADFBAFD1-6861-43E5-9869-5CB1E4DDB2B5}" name="FY25 PO" dataDxfId="110"/>
    <tableColumn id="18" xr3:uid="{91941837-6413-4CB9-96BC-C1A13AA6D43F}" name="PO Start"/>
    <tableColumn id="19" xr3:uid="{2AD7F0E6-B3FD-4D7E-A117-ACDF30B95BC4}" name="PO End" dataDxfId="109" totalsRowDxfId="108"/>
    <tableColumn id="22" xr3:uid="{2F599C99-BA29-4EC1-8273-0A1F22429AD0}" name="Current PO" dataDxfId="107"/>
    <tableColumn id="15" xr3:uid="{22D0A1E9-D182-4FCC-B127-8A1EDD5F79D0}" name="Target PO Renewal Date" dataDxfId="106" totalsRowDxfId="105"/>
    <tableColumn id="17" xr3:uid="{258289CD-2FDC-4351-876E-3A4C47666B41}" name="Status Notes" dataDxfId="104" dataCellStyle="Currency"/>
    <tableColumn id="24" xr3:uid="{F9781D56-93F0-4441-AB97-F79E90CE1D96}" name="AiM Entry? (Yes/No)" dataDxfId="103" totalsRowDxfId="102" dataCellStyle="Currency"/>
    <tableColumn id="25" xr3:uid="{9A23E8B5-B7A3-4BA0-8CC1-D5BD0990C013}" name="AiM Complete? (Yes/No/NA)" dataDxfId="101" totalsRowDxfId="100" dataCellStyle="Currency"/>
    <tableColumn id="21" xr3:uid="{AFFA211F-5648-44DB-9DFE-DA438DFBD981}" name="AiM Notes" dataDxfId="99" dataCellStyle="Currency"/>
    <tableColumn id="40" xr3:uid="{1A6E4D6D-6B96-4AD8-BC2A-CD34EE6DBFD2}" name="Procurement Notes" dataDxfId="98" totalsRowDxfId="97" dataCellStyle="Currency"/>
    <tableColumn id="41" xr3:uid="{E63F290F-A76D-442C-9F82-40488EE4EDA8}" name="VUMO Notes" dataDxfId="96" totalsRowDxfId="95" dataCellStyle="Currency"/>
    <tableColumn id="23" xr3:uid="{8C0B4D54-CC93-4455-B6D3-5F39AF1DDC70}" name="PM Template" dataDxfId="94" dataCellStyle="Currency"/>
    <tableColumn id="42" xr3:uid="{32B51118-007C-4D24-B18F-3BAE28442759}" name="Rate type" dataDxfId="93" totalsRowDxfId="92" dataCellStyle="Currency">
      <calculatedColumnFormula>120/12</calculatedColumnFormula>
    </tableColumn>
    <tableColumn id="43" xr3:uid="{84C5AB69-059D-4C7C-8A61-25DA536B2DC7}" name="Rate Amount" dataDxfId="91" totalsRowDxfId="90" dataCellStyle="Currency"/>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EE734B-88E1-47F4-9862-39537DC666E3}" name="Table14" displayName="Table14" ref="A1:AO86" totalsRowShown="0" headerRowDxfId="89" dataDxfId="88" headerRowCellStyle="Currency" dataCellStyle="Currency">
  <autoFilter ref="A1:AO86" xr:uid="{3FEE734B-88E1-47F4-9862-39537DC666E3}"/>
  <tableColumns count="41">
    <tableColumn id="1" xr3:uid="{A373F010-BC1F-4578-98F5-11892C1BABA5}" name="Vendor"/>
    <tableColumn id="2" xr3:uid="{C27EC84C-7226-46D3-8192-491AA5E27C92}" name="Scope"/>
    <tableColumn id="29" xr3:uid="{B2B18674-3F01-4165-9619-A2C26A9CE6BE}" name="Proprietary?_x000a_(Y/N)" dataDxfId="87" totalsRowDxfId="86"/>
    <tableColumn id="36" xr3:uid="{C59814F2-6ADA-462B-B4C9-21DB464595BB}" name="FUM" dataDxfId="85" totalsRowDxfId="84"/>
    <tableColumn id="9" xr3:uid="{BC708A25-EB49-4BB3-88CE-DB7E89CC6AD8}" name="Admin" dataDxfId="83" totalsRowDxfId="82"/>
    <tableColumn id="3" xr3:uid="{B2FC6C0D-DC33-443F-AEA3-111984D3E54C}" name="Financial Unit"/>
    <tableColumn id="4" xr3:uid="{D6B7ECEB-9C29-4A68-88DE-34260B9B9610}" name="Financial Unit Name"/>
    <tableColumn id="37" xr3:uid="{0F9D59CF-0DF5-4F8F-AABC-25BCF371BD14}" name="Account Code"/>
    <tableColumn id="26" xr3:uid="{ABE0DB6F-9943-48BD-9F80-726628EDCA3C}" name="Main Contact"/>
    <tableColumn id="27" xr3:uid="{F3901397-AC66-469C-81E6-30226BE9DCB7}" name="Asst Director / Director"/>
    <tableColumn id="32" xr3:uid="{094DCF8F-0A24-4F0C-A24F-B1B085571C86}" name="Single Bid_x000a_Multiple Bid_x000a_RFP" dataDxfId="81" totalsRowDxfId="80">
      <calculatedColumnFormula>IF(Table14[[#This Row],[Proprietary?
(Y/N)]]="Y","Proprietary",IF(Table14[[#This Row],[FY25 Budget]]&lt;Lookups!$F$3,"Single Quote",IF(Table14[[#This Row],[FY25 Budget]]&gt;Lookups!$G$3,"RFP","Three quotes")))</calculatedColumnFormula>
    </tableColumn>
    <tableColumn id="38" xr3:uid="{06ECDBA1-7A66-480D-9499-6C1BB7A80130}" name="SSJ Needed?" dataDxfId="79" totalsRowDxfId="78"/>
    <tableColumn id="5" xr3:uid="{713BF70E-BAA1-4FFB-9975-E69B45D9F6FA}" name="Contract No" dataDxfId="77"/>
    <tableColumn id="33" xr3:uid="{C47F64E2-EF38-44B4-B737-4C030564F8E0}" name="Contract Start Date" dataDxfId="76" totalsRowDxfId="75"/>
    <tableColumn id="34" xr3:uid="{1FDCE074-0A86-4A14-9723-CFDD7A2ECF1E}" name="Contract End Date" dataDxfId="74" totalsRowDxfId="73"/>
    <tableColumn id="8" xr3:uid="{8BB27A08-46E7-4A64-B0B6-9270CDD4AB66}" name="Contract Extensions" dataDxfId="72"/>
    <tableColumn id="30" xr3:uid="{BD2A10E1-D63F-44BB-9E58-3286E37885B2}" name="Date to Start Bid/RFP Process" dataDxfId="71" totalsRowDxfId="70"/>
    <tableColumn id="6" xr3:uid="{2874FC58-5DC2-41A7-8054-0F958C989F50}" name="FY24 Budget2" dataDxfId="69" totalsRowDxfId="68" dataCellStyle="Currency"/>
    <tableColumn id="35" xr3:uid="{9C339B7B-43EC-4707-9477-490AFC683DB6}" name="FY24 Committed" dataDxfId="67" totalsRowDxfId="66" dataCellStyle="Currency"/>
    <tableColumn id="20" xr3:uid="{4A63BBD7-F991-43BA-A0E8-F6396B5A921C}" name="FY25 Budget" dataDxfId="65" totalsRowDxfId="64" dataCellStyle="Currency"/>
    <tableColumn id="28" xr3:uid="{1C084472-B09B-446B-9620-1A827CF2D29C}" name="FY25 Committed" dataDxfId="63" totalsRowDxfId="62" dataCellStyle="Currency"/>
    <tableColumn id="39" xr3:uid="{0D457432-A842-4B87-A3A5-995EF156AD83}" name="FY26 Budget" dataDxfId="61" totalsRowDxfId="60" dataCellStyle="Currency"/>
    <tableColumn id="16" xr3:uid="{8F5F3064-9362-47D1-9D6A-877CCDCF87FF}" name="FY26 Committed" dataDxfId="59" totalsRowDxfId="58" dataCellStyle="Currency"/>
    <tableColumn id="7" xr3:uid="{2260C990-40A4-4B24-AB44-56060EC2C5D0}" name="Budget v Actuals change" dataDxfId="57" totalsRowDxfId="56" dataCellStyle="Currency">
      <calculatedColumnFormula>Table14[[#This Row],[FY26 Budget]]-Table14[[#This Row],[FY26 Committed]]</calculatedColumnFormula>
    </tableColumn>
    <tableColumn id="10" xr3:uid="{652AC77E-E625-4893-9794-D3143129E3BB}" name="FY27" dataDxfId="55" totalsRowDxfId="54" dataCellStyle="Currency"/>
    <tableColumn id="11" xr3:uid="{04192410-9295-4FFA-A402-96F0F1D26E41}" name="FY28" dataDxfId="53" totalsRowDxfId="52" dataCellStyle="Currency"/>
    <tableColumn id="12" xr3:uid="{C322A873-9C67-4731-9360-B38306A29B8E}" name="FY29" dataDxfId="51" totalsRowDxfId="50" dataCellStyle="Currency"/>
    <tableColumn id="13" xr3:uid="{9FAAB23B-D461-463C-B901-F2F8A85B7098}" name="FY30" dataDxfId="49" totalsRowDxfId="48" dataCellStyle="Currency"/>
    <tableColumn id="14" xr3:uid="{C89B5FC2-B280-4939-A480-E5D34F9D4A29}" name="FY24 PO" dataDxfId="47"/>
    <tableColumn id="31" xr3:uid="{3378A866-6A38-43BA-B788-313BBD1CD17B}" name="FY25 PO" dataDxfId="46"/>
    <tableColumn id="18" xr3:uid="{BB796C83-77F2-4F79-9AB0-94E6DA4ABF93}" name="PO Start"/>
    <tableColumn id="19" xr3:uid="{59E295AE-CBAF-4F68-95E8-0BD522D4CF56}" name="PO End" dataDxfId="45" totalsRowDxfId="44"/>
    <tableColumn id="22" xr3:uid="{8E6FB3B6-9657-42E7-AF67-94640ACDF716}" name="Current PO" dataDxfId="43"/>
    <tableColumn id="15" xr3:uid="{5D495826-0984-4E20-9B1D-D07156CF6902}" name="Target PO Renewal Date" dataDxfId="42" totalsRowDxfId="41"/>
    <tableColumn id="17" xr3:uid="{FA88B15E-7BAB-4AF1-9350-A4C37E1479AE}" name="Status Notes" dataDxfId="40" dataCellStyle="Currency"/>
    <tableColumn id="24" xr3:uid="{AD74FF34-581B-41EE-BFA3-14AA7F860EA1}" name="AiM Entry? (Yes/No)" dataDxfId="39" totalsRowDxfId="38" dataCellStyle="Currency"/>
    <tableColumn id="25" xr3:uid="{0A6D4803-52FC-4BDF-9BE8-F8B180770BA4}" name="AiM Complete? (Yes/No/NA)" dataDxfId="37" totalsRowDxfId="36" dataCellStyle="Currency"/>
    <tableColumn id="21" xr3:uid="{5B1D2F2E-51FE-40B1-948E-40257E96C778}" name="AiM Notes" dataDxfId="35" dataCellStyle="Currency"/>
    <tableColumn id="40" xr3:uid="{2B3D8DB3-3366-4307-ACAC-4E9E01542965}" name="Procurement Notes" dataDxfId="34" totalsRowDxfId="33" dataCellStyle="Currency"/>
    <tableColumn id="41" xr3:uid="{5DAE72BC-5145-41CF-9D90-4F41DDDACF0C}" name="VUMO Notes" dataDxfId="32" totalsRowDxfId="31" dataCellStyle="Currency"/>
    <tableColumn id="23" xr3:uid="{93CFB7A9-B8CD-4755-BEF9-D29108E9A8C4}" name="PM Template" dataDxfId="30" dataCellStyle="Currency"/>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4FD259-ACC1-4C32-AD5D-88BD90AF884B}" name="Table5" displayName="Table5" ref="A2:AE8" totalsRowShown="0">
  <autoFilter ref="A2:AE8" xr:uid="{4F4FD259-ACC1-4C32-AD5D-88BD90AF884B}"/>
  <tableColumns count="31">
    <tableColumn id="1" xr3:uid="{3FE0AEA4-CA20-4299-A163-BA768589BD61}" name="Supplier"/>
    <tableColumn id="2" xr3:uid="{8A269677-FEB1-47DC-B854-D6D4D11B1788}" name="Scope"/>
    <tableColumn id="3" xr3:uid="{94FC151D-3AD9-418B-91CD-7F68C343F979}" name="Proprietary _x000a_(Y/N)" dataDxfId="29"/>
    <tableColumn id="4" xr3:uid="{B47328EE-8D6B-4CBC-B2FF-7DFF54879C0F}" name="Financial Unit"/>
    <tableColumn id="5" xr3:uid="{7F4A735A-226F-40A4-A3A9-2ABA2CEB991A}" name="Manager _x000a_/ Contact"/>
    <tableColumn id="6" xr3:uid="{04F0905E-94DA-4EBD-BB34-06B9A63F3A25}" name="Asst Director _x000a_/ Director"/>
    <tableColumn id="7" xr3:uid="{291B8469-2B5E-4D3E-A228-2BDAEB500DA8}" name="Account Code"/>
    <tableColumn id="8" xr3:uid="{5FA2A25A-FC35-4030-91BE-706341C64EE3}" name="Financial Unit Name"/>
    <tableColumn id="9" xr3:uid="{B3AE28E6-7608-4B8B-BC50-8D16C410CF1A}" name="Documentation Type"/>
    <tableColumn id="10" xr3:uid="{A67A1527-8D1D-44A8-9F02-7A3C52D45F32}" name="Multiple Quotes/Estimates needed" dataDxfId="28">
      <calculatedColumnFormula>IF(Table1[[#This Row],[FY24 Budget]]&gt;25000,"Yes","No")</calculatedColumnFormula>
    </tableColumn>
    <tableColumn id="11" xr3:uid="{BACE6E67-CC51-4714-850D-C32AD64995CF}" name="Contract No" dataDxfId="27"/>
    <tableColumn id="12" xr3:uid="{1BFF6184-8CF6-44B8-A4FC-2688636D4C49}" name="Contract Start Date" dataDxfId="26"/>
    <tableColumn id="13" xr3:uid="{92D57A35-C3AD-4BF7-9F5D-747F418EDF6F}" name="Contract End Date" dataDxfId="25"/>
    <tableColumn id="14" xr3:uid="{F447CB1B-9F43-4CEA-92DC-464005F3D75A}" name="RFP / Contract_x000a_Renewal" dataDxfId="24"/>
    <tableColumn id="15" xr3:uid="{28191A09-11A0-43EE-AA60-3996955275CD}" name="FY25 Budget" dataDxfId="23" dataCellStyle="Currency"/>
    <tableColumn id="16" xr3:uid="{AC38A836-B4CF-4415-B799-4E56FA4A13D2}" name="FY24 Commitment" dataDxfId="22" dataCellStyle="Currency"/>
    <tableColumn id="18" xr3:uid="{9F2C216F-5186-4152-B777-BECD3F6A4C26}" name="YoY Change" dataDxfId="21" dataCellStyle="Currency"/>
    <tableColumn id="19" xr3:uid="{FA5C6213-09E5-4E03-A787-37E6609A6C38}" name="FY25 Committed" dataDxfId="20" dataCellStyle="Currency"/>
    <tableColumn id="20" xr3:uid="{41E7D9D6-DC80-46EF-A673-D93BF49DB3E8}" name="FY24" dataDxfId="19" dataCellStyle="Currency"/>
    <tableColumn id="21" xr3:uid="{11F712DB-91E0-4D0D-8C92-96CD2F5A99FF}" name="FY25" dataDxfId="18" dataCellStyle="Currency"/>
    <tableColumn id="22" xr3:uid="{A191DA97-E291-48EB-B4DF-1FC151FC2DFE}" name="FY26" dataDxfId="17" dataCellStyle="Currency"/>
    <tableColumn id="23" xr3:uid="{CE064FAA-4919-427B-86AE-3B98689CD05E}" name="FY27" dataDxfId="16" dataCellStyle="Currency"/>
    <tableColumn id="24" xr3:uid="{0335F8E0-788F-406C-AB08-EAA5B61CB3D1}" name="FY23 PO" dataDxfId="15"/>
    <tableColumn id="25" xr3:uid="{5C086480-D24A-4356-AEE5-32C05E0D6F1D}" name="PO Start" dataDxfId="14"/>
    <tableColumn id="26" xr3:uid="{B92A945D-7EE1-414F-954B-F336A189609F}" name="PO End" dataDxfId="13"/>
    <tableColumn id="27" xr3:uid="{1EADA9BC-728E-48A3-8A41-487B3C9380A1}" name="FY24 PO" dataDxfId="12"/>
    <tableColumn id="17" xr3:uid="{AA3AF999-E9AB-443F-AB51-EF847A81E1B5}" name="FY25 PO" dataDxfId="11"/>
    <tableColumn id="33" xr3:uid="{E0A30EDF-A7DB-4F02-AF65-66713F7C2366}" name="FY26 PO" dataDxfId="10"/>
    <tableColumn id="28" xr3:uid="{ACF19BA3-80E1-4786-A848-4903FFD1EE85}" name="Target PO Renewal Date" dataDxfId="9"/>
    <tableColumn id="29" xr3:uid="{F293BDDB-3E32-448C-98C7-661A254FED96}" name="Complete in Oracle?" dataDxfId="8"/>
    <tableColumn id="30" xr3:uid="{CF484F40-918F-4772-8C03-76B022D7BD2D}" name="Notes" dataDxfId="7" dataCellStyle="Currency"/>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1A684D-130A-4F4E-87EC-48F422D00C6D}" name="Table4" displayName="Table4" ref="A1:E85" totalsRowShown="0" headerRowDxfId="6" dataDxfId="5">
  <autoFilter ref="A1:E85" xr:uid="{C21A684D-130A-4F4E-87EC-48F422D00C6D}"/>
  <tableColumns count="5">
    <tableColumn id="1" xr3:uid="{842255D0-E8DC-4AFC-87D7-5884B96A792F}" name="Vendor Name" dataDxfId="4"/>
    <tableColumn id="2" xr3:uid="{8443CCFC-EA1E-4B08-A0BF-B9DF7EFDA49A}" name="Contact Name" dataDxfId="3"/>
    <tableColumn id="3" xr3:uid="{F0AACDE6-8F7F-435D-A57B-E038469634AD}" name="Contact Email" dataDxfId="2"/>
    <tableColumn id="4" xr3:uid="{332BEB02-00B2-47E8-A7C5-23B93D3F6CA1}" name="Contact Phone Number" dataDxfId="1"/>
    <tableColumn id="5" xr3:uid="{EA83084A-D210-4B7B-A13D-EB71E353DA6B}" name="As O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0-12-18T12:47:08.88" personId="{305BA106-D91E-4665-9C69-2D9A758F54E0}" id="{EF49894F-B57B-4AB4-B03B-238C3796C03D}">
    <text>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ext>
  </threadedComment>
  <threadedComment ref="C31" dT="2020-12-18T12:57:49.47" personId="{305BA106-D91E-4665-9C69-2D9A758F54E0}" id="{97BD81CD-BF34-471D-AA53-B3EB28D7DFF0}">
    <text>Per Lis Wyatt: This service was bid out to 5 vendors and Mantis was the only one to participate at the time. The other 4 backed out in part due to our lack of anchoring capabilities on the roofs which makes the cleaning much harder and more expensive due to having to rent specialized lifts.</text>
  </threadedComment>
  <threadedComment ref="C40" dT="2020-12-18T12:43:53.61" personId="{305BA106-D91E-4665-9C69-2D9A758F54E0}" id="{8F2A4B63-22E6-4BE1-91DB-C1D1525BC6ED}">
    <text>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ext>
  </threadedComment>
</ThreadedComments>
</file>

<file path=xl/threadedComments/threadedComment2.xml><?xml version="1.0" encoding="utf-8"?>
<ThreadedComments xmlns="http://schemas.microsoft.com/office/spreadsheetml/2018/threadedcomments" xmlns:x="http://schemas.openxmlformats.org/spreadsheetml/2006/main">
  <threadedComment ref="C11" dT="2020-12-18T12:47:08.88" personId="{305BA106-D91E-4665-9C69-2D9A758F54E0}" id="{D589720E-6CA4-4F04-9A5E-B7C677606082}">
    <text>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ext>
  </threadedComment>
  <threadedComment ref="C63" dT="2020-12-18T12:43:53.61" personId="{305BA106-D91E-4665-9C69-2D9A758F54E0}" id="{95303D6C-3E1F-46DD-A5B1-8B9C52027813}">
    <text>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ext>
  </threadedComment>
  <threadedComment ref="C67" dT="2020-12-18T12:43:04.36" personId="{305BA106-D91E-4665-9C69-2D9A758F54E0}" id="{19828FFB-7163-4528-A8D6-C2F45A01DAEC}">
    <text>Per Ryan Storey: Although technically we can get equipment from other vendors, Smith Turf and Irrigation is our vendor for all Toro purchases in the state of TN set up by Toro</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0-12-18T12:43:53.61" personId="{305BA106-D91E-4665-9C69-2D9A758F54E0}" id="{A1F23AAB-4F85-439F-AD60-404090CC56C1}">
    <text>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ext>
  </threadedComment>
  <threadedComment ref="C25" dT="2020-12-18T12:47:08.88" personId="{305BA106-D91E-4665-9C69-2D9A758F54E0}" id="{160283E4-82F4-4E02-87FA-D2E649FFD3AB}">
    <text>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ext>
  </threadedComment>
</ThreadedComments>
</file>

<file path=xl/threadedComments/threadedComment4.xml><?xml version="1.0" encoding="utf-8"?>
<ThreadedComments xmlns="http://schemas.microsoft.com/office/spreadsheetml/2018/threadedcomments" xmlns:x="http://schemas.openxmlformats.org/spreadsheetml/2006/main">
  <threadedComment ref="C8" dT="2020-12-18T12:47:08.88" personId="{305BA106-D91E-4665-9C69-2D9A758F54E0}" id="{F0940A9F-A874-4C3F-B544-9ADC05238DF3}">
    <text>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ext>
  </threadedComment>
  <threadedComment ref="Y12" dT="2025-05-09T13:54:28.95" personId="{10366D9E-F233-45A7-AC3B-0F6AB68A0C01}" id="{1740FF7B-C012-4E6B-AC54-7B2C6E008B71}">
    <text>Amount for FY26-FY28; proposal not broken out between years</text>
  </threadedComment>
  <threadedComment ref="C70" dT="2020-12-18T12:43:04.36" personId="{305BA106-D91E-4665-9C69-2D9A758F54E0}" id="{25854396-DDBA-4718-99AF-E5FF4A7A2F17}">
    <text>Per Ryan Storey: Although technically we can get equipment from other vendors, Smith Turf and Irrigation is our vendor for all Toro purchases in the state of TN set up by Toro</text>
  </threadedComment>
  <threadedComment ref="C71" dT="2020-12-18T12:43:53.61" personId="{305BA106-D91E-4665-9C69-2D9A758F54E0}" id="{1EB22E99-3537-4594-A6A1-61854CFDCF7C}">
    <text>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ext>
  </threadedComment>
  <threadedComment ref="Y75" dT="2025-05-30T21:08:40.99" personId="{10366D9E-F233-45A7-AC3B-0F6AB68A0C01}" id="{6E0EB6C7-8A66-4A9C-8997-F047099425EB}">
    <text>No PO for final year - will need to setup</text>
  </threadedComment>
</ThreadedComments>
</file>

<file path=xl/threadedComments/threadedComment5.xml><?xml version="1.0" encoding="utf-8"?>
<ThreadedComments xmlns="http://schemas.microsoft.com/office/spreadsheetml/2018/threadedcomments" xmlns:x="http://schemas.openxmlformats.org/spreadsheetml/2006/main">
  <threadedComment ref="C8" dT="2020-12-18T12:47:08.88" personId="{305BA106-D91E-4665-9C69-2D9A758F54E0}" id="{0DC7A3DB-3C2D-4DC6-97B6-1D35659EFDD6}">
    <text>Per Kelly Corbett: ADA would be proprietary 80% of their work is call in due to security issue and we have been having them perform the work and issue us a quote which we in turn sent to you to create a PO as the work is already accomplished. This is why a blanket PO was created. We always respond to these instances first prior to calling in ADA and as you know they have been very responsive and cost effective as they rarely charge us for emergent services unless work is after hours etc.</text>
  </threadedComment>
  <threadedComment ref="Y12" dT="2025-05-09T13:54:28.95" personId="{10366D9E-F233-45A7-AC3B-0F6AB68A0C01}" id="{6E8A40BA-B7F5-4134-A0B9-C49488CC79D6}">
    <text>Amount for FY26-FY28; proposal not broken out between years</text>
  </threadedComment>
  <threadedComment ref="C70" dT="2020-12-18T12:43:04.36" personId="{305BA106-D91E-4665-9C69-2D9A758F54E0}" id="{B0ED0C16-A735-4006-8A67-ACD1B47A6BA4}">
    <text>Per Ryan Storey: Although technically we can get equipment from other vendors, Smith Turf and Irrigation is our vendor for all Toro purchases in the state of TN set up by Toro</text>
  </threadedComment>
  <threadedComment ref="C71" dT="2020-12-18T12:43:53.61" personId="{305BA106-D91E-4665-9C69-2D9A758F54E0}" id="{A083E33F-0BC7-4086-945F-1512966EE3FB}">
    <text>Per Robert West: Procurement (Maggie Robinson) put this out for bid several years ago (2015). At the time we were using JB Weimer (currently Reladyne) and since they were the lowest bidder and could meet all of our specific requirements they got the contract. There are several other companies who distribute fuel in the middle TN area but Maggie chose Reladyne for the long term contract that we currently have.</text>
  </threadedComment>
  <threadedComment ref="Y75" dT="2025-05-30T21:08:40.99" personId="{10366D9E-F233-45A7-AC3B-0F6AB68A0C01}" id="{9E2D13E2-9FE6-4CEC-AD55-CCB74C25F356}">
    <text>No PO for final year - will need to setup</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3" Type="http://schemas.openxmlformats.org/officeDocument/2006/relationships/hyperlink" Target="file:///C:\foggcm\AppData\Local\Box\Box%20Edit\Documents\lyrDhFTBR0+WYQIKPkdB3A==\Vendor%20Agreements\Empire%20Roofing%20Quote%20FY19%20Zones%202%20and%203.pdf" TargetMode="External"/><Relationship Id="rId18" Type="http://schemas.openxmlformats.org/officeDocument/2006/relationships/hyperlink" Target="file:///C:\foggcm\AppData\Local\Box\Box%20Edit\Documents\lyrDhFTBR0+WYQIKPkdB3A==\Contract%20Memos\ISA.docx" TargetMode="External"/><Relationship Id="rId26" Type="http://schemas.openxmlformats.org/officeDocument/2006/relationships/hyperlink" Target="file:///C:\foggcm\AppData\Local\Box\Box%20Edit\Documents\lyrDhFTBR0+WYQIKPkdB3A==\Vendor%20Agreements\Nashville%20Machine%20Oct'17%20-%20Sep'19.pdf" TargetMode="External"/><Relationship Id="rId39" Type="http://schemas.openxmlformats.org/officeDocument/2006/relationships/hyperlink" Target="file:///C:\foggcm\AppData\Local\Box\Box%20Edit\Documents\lyrDhFTBR0+WYQIKPkdB3A==\Vendor%20Agreements\SWS%20Environmental\SWS%20Environmental%20Services%20-%20Stormwater%20Renewal%202016.pdf" TargetMode="External"/><Relationship Id="rId21" Type="http://schemas.openxmlformats.org/officeDocument/2006/relationships/hyperlink" Target="file:///C:\foggcm\AppData\Local\Box\Box%20Edit\Documents\lyrDhFTBR0+WYQIKPkdB3A==\Vendor%20Agreements\Johnson%20Controls%20-%20Chillers\Johnson%20Controls%20Chillers%20Service%20Contract%20FY18%20-%20FY21.pdf" TargetMode="External"/><Relationship Id="rId34" Type="http://schemas.openxmlformats.org/officeDocument/2006/relationships/hyperlink" Target="file:///C:\foggcm\AppData\Local\Box\Box%20Edit\Documents\lyrDhFTBR0+WYQIKPkdB3A==\Contract%20Memos\Trane.docx" TargetMode="External"/><Relationship Id="rId42" Type="http://schemas.openxmlformats.org/officeDocument/2006/relationships/hyperlink" Target="file:///C:\foggcm\AppData\Local\Box\Box%20Edit\Documents\lyrDhFTBR0+WYQIKPkdB3A==\Vendor%20Agreements\Waste%20Management\WM%20Amendment%20for%20BioWaste%20LLC%20service%20VCT%20104333.pdf" TargetMode="External"/><Relationship Id="rId47" Type="http://schemas.openxmlformats.org/officeDocument/2006/relationships/hyperlink" Target="file:///C:\foggcm\AppData\Local\Box\Box%20Edit\Documents\lyrDhFTBR0+WYQIKPkdB3A==\Vendor%20Agreements\Volunteer%20Welding.pdf" TargetMode="External"/><Relationship Id="rId50" Type="http://schemas.openxmlformats.org/officeDocument/2006/relationships/hyperlink" Target="file:///C:\foggcm\AppData\Local\Box\Box%20Edit\Documents\lyrDhFTBR0+WYQIKPkdB3A==\Vendor%20Agreements\Comfort%20Group\Comfort%20Group%203yr%20contract%20prop.o%20signed%20and%20Legacy%20PO.pdf" TargetMode="External"/><Relationship Id="rId55" Type="http://schemas.openxmlformats.org/officeDocument/2006/relationships/printerSettings" Target="../printerSettings/printerSettings9.bin"/><Relationship Id="rId7" Type="http://schemas.openxmlformats.org/officeDocument/2006/relationships/hyperlink" Target="file:///C:\foggcm\AppData\Local\Box\Box%20Edit\Documents\lyrDhFTBR0+WYQIKPkdB3A==\Vendor%20Agreements\BP%20Natural%20Gas%20Contract%20-%20VCT%20107530.pdf" TargetMode="External"/><Relationship Id="rId2" Type="http://schemas.openxmlformats.org/officeDocument/2006/relationships/hyperlink" Target="file:///C:\foggcm\AppData\Local\Box\Box%20Edit\Documents\lyrDhFTBR0+WYQIKPkdB3A==\Vendor%20Agreements\Vision%20Security%20Technologies%20-%20Traka%20Professional%20Services.pdf" TargetMode="External"/><Relationship Id="rId16" Type="http://schemas.openxmlformats.org/officeDocument/2006/relationships/hyperlink" Target="file:///C:\foggcm\AppData\Local\Box\Box%20Edit\Documents\lyrDhFTBR0+WYQIKPkdB3A==\Vendor%20Agreements\Evoqua\Evoqua%20Contract%20Addition.pdf" TargetMode="External"/><Relationship Id="rId29" Type="http://schemas.openxmlformats.org/officeDocument/2006/relationships/hyperlink" Target="file:///C:\foggcm\AppData\Local\Box\Box%20Edit\Documents\lyrDhFTBR0+WYQIKPkdB3A==\Premier%20Elevator\Premier%20Estimated%2019%20month%20July%202018%20thru%20January%202020.xlsx" TargetMode="External"/><Relationship Id="rId11" Type="http://schemas.openxmlformats.org/officeDocument/2006/relationships/hyperlink" Target="file:///C:\foggcm\AppData\Local\Box\Box%20Edit\Documents\lyrDhFTBR0+WYQIKPkdB3A==\Vendor%20Agreements\Cintas\Cintas%20Signed%20Agreement%20-%202017-2020.pdf" TargetMode="External"/><Relationship Id="rId24" Type="http://schemas.openxmlformats.org/officeDocument/2006/relationships/hyperlink" Target="file:///C:\foggcm\AppData\Local\Box\Box%20Edit\Documents\lyrDhFTBR0+WYQIKPkdB3A==\Contract%20Memos\Mid-South.docx" TargetMode="External"/><Relationship Id="rId32" Type="http://schemas.openxmlformats.org/officeDocument/2006/relationships/hyperlink" Target="file:///C:\foggcm\AppData\Local\Box\Box%20Edit\Documents\lyrDhFTBR0+WYQIKPkdB3A==\Vendor%20Agreements\Sightlines\Sightlines%20Contract%20Renewal%20%5b2016-2019%5d.pdf" TargetMode="External"/><Relationship Id="rId37" Type="http://schemas.openxmlformats.org/officeDocument/2006/relationships/hyperlink" Target="file:///C:\foggcm\AppData\Local\Box\Box%20Edit\Documents\lyrDhFTBR0+WYQIKPkdB3A==\Vendor%20Agreements\Mechanical%20Resource%20Group%20FY19%20-%20FY21.pdf" TargetMode="External"/><Relationship Id="rId40" Type="http://schemas.openxmlformats.org/officeDocument/2006/relationships/hyperlink" Target="file:///C:\foggcm\AppData\Local\Box\Box%20Edit\Documents\lyrDhFTBR0+WYQIKPkdB3A==\Vendor%20Agreements\Underground%20Utility%20Locators%20Signed%20PSA%20VCT%20107257.pdf" TargetMode="External"/><Relationship Id="rId45" Type="http://schemas.openxmlformats.org/officeDocument/2006/relationships/hyperlink" Target="file:///C:\foggcm\AppData\Local\Box\Box%20Edit\Documents\lyrDhFTBR0+WYQIKPkdB3A==\Vendor%20Agreements\Resource%20Facility%20Solutions%20Amendment%20to%20VCT107120%2011082018.pdf" TargetMode="External"/><Relationship Id="rId53" Type="http://schemas.openxmlformats.org/officeDocument/2006/relationships/hyperlink" Target="file:///C:\foggcm\AppData\Local\Box\Box%20Edit\Documents\lyrDhFTBR0+WYQIKPkdB3A==\Vendor%20Agreements\A-L%20Compressed%20Gases\AL%20Compressed%20Gases.pdf" TargetMode="External"/><Relationship Id="rId5" Type="http://schemas.openxmlformats.org/officeDocument/2006/relationships/hyperlink" Target="file:///C:\foggcm\AppData\Local\Box\Box%20Edit\Documents\lyrDhFTBR0+WYQIKPkdB3A==\Vendor%20Agreements\Aramark\FW%20%20Fully%20Executed%20Vanderbilt%20-%20Amendment%20(Facilities).msg" TargetMode="External"/><Relationship Id="rId10" Type="http://schemas.openxmlformats.org/officeDocument/2006/relationships/hyperlink" Target="file:///C:\foggcm\AppData\Local\Box\Box%20Edit\Documents\lyrDhFTBR0+WYQIKPkdB3A==\Vendor%20Agreements\Cintas\Cintas%20(Door%20Mats)%20VCT%20107533%20%5b2017-2020%5d.pdf" TargetMode="External"/><Relationship Id="rId19" Type="http://schemas.openxmlformats.org/officeDocument/2006/relationships/hyperlink" Target="file:///C:\foggcm\AppData\Local\Box\Box%20Edit\Documents\lyrDhFTBR0+WYQIKPkdB3A==\Vendor%20Agreements\IWTC\IWTC,%20Inc%20Service%20Agreement%20FY18%20-%20FY20.pdf" TargetMode="External"/><Relationship Id="rId31" Type="http://schemas.openxmlformats.org/officeDocument/2006/relationships/hyperlink" Target="file:///C:\foggcm\AppData\Local\Box\Box%20Edit\Documents\lyrDhFTBR0+WYQIKPkdB3A==\Vendor%20Agreements\Reladyne\Reladyne%20Supplier%20Selection%20Justification.pdf" TargetMode="External"/><Relationship Id="rId44" Type="http://schemas.openxmlformats.org/officeDocument/2006/relationships/hyperlink" Target="file:///C:\foggcm\AppData\Local\Box\Box%20Edit\Documents\lyrDhFTBR0+WYQIKPkdB3A==\Vendor%20Agreements\K%20&amp;%20A%20Landscaping%20(Dyer)%20Sep'18%20-%20Jun'19.pdf" TargetMode="External"/><Relationship Id="rId52" Type="http://schemas.openxmlformats.org/officeDocument/2006/relationships/hyperlink" Target="file:///C:\foggcm\AppData\Local\Box\Box%20Edit\carneyk\B\Big%20Belly%20R18047774\Big%20Belly%20Signed%20CSA%20and%20Related%20Documents.pdf" TargetMode="External"/><Relationship Id="rId4" Type="http://schemas.openxmlformats.org/officeDocument/2006/relationships/hyperlink" Target="file:///C:\foggcm\AppData\Local\Box\Box%20Edit\Documents\lyrDhFTBR0+WYQIKPkdB3A==\4M%20PO%20Amount%20July-10%20Dec%202018.xlsx" TargetMode="External"/><Relationship Id="rId9" Type="http://schemas.openxmlformats.org/officeDocument/2006/relationships/hyperlink" Target="file:///C:\foggcm\AppData\Local\Box\Box%20Edit\Documents\lyrDhFTBR0+WYQIKPkdB3A==\Vendor%20Agreements\Compost%20Co\Compost%20Co%20-%20VU%20Agreement%20VCT%20107637.pdf" TargetMode="External"/><Relationship Id="rId14" Type="http://schemas.openxmlformats.org/officeDocument/2006/relationships/hyperlink" Target="file:///C:\foggcm\AppData\Local\Box\Box%20Edit\Documents\lyrDhFTBR0+WYQIKPkdB3A==\Vendor%20Agreements\Enerflex\Enerflex%20FY19%20-%20FY21.pdf" TargetMode="External"/><Relationship Id="rId22" Type="http://schemas.openxmlformats.org/officeDocument/2006/relationships/hyperlink" Target="file:///C:\foggcm\AppData\Local\Box\Box%20Edit\Documents\lyrDhFTBR0+WYQIKPkdB3A==\Vendor%20Agreements\Johnson%20Controls\Johnson%20Controls%20Service%20Contract%20FY18%20-%20FY21.pdf" TargetMode="External"/><Relationship Id="rId27" Type="http://schemas.openxmlformats.org/officeDocument/2006/relationships/hyperlink" Target="file:///C:\foggcm\AppData\Local\Box\Box%20Edit\Documents\lyrDhFTBR0+WYQIKPkdB3A==\Vendor%20Agreements\PeopleReady%20(CLP)\Vanderbilt-PeopleReady%20Contract.pdf" TargetMode="External"/><Relationship Id="rId30" Type="http://schemas.openxmlformats.org/officeDocument/2006/relationships/hyperlink" Target="file:///C:\foggcm\AppData\Local\Box\Box%20Edit\Documents\lyrDhFTBR0+WYQIKPkdB3A==\Vendor%20Agreements\Pye%20Barker%20-%20VCT%20107175%20%5b2016-2017%5d.pdf" TargetMode="External"/><Relationship Id="rId35" Type="http://schemas.openxmlformats.org/officeDocument/2006/relationships/hyperlink" Target="file:///C:\foggcm\AppData\Local\Box\Box%20Edit\Documents\lyrDhFTBR0+WYQIKPkdB3A==\Vendor%20Agreements\Trane\102252%203%20Trane%20Chiller%20Service%20Agreement%20for%20Plant%20Ops.pdf" TargetMode="External"/><Relationship Id="rId43" Type="http://schemas.openxmlformats.org/officeDocument/2006/relationships/hyperlink" Target="file:///C:\foggcm\AppData\Local\Box\Box%20Edit\Documents\lyrDhFTBR0+WYQIKPkdB3A==\Vendor%20Agreements\Waste%20Management\Amendment%20signed%20by%20Mark%20Petty.pdf" TargetMode="External"/><Relationship Id="rId48" Type="http://schemas.openxmlformats.org/officeDocument/2006/relationships/hyperlink" Target="file:///C:\foggcm\AppData\Local\Box\Box%20Edit\Documents\lyrDhFTBR0+WYQIKPkdB3A==\Vendor%20Agreements\Konica%20Minolta.pdf" TargetMode="External"/><Relationship Id="rId56" Type="http://schemas.openxmlformats.org/officeDocument/2006/relationships/table" Target="../tables/table2.xml"/><Relationship Id="rId8" Type="http://schemas.openxmlformats.org/officeDocument/2006/relationships/hyperlink" Target="file:///C:\foggcm\AppData\Local\Box\Box%20Edit\Documents\lyrDhFTBR0+WYQIKPkdB3A==\Vendor%20Agreements\Daikin%20PM%20Agreement%202018.pdf" TargetMode="External"/><Relationship Id="rId51" Type="http://schemas.openxmlformats.org/officeDocument/2006/relationships/hyperlink" Target="file:///C:\foggcm\AppData\Local\Box\Box%20Edit\carneyk\A\AssetWORKS\AssetWORKS%20FY18%20thru%20FY19.pdf" TargetMode="External"/><Relationship Id="rId3" Type="http://schemas.openxmlformats.org/officeDocument/2006/relationships/hyperlink" Target="file:///C:\foggcm\AppData\Local\Box\Box%20Edit\Documents\lyrDhFTBR0+WYQIKPkdB3A==\Vendor%20Agreements\Cummins%20%5b2017%20-%202021%5d.pdf" TargetMode="External"/><Relationship Id="rId12" Type="http://schemas.openxmlformats.org/officeDocument/2006/relationships/hyperlink" Target="file:///C:\foggcm\AppData\Local\Box\Box%20Edit\Documents\lyrDhFTBR0+WYQIKPkdB3A==\Vendor%20Agreements\Don%20Kennedy\Don%20Kennedy%20Roofing%20Agreement%20VCT%20105101.pdf" TargetMode="External"/><Relationship Id="rId17" Type="http://schemas.openxmlformats.org/officeDocument/2006/relationships/hyperlink" Target="file:///C:\foggcm\AppData\Local\Box\Box%20Edit\Documents\lyrDhFTBR0+WYQIKPkdB3A==\Vendor%20Agreements\GE\GE%20Oil%20&amp;%20Gas%20Vanderbilt%20-%20CSA%20-%2020091208.pdf" TargetMode="External"/><Relationship Id="rId25" Type="http://schemas.openxmlformats.org/officeDocument/2006/relationships/hyperlink" Target="file:///C:\foggcm\AppData\Local\Box\Box%20Edit\Documents\lyrDhFTBR0+WYQIKPkdB3A==\Contract%20Memos\Nashville%20Chemical.docx" TargetMode="External"/><Relationship Id="rId33" Type="http://schemas.openxmlformats.org/officeDocument/2006/relationships/hyperlink" Target="file:///C:\foggcm\AppData\Local\Box\Box%20Edit\Documents\lyrDhFTBR0+WYQIKPkdB3A==\Contract%20Memos\Solar.docx" TargetMode="External"/><Relationship Id="rId38" Type="http://schemas.openxmlformats.org/officeDocument/2006/relationships/hyperlink" Target="file:///C:\foggcm\AppData\Local\Box\Box%20Edit\Documents\lyrDhFTBR0+WYQIKPkdB3A==\Vendor%20Agreements\SWS%20Environmental\SWS%20Environmental%20Services%20-%20Grease%20Interceptors%202017.pdf" TargetMode="External"/><Relationship Id="rId46" Type="http://schemas.openxmlformats.org/officeDocument/2006/relationships/hyperlink" Target="file:///C:\foggcm\AppData\Local\Box\Box%20Edit\Documents\lyrDhFTBR0+WYQIKPkdB3A==\Vendor%20Agreements\ERC2019-0137%20Warren%20Insulation.pdf" TargetMode="External"/><Relationship Id="rId20" Type="http://schemas.openxmlformats.org/officeDocument/2006/relationships/hyperlink" Target="file:///C:\foggcm\AppData\Local\Box\Box%20Edit\Documents\lyrDhFTBR0+WYQIKPkdB3A==\Contract%20Memos\John%20Bouchard.docx" TargetMode="External"/><Relationship Id="rId41" Type="http://schemas.openxmlformats.org/officeDocument/2006/relationships/hyperlink" Target="file:///C:\foggcm\AppData\Local\Box\Box%20Edit\Documents\lyrDhFTBR0+WYQIKPkdB3A==\Vendor%20Agreements\Veolia%20Pricing%202018.pdf" TargetMode="External"/><Relationship Id="rId54" Type="http://schemas.openxmlformats.org/officeDocument/2006/relationships/hyperlink" Target="file:///C:\foggcm\AppData\Local\Box\Box%20Edit\Documents\lyrDhFTBR0+WYQIKPkdB3A==\Vendor%20Agreements\Advanced%20Solutions%20Inc_QT-268451%20for%20AutoCAD_VU%20Signed_8-23-17.pdf" TargetMode="External"/><Relationship Id="rId1" Type="http://schemas.openxmlformats.org/officeDocument/2006/relationships/hyperlink" Target="file:///C:\foggcm\AppData\Local\Box\Box%20Edit\Documents\lyrDhFTBR0+WYQIKPkdB3A==\Vendor%20Agreements\Homeyer\Homeyer%20-%20PSA%20Exe%20-%202018.10.10.pdf" TargetMode="External"/><Relationship Id="rId6" Type="http://schemas.openxmlformats.org/officeDocument/2006/relationships/hyperlink" Target="file:///C:\foggcm\AppData\Local\Box\Box%20Edit\Documents\lyrDhFTBR0+WYQIKPkdB3A==\Contract%20Memos\Atlas.docx" TargetMode="External"/><Relationship Id="rId15" Type="http://schemas.openxmlformats.org/officeDocument/2006/relationships/hyperlink" Target="file:///C:\foggcm\AppData\Local\Box\Box%20Edit\Documents\lyrDhFTBR0+WYQIKPkdB3A==\Vendor%20Agreements\Energy%20Strategies\Energy%20Strategies%20PSA%20and%20Schedule%20A.pdf" TargetMode="External"/><Relationship Id="rId23" Type="http://schemas.openxmlformats.org/officeDocument/2006/relationships/hyperlink" Target="file:///C:\foggcm\AppData\Local\Box\Box%20Edit\Documents\lyrDhFTBR0+WYQIKPkdB3A==\Vendor%20Agreements\Lerch%20Bates\Lerch%20Bates%20-%20VU%20Campus%20-%20Elevator%20MM%20proposal%20(2018-2019).pdf" TargetMode="External"/><Relationship Id="rId28" Type="http://schemas.openxmlformats.org/officeDocument/2006/relationships/hyperlink" Target="file:///C:\foggcm\AppData\Local\Box\Box%20Edit\Documents\lyrDhFTBR0+WYQIKPkdB3A==\Vendor%20Agreements\Perk%20Products" TargetMode="External"/><Relationship Id="rId36" Type="http://schemas.openxmlformats.org/officeDocument/2006/relationships/hyperlink" Target="file:///C:\foggcm\AppData\Local\Box\Box%20Edit\Documents\lyrDhFTBR0+WYQIKPkdB3A==\Vendor%20Agreements\Mantis\VCT%20105494%20Extension%20Request%20081318.pdf" TargetMode="External"/><Relationship Id="rId49" Type="http://schemas.openxmlformats.org/officeDocument/2006/relationships/hyperlink" Target="file:///C:\foggcm\AppData\Local\Box\Box%20Edit\Documents\lyrDhFTBR0+WYQIKPkdB3A==\Vendor%20Agreements\Chemsearch\ERC%202018-0203%20Chemsearch.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3.xml"/><Relationship Id="rId1" Type="http://schemas.openxmlformats.org/officeDocument/2006/relationships/vmlDrawing" Target="../drawings/vmlDrawing7.vml"/><Relationship Id="rId4" Type="http://schemas.microsoft.com/office/2017/10/relationships/threadedComment" Target="../threadedComments/threadedComment4.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4.xml"/><Relationship Id="rId1" Type="http://schemas.openxmlformats.org/officeDocument/2006/relationships/vmlDrawing" Target="../drawings/vmlDrawing8.vml"/><Relationship Id="rId4" Type="http://schemas.microsoft.com/office/2017/10/relationships/threadedComment" Target="../threadedComments/threadedComment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9.v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file:///C:\Users\foggcm\Downloads\Vendor%20Agreements\Empire%20Roofing\FY23%20Service%20Agreement\Empire%20-%20FY23%20(Zone%203)%20-%20Quote.pdf" TargetMode="External"/><Relationship Id="rId1" Type="http://schemas.openxmlformats.org/officeDocument/2006/relationships/hyperlink" Target="file:///C:\Users\foggcm\Downloads\Vendor%20Agreements\Compost%20Company\FY24%20Blanket"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8" Type="http://schemas.openxmlformats.org/officeDocument/2006/relationships/hyperlink" Target="mailto:Steven.Shanks@LerchBates.com" TargetMode="External"/><Relationship Id="rId13" Type="http://schemas.openxmlformats.org/officeDocument/2006/relationships/hyperlink" Target="mailto:warreninsulation@gmail.com" TargetMode="External"/><Relationship Id="rId18" Type="http://schemas.openxmlformats.org/officeDocument/2006/relationships/hyperlink" Target="mailto:William.Forkum@daikinapplied.com" TargetMode="External"/><Relationship Id="rId3" Type="http://schemas.openxmlformats.org/officeDocument/2006/relationships/hyperlink" Target="mailto:whittemoree@cintas.com" TargetMode="External"/><Relationship Id="rId7" Type="http://schemas.openxmlformats.org/officeDocument/2006/relationships/hyperlink" Target="mailto:Corey.Smith@jbouchard.com" TargetMode="External"/><Relationship Id="rId12" Type="http://schemas.openxmlformats.org/officeDocument/2006/relationships/hyperlink" Target="mailto:ugl@att.net" TargetMode="External"/><Relationship Id="rId17" Type="http://schemas.openxmlformats.org/officeDocument/2006/relationships/hyperlink" Target="mailto:ramboco@bellsouth.net" TargetMode="External"/><Relationship Id="rId2" Type="http://schemas.openxmlformats.org/officeDocument/2006/relationships/hyperlink" Target="mailto:keith@cumberlandpdm.com" TargetMode="External"/><Relationship Id="rId16" Type="http://schemas.openxmlformats.org/officeDocument/2006/relationships/hyperlink" Target="mailto:derick.hilker@veolia.com" TargetMode="External"/><Relationship Id="rId1" Type="http://schemas.openxmlformats.org/officeDocument/2006/relationships/hyperlink" Target="mailto:tim@donkennedyroofing.com" TargetMode="External"/><Relationship Id="rId6" Type="http://schemas.openxmlformats.org/officeDocument/2006/relationships/hyperlink" Target="mailto:jromano@blindsallaround.com" TargetMode="External"/><Relationship Id="rId11" Type="http://schemas.openxmlformats.org/officeDocument/2006/relationships/hyperlink" Target="mailto:michael.sharp@trane.com" TargetMode="External"/><Relationship Id="rId5" Type="http://schemas.openxmlformats.org/officeDocument/2006/relationships/hyperlink" Target="mailto:darrin.henderberg@evoqua.com" TargetMode="External"/><Relationship Id="rId15" Type="http://schemas.openxmlformats.org/officeDocument/2006/relationships/hyperlink" Target="mailto:joshua.ince@duboischemicals.com" TargetMode="External"/><Relationship Id="rId10" Type="http://schemas.openxmlformats.org/officeDocument/2006/relationships/hyperlink" Target="mailto:c.russellglass@gmail.com" TargetMode="External"/><Relationship Id="rId19" Type="http://schemas.openxmlformats.org/officeDocument/2006/relationships/printerSettings" Target="../printerSettings/printerSettings12.bin"/><Relationship Id="rId4" Type="http://schemas.openxmlformats.org/officeDocument/2006/relationships/hyperlink" Target="mailto:Christen.Crumley@gowaibel.com" TargetMode="External"/><Relationship Id="rId9" Type="http://schemas.openxmlformats.org/officeDocument/2006/relationships/hyperlink" Target="mailto:ramboco@bellsouth.net" TargetMode="External"/><Relationship Id="rId14" Type="http://schemas.openxmlformats.org/officeDocument/2006/relationships/hyperlink" Target="mailto:sean@empireroofing.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file:///C:\foggcm\AppData\Local\Box\Box%20Edit\Documents\lyrDhFTBR0+WYQIKPkdB3A==\Vendor%20Agreements\Premier\FY20%20-%20FY21%20%5bFeb'20%20-%20Jan'21%5d" TargetMode="External"/><Relationship Id="rId18" Type="http://schemas.openxmlformats.org/officeDocument/2006/relationships/hyperlink" Target="file:///C:\foggcm\AppData\Local\Box\Box%20Edit\Documents\lyrDhFTBR0+WYQIKPkdB3A==\Vendor%20Agreements\SWS%20Environmental\Storm%20Water\FY20%20Blanket\SWS%20Proposal%20-%202019%20Storm%20Water%20Management.pdf" TargetMode="External"/><Relationship Id="rId26" Type="http://schemas.openxmlformats.org/officeDocument/2006/relationships/hyperlink" Target="file:///C:\foggcm\AppData\Local\Box\Box%20Edit\Documents\lyrDhFTBR0+WYQIKPkdB3A==\Vendor%20Agreements\WW%20Williams\FY21%20Blanket\WW%20Williams%20Company%20-%20Memo.pdf" TargetMode="External"/><Relationship Id="rId39" Type="http://schemas.openxmlformats.org/officeDocument/2006/relationships/hyperlink" Target="file:///C:\foggcm\AppData\Local\Box\Box%20Edit\Documents\lyrDhFTBR0+WYQIKPkdB3A==\Vendor%20Agreements\Cumberland%20Predictive%20Mtc\FY20%20Blanket\Cumberland%20Predictive%20Maintenance%20-%20Signed%20Memo%2007012019.pdf" TargetMode="External"/><Relationship Id="rId21" Type="http://schemas.openxmlformats.org/officeDocument/2006/relationships/hyperlink" Target="file:///C:\foggcm\AppData\Local\Box\Box%20Edit\Documents\lyrDhFTBR0+WYQIKPkdB3A==\Vendor%20Agreements\Veolia\FY20%20Blanket\Complete%20-%20Internal%20Use%20Only\Veolia%20-%20FY20%20Blanket%20Packet.pdf" TargetMode="External"/><Relationship Id="rId34" Type="http://schemas.openxmlformats.org/officeDocument/2006/relationships/hyperlink" Target="file:///C:\foggcm\AppData\Local\Box\Box%20Edit\Documents\lyrDhFTBR0+WYQIKPkdB3A==\Vendor%20Agreements\Chilton%20Turf%20Center\FY20%20Blanket\Complete%20-%20Internal%20Use%20Only\Chilton%20Turf%20-%20FY20%20Blanket%20Packet.pdf" TargetMode="External"/><Relationship Id="rId42" Type="http://schemas.openxmlformats.org/officeDocument/2006/relationships/hyperlink" Target="file:///C:\foggcm\AppData\Local\Box\Box%20Edit\Documents\lyrDhFTBR0+WYQIKPkdB3A==\Vendor%20Agreements\Don%20Kennedy\FY21%20Blanket" TargetMode="External"/><Relationship Id="rId47" Type="http://schemas.openxmlformats.org/officeDocument/2006/relationships/hyperlink" Target="file:///C:\foggcm\AppData\Local\Box\Box%20Edit\Documents\lyrDhFTBR0+WYQIKPkdB3A==\Vendor%20Agreements\Cumberland%20Machine\FY20\2020-0092%20MRB%20III%20-%20vacuum%20pump%20annual%20PMs.pdf" TargetMode="External"/><Relationship Id="rId50" Type="http://schemas.openxmlformats.org/officeDocument/2006/relationships/hyperlink" Target="file:///C:\foggcm\AppData\Local\Box\Box%20Edit\Documents\lyrDhFTBR0+WYQIKPkdB3A==\Vendor%20Agreements\Artisan%20Landscape\FY20%20Blanket\Complete%20-%20Internal%20Use%20Only\Artisan%20Landscape%20-%20FY20%20Blanket%20Packet.pdf" TargetMode="External"/><Relationship Id="rId55" Type="http://schemas.openxmlformats.org/officeDocument/2006/relationships/hyperlink" Target="file:///C:\foggcm\AppData\Local\Box\Box%20Edit\Documents\lyrDhFTBR0+WYQIKPkdB3A==\Vendor%20Agreements\ADS%20Security\FY21%20Blanket\ADS%20Security%20-%20Memo%20(signed).pdf" TargetMode="External"/><Relationship Id="rId7" Type="http://schemas.openxmlformats.org/officeDocument/2006/relationships/hyperlink" Target="file:///C:\foggcm\AppData\Local\Box\Box%20Edit\Documents\lyrDhFTBR0+WYQIKPkdB3A==\Vendor%20Agreements\John%20Bouchard\FY20%20Blanket\Complete%20-%20Internal%20Use%20Only\John%20Bouchard%20-%20FY20%20Blanket%20Packet.pdf" TargetMode="External"/><Relationship Id="rId2" Type="http://schemas.openxmlformats.org/officeDocument/2006/relationships/hyperlink" Target="file:///C:\foggcm\AppData\Local\Box\Box%20Edit\Documents\lyrDhFTBR0+WYQIKPkdB3A==\Vendor%20Agreements\Enerflex\Enerflex%20FY19%20-%20FY21.pdf" TargetMode="External"/><Relationship Id="rId16" Type="http://schemas.openxmlformats.org/officeDocument/2006/relationships/hyperlink" Target="file:///C:\foggcm\AppData\Local\Box\Box%20Edit\Documents\lyrDhFTBR0+WYQIKPkdB3A==\Vendor%20Agreements\Solar%20Turbines\2019%20Vanderbilt%20University%20Escalation.pdf" TargetMode="External"/><Relationship Id="rId29" Type="http://schemas.openxmlformats.org/officeDocument/2006/relationships/hyperlink" Target="file:///C:\foggcm\AppData\Local\Box\Box%20Edit\Documents\lyrDhFTBR0+WYQIKPkdB3A==\Vendor%20Agreements\Atlas\Atlas%20Service%20Agreement%20-%20Signed.pdf" TargetMode="External"/><Relationship Id="rId11" Type="http://schemas.openxmlformats.org/officeDocument/2006/relationships/hyperlink" Target="file:///C:\foggcm\AppData\Local\Box\Box%20Edit\Documents\lyrDhFTBR0+WYQIKPkdB3A==\Vendor%20Agreements\Mid%20South%20Instrument%20Service\FY20%20Blanket\Complete%20-%20Internal%20Use%20Only\Mid%20South%20Instrument%20Services%20-%20FY20%20Blanket%20Packet.pdf" TargetMode="External"/><Relationship Id="rId24" Type="http://schemas.openxmlformats.org/officeDocument/2006/relationships/hyperlink" Target="file:///C:\foggcm\AppData\Local\Box\Box%20Edit\Documents\lyrDhFTBR0+WYQIKPkdB3A==\Vendor%20Agreements\Waste%20Management\FY20%20Blanket\Metal%20Recycle%20and%20Trash\Complete%20-%20Internal%20Use%20Only\Waste%20Management%20(scrap%20metal,%20Greeks)%20-%20FY20%20Blanket%20Packet.pdf" TargetMode="External"/><Relationship Id="rId32" Type="http://schemas.openxmlformats.org/officeDocument/2006/relationships/hyperlink" Target="file:///C:\foggcm\AppData\Local\Box\Box%20Edit\Documents\lyrDhFTBR0+WYQIKPkdB3A==\Vendor%20Agreements\BuildingLogix\FY20%20Blanket%20(FD&amp;D)\Completed%20-%20Internal%20Use%20Only\BuildingLogix%20-%20FY20%20Blanket%20Packet.pdf" TargetMode="External"/><Relationship Id="rId37" Type="http://schemas.openxmlformats.org/officeDocument/2006/relationships/hyperlink" Target="file:///C:\foggcm\AppData\Local\Box\Box%20Edit\Documents\lyrDhFTBR0+WYQIKPkdB3A==\Vendor%20Agreements\Comfort%20Group\FY20%20Blanket\Complete%20-%20Internal%20Use%20Only\Comfort%20Group%20-%20FY20%20Blanket%20Packet.pdf" TargetMode="External"/><Relationship Id="rId40" Type="http://schemas.openxmlformats.org/officeDocument/2006/relationships/hyperlink" Target="file:///C:\foggcm\AppData\Local\Box\Box%20Edit\Documents\lyrDhFTBR0+WYQIKPkdB3A==\Vendor%20Agreements\Cummins%20Crosspoint\Cummins%20%5b2017%20-%202021%5d.pdf" TargetMode="External"/><Relationship Id="rId45" Type="http://schemas.openxmlformats.org/officeDocument/2006/relationships/hyperlink" Target="file:///C:\foggcm\AppData\Local\Box\Box%20Edit\Documents\lyrDhFTBR0+WYQIKPkdB3A==\Vendor%20Agreements\Rambo%20Glass\FY20%20Blanket\Completed%20-%20Internal%20Use%20Only\FY20%20Blanket%20Packet%20-%20Rambo%20Glass.pdf" TargetMode="External"/><Relationship Id="rId53" Type="http://schemas.openxmlformats.org/officeDocument/2006/relationships/hyperlink" Target="file:///C:\foggcm\AppData\Local\Box\Box%20Edit\Documents\lyrDhFTBR0+WYQIKPkdB3A==\Vendor%20Agreements\Perk%20Products\FY21%20Blanket\Perk%20Products%20-%20Memo%20(signed).pdf" TargetMode="External"/><Relationship Id="rId5" Type="http://schemas.openxmlformats.org/officeDocument/2006/relationships/hyperlink" Target="file:///C:\foggcm\AppData\Local\Box\Box%20Edit\Documents\lyrDhFTBR0+WYQIKPkdB3A==\Vendor%20Agreements\Holston%20Gases\FY20%20Blanket\Holston%20Gases%20-%20Signed%20Memo.pdf" TargetMode="External"/><Relationship Id="rId19" Type="http://schemas.openxmlformats.org/officeDocument/2006/relationships/hyperlink" Target="file:///C:\foggcm\AppData\Local\Box\Box%20Edit\Documents\lyrDhFTBR0+WYQIKPkdB3A==\Vendor%20Agreements\Trane\Trane%20Agreement%20Jul'18%20-%20Jun'21.pdf" TargetMode="External"/><Relationship Id="rId4" Type="http://schemas.openxmlformats.org/officeDocument/2006/relationships/hyperlink" Target="file:///C:\foggcm\AppData\Local\Box\Box%20Edit\Documents\lyrDhFTBR0+WYQIKPkdB3A==\Vendor%20Agreements\Golf%20Management\FY20%20Blanket\Complete%20-%20Internal%20Use%20Only\Golf%20Management%20-%20FY20%20Blanket%20Renewal%20Packet.pdf" TargetMode="External"/><Relationship Id="rId9" Type="http://schemas.openxmlformats.org/officeDocument/2006/relationships/hyperlink" Target="file:///C:\foggcm\AppData\Local\Box\Box%20Edit\Documents\lyrDhFTBR0+WYQIKPkdB3A==\Vendor%20Agreements\Johnson%20Controls\Johnson%20Controls%20-%20Metasys\Jonhson%20Controls%202018%20Proposal%20Rev%203.pdf" TargetMode="External"/><Relationship Id="rId14" Type="http://schemas.openxmlformats.org/officeDocument/2006/relationships/hyperlink" Target="file:///C:\foggcm\AppData\Local\Box\Box%20Edit\Documents\lyrDhFTBR0+WYQIKPkdB3A==\Vendor%20Agreements\Reladyne\FY20%20Blanket\Complete%20-%20Internal%20Use%20Only\Reladyne%20-%20FY20%20Blanket%20Packet.pdf" TargetMode="External"/><Relationship Id="rId22" Type="http://schemas.openxmlformats.org/officeDocument/2006/relationships/hyperlink" Target="file:///C:\foggcm\AppData\Local\Box\Box%20Edit\Documents\lyrDhFTBR0+WYQIKPkdB3A==\Vendor%20Agreements\Warren%20Insulation\FY20%20Blanket\Complete%20-%20Internal%20Use%20Only\Warren%20Insulation%20-%20FY20%20Blanket%20Packet.pdf" TargetMode="External"/><Relationship Id="rId27" Type="http://schemas.openxmlformats.org/officeDocument/2006/relationships/hyperlink" Target="file:///C:\foggcm\AppData\Local\Box\Box%20Edit\Documents\lyrDhFTBR0+WYQIKPkdB3A==\Vendor%20Agreements\Mechanical%20Resource%20Group\FY20%20Liebert%20Blanket\Internal%20Use%20Only%20-%20Complete\Mechanical%20Resource%20Group%20-%20Lieberts%20-%20FY20%20Blanket%20Packet.pdf" TargetMode="External"/><Relationship Id="rId30" Type="http://schemas.openxmlformats.org/officeDocument/2006/relationships/hyperlink" Target="file:///C:\foggcm\AppData\Local\Box\Box%20Edit\Documents\lyrDhFTBR0+WYQIKPkdB3A==\Vendor%20Agreements\Big%20Belly\Archived\Vanderbilt%20University_CSA_4.24.18%20signed%20BB-VU.pdf" TargetMode="External"/><Relationship Id="rId35" Type="http://schemas.openxmlformats.org/officeDocument/2006/relationships/hyperlink" Target="file:///C:\foggcm\AppData\Local\Box\Box%20Edit\Documents\lyrDhFTBR0+WYQIKPkdB3A==\Vendor%20Agreements\Cintas\FY20%20Blanket\Cintas%20-%20Mats\Complete%20-%20Internal%20Use%20Only\Cintas%20(Mats)%20-%20FY20%20Blanket%20Packet.pdf" TargetMode="External"/><Relationship Id="rId43" Type="http://schemas.openxmlformats.org/officeDocument/2006/relationships/hyperlink" Target="file:///C:\foggcm\AppData\Local\Box\Box%20Edit\Documents\lyrDhFTBR0+WYQIKPkdB3A==\Vendor%20Agreements\K%20&amp;%20A%20Landscaping\FY20%20Blanket\Complete%20-%20Internal%20Use%20Only\K&amp;A%20Landscaping%20Blanket%20Packet.pdf" TargetMode="External"/><Relationship Id="rId48" Type="http://schemas.openxmlformats.org/officeDocument/2006/relationships/hyperlink" Target="file:///C:\foggcm\AppData\Local\Box\Box%20Edit\Documents\lyrDhFTBR0+WYQIKPkdB3A==\Vendor%20Agreements\Russel's%20Glass\FY20\Russels%20Glass%20-%20Memo.docx" TargetMode="External"/><Relationship Id="rId56" Type="http://schemas.openxmlformats.org/officeDocument/2006/relationships/vmlDrawing" Target="../drawings/vmlDrawing3.vml"/><Relationship Id="rId8" Type="http://schemas.openxmlformats.org/officeDocument/2006/relationships/hyperlink" Target="file:///C:\foggcm\AppData\Local\Box\Box%20Edit\Documents\lyrDhFTBR0+WYQIKPkdB3A==\Vendor%20Agreements\Johnson%20Controls\Johnson%20Controls%20-%20Chillers\2018%20Vanderbilt%20Univ%20Chiller%20Change%20Order%20for%20Eddy%20Current.pdf" TargetMode="External"/><Relationship Id="rId51" Type="http://schemas.openxmlformats.org/officeDocument/2006/relationships/hyperlink" Target="file:///C:\foggcm\AppData\Local\Box\Box%20Edit\Documents\lyrDhFTBR0+WYQIKPkdB3A==\Vendor%20Agreements\Pye%20Barker\FY21\Pye%20Barker%20-%20CO2%20Suppression%20Testing\Pye%20Barker%20(Co2%20Hydrotesting)%20-%20Memo%20(signed).pdf" TargetMode="External"/><Relationship Id="rId3" Type="http://schemas.openxmlformats.org/officeDocument/2006/relationships/hyperlink" Target="file:///C:\foggcm\AppData\Local\Box\Box%20Edit\Documents\lyrDhFTBR0+WYQIKPkdB3A==\Vendor%20Agreements\Evoqua\FY21%20Blanket\MRBIII\Evoqua%20Water%20Technologies%20-Memo%20(signed).pdf" TargetMode="External"/><Relationship Id="rId12" Type="http://schemas.openxmlformats.org/officeDocument/2006/relationships/hyperlink" Target="file:///C:\foggcm\AppData\Local\Box\Box%20Edit\Documents\lyrDhFTBR0+WYQIKPkdB3A==\Vendor%20Agreements\Nashville%20Chemical\FY20%20Blanket\Complete%20-%20Internal%20Use%20Only\Nashville%20Chemical%20-%20FY20%20Blanket%20Packet.pdf" TargetMode="External"/><Relationship Id="rId17" Type="http://schemas.openxmlformats.org/officeDocument/2006/relationships/hyperlink" Target="file:///C:\foggcm\AppData\Local\Box\Box%20Edit\Documents\lyrDhFTBR0+WYQIKPkdB3A==\Vendor%20Agreements\SWS%20Environmental\Grease%20Traps\SWS%20Environmental%20Services%20-%20Grease%20Interceptors%202017.pdf" TargetMode="External"/><Relationship Id="rId25" Type="http://schemas.openxmlformats.org/officeDocument/2006/relationships/hyperlink" Target="file:///C:\foggcm\AppData\Local\Box\Box%20Edit\Documents\lyrDhFTBR0+WYQIKPkdB3A==\Vendor%20Agreements\WFF\FY21%20Blanket\WFF%20-%20Memo%20(signed).pdf" TargetMode="External"/><Relationship Id="rId33" Type="http://schemas.openxmlformats.org/officeDocument/2006/relationships/hyperlink" Target="file:///C:\foggcm\AppData\Local\Box\Box%20Edit\Documents\lyrDhFTBR0+WYQIKPkdB3A==\Vendor%20Agreements\Chemsearch%20(NCH%20Corporation)\FY21%20%5bFeb'20%20-%20Jan'21%5d" TargetMode="External"/><Relationship Id="rId38" Type="http://schemas.openxmlformats.org/officeDocument/2006/relationships/hyperlink" Target="file:///C:\foggcm\AppData\Local\Box\Box%20Edit\Documents\lyrDhFTBR0+WYQIKPkdB3A==\Vendor%20Agreements\Compost%20Co\FY20%20Blanket\Complete%20-%20Internal%20Use%20Only\Compost%20Company%20-%20FY20%20Blanket%20Packet.pdf" TargetMode="External"/><Relationship Id="rId46" Type="http://schemas.openxmlformats.org/officeDocument/2006/relationships/hyperlink" Target="file:///C:\foggcm\AppData\Local\Box\Box%20Edit\Documents\lyrDhFTBR0+WYQIKPkdB3A==\Vendor%20Agreements\AL%20Compressed%20Gases\FY21%20Blanket\A-L%20Compressed%20Gases%20-%20Memo%20(signed).pdf" TargetMode="External"/><Relationship Id="rId20" Type="http://schemas.openxmlformats.org/officeDocument/2006/relationships/hyperlink" Target="file:///C:\foggcm\AppData\Local\Box\Box%20Edit\Documents\lyrDhFTBR0+WYQIKPkdB3A==\Vendor%20Agreements\Underground%20Utility%20Locators\FY20%20Blanket\Complete%20-%20Internal%20Use%20Only\Underground%20Utility%20Locators%20-%20FY20%20Blanket%20Packet.pdf" TargetMode="External"/><Relationship Id="rId41" Type="http://schemas.openxmlformats.org/officeDocument/2006/relationships/hyperlink" Target="file:///C:\foggcm\AppData\Local\Box\Box%20Edit\Documents\lyrDhFTBR0+WYQIKPkdB3A==\Vendor%20Agreements\Daikin\Daikin%20PM%20Agreement%202018.pdf" TargetMode="External"/><Relationship Id="rId54" Type="http://schemas.openxmlformats.org/officeDocument/2006/relationships/hyperlink" Target="file:///C:\foggcm\AppData\Local\Box\Box%20Edit\Documents\lyrDhFTBR0+WYQIKPkdB3A==\Vendor%20Agreements\Pye%20Barker\FY21\Pye%20Barker%20-%20Fire%20Extinguisher%20Inspections\Pye%20Barker%20-%20Memo%20(signed).pdf" TargetMode="External"/><Relationship Id="rId1" Type="http://schemas.openxmlformats.org/officeDocument/2006/relationships/hyperlink" Target="file:///C:\foggcm\AppData\Local\Box\Box%20Edit\Documents\lyrDhFTBR0+WYQIKPkdB3A==\Vendor%20Agreements\Empire%20Roofing\FY21%20Blanket\Empire%20Roofing%20-Memo%20(signed).pdf" TargetMode="External"/><Relationship Id="rId6" Type="http://schemas.openxmlformats.org/officeDocument/2006/relationships/hyperlink" Target="file:///C:\foggcm\AppData\Local\Box\Box%20Edit\Documents\lyrDhFTBR0+WYQIKPkdB3A==\Vendor%20Agreements\IWTC\IWTC,%20Inc%20Service%20Agreement%20FY18%20-%20FY20.pdf" TargetMode="External"/><Relationship Id="rId15" Type="http://schemas.openxmlformats.org/officeDocument/2006/relationships/hyperlink" Target="file:///C:\foggcm\AppData\Local\Box\Box%20Edit\Documents\lyrDhFTBR0+WYQIKPkdB3A==\Vendor%20Agreements\Smith%20Turf%20&amp;%20Irrigation\FY20%20Blanket\Complete%20-%20Internal%20Use%20Only\Smith%20Turf%20and%20Irrigation%20-%20FY20%20Blanket%20Packet.pdf" TargetMode="External"/><Relationship Id="rId23" Type="http://schemas.openxmlformats.org/officeDocument/2006/relationships/hyperlink" Target="file:///C:\foggcm\AppData\Local\Box\Box%20Edit\Documents\lyrDhFTBR0+WYQIKPkdB3A==\Vendor%20Agreements\Waste%20Management\FY21%20Blanket\Bio-waste\Waste%20Management%20of%20TN%20(Bio-waste)%20-%20Memo%20(signed).pdf" TargetMode="External"/><Relationship Id="rId28" Type="http://schemas.openxmlformats.org/officeDocument/2006/relationships/hyperlink" Target="file:///C:\foggcm\AppData\Local\Box\Box%20Edit\Documents\lyrDhFTBR0+WYQIKPkdB3A==\Vendor%20Agreements\Mantis\FY21%20Blanket\Mantis%20-Memo%20(signed).pdf" TargetMode="External"/><Relationship Id="rId36" Type="http://schemas.openxmlformats.org/officeDocument/2006/relationships/hyperlink" Target="file:///C:\foggcm\AppData\Local\Box\Box%20Edit\Documents\lyrDhFTBR0+WYQIKPkdB3A==\Vendor%20Agreements\Cintas\FY21%20Blanket\Uniforms\Cintas%20Corporation%20Uniforms%20-%20Memo%20(signed).pdf" TargetMode="External"/><Relationship Id="rId49" Type="http://schemas.openxmlformats.org/officeDocument/2006/relationships/hyperlink" Target="file:///C:\foggcm\AppData\Local\Box\Box%20Edit\Documents\lyrDhFTBR0+WYQIKPkdB3A==\Vendor%20Agreements\Evoqua\FY20%20Blanket\ESB\VANDERBILT%20UNIVERSITY%200633008641%20Letter%20ESB.pdf" TargetMode="External"/><Relationship Id="rId57" Type="http://schemas.openxmlformats.org/officeDocument/2006/relationships/comments" Target="../comments3.xml"/><Relationship Id="rId10" Type="http://schemas.openxmlformats.org/officeDocument/2006/relationships/hyperlink" Target="file:///C:\foggcm\AppData\Local\Box\Box%20Edit\Documents\lyrDhFTBR0+WYQIKPkdB3A==\Vendor%20Agreements\Lerch%20Bates\FY21%20Blanket" TargetMode="External"/><Relationship Id="rId31" Type="http://schemas.openxmlformats.org/officeDocument/2006/relationships/hyperlink" Target="file:///C:\foggcm\AppData\Local\Box\Box%20Edit\Documents\lyrDhFTBR0+WYQIKPkdB3A==\Vendor%20Agreements\Big%20Belly\FY20%20Blanket\Vanderbilt%20University_Schedule%201%20to%20CSA%2010124_11.13.18%20signed.pdf" TargetMode="External"/><Relationship Id="rId44" Type="http://schemas.openxmlformats.org/officeDocument/2006/relationships/hyperlink" Target="file:///C:\foggcm\AppData\Local\Box\Box%20Edit\Documents\lyrDhFTBR0+WYQIKPkdB3A==\Vendor%20Agreements\Mechanical%20Resource%20Group\Chillers\Mechanical%20Resource%20Group%20FY19%20-%20FY21.pdf" TargetMode="External"/><Relationship Id="rId52" Type="http://schemas.openxmlformats.org/officeDocument/2006/relationships/hyperlink" Target="file:///C:\foggcm\AppData\Local\Box\Box%20Edit\Documents\lyrDhFTBR0+WYQIKPkdB3A==\Vendor%20Agreements\Cumberland%20Predictive%20Mtc\FY21%20Blanket\Zones\Cumberland%20Predictive%20Maintenance%20-%20Memo%20(signed).pdf"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michael.sharp@trane.com" TargetMode="External"/><Relationship Id="rId3" Type="http://schemas.openxmlformats.org/officeDocument/2006/relationships/hyperlink" Target="mailto:sean@empireroofing.com" TargetMode="External"/><Relationship Id="rId7" Type="http://schemas.openxmlformats.org/officeDocument/2006/relationships/hyperlink" Target="mailto:Steven.Shanks@LerchBates.com" TargetMode="External"/><Relationship Id="rId2" Type="http://schemas.openxmlformats.org/officeDocument/2006/relationships/hyperlink" Target="mailto:tim@donkennedyroofing.com" TargetMode="External"/><Relationship Id="rId1" Type="http://schemas.openxmlformats.org/officeDocument/2006/relationships/hyperlink" Target="mailto:keith@cumberlandpdm.com" TargetMode="External"/><Relationship Id="rId6" Type="http://schemas.openxmlformats.org/officeDocument/2006/relationships/hyperlink" Target="mailto:Corey.Smith@jbouchard.com" TargetMode="External"/><Relationship Id="rId5" Type="http://schemas.openxmlformats.org/officeDocument/2006/relationships/hyperlink" Target="mailto:joshua.ince@duboischemicals.com" TargetMode="External"/><Relationship Id="rId10" Type="http://schemas.openxmlformats.org/officeDocument/2006/relationships/table" Target="../tables/table6.xml"/><Relationship Id="rId4" Type="http://schemas.openxmlformats.org/officeDocument/2006/relationships/hyperlink" Target="mailto:William.Forkum@daikinapplied.com" TargetMode="External"/><Relationship Id="rId9" Type="http://schemas.openxmlformats.org/officeDocument/2006/relationships/hyperlink" Target="mailto:warreninsulation@gmail.com" TargetMode="External"/></Relationships>
</file>

<file path=xl/worksheets/_rels/sheet3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file:///C:\Users\foggcm\Downloads\Summer%20Maintenance\FY19\ERC2019-0294%20John%20Shacklett%20-%202019%20Summer%20Housing%20Painting.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file:///C:\Users\foggcm\Downloads\Vendor%20Agreements\Empire%20Roofing\FY23%20Service%20Agreement\Empire%20-%20FY23%20(Zone%203)%20-%20Quote.pdf" TargetMode="External"/><Relationship Id="rId1" Type="http://schemas.openxmlformats.org/officeDocument/2006/relationships/hyperlink" Target="file:///C:\Users\foggcm\Downloads\Vendor%20Agreements\Compost%20Company\FY23%20Blanket"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ED12-5455-42C5-B3A3-2EFF051D964E}">
  <dimension ref="A1:N51"/>
  <sheetViews>
    <sheetView topLeftCell="A7" workbookViewId="0">
      <selection activeCell="A23" sqref="A23"/>
    </sheetView>
  </sheetViews>
  <sheetFormatPr defaultRowHeight="15" x14ac:dyDescent="0.25"/>
  <cols>
    <col min="1" max="1" width="51.42578125" bestFit="1" customWidth="1"/>
    <col min="2" max="2" width="81.28515625" bestFit="1" customWidth="1"/>
    <col min="3" max="3" width="11.140625" customWidth="1"/>
    <col min="4" max="4" width="15.85546875" bestFit="1" customWidth="1"/>
    <col min="5" max="5" width="13.5703125" bestFit="1" customWidth="1"/>
    <col min="6" max="6" width="8.85546875" bestFit="1" customWidth="1"/>
    <col min="7" max="7" width="24" bestFit="1" customWidth="1"/>
    <col min="8" max="8" width="8.140625" bestFit="1" customWidth="1"/>
    <col min="9" max="9" width="20.7109375" bestFit="1" customWidth="1"/>
    <col min="10" max="10" width="16.42578125" bestFit="1" customWidth="1"/>
    <col min="11" max="11" width="8.42578125" bestFit="1" customWidth="1"/>
    <col min="12" max="13" width="11.5703125" bestFit="1" customWidth="1"/>
    <col min="14" max="14" width="9" bestFit="1" customWidth="1"/>
  </cols>
  <sheetData>
    <row r="1" spans="1:14" ht="45" x14ac:dyDescent="0.25">
      <c r="A1" s="35" t="s">
        <v>0</v>
      </c>
      <c r="B1" s="36" t="s">
        <v>1</v>
      </c>
      <c r="C1" s="36" t="s">
        <v>2</v>
      </c>
      <c r="D1" s="36" t="s">
        <v>3</v>
      </c>
      <c r="E1" s="36" t="s">
        <v>4</v>
      </c>
      <c r="F1" s="36" t="s">
        <v>5</v>
      </c>
      <c r="G1" s="36" t="s">
        <v>6</v>
      </c>
      <c r="H1" s="36" t="s">
        <v>7</v>
      </c>
      <c r="I1" s="36" t="s">
        <v>8</v>
      </c>
      <c r="J1" s="36" t="s">
        <v>9</v>
      </c>
      <c r="K1" s="36" t="s">
        <v>10</v>
      </c>
      <c r="L1" s="61" t="s">
        <v>11</v>
      </c>
      <c r="M1" s="61" t="s">
        <v>12</v>
      </c>
      <c r="N1" s="90" t="s">
        <v>13</v>
      </c>
    </row>
    <row r="2" spans="1:14" x14ac:dyDescent="0.25">
      <c r="A2" s="57" t="s">
        <v>14</v>
      </c>
      <c r="B2" s="58" t="s">
        <v>15</v>
      </c>
      <c r="C2" s="92" t="s">
        <v>16</v>
      </c>
      <c r="D2" s="314" t="s">
        <v>17</v>
      </c>
      <c r="E2" s="314" t="s">
        <v>18</v>
      </c>
      <c r="F2" s="58">
        <v>37520</v>
      </c>
      <c r="G2" s="58" t="s">
        <v>19</v>
      </c>
      <c r="H2" s="58">
        <v>6405</v>
      </c>
      <c r="I2" s="58" t="s">
        <v>20</v>
      </c>
      <c r="J2" s="58" t="s">
        <v>21</v>
      </c>
      <c r="K2" s="92">
        <v>200340</v>
      </c>
      <c r="L2" s="63">
        <v>33912.75</v>
      </c>
      <c r="M2" s="63">
        <v>-2576.25</v>
      </c>
      <c r="N2" s="63"/>
    </row>
    <row r="3" spans="1:14" x14ac:dyDescent="0.25">
      <c r="A3" s="59" t="s">
        <v>22</v>
      </c>
      <c r="B3" s="60" t="s">
        <v>23</v>
      </c>
      <c r="C3" s="95" t="s">
        <v>16</v>
      </c>
      <c r="D3" s="315" t="s">
        <v>24</v>
      </c>
      <c r="E3" s="315" t="s">
        <v>25</v>
      </c>
      <c r="F3" s="60">
        <v>37510</v>
      </c>
      <c r="G3" s="60" t="s">
        <v>26</v>
      </c>
      <c r="H3" s="60">
        <v>6405</v>
      </c>
      <c r="I3" s="60" t="s">
        <v>27</v>
      </c>
      <c r="J3" s="316" t="s">
        <v>28</v>
      </c>
      <c r="K3" s="95" t="s">
        <v>29</v>
      </c>
      <c r="L3" s="65">
        <v>8079.3200000000006</v>
      </c>
      <c r="M3" s="65">
        <v>0</v>
      </c>
      <c r="N3" s="65"/>
    </row>
    <row r="4" spans="1:14" x14ac:dyDescent="0.25">
      <c r="A4" s="57" t="s">
        <v>30</v>
      </c>
      <c r="B4" s="58" t="s">
        <v>31</v>
      </c>
      <c r="C4" s="92" t="s">
        <v>16</v>
      </c>
      <c r="D4" s="314" t="s">
        <v>24</v>
      </c>
      <c r="E4" s="314" t="s">
        <v>25</v>
      </c>
      <c r="F4" s="58">
        <v>37540</v>
      </c>
      <c r="G4" s="58" t="s">
        <v>32</v>
      </c>
      <c r="H4" s="58">
        <v>6405</v>
      </c>
      <c r="I4" s="58" t="s">
        <v>33</v>
      </c>
      <c r="J4" s="58" t="s">
        <v>21</v>
      </c>
      <c r="K4" s="92">
        <v>105352</v>
      </c>
      <c r="L4" s="63">
        <v>124</v>
      </c>
      <c r="M4" s="63">
        <v>0</v>
      </c>
      <c r="N4" s="63"/>
    </row>
    <row r="5" spans="1:14" x14ac:dyDescent="0.25">
      <c r="A5" s="59" t="s">
        <v>34</v>
      </c>
      <c r="B5" s="60" t="s">
        <v>35</v>
      </c>
      <c r="C5" s="95" t="s">
        <v>16</v>
      </c>
      <c r="D5" s="315" t="s">
        <v>24</v>
      </c>
      <c r="E5" s="315" t="s">
        <v>25</v>
      </c>
      <c r="F5" s="60">
        <v>37540</v>
      </c>
      <c r="G5" s="60" t="s">
        <v>32</v>
      </c>
      <c r="H5" s="60">
        <v>6405</v>
      </c>
      <c r="I5" s="60" t="s">
        <v>33</v>
      </c>
      <c r="J5" s="60" t="s">
        <v>21</v>
      </c>
      <c r="K5" s="95">
        <v>200137</v>
      </c>
      <c r="L5" s="65">
        <v>5150</v>
      </c>
      <c r="M5" s="65">
        <v>-7210</v>
      </c>
      <c r="N5" s="65"/>
    </row>
    <row r="6" spans="1:14" x14ac:dyDescent="0.25">
      <c r="A6" s="57" t="s">
        <v>36</v>
      </c>
      <c r="B6" s="58" t="s">
        <v>37</v>
      </c>
      <c r="C6" s="92" t="s">
        <v>38</v>
      </c>
      <c r="D6" s="314" t="s">
        <v>17</v>
      </c>
      <c r="E6" s="314" t="s">
        <v>18</v>
      </c>
      <c r="F6" s="58">
        <v>37520</v>
      </c>
      <c r="G6" s="58" t="s">
        <v>19</v>
      </c>
      <c r="H6" s="58">
        <v>6405</v>
      </c>
      <c r="I6" s="58" t="s">
        <v>39</v>
      </c>
      <c r="J6" s="58" t="s">
        <v>21</v>
      </c>
      <c r="K6" s="92">
        <v>200250</v>
      </c>
      <c r="L6" s="63">
        <v>15450</v>
      </c>
      <c r="M6" s="63">
        <v>0</v>
      </c>
      <c r="N6" s="63"/>
    </row>
    <row r="7" spans="1:14" x14ac:dyDescent="0.25">
      <c r="A7" s="59" t="s">
        <v>40</v>
      </c>
      <c r="B7" s="60" t="s">
        <v>41</v>
      </c>
      <c r="C7" s="95" t="s">
        <v>38</v>
      </c>
      <c r="D7" s="315" t="s">
        <v>24</v>
      </c>
      <c r="E7" s="315" t="s">
        <v>25</v>
      </c>
      <c r="F7" s="60">
        <v>37540</v>
      </c>
      <c r="G7" s="60" t="s">
        <v>32</v>
      </c>
      <c r="H7" s="60">
        <v>6405</v>
      </c>
      <c r="I7" s="60" t="s">
        <v>21</v>
      </c>
      <c r="J7" s="60"/>
      <c r="K7" s="95">
        <v>200002</v>
      </c>
      <c r="L7" s="65">
        <v>17608</v>
      </c>
      <c r="M7" s="65">
        <v>0</v>
      </c>
      <c r="N7" s="65"/>
    </row>
    <row r="8" spans="1:14" x14ac:dyDescent="0.25">
      <c r="A8" s="57" t="s">
        <v>42</v>
      </c>
      <c r="B8" s="58" t="s">
        <v>43</v>
      </c>
      <c r="C8" s="92" t="s">
        <v>16</v>
      </c>
      <c r="D8" s="314" t="s">
        <v>24</v>
      </c>
      <c r="E8" s="314" t="s">
        <v>18</v>
      </c>
      <c r="F8" s="58">
        <v>37530</v>
      </c>
      <c r="G8" s="58" t="s">
        <v>44</v>
      </c>
      <c r="H8" s="58">
        <v>6405</v>
      </c>
      <c r="I8" s="58" t="s">
        <v>45</v>
      </c>
      <c r="J8" s="58" t="s">
        <v>21</v>
      </c>
      <c r="K8" s="92">
        <v>1000079</v>
      </c>
      <c r="L8" s="63">
        <v>175671.1</v>
      </c>
      <c r="M8" s="63">
        <v>74731.100000000006</v>
      </c>
      <c r="N8" s="63"/>
    </row>
    <row r="9" spans="1:14" x14ac:dyDescent="0.25">
      <c r="A9" s="59" t="s">
        <v>46</v>
      </c>
      <c r="B9" s="60" t="s">
        <v>47</v>
      </c>
      <c r="C9" s="95" t="s">
        <v>16</v>
      </c>
      <c r="D9" s="315" t="s">
        <v>24</v>
      </c>
      <c r="E9" s="315" t="s">
        <v>25</v>
      </c>
      <c r="F9" s="60">
        <v>37530</v>
      </c>
      <c r="G9" s="60" t="s">
        <v>44</v>
      </c>
      <c r="H9" s="60">
        <v>6405</v>
      </c>
      <c r="I9" s="60" t="s">
        <v>45</v>
      </c>
      <c r="J9" s="60" t="s">
        <v>21</v>
      </c>
      <c r="K9" s="95">
        <v>1000210</v>
      </c>
      <c r="L9" s="65">
        <v>131023.21</v>
      </c>
      <c r="M9" s="65">
        <v>28221.210000000006</v>
      </c>
      <c r="N9" s="65"/>
    </row>
    <row r="10" spans="1:14" x14ac:dyDescent="0.25">
      <c r="A10" s="57" t="s">
        <v>48</v>
      </c>
      <c r="B10" s="58" t="s">
        <v>49</v>
      </c>
      <c r="C10" s="92" t="s">
        <v>38</v>
      </c>
      <c r="D10" s="314" t="s">
        <v>17</v>
      </c>
      <c r="E10" s="314" t="s">
        <v>18</v>
      </c>
      <c r="F10" s="58">
        <v>37560</v>
      </c>
      <c r="G10" s="58" t="s">
        <v>50</v>
      </c>
      <c r="H10" s="58">
        <v>6405</v>
      </c>
      <c r="I10" s="58" t="s">
        <v>51</v>
      </c>
      <c r="J10" s="58"/>
      <c r="K10" s="92">
        <v>107593</v>
      </c>
      <c r="L10" s="63">
        <v>139959.49</v>
      </c>
      <c r="M10" s="63">
        <v>64665.489999999991</v>
      </c>
      <c r="N10" s="63"/>
    </row>
    <row r="11" spans="1:14" x14ac:dyDescent="0.25">
      <c r="A11" s="59" t="s">
        <v>52</v>
      </c>
      <c r="B11" s="60" t="s">
        <v>53</v>
      </c>
      <c r="C11" s="95" t="s">
        <v>16</v>
      </c>
      <c r="D11" s="315" t="s">
        <v>24</v>
      </c>
      <c r="E11" s="315" t="s">
        <v>25</v>
      </c>
      <c r="F11" s="60">
        <v>37530</v>
      </c>
      <c r="G11" s="60" t="s">
        <v>44</v>
      </c>
      <c r="H11" s="60">
        <v>6405</v>
      </c>
      <c r="I11" s="60" t="s">
        <v>45</v>
      </c>
      <c r="J11" s="60" t="s">
        <v>21</v>
      </c>
      <c r="K11" s="95">
        <v>107533</v>
      </c>
      <c r="L11" s="65">
        <v>37080</v>
      </c>
      <c r="M11" s="65">
        <v>3154</v>
      </c>
      <c r="N11" s="65"/>
    </row>
    <row r="12" spans="1:14" x14ac:dyDescent="0.25">
      <c r="A12" s="57" t="s">
        <v>54</v>
      </c>
      <c r="B12" s="58" t="s">
        <v>55</v>
      </c>
      <c r="C12" s="92" t="s">
        <v>38</v>
      </c>
      <c r="D12" s="314" t="s">
        <v>17</v>
      </c>
      <c r="E12" s="314" t="s">
        <v>18</v>
      </c>
      <c r="F12" s="58">
        <v>37560</v>
      </c>
      <c r="G12" s="58" t="s">
        <v>50</v>
      </c>
      <c r="H12" s="58">
        <v>6405</v>
      </c>
      <c r="I12" s="58" t="s">
        <v>56</v>
      </c>
      <c r="J12" s="58"/>
      <c r="K12" s="92">
        <v>200086</v>
      </c>
      <c r="L12" s="63">
        <v>42082</v>
      </c>
      <c r="M12" s="63">
        <v>-12720</v>
      </c>
      <c r="N12" s="63"/>
    </row>
    <row r="13" spans="1:14" x14ac:dyDescent="0.25">
      <c r="A13" s="59" t="s">
        <v>57</v>
      </c>
      <c r="B13" s="60" t="s">
        <v>58</v>
      </c>
      <c r="C13" s="95" t="s">
        <v>38</v>
      </c>
      <c r="D13" s="315" t="s">
        <v>17</v>
      </c>
      <c r="E13" s="315" t="s">
        <v>18</v>
      </c>
      <c r="F13" s="60">
        <v>37560</v>
      </c>
      <c r="G13" s="60" t="s">
        <v>50</v>
      </c>
      <c r="H13" s="60">
        <v>6405</v>
      </c>
      <c r="I13" s="60" t="s">
        <v>56</v>
      </c>
      <c r="J13" s="60"/>
      <c r="K13" s="95">
        <v>200195</v>
      </c>
      <c r="L13" s="65">
        <v>10090.1</v>
      </c>
      <c r="M13" s="65">
        <v>1644.1000000000004</v>
      </c>
      <c r="N13" s="65"/>
    </row>
    <row r="14" spans="1:14" x14ac:dyDescent="0.25">
      <c r="A14" s="57" t="s">
        <v>59</v>
      </c>
      <c r="B14" s="58" t="s">
        <v>60</v>
      </c>
      <c r="C14" s="92" t="s">
        <v>16</v>
      </c>
      <c r="D14" s="314" t="s">
        <v>24</v>
      </c>
      <c r="E14" s="314" t="s">
        <v>25</v>
      </c>
      <c r="F14" s="58">
        <v>37530</v>
      </c>
      <c r="G14" s="58" t="s">
        <v>44</v>
      </c>
      <c r="H14" s="58">
        <v>6405</v>
      </c>
      <c r="I14" s="58" t="s">
        <v>21</v>
      </c>
      <c r="J14" s="58"/>
      <c r="K14" s="92">
        <v>107637</v>
      </c>
      <c r="L14" s="63">
        <v>321111.7</v>
      </c>
      <c r="M14" s="63">
        <v>207811.7</v>
      </c>
      <c r="N14" s="63"/>
    </row>
    <row r="15" spans="1:14" x14ac:dyDescent="0.25">
      <c r="A15" s="59" t="s">
        <v>61</v>
      </c>
      <c r="B15" s="60" t="s">
        <v>62</v>
      </c>
      <c r="C15" s="95"/>
      <c r="D15" s="315" t="s">
        <v>17</v>
      </c>
      <c r="E15" s="315" t="s">
        <v>18</v>
      </c>
      <c r="F15" s="60">
        <v>37560</v>
      </c>
      <c r="G15" s="60" t="s">
        <v>50</v>
      </c>
      <c r="H15" s="60">
        <v>6405</v>
      </c>
      <c r="I15" s="60" t="s">
        <v>56</v>
      </c>
      <c r="J15" s="60"/>
      <c r="K15" s="95" t="s">
        <v>29</v>
      </c>
      <c r="L15" s="65">
        <v>0</v>
      </c>
      <c r="M15" s="65">
        <v>0</v>
      </c>
      <c r="N15" s="65">
        <v>8473.7999999999993</v>
      </c>
    </row>
    <row r="16" spans="1:14" x14ac:dyDescent="0.25">
      <c r="A16" s="57" t="s">
        <v>63</v>
      </c>
      <c r="B16" s="317" t="s">
        <v>64</v>
      </c>
      <c r="C16" s="92" t="s">
        <v>16</v>
      </c>
      <c r="D16" s="314" t="s">
        <v>24</v>
      </c>
      <c r="E16" s="314" t="s">
        <v>25</v>
      </c>
      <c r="F16" s="58">
        <v>37510</v>
      </c>
      <c r="G16" s="58" t="s">
        <v>26</v>
      </c>
      <c r="H16" s="58">
        <v>6205</v>
      </c>
      <c r="I16" s="58" t="s">
        <v>65</v>
      </c>
      <c r="J16" s="317" t="s">
        <v>28</v>
      </c>
      <c r="K16" s="92"/>
      <c r="L16" s="63"/>
      <c r="M16" s="63">
        <v>0</v>
      </c>
      <c r="N16" s="63"/>
    </row>
    <row r="17" spans="1:14" ht="30" x14ac:dyDescent="0.25">
      <c r="A17" s="59" t="s">
        <v>66</v>
      </c>
      <c r="B17" s="60" t="s">
        <v>67</v>
      </c>
      <c r="C17" s="95" t="s">
        <v>38</v>
      </c>
      <c r="D17" s="315"/>
      <c r="E17" s="315"/>
      <c r="F17" s="318">
        <v>37510</v>
      </c>
      <c r="G17" s="316" t="s">
        <v>68</v>
      </c>
      <c r="H17" s="318">
        <v>6405</v>
      </c>
      <c r="I17" s="316" t="s">
        <v>65</v>
      </c>
      <c r="J17" s="316" t="s">
        <v>28</v>
      </c>
      <c r="K17" s="95" t="s">
        <v>29</v>
      </c>
      <c r="L17" s="65">
        <v>20229.2</v>
      </c>
      <c r="M17" s="65">
        <v>11216.2</v>
      </c>
      <c r="N17" s="65"/>
    </row>
    <row r="18" spans="1:14" x14ac:dyDescent="0.25">
      <c r="A18" s="57" t="s">
        <v>69</v>
      </c>
      <c r="B18" s="317" t="s">
        <v>70</v>
      </c>
      <c r="C18" s="92" t="s">
        <v>38</v>
      </c>
      <c r="D18" s="314" t="s">
        <v>17</v>
      </c>
      <c r="E18" s="314" t="s">
        <v>18</v>
      </c>
      <c r="F18" s="58">
        <v>37560</v>
      </c>
      <c r="G18" s="58" t="s">
        <v>50</v>
      </c>
      <c r="H18" s="58">
        <v>6405</v>
      </c>
      <c r="I18" s="58" t="s">
        <v>56</v>
      </c>
      <c r="J18" s="58"/>
      <c r="K18" s="92" t="s">
        <v>29</v>
      </c>
      <c r="L18" s="63">
        <v>30306</v>
      </c>
      <c r="M18" s="63">
        <v>19079</v>
      </c>
      <c r="N18" s="63"/>
    </row>
    <row r="19" spans="1:14" x14ac:dyDescent="0.25">
      <c r="A19" s="59" t="s">
        <v>71</v>
      </c>
      <c r="B19" s="60" t="s">
        <v>72</v>
      </c>
      <c r="C19" s="95" t="s">
        <v>16</v>
      </c>
      <c r="D19" s="315" t="s">
        <v>24</v>
      </c>
      <c r="E19" s="315" t="s">
        <v>18</v>
      </c>
      <c r="F19" s="60">
        <v>37530</v>
      </c>
      <c r="G19" s="60" t="s">
        <v>44</v>
      </c>
      <c r="H19" s="60">
        <v>6405</v>
      </c>
      <c r="I19" s="60" t="s">
        <v>73</v>
      </c>
      <c r="J19" s="60" t="s">
        <v>74</v>
      </c>
      <c r="K19" s="95" t="s">
        <v>29</v>
      </c>
      <c r="L19" s="65">
        <v>10300</v>
      </c>
      <c r="M19" s="65">
        <v>0</v>
      </c>
      <c r="N19" s="65"/>
    </row>
    <row r="20" spans="1:14" ht="45" x14ac:dyDescent="0.25">
      <c r="A20" s="57" t="s">
        <v>75</v>
      </c>
      <c r="B20" s="58" t="s">
        <v>76</v>
      </c>
      <c r="C20" s="92" t="s">
        <v>16</v>
      </c>
      <c r="D20" s="314" t="s">
        <v>24</v>
      </c>
      <c r="E20" s="314" t="s">
        <v>25</v>
      </c>
      <c r="F20" s="58">
        <v>37510</v>
      </c>
      <c r="G20" s="58" t="s">
        <v>26</v>
      </c>
      <c r="H20" s="58">
        <v>6405</v>
      </c>
      <c r="I20" s="317" t="s">
        <v>77</v>
      </c>
      <c r="J20" s="317" t="s">
        <v>28</v>
      </c>
      <c r="K20" s="92">
        <v>200105</v>
      </c>
      <c r="L20" s="63">
        <v>90431.94</v>
      </c>
      <c r="M20" s="63">
        <v>-824.05999999999767</v>
      </c>
      <c r="N20" s="63"/>
    </row>
    <row r="21" spans="1:14" x14ac:dyDescent="0.25">
      <c r="A21" s="59" t="s">
        <v>78</v>
      </c>
      <c r="B21" s="60" t="s">
        <v>79</v>
      </c>
      <c r="C21" s="95" t="s">
        <v>16</v>
      </c>
      <c r="D21" s="315" t="s">
        <v>24</v>
      </c>
      <c r="E21" s="315" t="s">
        <v>25</v>
      </c>
      <c r="F21" s="60">
        <v>37540</v>
      </c>
      <c r="G21" s="60" t="s">
        <v>32</v>
      </c>
      <c r="H21" s="60">
        <v>6405</v>
      </c>
      <c r="I21" s="60" t="s">
        <v>80</v>
      </c>
      <c r="J21" s="60" t="s">
        <v>21</v>
      </c>
      <c r="K21" s="95">
        <v>200175</v>
      </c>
      <c r="L21" s="65"/>
      <c r="M21" s="65">
        <v>-16140</v>
      </c>
      <c r="N21" s="65">
        <v>16140</v>
      </c>
    </row>
    <row r="22" spans="1:14" ht="30" x14ac:dyDescent="0.25">
      <c r="A22" s="57" t="s">
        <v>81</v>
      </c>
      <c r="B22" s="58" t="s">
        <v>82</v>
      </c>
      <c r="C22" s="92" t="s">
        <v>16</v>
      </c>
      <c r="D22" s="314" t="s">
        <v>24</v>
      </c>
      <c r="E22" s="314" t="s">
        <v>25</v>
      </c>
      <c r="F22" s="58">
        <v>37510</v>
      </c>
      <c r="G22" s="58" t="s">
        <v>26</v>
      </c>
      <c r="H22" s="58">
        <v>6405</v>
      </c>
      <c r="I22" s="317" t="s">
        <v>83</v>
      </c>
      <c r="J22" s="317" t="s">
        <v>28</v>
      </c>
      <c r="K22" s="319" t="s">
        <v>84</v>
      </c>
      <c r="L22" s="63">
        <v>151023.75</v>
      </c>
      <c r="M22" s="63">
        <v>15217.75</v>
      </c>
      <c r="N22" s="63"/>
    </row>
    <row r="23" spans="1:14" x14ac:dyDescent="0.25">
      <c r="A23" s="59" t="s">
        <v>85</v>
      </c>
      <c r="B23" s="60" t="s">
        <v>86</v>
      </c>
      <c r="C23" s="95" t="s">
        <v>38</v>
      </c>
      <c r="D23" s="315" t="s">
        <v>17</v>
      </c>
      <c r="E23" s="315" t="s">
        <v>18</v>
      </c>
      <c r="F23" s="60">
        <v>37550</v>
      </c>
      <c r="G23" s="60" t="s">
        <v>87</v>
      </c>
      <c r="H23" s="60">
        <v>6405</v>
      </c>
      <c r="I23" s="60" t="s">
        <v>51</v>
      </c>
      <c r="J23" s="60" t="s">
        <v>56</v>
      </c>
      <c r="K23" s="95" t="s">
        <v>29</v>
      </c>
      <c r="L23" s="65">
        <v>36789</v>
      </c>
      <c r="M23" s="65">
        <v>3568</v>
      </c>
      <c r="N23" s="65"/>
    </row>
    <row r="24" spans="1:14" x14ac:dyDescent="0.25">
      <c r="A24" s="57" t="s">
        <v>88</v>
      </c>
      <c r="B24" s="58" t="s">
        <v>89</v>
      </c>
      <c r="C24" s="92" t="s">
        <v>16</v>
      </c>
      <c r="D24" s="314" t="s">
        <v>24</v>
      </c>
      <c r="E24" s="314" t="s">
        <v>25</v>
      </c>
      <c r="F24" s="58">
        <v>37510</v>
      </c>
      <c r="G24" s="58" t="s">
        <v>26</v>
      </c>
      <c r="H24" s="58">
        <v>6405</v>
      </c>
      <c r="I24" s="58" t="s">
        <v>27</v>
      </c>
      <c r="J24" s="317" t="s">
        <v>28</v>
      </c>
      <c r="K24" s="92">
        <v>107066</v>
      </c>
      <c r="L24" s="63">
        <v>91265.21</v>
      </c>
      <c r="M24" s="63">
        <v>21766.210000000006</v>
      </c>
      <c r="N24" s="63"/>
    </row>
    <row r="25" spans="1:14" x14ac:dyDescent="0.25">
      <c r="A25" s="59" t="s">
        <v>90</v>
      </c>
      <c r="B25" s="60" t="s">
        <v>91</v>
      </c>
      <c r="C25" s="95" t="s">
        <v>38</v>
      </c>
      <c r="D25" s="315" t="s">
        <v>17</v>
      </c>
      <c r="E25" s="315" t="s">
        <v>18</v>
      </c>
      <c r="F25" s="60">
        <v>37550</v>
      </c>
      <c r="G25" s="60" t="s">
        <v>87</v>
      </c>
      <c r="H25" s="60">
        <v>6405</v>
      </c>
      <c r="I25" s="60" t="s">
        <v>51</v>
      </c>
      <c r="J25" s="60" t="s">
        <v>56</v>
      </c>
      <c r="K25" s="95">
        <v>200015</v>
      </c>
      <c r="L25" s="65">
        <v>38520</v>
      </c>
      <c r="M25" s="65">
        <v>2520</v>
      </c>
      <c r="N25" s="65"/>
    </row>
    <row r="26" spans="1:14" x14ac:dyDescent="0.25">
      <c r="A26" s="57" t="s">
        <v>92</v>
      </c>
      <c r="B26" s="58" t="s">
        <v>93</v>
      </c>
      <c r="C26" s="92" t="s">
        <v>16</v>
      </c>
      <c r="D26" s="314" t="s">
        <v>24</v>
      </c>
      <c r="E26" s="314" t="s">
        <v>25</v>
      </c>
      <c r="F26" s="58">
        <v>37530</v>
      </c>
      <c r="G26" s="58" t="s">
        <v>44</v>
      </c>
      <c r="H26" s="58">
        <v>6405</v>
      </c>
      <c r="I26" s="58" t="s">
        <v>45</v>
      </c>
      <c r="J26" s="58" t="s">
        <v>21</v>
      </c>
      <c r="K26" s="92">
        <v>1000233</v>
      </c>
      <c r="L26" s="63">
        <v>123402.24000000001</v>
      </c>
      <c r="M26" s="63">
        <v>-121710.76</v>
      </c>
      <c r="N26" s="63"/>
    </row>
    <row r="27" spans="1:14" x14ac:dyDescent="0.25">
      <c r="A27" s="59" t="s">
        <v>94</v>
      </c>
      <c r="B27" s="60" t="s">
        <v>95</v>
      </c>
      <c r="C27" s="95" t="s">
        <v>16</v>
      </c>
      <c r="D27" s="315" t="s">
        <v>17</v>
      </c>
      <c r="E27" s="315" t="s">
        <v>18</v>
      </c>
      <c r="F27" s="60">
        <v>37560</v>
      </c>
      <c r="G27" s="60" t="s">
        <v>50</v>
      </c>
      <c r="H27" s="60">
        <v>6405</v>
      </c>
      <c r="I27" s="60" t="s">
        <v>56</v>
      </c>
      <c r="J27" s="60"/>
      <c r="K27" s="95">
        <v>200379</v>
      </c>
      <c r="L27" s="65">
        <v>336705</v>
      </c>
      <c r="M27" s="65">
        <v>141005</v>
      </c>
      <c r="N27" s="65"/>
    </row>
    <row r="28" spans="1:14" x14ac:dyDescent="0.25">
      <c r="A28" s="57" t="s">
        <v>94</v>
      </c>
      <c r="B28" s="58" t="s">
        <v>96</v>
      </c>
      <c r="C28" s="92" t="s">
        <v>16</v>
      </c>
      <c r="D28" s="314" t="s">
        <v>17</v>
      </c>
      <c r="E28" s="314" t="s">
        <v>18</v>
      </c>
      <c r="F28" s="58">
        <v>37560</v>
      </c>
      <c r="G28" s="58" t="s">
        <v>50</v>
      </c>
      <c r="H28" s="58">
        <v>6405</v>
      </c>
      <c r="I28" s="58" t="s">
        <v>56</v>
      </c>
      <c r="J28" s="58"/>
      <c r="K28" s="92">
        <v>200379</v>
      </c>
      <c r="L28" s="63">
        <v>53500</v>
      </c>
      <c r="M28" s="63">
        <v>53500</v>
      </c>
      <c r="N28" s="63"/>
    </row>
    <row r="29" spans="1:14" x14ac:dyDescent="0.25">
      <c r="A29" s="59" t="s">
        <v>97</v>
      </c>
      <c r="B29" s="60" t="s">
        <v>98</v>
      </c>
      <c r="C29" s="95" t="s">
        <v>16</v>
      </c>
      <c r="D29" s="315" t="s">
        <v>24</v>
      </c>
      <c r="E29" s="315" t="s">
        <v>18</v>
      </c>
      <c r="F29" s="60">
        <v>37540</v>
      </c>
      <c r="G29" s="60" t="s">
        <v>32</v>
      </c>
      <c r="H29" s="60">
        <v>6405</v>
      </c>
      <c r="I29" s="60" t="s">
        <v>33</v>
      </c>
      <c r="J29" s="60" t="s">
        <v>21</v>
      </c>
      <c r="K29" s="95" t="s">
        <v>29</v>
      </c>
      <c r="L29" s="65"/>
      <c r="M29" s="65">
        <v>-11742</v>
      </c>
      <c r="N29" s="65"/>
    </row>
    <row r="30" spans="1:14" x14ac:dyDescent="0.25">
      <c r="A30" s="57" t="s">
        <v>99</v>
      </c>
      <c r="B30" s="58" t="s">
        <v>100</v>
      </c>
      <c r="C30" s="92" t="s">
        <v>16</v>
      </c>
      <c r="D30" s="314" t="s">
        <v>24</v>
      </c>
      <c r="E30" s="314" t="s">
        <v>25</v>
      </c>
      <c r="F30" s="58">
        <v>37510</v>
      </c>
      <c r="G30" s="58" t="s">
        <v>26</v>
      </c>
      <c r="H30" s="58">
        <v>6405</v>
      </c>
      <c r="I30" s="58" t="s">
        <v>28</v>
      </c>
      <c r="J30" s="317" t="s">
        <v>28</v>
      </c>
      <c r="K30" s="92">
        <v>200093</v>
      </c>
      <c r="L30" s="63">
        <v>171731.9</v>
      </c>
      <c r="M30" s="63">
        <v>3340.8999999999942</v>
      </c>
      <c r="N30" s="63"/>
    </row>
    <row r="31" spans="1:14" x14ac:dyDescent="0.25">
      <c r="A31" s="59" t="s">
        <v>101</v>
      </c>
      <c r="B31" s="60" t="s">
        <v>102</v>
      </c>
      <c r="C31" s="95" t="s">
        <v>16</v>
      </c>
      <c r="D31" s="315" t="s">
        <v>24</v>
      </c>
      <c r="E31" s="315" t="s">
        <v>25</v>
      </c>
      <c r="F31" s="60">
        <v>37530</v>
      </c>
      <c r="G31" s="60" t="s">
        <v>44</v>
      </c>
      <c r="H31" s="60">
        <v>6405</v>
      </c>
      <c r="I31" s="60" t="s">
        <v>45</v>
      </c>
      <c r="J31" s="60" t="s">
        <v>21</v>
      </c>
      <c r="K31" s="95">
        <v>105494</v>
      </c>
      <c r="L31" s="65">
        <v>250532.7</v>
      </c>
      <c r="M31" s="65">
        <v>22775.700000000012</v>
      </c>
      <c r="N31" s="65"/>
    </row>
    <row r="32" spans="1:14" x14ac:dyDescent="0.25">
      <c r="A32" s="57" t="s">
        <v>103</v>
      </c>
      <c r="B32" s="58" t="s">
        <v>104</v>
      </c>
      <c r="C32" s="92" t="s">
        <v>38</v>
      </c>
      <c r="D32" s="314" t="s">
        <v>17</v>
      </c>
      <c r="E32" s="314" t="s">
        <v>18</v>
      </c>
      <c r="F32" s="58">
        <v>37560</v>
      </c>
      <c r="G32" s="58" t="s">
        <v>50</v>
      </c>
      <c r="H32" s="58">
        <v>6405</v>
      </c>
      <c r="I32" s="58" t="s">
        <v>56</v>
      </c>
      <c r="J32" s="58"/>
      <c r="K32" s="92">
        <v>200112</v>
      </c>
      <c r="L32" s="63">
        <v>18501</v>
      </c>
      <c r="M32" s="63">
        <v>1210</v>
      </c>
      <c r="N32" s="63"/>
    </row>
    <row r="33" spans="1:14" x14ac:dyDescent="0.25">
      <c r="A33" s="59" t="s">
        <v>105</v>
      </c>
      <c r="B33" s="60" t="s">
        <v>106</v>
      </c>
      <c r="C33" s="95" t="s">
        <v>38</v>
      </c>
      <c r="D33" s="315" t="s">
        <v>17</v>
      </c>
      <c r="E33" s="315" t="s">
        <v>18</v>
      </c>
      <c r="F33" s="60">
        <v>37560</v>
      </c>
      <c r="G33" s="60" t="s">
        <v>50</v>
      </c>
      <c r="H33" s="60">
        <v>6405</v>
      </c>
      <c r="I33" s="60" t="s">
        <v>56</v>
      </c>
      <c r="J33" s="60"/>
      <c r="K33" s="95"/>
      <c r="L33" s="65"/>
      <c r="M33" s="65">
        <v>0</v>
      </c>
      <c r="N33" s="65">
        <v>18554</v>
      </c>
    </row>
    <row r="34" spans="1:14" x14ac:dyDescent="0.25">
      <c r="A34" s="57" t="s">
        <v>107</v>
      </c>
      <c r="B34" s="58" t="s">
        <v>108</v>
      </c>
      <c r="C34" s="92" t="s">
        <v>16</v>
      </c>
      <c r="D34" s="314" t="s">
        <v>17</v>
      </c>
      <c r="E34" s="314" t="s">
        <v>18</v>
      </c>
      <c r="F34" s="58">
        <v>37550</v>
      </c>
      <c r="G34" s="58" t="s">
        <v>87</v>
      </c>
      <c r="H34" s="58">
        <v>6405</v>
      </c>
      <c r="I34" s="58" t="s">
        <v>51</v>
      </c>
      <c r="J34" s="58" t="s">
        <v>56</v>
      </c>
      <c r="K34" s="92">
        <v>1000000</v>
      </c>
      <c r="L34" s="63">
        <v>544371</v>
      </c>
      <c r="M34" s="63">
        <v>107651</v>
      </c>
      <c r="N34" s="63"/>
    </row>
    <row r="35" spans="1:14" x14ac:dyDescent="0.25">
      <c r="A35" s="59" t="s">
        <v>109</v>
      </c>
      <c r="B35" s="60" t="s">
        <v>110</v>
      </c>
      <c r="C35" s="95" t="s">
        <v>38</v>
      </c>
      <c r="D35" s="315" t="s">
        <v>17</v>
      </c>
      <c r="E35" s="315" t="s">
        <v>18</v>
      </c>
      <c r="F35" s="60">
        <v>37550</v>
      </c>
      <c r="G35" s="60" t="s">
        <v>87</v>
      </c>
      <c r="H35" s="60">
        <v>6405</v>
      </c>
      <c r="I35" s="60" t="s">
        <v>51</v>
      </c>
      <c r="J35" s="60" t="s">
        <v>56</v>
      </c>
      <c r="K35" s="95">
        <v>200176</v>
      </c>
      <c r="L35" s="65">
        <v>497000</v>
      </c>
      <c r="M35" s="65">
        <v>25441</v>
      </c>
      <c r="N35" s="65"/>
    </row>
    <row r="36" spans="1:14" x14ac:dyDescent="0.25">
      <c r="A36" s="57" t="s">
        <v>111</v>
      </c>
      <c r="B36" s="58" t="s">
        <v>112</v>
      </c>
      <c r="C36" s="92" t="s">
        <v>16</v>
      </c>
      <c r="D36" s="314" t="s">
        <v>17</v>
      </c>
      <c r="E36" s="314" t="s">
        <v>18</v>
      </c>
      <c r="F36" s="58">
        <v>37520</v>
      </c>
      <c r="G36" s="58" t="s">
        <v>19</v>
      </c>
      <c r="H36" s="58">
        <v>6405</v>
      </c>
      <c r="I36" s="58" t="s">
        <v>39</v>
      </c>
      <c r="J36" s="58" t="s">
        <v>21</v>
      </c>
      <c r="K36" s="92" t="s">
        <v>29</v>
      </c>
      <c r="L36" s="63"/>
      <c r="M36" s="63">
        <v>0</v>
      </c>
      <c r="N36" s="63"/>
    </row>
    <row r="37" spans="1:14" x14ac:dyDescent="0.25">
      <c r="A37" s="59" t="s">
        <v>113</v>
      </c>
      <c r="B37" s="60" t="s">
        <v>114</v>
      </c>
      <c r="C37" s="95" t="s">
        <v>16</v>
      </c>
      <c r="D37" s="315" t="s">
        <v>17</v>
      </c>
      <c r="E37" s="315" t="s">
        <v>18</v>
      </c>
      <c r="F37" s="60">
        <v>37550</v>
      </c>
      <c r="G37" s="60" t="s">
        <v>87</v>
      </c>
      <c r="H37" s="60">
        <v>6405</v>
      </c>
      <c r="I37" s="60" t="s">
        <v>51</v>
      </c>
      <c r="J37" s="60" t="s">
        <v>56</v>
      </c>
      <c r="K37" s="95" t="s">
        <v>29</v>
      </c>
      <c r="L37" s="65">
        <v>66950</v>
      </c>
      <c r="M37" s="65">
        <v>5150</v>
      </c>
      <c r="N37" s="65"/>
    </row>
    <row r="38" spans="1:14" x14ac:dyDescent="0.25">
      <c r="A38" s="57" t="s">
        <v>115</v>
      </c>
      <c r="B38" s="58" t="s">
        <v>116</v>
      </c>
      <c r="C38" s="92" t="s">
        <v>16</v>
      </c>
      <c r="D38" s="314" t="s">
        <v>17</v>
      </c>
      <c r="E38" s="314" t="s">
        <v>18</v>
      </c>
      <c r="F38" s="58">
        <v>37560</v>
      </c>
      <c r="G38" s="58" t="s">
        <v>50</v>
      </c>
      <c r="H38" s="58">
        <v>6405</v>
      </c>
      <c r="I38" s="58" t="s">
        <v>56</v>
      </c>
      <c r="J38" s="58"/>
      <c r="K38" s="92" t="s">
        <v>29</v>
      </c>
      <c r="L38" s="63">
        <v>11115</v>
      </c>
      <c r="M38" s="63">
        <v>1316</v>
      </c>
      <c r="N38" s="63"/>
    </row>
    <row r="39" spans="1:14" x14ac:dyDescent="0.25">
      <c r="A39" s="59" t="s">
        <v>115</v>
      </c>
      <c r="B39" s="60" t="s">
        <v>117</v>
      </c>
      <c r="C39" s="95" t="s">
        <v>16</v>
      </c>
      <c r="D39" s="315" t="s">
        <v>17</v>
      </c>
      <c r="E39" s="315" t="s">
        <v>18</v>
      </c>
      <c r="F39" s="60">
        <v>37560</v>
      </c>
      <c r="G39" s="60" t="s">
        <v>50</v>
      </c>
      <c r="H39" s="60">
        <v>6405</v>
      </c>
      <c r="I39" s="60" t="s">
        <v>56</v>
      </c>
      <c r="J39" s="60"/>
      <c r="K39" s="95" t="s">
        <v>29</v>
      </c>
      <c r="L39" s="65">
        <v>107000</v>
      </c>
      <c r="M39" s="65">
        <v>14300</v>
      </c>
      <c r="N39" s="65"/>
    </row>
    <row r="40" spans="1:14" ht="30" x14ac:dyDescent="0.25">
      <c r="A40" s="57" t="s">
        <v>118</v>
      </c>
      <c r="B40" s="58" t="s">
        <v>119</v>
      </c>
      <c r="C40" s="92" t="s">
        <v>16</v>
      </c>
      <c r="D40" s="314" t="s">
        <v>17</v>
      </c>
      <c r="E40" s="314" t="s">
        <v>18</v>
      </c>
      <c r="F40" s="58">
        <v>37520</v>
      </c>
      <c r="G40" s="58" t="s">
        <v>19</v>
      </c>
      <c r="H40" s="58">
        <v>6405</v>
      </c>
      <c r="I40" s="317" t="s">
        <v>120</v>
      </c>
      <c r="J40" s="58" t="s">
        <v>21</v>
      </c>
      <c r="K40" s="92">
        <v>200094</v>
      </c>
      <c r="L40" s="63">
        <v>428000</v>
      </c>
      <c r="M40" s="63">
        <v>128000</v>
      </c>
      <c r="N40" s="63"/>
    </row>
    <row r="41" spans="1:14" x14ac:dyDescent="0.25">
      <c r="A41" s="59" t="s">
        <v>121</v>
      </c>
      <c r="B41" s="60" t="s">
        <v>122</v>
      </c>
      <c r="C41" s="95" t="s">
        <v>16</v>
      </c>
      <c r="D41" s="315" t="s">
        <v>24</v>
      </c>
      <c r="E41" s="315" t="s">
        <v>25</v>
      </c>
      <c r="F41" s="60">
        <v>37510</v>
      </c>
      <c r="G41" s="60" t="s">
        <v>26</v>
      </c>
      <c r="H41" s="60">
        <v>6405</v>
      </c>
      <c r="I41" s="60" t="s">
        <v>123</v>
      </c>
      <c r="J41" s="316" t="s">
        <v>28</v>
      </c>
      <c r="K41" s="95" t="s">
        <v>29</v>
      </c>
      <c r="L41" s="65">
        <v>6180</v>
      </c>
      <c r="M41" s="65">
        <v>0</v>
      </c>
      <c r="N41" s="65"/>
    </row>
    <row r="42" spans="1:14" x14ac:dyDescent="0.25">
      <c r="A42" s="57" t="s">
        <v>124</v>
      </c>
      <c r="B42" s="58" t="s">
        <v>125</v>
      </c>
      <c r="C42" s="92" t="s">
        <v>16</v>
      </c>
      <c r="D42" s="314" t="s">
        <v>24</v>
      </c>
      <c r="E42" s="314" t="s">
        <v>25</v>
      </c>
      <c r="F42" s="58">
        <v>37540</v>
      </c>
      <c r="G42" s="58" t="s">
        <v>32</v>
      </c>
      <c r="H42" s="58">
        <v>6405</v>
      </c>
      <c r="I42" s="58" t="s">
        <v>80</v>
      </c>
      <c r="J42" s="58" t="s">
        <v>21</v>
      </c>
      <c r="K42" s="92" t="s">
        <v>29</v>
      </c>
      <c r="L42" s="63"/>
      <c r="M42" s="63">
        <v>-21016</v>
      </c>
      <c r="N42" s="63"/>
    </row>
    <row r="43" spans="1:14" x14ac:dyDescent="0.25">
      <c r="A43" s="59" t="s">
        <v>126</v>
      </c>
      <c r="B43" s="60" t="s">
        <v>127</v>
      </c>
      <c r="C43" s="95" t="s">
        <v>38</v>
      </c>
      <c r="D43" s="315" t="s">
        <v>17</v>
      </c>
      <c r="E43" s="315" t="s">
        <v>18</v>
      </c>
      <c r="F43" s="60">
        <v>37550</v>
      </c>
      <c r="G43" s="60" t="s">
        <v>87</v>
      </c>
      <c r="H43" s="60">
        <v>6405</v>
      </c>
      <c r="I43" s="60" t="s">
        <v>51</v>
      </c>
      <c r="J43" s="60" t="s">
        <v>56</v>
      </c>
      <c r="K43" s="95">
        <v>106756</v>
      </c>
      <c r="L43" s="65">
        <v>1405115</v>
      </c>
      <c r="M43" s="65">
        <v>66866</v>
      </c>
      <c r="N43" s="65"/>
    </row>
    <row r="44" spans="1:14" x14ac:dyDescent="0.25">
      <c r="A44" s="57" t="s">
        <v>128</v>
      </c>
      <c r="B44" s="317" t="s">
        <v>129</v>
      </c>
      <c r="C44" s="92" t="s">
        <v>16</v>
      </c>
      <c r="D44" s="314" t="s">
        <v>24</v>
      </c>
      <c r="E44" s="314" t="s">
        <v>25</v>
      </c>
      <c r="F44" s="58">
        <v>37530</v>
      </c>
      <c r="G44" s="58" t="s">
        <v>44</v>
      </c>
      <c r="H44" s="58">
        <v>6405</v>
      </c>
      <c r="I44" s="58" t="s">
        <v>45</v>
      </c>
      <c r="J44" s="58" t="s">
        <v>21</v>
      </c>
      <c r="K44" s="92">
        <v>1000287</v>
      </c>
      <c r="L44" s="63">
        <v>2889000</v>
      </c>
      <c r="M44" s="63">
        <v>1863112</v>
      </c>
      <c r="N44" s="63"/>
    </row>
    <row r="45" spans="1:14" x14ac:dyDescent="0.25">
      <c r="A45" s="59" t="s">
        <v>128</v>
      </c>
      <c r="B45" s="316" t="s">
        <v>130</v>
      </c>
      <c r="C45" s="95" t="s">
        <v>16</v>
      </c>
      <c r="D45" s="315" t="s">
        <v>24</v>
      </c>
      <c r="E45" s="315" t="s">
        <v>25</v>
      </c>
      <c r="F45" s="60">
        <v>37530</v>
      </c>
      <c r="G45" s="60" t="s">
        <v>44</v>
      </c>
      <c r="H45" s="60">
        <v>6405</v>
      </c>
      <c r="I45" s="60" t="s">
        <v>45</v>
      </c>
      <c r="J45" s="60" t="s">
        <v>21</v>
      </c>
      <c r="K45" s="95">
        <v>1000287</v>
      </c>
      <c r="L45" s="65">
        <v>20000</v>
      </c>
      <c r="M45" s="65">
        <v>0</v>
      </c>
      <c r="N45" s="65"/>
    </row>
    <row r="46" spans="1:14" x14ac:dyDescent="0.25">
      <c r="A46" s="57" t="s">
        <v>131</v>
      </c>
      <c r="B46" s="58" t="s">
        <v>132</v>
      </c>
      <c r="C46" s="92" t="s">
        <v>16</v>
      </c>
      <c r="D46" s="314" t="s">
        <v>17</v>
      </c>
      <c r="E46" s="314" t="s">
        <v>18</v>
      </c>
      <c r="F46" s="58">
        <v>37560</v>
      </c>
      <c r="G46" s="58" t="s">
        <v>50</v>
      </c>
      <c r="H46" s="58">
        <v>6405</v>
      </c>
      <c r="I46" s="58" t="s">
        <v>56</v>
      </c>
      <c r="J46" s="58"/>
      <c r="K46" s="92">
        <v>107257</v>
      </c>
      <c r="L46" s="63">
        <v>69550</v>
      </c>
      <c r="M46" s="63">
        <v>5690</v>
      </c>
      <c r="N46" s="63"/>
    </row>
    <row r="47" spans="1:14" x14ac:dyDescent="0.25">
      <c r="A47" s="59" t="s">
        <v>133</v>
      </c>
      <c r="B47" s="60" t="s">
        <v>134</v>
      </c>
      <c r="C47" s="95" t="s">
        <v>16</v>
      </c>
      <c r="D47" s="315" t="s">
        <v>24</v>
      </c>
      <c r="E47" s="315" t="s">
        <v>18</v>
      </c>
      <c r="F47" s="60">
        <v>37510</v>
      </c>
      <c r="G47" s="60" t="s">
        <v>26</v>
      </c>
      <c r="H47" s="60">
        <v>6405</v>
      </c>
      <c r="I47" s="60" t="s">
        <v>28</v>
      </c>
      <c r="J47" s="316"/>
      <c r="K47" s="95">
        <v>1000002</v>
      </c>
      <c r="L47" s="65">
        <v>604169.16</v>
      </c>
      <c r="M47" s="65">
        <v>-119920.83999999997</v>
      </c>
      <c r="N47" s="65"/>
    </row>
    <row r="48" spans="1:14" x14ac:dyDescent="0.25">
      <c r="A48" s="57" t="s">
        <v>135</v>
      </c>
      <c r="B48" s="58" t="s">
        <v>136</v>
      </c>
      <c r="C48" s="92" t="s">
        <v>16</v>
      </c>
      <c r="D48" s="314" t="s">
        <v>24</v>
      </c>
      <c r="E48" s="314" t="s">
        <v>25</v>
      </c>
      <c r="F48" s="58">
        <v>37530</v>
      </c>
      <c r="G48" s="58" t="s">
        <v>44</v>
      </c>
      <c r="H48" s="58">
        <v>6405</v>
      </c>
      <c r="I48" s="58" t="s">
        <v>21</v>
      </c>
      <c r="J48" s="58"/>
      <c r="K48" s="92" t="s">
        <v>29</v>
      </c>
      <c r="L48" s="63">
        <v>28953.75</v>
      </c>
      <c r="M48" s="63">
        <v>7323.75</v>
      </c>
      <c r="N48" s="63"/>
    </row>
    <row r="49" spans="1:14" x14ac:dyDescent="0.25">
      <c r="A49" s="59" t="s">
        <v>137</v>
      </c>
      <c r="B49" s="60" t="s">
        <v>138</v>
      </c>
      <c r="C49" s="95" t="s">
        <v>16</v>
      </c>
      <c r="D49" s="315" t="s">
        <v>17</v>
      </c>
      <c r="E49" s="315" t="s">
        <v>18</v>
      </c>
      <c r="F49" s="60">
        <v>37560</v>
      </c>
      <c r="G49" s="60" t="s">
        <v>50</v>
      </c>
      <c r="H49" s="60">
        <v>6405</v>
      </c>
      <c r="I49" s="60" t="s">
        <v>56</v>
      </c>
      <c r="J49" s="60"/>
      <c r="K49" s="95" t="s">
        <v>29</v>
      </c>
      <c r="L49" s="65">
        <v>10700</v>
      </c>
      <c r="M49" s="65">
        <v>400</v>
      </c>
      <c r="N49" s="65"/>
    </row>
    <row r="50" spans="1:14" x14ac:dyDescent="0.25">
      <c r="A50" s="57" t="s">
        <v>139</v>
      </c>
      <c r="B50" s="58" t="s">
        <v>140</v>
      </c>
      <c r="C50" s="92" t="s">
        <v>16</v>
      </c>
      <c r="D50" s="314" t="s">
        <v>24</v>
      </c>
      <c r="E50" s="314" t="s">
        <v>25</v>
      </c>
      <c r="F50" s="58">
        <v>37540</v>
      </c>
      <c r="G50" s="58" t="s">
        <v>32</v>
      </c>
      <c r="H50" s="58">
        <v>6405</v>
      </c>
      <c r="I50" s="58" t="s">
        <v>21</v>
      </c>
      <c r="J50" s="58"/>
      <c r="K50" s="92">
        <v>1000064</v>
      </c>
      <c r="L50" s="63"/>
      <c r="M50" s="63">
        <v>-300134</v>
      </c>
      <c r="N50" s="63"/>
    </row>
    <row r="51" spans="1:14" x14ac:dyDescent="0.25">
      <c r="A51" s="59" t="s">
        <v>141</v>
      </c>
      <c r="B51" s="60" t="s">
        <v>142</v>
      </c>
      <c r="C51" s="95" t="s">
        <v>16</v>
      </c>
      <c r="D51" s="315" t="s">
        <v>24</v>
      </c>
      <c r="E51" s="315" t="s">
        <v>25</v>
      </c>
      <c r="F51" s="60">
        <v>37510</v>
      </c>
      <c r="G51" s="60" t="s">
        <v>26</v>
      </c>
      <c r="H51" s="60">
        <v>6405</v>
      </c>
      <c r="I51" s="60" t="s">
        <v>27</v>
      </c>
      <c r="J51" s="316" t="s">
        <v>28</v>
      </c>
      <c r="K51" s="95" t="s">
        <v>29</v>
      </c>
      <c r="L51" s="65">
        <v>29872.06</v>
      </c>
      <c r="M51" s="65">
        <v>0</v>
      </c>
      <c r="N51" s="65"/>
    </row>
  </sheetData>
  <autoFilter ref="A1:N51" xr:uid="{B6BEED12-5455-42C5-B3A3-2EFF051D964E}"/>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E84E-47E0-4F6C-BDCD-6CFAF4335074}">
  <dimension ref="A1:N39"/>
  <sheetViews>
    <sheetView workbookViewId="0"/>
  </sheetViews>
  <sheetFormatPr defaultRowHeight="15" x14ac:dyDescent="0.25"/>
  <cols>
    <col min="1" max="1" width="52.42578125" style="8" customWidth="1"/>
    <col min="2" max="2" width="81.28515625" bestFit="1" customWidth="1"/>
    <col min="3" max="3" width="12.5703125" customWidth="1"/>
    <col min="4" max="4" width="8.85546875" bestFit="1" customWidth="1"/>
    <col min="5" max="5" width="16.5703125" bestFit="1" customWidth="1"/>
    <col min="6" max="6" width="16.42578125" bestFit="1" customWidth="1"/>
    <col min="7" max="7" width="14.140625" bestFit="1" customWidth="1"/>
    <col min="8" max="8" width="21.7109375" bestFit="1" customWidth="1"/>
    <col min="9" max="10" width="10.7109375" bestFit="1" customWidth="1"/>
    <col min="11" max="12" width="11.5703125" bestFit="1" customWidth="1"/>
    <col min="13" max="13" width="11.5703125" customWidth="1"/>
    <col min="14" max="14" width="10.85546875" customWidth="1"/>
  </cols>
  <sheetData>
    <row r="1" spans="1:14" ht="30" x14ac:dyDescent="0.25">
      <c r="A1" s="35" t="s">
        <v>0</v>
      </c>
      <c r="B1" s="36" t="s">
        <v>1</v>
      </c>
      <c r="C1" s="36" t="s">
        <v>2</v>
      </c>
      <c r="D1" s="36" t="s">
        <v>5</v>
      </c>
      <c r="E1" s="36" t="s">
        <v>143</v>
      </c>
      <c r="F1" s="36" t="s">
        <v>1252</v>
      </c>
      <c r="G1" s="36" t="s">
        <v>10</v>
      </c>
      <c r="H1" s="36" t="s">
        <v>147</v>
      </c>
      <c r="I1" s="38" t="s">
        <v>148</v>
      </c>
      <c r="J1" s="38" t="s">
        <v>149</v>
      </c>
      <c r="K1" s="89" t="s">
        <v>151</v>
      </c>
      <c r="L1" s="61" t="s">
        <v>153</v>
      </c>
      <c r="M1" s="61" t="s">
        <v>154</v>
      </c>
      <c r="N1" s="230" t="s">
        <v>164</v>
      </c>
    </row>
    <row r="2" spans="1:14" x14ac:dyDescent="0.25">
      <c r="A2" s="233" t="s">
        <v>128</v>
      </c>
      <c r="B2" s="60" t="s">
        <v>1253</v>
      </c>
      <c r="C2" s="95" t="s">
        <v>16</v>
      </c>
      <c r="D2" s="60">
        <v>37530</v>
      </c>
      <c r="E2" s="60" t="s">
        <v>45</v>
      </c>
      <c r="F2" s="60" t="s">
        <v>332</v>
      </c>
      <c r="G2" s="95">
        <v>200103</v>
      </c>
      <c r="H2" s="95" t="s">
        <v>189</v>
      </c>
      <c r="I2" s="64">
        <v>43647</v>
      </c>
      <c r="J2" s="64">
        <v>44742</v>
      </c>
      <c r="K2" s="65">
        <v>1022000</v>
      </c>
      <c r="L2" s="65">
        <v>1025888</v>
      </c>
      <c r="M2" s="65">
        <v>2200000</v>
      </c>
      <c r="N2" s="81"/>
    </row>
    <row r="3" spans="1:14" x14ac:dyDescent="0.25">
      <c r="A3" s="232" t="s">
        <v>109</v>
      </c>
      <c r="B3" s="58" t="s">
        <v>110</v>
      </c>
      <c r="C3" s="92" t="s">
        <v>38</v>
      </c>
      <c r="D3" s="58">
        <v>37550</v>
      </c>
      <c r="E3" s="58" t="s">
        <v>51</v>
      </c>
      <c r="F3" s="58" t="s">
        <v>56</v>
      </c>
      <c r="G3" s="92">
        <v>200176</v>
      </c>
      <c r="H3" s="92" t="s">
        <v>1254</v>
      </c>
      <c r="I3" s="62">
        <v>41194</v>
      </c>
      <c r="J3" s="62">
        <v>45107</v>
      </c>
      <c r="K3" s="63">
        <v>472000</v>
      </c>
      <c r="L3" s="63">
        <v>471559</v>
      </c>
      <c r="M3" s="63"/>
      <c r="N3" s="231"/>
    </row>
    <row r="4" spans="1:14" x14ac:dyDescent="0.25">
      <c r="A4" s="233" t="s">
        <v>139</v>
      </c>
      <c r="B4" s="60" t="s">
        <v>140</v>
      </c>
      <c r="C4" s="95" t="s">
        <v>16</v>
      </c>
      <c r="D4" s="60">
        <v>37540</v>
      </c>
      <c r="E4" s="60" t="s">
        <v>21</v>
      </c>
      <c r="F4" s="60"/>
      <c r="G4" s="95">
        <v>104333</v>
      </c>
      <c r="H4" s="95" t="s">
        <v>189</v>
      </c>
      <c r="I4" s="64">
        <v>40877</v>
      </c>
      <c r="J4" s="64">
        <v>44561</v>
      </c>
      <c r="K4" s="65">
        <v>358000</v>
      </c>
      <c r="L4" s="65">
        <v>300134</v>
      </c>
      <c r="M4" s="65"/>
      <c r="N4" s="81"/>
    </row>
    <row r="5" spans="1:14" x14ac:dyDescent="0.25">
      <c r="A5" s="232" t="s">
        <v>118</v>
      </c>
      <c r="B5" s="58" t="s">
        <v>119</v>
      </c>
      <c r="C5" s="92" t="s">
        <v>16</v>
      </c>
      <c r="D5" s="58">
        <v>37520</v>
      </c>
      <c r="E5" s="58" t="s">
        <v>120</v>
      </c>
      <c r="F5" s="58" t="s">
        <v>21</v>
      </c>
      <c r="G5" s="92">
        <v>200094</v>
      </c>
      <c r="H5" s="92" t="s">
        <v>189</v>
      </c>
      <c r="I5" s="62">
        <v>43647</v>
      </c>
      <c r="J5" s="62">
        <v>44742</v>
      </c>
      <c r="K5" s="63">
        <v>300000</v>
      </c>
      <c r="L5" s="63">
        <v>300000</v>
      </c>
      <c r="M5" s="63"/>
      <c r="N5" s="231"/>
    </row>
    <row r="6" spans="1:14" x14ac:dyDescent="0.25">
      <c r="A6" s="233" t="s">
        <v>128</v>
      </c>
      <c r="B6" s="60" t="s">
        <v>1255</v>
      </c>
      <c r="C6" s="95" t="s">
        <v>16</v>
      </c>
      <c r="D6" s="60">
        <v>37530</v>
      </c>
      <c r="E6" s="60" t="s">
        <v>45</v>
      </c>
      <c r="F6" s="60" t="s">
        <v>332</v>
      </c>
      <c r="G6" s="95" t="s">
        <v>29</v>
      </c>
      <c r="H6" s="95" t="s">
        <v>29</v>
      </c>
      <c r="I6" s="64"/>
      <c r="J6" s="64"/>
      <c r="K6" s="65">
        <v>0</v>
      </c>
      <c r="L6" s="65">
        <v>245113</v>
      </c>
      <c r="M6" s="65"/>
      <c r="N6" s="81"/>
    </row>
    <row r="7" spans="1:14" x14ac:dyDescent="0.25">
      <c r="A7" s="232" t="s">
        <v>94</v>
      </c>
      <c r="B7" s="58" t="s">
        <v>95</v>
      </c>
      <c r="C7" s="92" t="s">
        <v>16</v>
      </c>
      <c r="D7" s="58">
        <v>37560</v>
      </c>
      <c r="E7" s="58" t="s">
        <v>56</v>
      </c>
      <c r="F7" s="58"/>
      <c r="G7" s="92">
        <v>200379</v>
      </c>
      <c r="H7" s="92" t="s">
        <v>179</v>
      </c>
      <c r="I7" s="62">
        <v>44259</v>
      </c>
      <c r="J7" s="62">
        <v>45354</v>
      </c>
      <c r="K7" s="63">
        <v>196000</v>
      </c>
      <c r="L7" s="63">
        <v>195700</v>
      </c>
      <c r="M7" s="63"/>
      <c r="N7" s="231"/>
    </row>
    <row r="8" spans="1:14" x14ac:dyDescent="0.25">
      <c r="A8" s="233" t="s">
        <v>81</v>
      </c>
      <c r="B8" s="60" t="s">
        <v>82</v>
      </c>
      <c r="C8" s="95" t="s">
        <v>16</v>
      </c>
      <c r="D8" s="60">
        <v>37510</v>
      </c>
      <c r="E8" s="60" t="s">
        <v>83</v>
      </c>
      <c r="F8" s="60"/>
      <c r="G8" s="95" t="s">
        <v>181</v>
      </c>
      <c r="H8" s="95" t="s">
        <v>175</v>
      </c>
      <c r="I8" s="64">
        <v>43312</v>
      </c>
      <c r="J8" s="64">
        <v>44760</v>
      </c>
      <c r="K8" s="65">
        <v>112860</v>
      </c>
      <c r="L8" s="65">
        <v>135806</v>
      </c>
      <c r="M8" s="65"/>
      <c r="N8" s="81"/>
    </row>
    <row r="9" spans="1:14" x14ac:dyDescent="0.25">
      <c r="A9" s="232" t="s">
        <v>509</v>
      </c>
      <c r="B9" s="58" t="s">
        <v>230</v>
      </c>
      <c r="C9" s="92" t="s">
        <v>16</v>
      </c>
      <c r="D9" s="58">
        <v>37100</v>
      </c>
      <c r="E9" s="58" t="s">
        <v>452</v>
      </c>
      <c r="F9" s="58" t="s">
        <v>74</v>
      </c>
      <c r="G9" s="92">
        <v>105064</v>
      </c>
      <c r="H9" s="92" t="s">
        <v>189</v>
      </c>
      <c r="I9" s="62">
        <v>41351</v>
      </c>
      <c r="J9" s="62">
        <v>44742</v>
      </c>
      <c r="K9" s="63">
        <v>115000</v>
      </c>
      <c r="L9" s="63">
        <v>118450</v>
      </c>
      <c r="M9" s="63"/>
      <c r="N9" s="231"/>
    </row>
    <row r="10" spans="1:14" x14ac:dyDescent="0.25">
      <c r="A10" s="233" t="s">
        <v>59</v>
      </c>
      <c r="B10" s="60" t="s">
        <v>60</v>
      </c>
      <c r="C10" s="95" t="s">
        <v>16</v>
      </c>
      <c r="D10" s="60">
        <v>37530</v>
      </c>
      <c r="E10" s="60" t="s">
        <v>21</v>
      </c>
      <c r="F10" s="60"/>
      <c r="G10" s="95">
        <v>107637</v>
      </c>
      <c r="H10" s="95" t="s">
        <v>189</v>
      </c>
      <c r="I10" s="64">
        <v>42948</v>
      </c>
      <c r="J10" s="64">
        <v>44773</v>
      </c>
      <c r="K10" s="65">
        <v>116000</v>
      </c>
      <c r="L10" s="65">
        <v>113300</v>
      </c>
      <c r="M10" s="65"/>
      <c r="N10" s="81"/>
    </row>
    <row r="11" spans="1:14" ht="30" x14ac:dyDescent="0.25">
      <c r="A11" s="232" t="s">
        <v>670</v>
      </c>
      <c r="B11" s="58" t="s">
        <v>117</v>
      </c>
      <c r="C11" s="92" t="s">
        <v>16</v>
      </c>
      <c r="D11" s="58">
        <v>37560</v>
      </c>
      <c r="E11" s="58" t="s">
        <v>56</v>
      </c>
      <c r="F11" s="58"/>
      <c r="G11" s="92" t="s">
        <v>29</v>
      </c>
      <c r="H11" s="92" t="s">
        <v>29</v>
      </c>
      <c r="I11" s="62"/>
      <c r="J11" s="62">
        <v>44377</v>
      </c>
      <c r="K11" s="63">
        <v>93000</v>
      </c>
      <c r="L11" s="63">
        <v>92700</v>
      </c>
      <c r="M11" s="63"/>
      <c r="N11" s="231"/>
    </row>
    <row r="12" spans="1:14" x14ac:dyDescent="0.25">
      <c r="A12" s="233" t="s">
        <v>75</v>
      </c>
      <c r="B12" s="60" t="s">
        <v>76</v>
      </c>
      <c r="C12" s="95" t="s">
        <v>16</v>
      </c>
      <c r="D12" s="60">
        <v>37510</v>
      </c>
      <c r="E12" s="60" t="s">
        <v>77</v>
      </c>
      <c r="F12" s="60"/>
      <c r="G12" s="95">
        <v>200105</v>
      </c>
      <c r="H12" s="95" t="s">
        <v>179</v>
      </c>
      <c r="I12" s="64">
        <v>43665</v>
      </c>
      <c r="J12" s="64">
        <v>44760</v>
      </c>
      <c r="K12" s="65">
        <v>84150</v>
      </c>
      <c r="L12" s="65">
        <v>91256</v>
      </c>
      <c r="M12" s="65"/>
      <c r="N12" s="81"/>
    </row>
    <row r="13" spans="1:14" x14ac:dyDescent="0.25">
      <c r="A13" s="232" t="s">
        <v>48</v>
      </c>
      <c r="B13" s="58" t="s">
        <v>49</v>
      </c>
      <c r="C13" s="92" t="s">
        <v>38</v>
      </c>
      <c r="D13" s="58">
        <v>37560</v>
      </c>
      <c r="E13" s="58" t="s">
        <v>51</v>
      </c>
      <c r="F13" s="58"/>
      <c r="G13" s="92">
        <v>107593</v>
      </c>
      <c r="H13" s="92" t="s">
        <v>179</v>
      </c>
      <c r="I13" s="62">
        <v>42787</v>
      </c>
      <c r="J13" s="62">
        <v>44612</v>
      </c>
      <c r="K13" s="63">
        <v>240000</v>
      </c>
      <c r="L13" s="63">
        <v>75294</v>
      </c>
      <c r="M13" s="63"/>
      <c r="N13" s="231"/>
    </row>
    <row r="14" spans="1:14" x14ac:dyDescent="0.25">
      <c r="A14" s="233" t="s">
        <v>88</v>
      </c>
      <c r="B14" s="60" t="s">
        <v>89</v>
      </c>
      <c r="C14" s="95" t="s">
        <v>16</v>
      </c>
      <c r="D14" s="60">
        <v>37510</v>
      </c>
      <c r="E14" s="60" t="s">
        <v>27</v>
      </c>
      <c r="F14" s="60"/>
      <c r="G14" s="95">
        <v>107066</v>
      </c>
      <c r="H14" s="95" t="s">
        <v>175</v>
      </c>
      <c r="I14" s="64">
        <v>42491</v>
      </c>
      <c r="J14" s="64">
        <v>43646</v>
      </c>
      <c r="K14" s="65">
        <v>63000</v>
      </c>
      <c r="L14" s="65">
        <v>69499</v>
      </c>
      <c r="M14" s="65"/>
      <c r="N14" s="81"/>
    </row>
    <row r="15" spans="1:14" x14ac:dyDescent="0.25">
      <c r="A15" s="232" t="s">
        <v>131</v>
      </c>
      <c r="B15" s="58" t="s">
        <v>132</v>
      </c>
      <c r="C15" s="92" t="s">
        <v>16</v>
      </c>
      <c r="D15" s="58">
        <v>37560</v>
      </c>
      <c r="E15" s="58" t="s">
        <v>56</v>
      </c>
      <c r="F15" s="58"/>
      <c r="G15" s="92">
        <v>107257</v>
      </c>
      <c r="H15" s="92" t="s">
        <v>184</v>
      </c>
      <c r="I15" s="62">
        <v>42514</v>
      </c>
      <c r="J15" s="62">
        <v>44742</v>
      </c>
      <c r="K15" s="63">
        <v>65000</v>
      </c>
      <c r="L15" s="63">
        <v>63860</v>
      </c>
      <c r="M15" s="63"/>
      <c r="N15" s="231"/>
    </row>
    <row r="16" spans="1:14" x14ac:dyDescent="0.25">
      <c r="A16" s="233" t="s">
        <v>113</v>
      </c>
      <c r="B16" s="60" t="s">
        <v>114</v>
      </c>
      <c r="C16" s="95" t="s">
        <v>16</v>
      </c>
      <c r="D16" s="60">
        <v>37550</v>
      </c>
      <c r="E16" s="60" t="s">
        <v>51</v>
      </c>
      <c r="F16" s="60" t="s">
        <v>56</v>
      </c>
      <c r="G16" s="95" t="s">
        <v>29</v>
      </c>
      <c r="H16" s="95" t="s">
        <v>29</v>
      </c>
      <c r="I16" s="64"/>
      <c r="J16" s="64"/>
      <c r="K16" s="65">
        <v>62000</v>
      </c>
      <c r="L16" s="65">
        <v>61800</v>
      </c>
      <c r="M16" s="65"/>
      <c r="N16" s="81"/>
    </row>
    <row r="17" spans="1:14" x14ac:dyDescent="0.25">
      <c r="A17" s="232" t="s">
        <v>1256</v>
      </c>
      <c r="B17" s="58" t="s">
        <v>1257</v>
      </c>
      <c r="C17" s="92"/>
      <c r="D17" s="58">
        <v>37560</v>
      </c>
      <c r="E17" s="58" t="s">
        <v>56</v>
      </c>
      <c r="F17" s="58"/>
      <c r="G17" s="92"/>
      <c r="H17" s="92"/>
      <c r="I17" s="62"/>
      <c r="J17" s="62"/>
      <c r="K17" s="63">
        <v>0</v>
      </c>
      <c r="L17" s="63">
        <v>0</v>
      </c>
      <c r="M17" s="63">
        <v>55723</v>
      </c>
      <c r="N17" s="231"/>
    </row>
    <row r="18" spans="1:14" x14ac:dyDescent="0.25">
      <c r="A18" s="233" t="s">
        <v>54</v>
      </c>
      <c r="B18" s="60" t="s">
        <v>232</v>
      </c>
      <c r="C18" s="95" t="s">
        <v>38</v>
      </c>
      <c r="D18" s="60">
        <v>37560</v>
      </c>
      <c r="E18" s="60" t="s">
        <v>56</v>
      </c>
      <c r="F18" s="60"/>
      <c r="G18" s="95">
        <v>200086</v>
      </c>
      <c r="H18" s="95" t="s">
        <v>175</v>
      </c>
      <c r="I18" s="64">
        <v>43647</v>
      </c>
      <c r="J18" s="64">
        <v>44742</v>
      </c>
      <c r="K18" s="65">
        <v>54082</v>
      </c>
      <c r="L18" s="65">
        <v>54802</v>
      </c>
      <c r="M18" s="65"/>
      <c r="N18" s="81"/>
    </row>
    <row r="19" spans="1:14" x14ac:dyDescent="0.25">
      <c r="A19" s="232" t="s">
        <v>14</v>
      </c>
      <c r="B19" s="58" t="s">
        <v>15</v>
      </c>
      <c r="C19" s="92" t="s">
        <v>16</v>
      </c>
      <c r="D19" s="58">
        <v>37520</v>
      </c>
      <c r="E19" s="58" t="s">
        <v>20</v>
      </c>
      <c r="F19" s="58" t="s">
        <v>21</v>
      </c>
      <c r="G19" s="92">
        <v>200340</v>
      </c>
      <c r="H19" s="92" t="s">
        <v>179</v>
      </c>
      <c r="I19" s="62">
        <v>44168</v>
      </c>
      <c r="J19" s="62">
        <v>45262</v>
      </c>
      <c r="K19" s="63">
        <v>0</v>
      </c>
      <c r="L19" s="63">
        <v>36489</v>
      </c>
      <c r="M19" s="63"/>
      <c r="N19" s="231"/>
    </row>
    <row r="20" spans="1:14" x14ac:dyDescent="0.25">
      <c r="A20" s="233" t="s">
        <v>52</v>
      </c>
      <c r="B20" s="60" t="s">
        <v>228</v>
      </c>
      <c r="C20" s="95" t="s">
        <v>16</v>
      </c>
      <c r="D20" s="60">
        <v>37530</v>
      </c>
      <c r="E20" s="60" t="s">
        <v>45</v>
      </c>
      <c r="F20" s="60" t="s">
        <v>332</v>
      </c>
      <c r="G20" s="95">
        <v>107533</v>
      </c>
      <c r="H20" s="95" t="s">
        <v>189</v>
      </c>
      <c r="I20" s="64">
        <v>41351</v>
      </c>
      <c r="J20" s="64">
        <v>44742</v>
      </c>
      <c r="K20" s="65">
        <v>36050</v>
      </c>
      <c r="L20" s="65">
        <v>33926</v>
      </c>
      <c r="M20" s="65"/>
      <c r="N20" s="81"/>
    </row>
    <row r="21" spans="1:14" x14ac:dyDescent="0.25">
      <c r="A21" s="232" t="s">
        <v>85</v>
      </c>
      <c r="B21" s="58" t="s">
        <v>86</v>
      </c>
      <c r="C21" s="92" t="s">
        <v>38</v>
      </c>
      <c r="D21" s="58">
        <v>37550</v>
      </c>
      <c r="E21" s="58" t="s">
        <v>51</v>
      </c>
      <c r="F21" s="58" t="s">
        <v>56</v>
      </c>
      <c r="G21" s="92" t="s">
        <v>29</v>
      </c>
      <c r="H21" s="92" t="s">
        <v>29</v>
      </c>
      <c r="I21" s="62"/>
      <c r="J21" s="62"/>
      <c r="K21" s="63">
        <v>33000</v>
      </c>
      <c r="L21" s="63">
        <v>33221</v>
      </c>
      <c r="M21" s="63"/>
      <c r="N21" s="231"/>
    </row>
    <row r="22" spans="1:14" x14ac:dyDescent="0.25">
      <c r="A22" s="233" t="s">
        <v>141</v>
      </c>
      <c r="B22" s="60" t="s">
        <v>142</v>
      </c>
      <c r="C22" s="95" t="s">
        <v>16</v>
      </c>
      <c r="D22" s="60">
        <v>37510</v>
      </c>
      <c r="E22" s="60" t="s">
        <v>27</v>
      </c>
      <c r="F22" s="60"/>
      <c r="G22" s="95" t="s">
        <v>29</v>
      </c>
      <c r="H22" s="95" t="s">
        <v>29</v>
      </c>
      <c r="I22" s="64"/>
      <c r="J22" s="64"/>
      <c r="K22" s="65">
        <v>28000</v>
      </c>
      <c r="L22" s="65">
        <v>29872.06</v>
      </c>
      <c r="M22" s="65"/>
      <c r="N22" s="81"/>
    </row>
    <row r="23" spans="1:14" x14ac:dyDescent="0.25">
      <c r="A23" s="232" t="s">
        <v>135</v>
      </c>
      <c r="B23" s="58" t="s">
        <v>136</v>
      </c>
      <c r="C23" s="92" t="s">
        <v>16</v>
      </c>
      <c r="D23" s="58">
        <v>37530</v>
      </c>
      <c r="E23" s="58" t="s">
        <v>21</v>
      </c>
      <c r="F23" s="58"/>
      <c r="G23" s="92" t="s">
        <v>29</v>
      </c>
      <c r="H23" s="92" t="s">
        <v>29</v>
      </c>
      <c r="I23" s="62">
        <v>42480</v>
      </c>
      <c r="J23" s="62"/>
      <c r="K23" s="63">
        <v>16000</v>
      </c>
      <c r="L23" s="63">
        <v>21630</v>
      </c>
      <c r="M23" s="63"/>
      <c r="N23" s="231"/>
    </row>
    <row r="24" spans="1:14" x14ac:dyDescent="0.25">
      <c r="A24" s="233" t="s">
        <v>1174</v>
      </c>
      <c r="B24" s="60" t="s">
        <v>125</v>
      </c>
      <c r="C24" s="95" t="s">
        <v>16</v>
      </c>
      <c r="D24" s="60">
        <v>37540</v>
      </c>
      <c r="E24" s="60" t="s">
        <v>80</v>
      </c>
      <c r="F24" s="60" t="s">
        <v>21</v>
      </c>
      <c r="G24" s="95" t="s">
        <v>29</v>
      </c>
      <c r="H24" s="95" t="s">
        <v>29</v>
      </c>
      <c r="I24" s="64"/>
      <c r="J24" s="64"/>
      <c r="K24" s="65">
        <v>24000</v>
      </c>
      <c r="L24" s="65">
        <v>21016</v>
      </c>
      <c r="M24" s="65"/>
      <c r="N24" s="81"/>
    </row>
    <row r="25" spans="1:14" x14ac:dyDescent="0.25">
      <c r="A25" s="232" t="s">
        <v>36</v>
      </c>
      <c r="B25" s="58" t="s">
        <v>37</v>
      </c>
      <c r="C25" s="92" t="s">
        <v>38</v>
      </c>
      <c r="D25" s="58">
        <v>37520</v>
      </c>
      <c r="E25" s="58" t="s">
        <v>39</v>
      </c>
      <c r="F25" s="58" t="s">
        <v>21</v>
      </c>
      <c r="G25" s="92">
        <v>200250</v>
      </c>
      <c r="H25" s="92" t="s">
        <v>179</v>
      </c>
      <c r="I25" s="62">
        <v>44117</v>
      </c>
      <c r="J25" s="62">
        <v>45211</v>
      </c>
      <c r="K25" s="63">
        <v>0</v>
      </c>
      <c r="L25" s="63">
        <v>15450</v>
      </c>
      <c r="M25" s="63"/>
      <c r="N25" s="231"/>
    </row>
    <row r="26" spans="1:14" x14ac:dyDescent="0.25">
      <c r="A26" s="233" t="s">
        <v>34</v>
      </c>
      <c r="B26" s="60" t="s">
        <v>35</v>
      </c>
      <c r="C26" s="95" t="s">
        <v>16</v>
      </c>
      <c r="D26" s="60">
        <v>37540</v>
      </c>
      <c r="E26" s="60" t="s">
        <v>33</v>
      </c>
      <c r="F26" s="60" t="s">
        <v>332</v>
      </c>
      <c r="G26" s="95">
        <v>200137</v>
      </c>
      <c r="H26" s="95" t="s">
        <v>179</v>
      </c>
      <c r="I26" s="64">
        <v>43767</v>
      </c>
      <c r="J26" s="64">
        <v>44862</v>
      </c>
      <c r="K26" s="65">
        <v>20000</v>
      </c>
      <c r="L26" s="65">
        <v>12360</v>
      </c>
      <c r="M26" s="65"/>
      <c r="N26" s="81"/>
    </row>
    <row r="27" spans="1:14" x14ac:dyDescent="0.25">
      <c r="A27" s="232" t="s">
        <v>97</v>
      </c>
      <c r="B27" s="58" t="s">
        <v>98</v>
      </c>
      <c r="C27" s="92" t="s">
        <v>16</v>
      </c>
      <c r="D27" s="58">
        <v>37540</v>
      </c>
      <c r="E27" s="58" t="s">
        <v>33</v>
      </c>
      <c r="F27" s="58" t="s">
        <v>332</v>
      </c>
      <c r="G27" s="92" t="s">
        <v>29</v>
      </c>
      <c r="H27" s="92" t="s">
        <v>29</v>
      </c>
      <c r="I27" s="62"/>
      <c r="J27" s="62"/>
      <c r="K27" s="63">
        <v>12000</v>
      </c>
      <c r="L27" s="63">
        <v>11742</v>
      </c>
      <c r="M27" s="63"/>
      <c r="N27" s="231"/>
    </row>
    <row r="28" spans="1:14" x14ac:dyDescent="0.25">
      <c r="A28" s="233" t="s">
        <v>69</v>
      </c>
      <c r="B28" s="60" t="s">
        <v>70</v>
      </c>
      <c r="C28" s="95" t="s">
        <v>38</v>
      </c>
      <c r="D28" s="60">
        <v>37560</v>
      </c>
      <c r="E28" s="60" t="s">
        <v>56</v>
      </c>
      <c r="F28" s="60"/>
      <c r="G28" s="95" t="s">
        <v>29</v>
      </c>
      <c r="H28" s="95" t="s">
        <v>29</v>
      </c>
      <c r="I28" s="64"/>
      <c r="J28" s="64"/>
      <c r="K28" s="65">
        <v>20790</v>
      </c>
      <c r="L28" s="65">
        <v>11227</v>
      </c>
      <c r="M28" s="65"/>
      <c r="N28" s="81"/>
    </row>
    <row r="29" spans="1:14" x14ac:dyDescent="0.25">
      <c r="A29" s="232" t="s">
        <v>137</v>
      </c>
      <c r="B29" s="58" t="s">
        <v>138</v>
      </c>
      <c r="C29" s="92" t="s">
        <v>16</v>
      </c>
      <c r="D29" s="58">
        <v>37560</v>
      </c>
      <c r="E29" s="58" t="s">
        <v>56</v>
      </c>
      <c r="F29" s="58"/>
      <c r="G29" s="92" t="s">
        <v>29</v>
      </c>
      <c r="H29" s="92" t="s">
        <v>29</v>
      </c>
      <c r="I29" s="62"/>
      <c r="J29" s="62"/>
      <c r="K29" s="63">
        <v>10000</v>
      </c>
      <c r="L29" s="63">
        <v>10300</v>
      </c>
      <c r="M29" s="63"/>
      <c r="N29" s="231"/>
    </row>
    <row r="30" spans="1:14" x14ac:dyDescent="0.25">
      <c r="A30" s="233" t="s">
        <v>1226</v>
      </c>
      <c r="B30" s="60" t="s">
        <v>732</v>
      </c>
      <c r="C30" s="95" t="s">
        <v>16</v>
      </c>
      <c r="D30" s="60">
        <v>37540</v>
      </c>
      <c r="E30" s="60" t="s">
        <v>33</v>
      </c>
      <c r="F30" s="60" t="s">
        <v>332</v>
      </c>
      <c r="G30" s="95" t="s">
        <v>29</v>
      </c>
      <c r="H30" s="95" t="s">
        <v>29</v>
      </c>
      <c r="I30" s="64"/>
      <c r="J30" s="64"/>
      <c r="K30" s="65">
        <v>0</v>
      </c>
      <c r="L30" s="65">
        <v>10000</v>
      </c>
      <c r="M30" s="65">
        <v>10000</v>
      </c>
      <c r="N30" s="81"/>
    </row>
    <row r="31" spans="1:14" x14ac:dyDescent="0.25">
      <c r="A31" s="232" t="s">
        <v>1169</v>
      </c>
      <c r="B31" s="58" t="s">
        <v>116</v>
      </c>
      <c r="C31" s="92" t="s">
        <v>16</v>
      </c>
      <c r="D31" s="58">
        <v>37560</v>
      </c>
      <c r="E31" s="58" t="s">
        <v>56</v>
      </c>
      <c r="F31" s="58"/>
      <c r="G31" s="92" t="s">
        <v>29</v>
      </c>
      <c r="H31" s="92" t="s">
        <v>29</v>
      </c>
      <c r="I31" s="62"/>
      <c r="J31" s="62"/>
      <c r="K31" s="63">
        <v>10000</v>
      </c>
      <c r="L31" s="63">
        <v>9799</v>
      </c>
      <c r="M31" s="63"/>
      <c r="N31" s="231"/>
    </row>
    <row r="32" spans="1:14" x14ac:dyDescent="0.25">
      <c r="A32" s="233" t="s">
        <v>66</v>
      </c>
      <c r="B32" s="60" t="s">
        <v>67</v>
      </c>
      <c r="C32" s="95" t="s">
        <v>38</v>
      </c>
      <c r="D32" s="60" t="s">
        <v>1258</v>
      </c>
      <c r="E32" s="60" t="s">
        <v>65</v>
      </c>
      <c r="F32" s="60" t="s">
        <v>28</v>
      </c>
      <c r="G32" s="95" t="s">
        <v>29</v>
      </c>
      <c r="H32" s="95" t="s">
        <v>29</v>
      </c>
      <c r="I32" s="64"/>
      <c r="J32" s="64"/>
      <c r="K32" s="65">
        <v>13000</v>
      </c>
      <c r="L32" s="65">
        <v>9013</v>
      </c>
      <c r="M32" s="65"/>
      <c r="N32" s="81"/>
    </row>
    <row r="33" spans="1:14" x14ac:dyDescent="0.25">
      <c r="A33" s="232" t="s">
        <v>121</v>
      </c>
      <c r="B33" s="58" t="s">
        <v>122</v>
      </c>
      <c r="C33" s="92" t="s">
        <v>16</v>
      </c>
      <c r="D33" s="58">
        <v>37510</v>
      </c>
      <c r="E33" s="58" t="s">
        <v>123</v>
      </c>
      <c r="F33" s="58"/>
      <c r="G33" s="92" t="s">
        <v>29</v>
      </c>
      <c r="H33" s="92" t="s">
        <v>29</v>
      </c>
      <c r="I33" s="62"/>
      <c r="J33" s="62"/>
      <c r="K33" s="63">
        <v>6000</v>
      </c>
      <c r="L33" s="63">
        <v>6180</v>
      </c>
      <c r="M33" s="63"/>
      <c r="N33" s="231"/>
    </row>
    <row r="34" spans="1:14" x14ac:dyDescent="0.25">
      <c r="A34" s="233" t="s">
        <v>241</v>
      </c>
      <c r="B34" s="60" t="s">
        <v>242</v>
      </c>
      <c r="C34" s="95" t="s">
        <v>38</v>
      </c>
      <c r="D34" s="60">
        <v>37550</v>
      </c>
      <c r="E34" s="60" t="s">
        <v>51</v>
      </c>
      <c r="F34" s="60" t="s">
        <v>56</v>
      </c>
      <c r="G34" s="95" t="s">
        <v>29</v>
      </c>
      <c r="H34" s="95" t="s">
        <v>29</v>
      </c>
      <c r="I34" s="64"/>
      <c r="J34" s="64"/>
      <c r="K34" s="65">
        <v>5848</v>
      </c>
      <c r="L34" s="65">
        <v>5848</v>
      </c>
      <c r="M34" s="65"/>
      <c r="N34" s="81"/>
    </row>
    <row r="35" spans="1:14" x14ac:dyDescent="0.25">
      <c r="A35" s="232" t="s">
        <v>258</v>
      </c>
      <c r="B35" s="58" t="s">
        <v>259</v>
      </c>
      <c r="C35" s="92" t="s">
        <v>16</v>
      </c>
      <c r="D35" s="58">
        <v>37550</v>
      </c>
      <c r="E35" s="58" t="s">
        <v>51</v>
      </c>
      <c r="F35" s="58" t="s">
        <v>56</v>
      </c>
      <c r="G35" s="92" t="s">
        <v>29</v>
      </c>
      <c r="H35" s="92" t="s">
        <v>29</v>
      </c>
      <c r="I35" s="62"/>
      <c r="J35" s="62"/>
      <c r="K35" s="63">
        <v>1000</v>
      </c>
      <c r="L35" s="63">
        <v>1236</v>
      </c>
      <c r="M35" s="63"/>
      <c r="N35" s="231"/>
    </row>
    <row r="36" spans="1:14" x14ac:dyDescent="0.25">
      <c r="A36" s="233" t="s">
        <v>1259</v>
      </c>
      <c r="B36" s="60" t="s">
        <v>1260</v>
      </c>
      <c r="C36" s="95" t="s">
        <v>16</v>
      </c>
      <c r="D36" s="60">
        <v>37550</v>
      </c>
      <c r="E36" s="60" t="s">
        <v>51</v>
      </c>
      <c r="F36" s="60" t="s">
        <v>56</v>
      </c>
      <c r="G36" s="95" t="s">
        <v>29</v>
      </c>
      <c r="H36" s="95" t="s">
        <v>29</v>
      </c>
      <c r="I36" s="64"/>
      <c r="J36" s="64"/>
      <c r="K36" s="65">
        <v>0</v>
      </c>
      <c r="L36" s="65">
        <v>0</v>
      </c>
      <c r="M36" s="65"/>
      <c r="N36" s="81"/>
    </row>
    <row r="37" spans="1:14" x14ac:dyDescent="0.25">
      <c r="A37" s="232" t="s">
        <v>1261</v>
      </c>
      <c r="B37" s="58" t="s">
        <v>96</v>
      </c>
      <c r="C37" s="92" t="s">
        <v>16</v>
      </c>
      <c r="D37" s="58">
        <v>37560</v>
      </c>
      <c r="E37" s="58" t="s">
        <v>56</v>
      </c>
      <c r="F37" s="58"/>
      <c r="G37" s="92">
        <v>200379</v>
      </c>
      <c r="H37" s="92" t="s">
        <v>179</v>
      </c>
      <c r="I37" s="62">
        <v>44259</v>
      </c>
      <c r="J37" s="62">
        <v>45354</v>
      </c>
      <c r="K37" s="63">
        <v>0</v>
      </c>
      <c r="L37" s="63">
        <v>0</v>
      </c>
      <c r="M37" s="63"/>
      <c r="N37" s="231"/>
    </row>
    <row r="38" spans="1:14" x14ac:dyDescent="0.25">
      <c r="A38" s="233" t="s">
        <v>1262</v>
      </c>
      <c r="B38" s="60"/>
      <c r="C38" s="95"/>
      <c r="D38" s="60">
        <v>37520</v>
      </c>
      <c r="E38" s="60" t="s">
        <v>39</v>
      </c>
      <c r="F38" s="60" t="s">
        <v>21</v>
      </c>
      <c r="G38" s="95"/>
      <c r="H38" s="95"/>
      <c r="I38" s="64"/>
      <c r="J38" s="64"/>
      <c r="K38" s="65"/>
      <c r="L38" s="65">
        <v>0</v>
      </c>
      <c r="M38" s="65"/>
      <c r="N38" s="81"/>
    </row>
    <row r="39" spans="1:14" x14ac:dyDescent="0.25">
      <c r="A39" s="232" t="s">
        <v>1263</v>
      </c>
      <c r="B39" s="58" t="s">
        <v>1264</v>
      </c>
      <c r="C39" s="92" t="s">
        <v>16</v>
      </c>
      <c r="D39" s="58">
        <v>37530</v>
      </c>
      <c r="E39" s="58" t="s">
        <v>45</v>
      </c>
      <c r="F39" s="58" t="s">
        <v>332</v>
      </c>
      <c r="G39" s="92">
        <v>102005</v>
      </c>
      <c r="H39" s="92" t="s">
        <v>189</v>
      </c>
      <c r="I39" s="62">
        <v>42552</v>
      </c>
      <c r="J39" s="62">
        <v>44377</v>
      </c>
      <c r="K39" s="63">
        <v>0</v>
      </c>
      <c r="L39" s="63">
        <v>0</v>
      </c>
      <c r="M39" s="63"/>
      <c r="N39" s="231"/>
    </row>
  </sheetData>
  <autoFilter ref="A1:N1" xr:uid="{67A1E84E-47E0-4F6C-BDCD-6CFAF4335074}">
    <sortState xmlns:xlrd2="http://schemas.microsoft.com/office/spreadsheetml/2017/richdata2" ref="A2:N41">
      <sortCondition descending="1" ref="L1"/>
    </sortState>
  </autoFilter>
  <pageMargins left="0.7" right="0.7" top="0.75" bottom="0.75" header="0.3" footer="0.3"/>
  <pageSetup orientation="portrait" horizontalDpi="4294967293"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19B6-601F-4927-8E1E-D6D64B680B55}">
  <dimension ref="A1:Y7"/>
  <sheetViews>
    <sheetView workbookViewId="0"/>
  </sheetViews>
  <sheetFormatPr defaultColWidth="9.42578125" defaultRowHeight="15" x14ac:dyDescent="0.25"/>
  <cols>
    <col min="1" max="1" width="18.42578125" bestFit="1" customWidth="1"/>
    <col min="2" max="2" width="28.42578125" bestFit="1" customWidth="1"/>
    <col min="3" max="3" width="18.42578125" bestFit="1" customWidth="1"/>
    <col min="4" max="4" width="13.42578125" bestFit="1" customWidth="1"/>
    <col min="5" max="5" width="17.42578125" bestFit="1" customWidth="1"/>
    <col min="6" max="6" width="21.5703125" bestFit="1" customWidth="1"/>
    <col min="7" max="7" width="13.42578125" bestFit="1" customWidth="1"/>
    <col min="8" max="8" width="20.5703125" bestFit="1" customWidth="1"/>
    <col min="9" max="9" width="19.5703125" bestFit="1" customWidth="1"/>
    <col min="10" max="10" width="16" bestFit="1" customWidth="1"/>
    <col min="11" max="11" width="17.5703125" bestFit="1" customWidth="1"/>
    <col min="12" max="12" width="16.5703125" bestFit="1" customWidth="1"/>
    <col min="13" max="13" width="22" bestFit="1" customWidth="1"/>
    <col min="14" max="14" width="13.42578125" bestFit="1" customWidth="1"/>
    <col min="15" max="15" width="17" bestFit="1" customWidth="1"/>
    <col min="16" max="16" width="8.42578125" bestFit="1" customWidth="1"/>
    <col min="17" max="17" width="7.42578125" bestFit="1" customWidth="1"/>
    <col min="18" max="18" width="9" bestFit="1" customWidth="1"/>
    <col min="19" max="19" width="22.5703125" bestFit="1" customWidth="1"/>
    <col min="20" max="20" width="19.42578125" bestFit="1" customWidth="1"/>
    <col min="21" max="21" width="38.42578125" bestFit="1" customWidth="1"/>
    <col min="22" max="22" width="12" bestFit="1" customWidth="1"/>
    <col min="23" max="23" width="16.42578125" bestFit="1" customWidth="1"/>
    <col min="24" max="24" width="18.5703125" bestFit="1" customWidth="1"/>
    <col min="25" max="25" width="15.42578125" bestFit="1" customWidth="1"/>
  </cols>
  <sheetData>
    <row r="1" spans="1:25" s="165" customFormat="1" x14ac:dyDescent="0.25">
      <c r="A1" s="159" t="s">
        <v>0</v>
      </c>
      <c r="B1" s="159" t="s">
        <v>1</v>
      </c>
      <c r="C1" s="159" t="s">
        <v>2</v>
      </c>
      <c r="D1" s="159" t="s">
        <v>5</v>
      </c>
      <c r="E1" s="159" t="s">
        <v>143</v>
      </c>
      <c r="F1" s="159" t="s">
        <v>144</v>
      </c>
      <c r="G1" s="159" t="s">
        <v>7</v>
      </c>
      <c r="H1" s="159" t="s">
        <v>6</v>
      </c>
      <c r="I1" s="160" t="s">
        <v>145</v>
      </c>
      <c r="J1" s="159" t="s">
        <v>10</v>
      </c>
      <c r="K1" s="160" t="s">
        <v>148</v>
      </c>
      <c r="L1" s="160" t="s">
        <v>149</v>
      </c>
      <c r="M1" s="160" t="s">
        <v>150</v>
      </c>
      <c r="N1" s="161" t="s">
        <v>151</v>
      </c>
      <c r="O1" s="161" t="s">
        <v>152</v>
      </c>
      <c r="P1" s="159" t="s">
        <v>160</v>
      </c>
      <c r="Q1" s="159" t="s">
        <v>161</v>
      </c>
      <c r="R1" s="159" t="s">
        <v>319</v>
      </c>
      <c r="S1" s="160" t="s">
        <v>163</v>
      </c>
      <c r="T1" s="160" t="s">
        <v>164</v>
      </c>
      <c r="U1" s="162" t="s">
        <v>165</v>
      </c>
      <c r="V1" s="163" t="s">
        <v>166</v>
      </c>
      <c r="W1" s="163" t="s">
        <v>167</v>
      </c>
      <c r="X1" s="164" t="s">
        <v>168</v>
      </c>
      <c r="Y1" s="163" t="s">
        <v>169</v>
      </c>
    </row>
    <row r="2" spans="1:25" x14ac:dyDescent="0.25">
      <c r="A2" t="s">
        <v>246</v>
      </c>
      <c r="B2" t="s">
        <v>247</v>
      </c>
      <c r="C2" s="3" t="s">
        <v>16</v>
      </c>
      <c r="D2">
        <v>37510</v>
      </c>
      <c r="E2" t="s">
        <v>80</v>
      </c>
      <c r="F2" t="s">
        <v>21</v>
      </c>
      <c r="G2">
        <v>6615</v>
      </c>
      <c r="H2" t="s">
        <v>26</v>
      </c>
      <c r="I2" s="9" t="s">
        <v>234</v>
      </c>
      <c r="J2" s="3">
        <v>105876</v>
      </c>
      <c r="K2" s="9"/>
      <c r="L2" s="9">
        <v>44377</v>
      </c>
      <c r="M2" s="11" t="s">
        <v>196</v>
      </c>
      <c r="N2" s="50">
        <v>300000</v>
      </c>
      <c r="O2" s="468"/>
      <c r="P2" s="51"/>
      <c r="Q2" s="51"/>
      <c r="R2" s="3"/>
      <c r="S2" s="9"/>
      <c r="T2" s="9"/>
      <c r="U2" s="166" t="s">
        <v>1265</v>
      </c>
      <c r="V2" s="167" t="s">
        <v>174</v>
      </c>
      <c r="W2" s="167" t="s">
        <v>234</v>
      </c>
      <c r="X2" s="130" t="s">
        <v>234</v>
      </c>
      <c r="Y2" s="16" t="s">
        <v>1266</v>
      </c>
    </row>
    <row r="3" spans="1:25" x14ac:dyDescent="0.25">
      <c r="A3" t="s">
        <v>246</v>
      </c>
      <c r="B3" t="s">
        <v>248</v>
      </c>
      <c r="C3" s="3" t="s">
        <v>16</v>
      </c>
      <c r="D3">
        <v>37520</v>
      </c>
      <c r="E3" t="s">
        <v>80</v>
      </c>
      <c r="F3" t="s">
        <v>21</v>
      </c>
      <c r="G3">
        <v>6405</v>
      </c>
      <c r="H3" t="s">
        <v>26</v>
      </c>
      <c r="I3" s="9" t="s">
        <v>234</v>
      </c>
      <c r="J3" s="3" t="s">
        <v>209</v>
      </c>
      <c r="K3" s="9"/>
      <c r="L3" s="9"/>
      <c r="M3" s="11" t="s">
        <v>176</v>
      </c>
      <c r="N3" s="50">
        <v>20000</v>
      </c>
      <c r="O3" s="468"/>
      <c r="P3" s="9" t="s">
        <v>234</v>
      </c>
      <c r="Q3" s="17" t="s">
        <v>234</v>
      </c>
      <c r="R3" s="3"/>
      <c r="S3" s="9"/>
      <c r="T3" s="148"/>
      <c r="U3" s="166" t="s">
        <v>1265</v>
      </c>
      <c r="V3" s="167" t="s">
        <v>174</v>
      </c>
      <c r="W3" s="167" t="s">
        <v>234</v>
      </c>
      <c r="X3" s="130" t="s">
        <v>234</v>
      </c>
      <c r="Y3" s="16" t="s">
        <v>1266</v>
      </c>
    </row>
    <row r="6" spans="1:25" x14ac:dyDescent="0.25">
      <c r="A6" s="54" t="s">
        <v>1267</v>
      </c>
    </row>
    <row r="7" spans="1:25" s="165" customFormat="1" x14ac:dyDescent="0.25">
      <c r="A7" s="159" t="s">
        <v>0</v>
      </c>
      <c r="B7" s="159" t="s">
        <v>1</v>
      </c>
      <c r="C7" s="159" t="s">
        <v>2</v>
      </c>
      <c r="D7" s="159" t="s">
        <v>5</v>
      </c>
      <c r="E7" s="159" t="s">
        <v>143</v>
      </c>
      <c r="F7" s="159" t="s">
        <v>144</v>
      </c>
      <c r="G7" s="159" t="s">
        <v>7</v>
      </c>
      <c r="H7" s="159" t="s">
        <v>6</v>
      </c>
      <c r="I7" s="160" t="s">
        <v>145</v>
      </c>
      <c r="J7" s="159" t="s">
        <v>10</v>
      </c>
      <c r="K7" s="160" t="s">
        <v>148</v>
      </c>
      <c r="L7" s="160" t="s">
        <v>149</v>
      </c>
      <c r="M7" s="160" t="s">
        <v>150</v>
      </c>
      <c r="N7" s="161" t="s">
        <v>151</v>
      </c>
      <c r="O7" s="161" t="s">
        <v>152</v>
      </c>
      <c r="P7" s="159" t="s">
        <v>160</v>
      </c>
      <c r="Q7" s="159" t="s">
        <v>161</v>
      </c>
      <c r="R7" s="159" t="s">
        <v>319</v>
      </c>
      <c r="S7" s="160" t="s">
        <v>163</v>
      </c>
      <c r="T7" s="160" t="s">
        <v>164</v>
      </c>
      <c r="U7" s="162" t="s">
        <v>165</v>
      </c>
      <c r="V7" s="163" t="s">
        <v>166</v>
      </c>
      <c r="W7" s="163" t="s">
        <v>167</v>
      </c>
      <c r="X7" s="164" t="s">
        <v>168</v>
      </c>
      <c r="Y7" s="163" t="s">
        <v>169</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FFD5A-AC23-4627-B739-A75410B2BF05}">
  <dimension ref="A1:F5"/>
  <sheetViews>
    <sheetView workbookViewId="0"/>
  </sheetViews>
  <sheetFormatPr defaultRowHeight="15" x14ac:dyDescent="0.25"/>
  <cols>
    <col min="1" max="1" width="23.42578125" customWidth="1"/>
    <col min="2" max="2" width="11.42578125" style="1" customWidth="1"/>
    <col min="3" max="4" width="10" style="1" customWidth="1"/>
    <col min="5" max="5" width="10" customWidth="1"/>
    <col min="6" max="6" width="39.5703125" bestFit="1" customWidth="1"/>
  </cols>
  <sheetData>
    <row r="1" spans="1:6" x14ac:dyDescent="0.25">
      <c r="A1" s="84" t="s">
        <v>1268</v>
      </c>
      <c r="B1" s="84" t="s">
        <v>1269</v>
      </c>
      <c r="C1" s="84" t="s">
        <v>1270</v>
      </c>
      <c r="D1" s="84" t="s">
        <v>1271</v>
      </c>
      <c r="E1" s="84" t="s">
        <v>1272</v>
      </c>
      <c r="F1" s="84" t="s">
        <v>165</v>
      </c>
    </row>
    <row r="2" spans="1:6" x14ac:dyDescent="0.25">
      <c r="A2" t="s">
        <v>244</v>
      </c>
      <c r="B2" s="1" t="e">
        <f>'FY24 Service Agreements'!#REF!</f>
        <v>#REF!</v>
      </c>
      <c r="C2" s="1">
        <v>10900</v>
      </c>
      <c r="D2" s="1" t="e">
        <f>B2-C2</f>
        <v>#REF!</v>
      </c>
      <c r="E2" s="51" t="s">
        <v>1273</v>
      </c>
    </row>
    <row r="3" spans="1:6" x14ac:dyDescent="0.25">
      <c r="A3" t="s">
        <v>301</v>
      </c>
      <c r="B3" s="1" t="e">
        <f>'FY24 Service Agreements'!#REF!+'FY24 Service Agreements'!#REF!</f>
        <v>#REF!</v>
      </c>
      <c r="C3" s="1">
        <v>58775</v>
      </c>
      <c r="D3" s="1" t="e">
        <f>B3-C3</f>
        <v>#REF!</v>
      </c>
      <c r="E3" s="51" t="s">
        <v>1274</v>
      </c>
      <c r="F3" t="s">
        <v>1275</v>
      </c>
    </row>
    <row r="4" spans="1:6" x14ac:dyDescent="0.25">
      <c r="A4" t="s">
        <v>262</v>
      </c>
      <c r="B4" s="1">
        <f>'FY24 Service Agreements'!T41</f>
        <v>91265.21</v>
      </c>
      <c r="C4" s="1">
        <v>25722</v>
      </c>
      <c r="D4" s="1">
        <f>B4-C4</f>
        <v>65543.210000000006</v>
      </c>
      <c r="E4" s="51" t="s">
        <v>1273</v>
      </c>
    </row>
    <row r="5" spans="1:6" x14ac:dyDescent="0.25">
      <c r="A5" s="54" t="s">
        <v>1276</v>
      </c>
      <c r="B5" s="85"/>
      <c r="C5" s="85"/>
      <c r="D5" s="86" t="e">
        <f>SUM(D2:D4)</f>
        <v>#REF!</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3EC2-755E-4342-873E-760B7C440CF5}">
  <dimension ref="A1:K96"/>
  <sheetViews>
    <sheetView workbookViewId="0"/>
  </sheetViews>
  <sheetFormatPr defaultRowHeight="15" x14ac:dyDescent="0.25"/>
  <cols>
    <col min="1" max="1" width="34.5703125" bestFit="1" customWidth="1"/>
    <col min="2" max="2" width="12.42578125" style="3" bestFit="1" customWidth="1"/>
    <col min="3" max="3" width="10.42578125" bestFit="1" customWidth="1"/>
  </cols>
  <sheetData>
    <row r="1" spans="1:11" ht="30" x14ac:dyDescent="0.25">
      <c r="A1" s="35" t="s">
        <v>0</v>
      </c>
      <c r="B1" s="35" t="s">
        <v>1277</v>
      </c>
      <c r="C1" s="87" t="s">
        <v>1278</v>
      </c>
      <c r="D1" s="87" t="s">
        <v>1279</v>
      </c>
      <c r="E1" s="87" t="s">
        <v>1280</v>
      </c>
      <c r="F1" s="87" t="s">
        <v>1281</v>
      </c>
      <c r="G1" s="87" t="s">
        <v>1282</v>
      </c>
      <c r="H1" s="87" t="s">
        <v>1283</v>
      </c>
      <c r="I1" s="87" t="s">
        <v>1284</v>
      </c>
      <c r="J1" s="87" t="s">
        <v>1285</v>
      </c>
      <c r="K1" s="87" t="s">
        <v>1286</v>
      </c>
    </row>
    <row r="2" spans="1:11" x14ac:dyDescent="0.25">
      <c r="A2" t="s">
        <v>206</v>
      </c>
    </row>
    <row r="3" spans="1:11" x14ac:dyDescent="0.25">
      <c r="A3" t="s">
        <v>30</v>
      </c>
      <c r="B3" s="3" t="s">
        <v>1287</v>
      </c>
    </row>
    <row r="4" spans="1:11" x14ac:dyDescent="0.25">
      <c r="A4" t="s">
        <v>34</v>
      </c>
      <c r="B4" s="3" t="s">
        <v>1287</v>
      </c>
    </row>
    <row r="5" spans="1:11" x14ac:dyDescent="0.25">
      <c r="A5" t="s">
        <v>213</v>
      </c>
      <c r="B5" s="3" t="s">
        <v>1287</v>
      </c>
    </row>
    <row r="6" spans="1:11" x14ac:dyDescent="0.25">
      <c r="A6" t="s">
        <v>216</v>
      </c>
      <c r="B6" s="3" t="s">
        <v>1288</v>
      </c>
      <c r="C6" s="88">
        <v>3000</v>
      </c>
    </row>
    <row r="7" spans="1:11" x14ac:dyDescent="0.25">
      <c r="A7" t="s">
        <v>216</v>
      </c>
      <c r="B7" s="3" t="s">
        <v>1288</v>
      </c>
    </row>
    <row r="8" spans="1:11" x14ac:dyDescent="0.25">
      <c r="A8" t="s">
        <v>219</v>
      </c>
      <c r="B8" s="3" t="s">
        <v>1288</v>
      </c>
    </row>
    <row r="9" spans="1:11" x14ac:dyDescent="0.25">
      <c r="A9" t="s">
        <v>170</v>
      </c>
      <c r="B9" s="3" t="s">
        <v>1287</v>
      </c>
    </row>
    <row r="10" spans="1:11" x14ac:dyDescent="0.25">
      <c r="A10" t="s">
        <v>224</v>
      </c>
      <c r="B10" s="3" t="s">
        <v>1287</v>
      </c>
    </row>
    <row r="11" spans="1:11" x14ac:dyDescent="0.25">
      <c r="A11" t="s">
        <v>227</v>
      </c>
      <c r="B11" s="3" t="s">
        <v>1288</v>
      </c>
    </row>
    <row r="12" spans="1:11" x14ac:dyDescent="0.25">
      <c r="A12" t="s">
        <v>509</v>
      </c>
      <c r="B12" s="3" t="s">
        <v>1287</v>
      </c>
    </row>
    <row r="13" spans="1:11" x14ac:dyDescent="0.25">
      <c r="A13" t="s">
        <v>54</v>
      </c>
    </row>
    <row r="14" spans="1:11" x14ac:dyDescent="0.25">
      <c r="A14" t="s">
        <v>57</v>
      </c>
    </row>
    <row r="15" spans="1:11" x14ac:dyDescent="0.25">
      <c r="A15" t="s">
        <v>59</v>
      </c>
    </row>
    <row r="16" spans="1:11" x14ac:dyDescent="0.25">
      <c r="A16" t="s">
        <v>236</v>
      </c>
    </row>
    <row r="17" spans="1:1" x14ac:dyDescent="0.25">
      <c r="A17" t="s">
        <v>238</v>
      </c>
    </row>
    <row r="18" spans="1:1" x14ac:dyDescent="0.25">
      <c r="A18" t="s">
        <v>238</v>
      </c>
    </row>
    <row r="19" spans="1:1" x14ac:dyDescent="0.25">
      <c r="A19" t="s">
        <v>241</v>
      </c>
    </row>
    <row r="20" spans="1:1" x14ac:dyDescent="0.25">
      <c r="A20" t="s">
        <v>69</v>
      </c>
    </row>
    <row r="21" spans="1:1" x14ac:dyDescent="0.25">
      <c r="A21" t="s">
        <v>75</v>
      </c>
    </row>
    <row r="22" spans="1:1" x14ac:dyDescent="0.25">
      <c r="A22" t="s">
        <v>78</v>
      </c>
    </row>
    <row r="23" spans="1:1" x14ac:dyDescent="0.25">
      <c r="A23" t="s">
        <v>81</v>
      </c>
    </row>
    <row r="24" spans="1:1" x14ac:dyDescent="0.25">
      <c r="A24" t="s">
        <v>85</v>
      </c>
    </row>
    <row r="25" spans="1:1" x14ac:dyDescent="0.25">
      <c r="A25" t="s">
        <v>246</v>
      </c>
    </row>
    <row r="26" spans="1:1" x14ac:dyDescent="0.25">
      <c r="A26" t="s">
        <v>246</v>
      </c>
    </row>
    <row r="27" spans="1:1" x14ac:dyDescent="0.25">
      <c r="A27" t="s">
        <v>88</v>
      </c>
    </row>
    <row r="28" spans="1:1" x14ac:dyDescent="0.25">
      <c r="A28" t="s">
        <v>88</v>
      </c>
    </row>
    <row r="29" spans="1:1" x14ac:dyDescent="0.25">
      <c r="A29" t="s">
        <v>253</v>
      </c>
    </row>
    <row r="30" spans="1:1" x14ac:dyDescent="0.25">
      <c r="A30" t="s">
        <v>1060</v>
      </c>
    </row>
    <row r="31" spans="1:1" x14ac:dyDescent="0.25">
      <c r="A31" t="s">
        <v>255</v>
      </c>
    </row>
    <row r="32" spans="1:1" x14ac:dyDescent="0.25">
      <c r="A32" t="s">
        <v>258</v>
      </c>
    </row>
    <row r="33" spans="1:1" x14ac:dyDescent="0.25">
      <c r="A33" t="s">
        <v>90</v>
      </c>
    </row>
    <row r="34" spans="1:1" x14ac:dyDescent="0.25">
      <c r="A34" t="s">
        <v>94</v>
      </c>
    </row>
    <row r="35" spans="1:1" x14ac:dyDescent="0.25">
      <c r="A35" t="s">
        <v>262</v>
      </c>
    </row>
    <row r="36" spans="1:1" x14ac:dyDescent="0.25">
      <c r="A36" t="s">
        <v>265</v>
      </c>
    </row>
    <row r="37" spans="1:1" x14ac:dyDescent="0.25">
      <c r="A37" t="s">
        <v>97</v>
      </c>
    </row>
    <row r="38" spans="1:1" x14ac:dyDescent="0.25">
      <c r="A38" t="s">
        <v>99</v>
      </c>
    </row>
    <row r="39" spans="1:1" x14ac:dyDescent="0.25">
      <c r="A39" t="s">
        <v>101</v>
      </c>
    </row>
    <row r="40" spans="1:1" x14ac:dyDescent="0.25">
      <c r="A40" t="s">
        <v>272</v>
      </c>
    </row>
    <row r="41" spans="1:1" x14ac:dyDescent="0.25">
      <c r="A41" t="s">
        <v>272</v>
      </c>
    </row>
    <row r="42" spans="1:1" x14ac:dyDescent="0.25">
      <c r="A42" t="s">
        <v>107</v>
      </c>
    </row>
    <row r="43" spans="1:1" x14ac:dyDescent="0.25">
      <c r="A43" t="s">
        <v>278</v>
      </c>
    </row>
    <row r="44" spans="1:1" x14ac:dyDescent="0.25">
      <c r="A44" t="s">
        <v>281</v>
      </c>
    </row>
    <row r="45" spans="1:1" x14ac:dyDescent="0.25">
      <c r="A45" t="s">
        <v>283</v>
      </c>
    </row>
    <row r="46" spans="1:1" x14ac:dyDescent="0.25">
      <c r="A46" t="s">
        <v>284</v>
      </c>
    </row>
    <row r="47" spans="1:1" x14ac:dyDescent="0.25">
      <c r="A47" t="s">
        <v>286</v>
      </c>
    </row>
    <row r="48" spans="1:1" x14ac:dyDescent="0.25">
      <c r="A48" t="s">
        <v>286</v>
      </c>
    </row>
    <row r="49" spans="1:1" x14ac:dyDescent="0.25">
      <c r="A49" t="s">
        <v>187</v>
      </c>
    </row>
    <row r="50" spans="1:1" x14ac:dyDescent="0.25">
      <c r="A50" t="s">
        <v>289</v>
      </c>
    </row>
    <row r="51" spans="1:1" x14ac:dyDescent="0.25">
      <c r="A51" t="s">
        <v>290</v>
      </c>
    </row>
    <row r="52" spans="1:1" x14ac:dyDescent="0.25">
      <c r="A52" t="s">
        <v>121</v>
      </c>
    </row>
    <row r="53" spans="1:1" x14ac:dyDescent="0.25">
      <c r="A53" t="s">
        <v>292</v>
      </c>
    </row>
    <row r="54" spans="1:1" x14ac:dyDescent="0.25">
      <c r="A54" t="s">
        <v>126</v>
      </c>
    </row>
    <row r="55" spans="1:1" x14ac:dyDescent="0.25">
      <c r="A55" t="s">
        <v>295</v>
      </c>
    </row>
    <row r="56" spans="1:1" x14ac:dyDescent="0.25">
      <c r="A56" t="s">
        <v>295</v>
      </c>
    </row>
    <row r="57" spans="1:1" x14ac:dyDescent="0.25">
      <c r="A57" t="s">
        <v>299</v>
      </c>
    </row>
    <row r="58" spans="1:1" x14ac:dyDescent="0.25">
      <c r="A58" t="s">
        <v>301</v>
      </c>
    </row>
    <row r="59" spans="1:1" x14ac:dyDescent="0.25">
      <c r="A59" t="s">
        <v>131</v>
      </c>
    </row>
    <row r="60" spans="1:1" x14ac:dyDescent="0.25">
      <c r="A60" t="s">
        <v>135</v>
      </c>
    </row>
    <row r="61" spans="1:1" x14ac:dyDescent="0.25">
      <c r="A61" t="s">
        <v>137</v>
      </c>
    </row>
    <row r="62" spans="1:1" x14ac:dyDescent="0.25">
      <c r="A62" t="s">
        <v>306</v>
      </c>
    </row>
    <row r="63" spans="1:1" x14ac:dyDescent="0.25">
      <c r="A63" t="s">
        <v>306</v>
      </c>
    </row>
    <row r="64" spans="1:1" x14ac:dyDescent="0.25">
      <c r="A64" t="s">
        <v>311</v>
      </c>
    </row>
    <row r="65" spans="1:1" x14ac:dyDescent="0.25">
      <c r="A65" t="s">
        <v>313</v>
      </c>
    </row>
    <row r="66" spans="1:1" x14ac:dyDescent="0.25">
      <c r="A66" t="s">
        <v>141</v>
      </c>
    </row>
    <row r="68" spans="1:1" x14ac:dyDescent="0.25">
      <c r="A68" s="24"/>
    </row>
    <row r="72" spans="1:1" x14ac:dyDescent="0.25">
      <c r="A72" t="s">
        <v>1289</v>
      </c>
    </row>
    <row r="73" spans="1:1" x14ac:dyDescent="0.25">
      <c r="A73" t="s">
        <v>1290</v>
      </c>
    </row>
    <row r="81" spans="1:1" x14ac:dyDescent="0.25">
      <c r="A81" s="40" t="s">
        <v>1291</v>
      </c>
    </row>
    <row r="82" spans="1:1" x14ac:dyDescent="0.25">
      <c r="A82" t="s">
        <v>1292</v>
      </c>
    </row>
    <row r="83" spans="1:1" x14ac:dyDescent="0.25">
      <c r="A83" t="s">
        <v>1293</v>
      </c>
    </row>
    <row r="84" spans="1:1" x14ac:dyDescent="0.25">
      <c r="A84" t="s">
        <v>1294</v>
      </c>
    </row>
    <row r="85" spans="1:1" x14ac:dyDescent="0.25">
      <c r="A85" t="s">
        <v>1295</v>
      </c>
    </row>
    <row r="86" spans="1:1" x14ac:dyDescent="0.25">
      <c r="A86" t="s">
        <v>1296</v>
      </c>
    </row>
    <row r="87" spans="1:1" x14ac:dyDescent="0.25">
      <c r="A87" t="s">
        <v>1297</v>
      </c>
    </row>
    <row r="95" spans="1:1" x14ac:dyDescent="0.25">
      <c r="A95" t="s">
        <v>301</v>
      </c>
    </row>
    <row r="96" spans="1:1" x14ac:dyDescent="0.25">
      <c r="A96" t="s">
        <v>301</v>
      </c>
    </row>
  </sheetData>
  <autoFilter ref="A1:C66" xr:uid="{89516BAC-6100-4ECF-ADCC-D4386ED4F972}"/>
  <phoneticPr fontId="1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workbookViewId="0"/>
  </sheetViews>
  <sheetFormatPr defaultRowHeight="15" x14ac:dyDescent="0.25"/>
  <cols>
    <col min="1" max="1" width="23.42578125" style="3" customWidth="1"/>
    <col min="2" max="2" width="15.42578125" style="3" customWidth="1"/>
    <col min="3" max="3" width="13.42578125" style="3" bestFit="1" customWidth="1"/>
    <col min="4" max="4" width="11.42578125" style="3" customWidth="1"/>
    <col min="5" max="5" width="27" style="3" customWidth="1"/>
    <col min="6" max="6" width="14.42578125" style="26" customWidth="1"/>
    <col min="7" max="7" width="12.42578125" style="3" customWidth="1"/>
  </cols>
  <sheetData>
    <row r="1" spans="1:7" ht="30" x14ac:dyDescent="0.25">
      <c r="A1" s="35" t="s">
        <v>0</v>
      </c>
      <c r="B1" s="36" t="s">
        <v>1298</v>
      </c>
      <c r="C1" s="36" t="s">
        <v>5</v>
      </c>
      <c r="D1" s="36" t="s">
        <v>7</v>
      </c>
      <c r="E1" s="36" t="s">
        <v>6</v>
      </c>
      <c r="F1" s="37" t="s">
        <v>1299</v>
      </c>
      <c r="G1" s="37" t="s">
        <v>1300</v>
      </c>
    </row>
    <row r="2" spans="1:7" x14ac:dyDescent="0.25">
      <c r="A2" s="3" t="s">
        <v>246</v>
      </c>
      <c r="B2" s="3" t="s">
        <v>1301</v>
      </c>
      <c r="C2" s="3">
        <v>37540</v>
      </c>
      <c r="D2" s="3">
        <v>6405</v>
      </c>
      <c r="E2" s="3" t="s">
        <v>32</v>
      </c>
      <c r="F2" s="26">
        <v>2000</v>
      </c>
      <c r="G2" s="3" t="s">
        <v>1302</v>
      </c>
    </row>
    <row r="3" spans="1:7" x14ac:dyDescent="0.25">
      <c r="A3" s="3" t="s">
        <v>246</v>
      </c>
      <c r="B3" s="3" t="s">
        <v>1303</v>
      </c>
      <c r="C3" s="3">
        <v>37540</v>
      </c>
      <c r="D3" s="3">
        <v>6405</v>
      </c>
      <c r="E3" s="3" t="s">
        <v>32</v>
      </c>
      <c r="F3" s="26">
        <v>2000</v>
      </c>
      <c r="G3" s="3" t="s">
        <v>1304</v>
      </c>
    </row>
    <row r="4" spans="1:7" x14ac:dyDescent="0.25">
      <c r="A4" s="3" t="s">
        <v>246</v>
      </c>
      <c r="B4" s="3" t="s">
        <v>1305</v>
      </c>
      <c r="C4" s="3">
        <v>37540</v>
      </c>
      <c r="D4" s="3">
        <v>6405</v>
      </c>
      <c r="E4" s="3" t="s">
        <v>32</v>
      </c>
      <c r="F4" s="26">
        <v>2000</v>
      </c>
      <c r="G4" s="3" t="s">
        <v>1306</v>
      </c>
    </row>
    <row r="5" spans="1:7" x14ac:dyDescent="0.25">
      <c r="A5" s="3" t="s">
        <v>246</v>
      </c>
      <c r="B5" s="3" t="s">
        <v>1307</v>
      </c>
      <c r="C5" s="3">
        <v>37540</v>
      </c>
      <c r="D5" s="3">
        <v>6405</v>
      </c>
      <c r="E5" s="3" t="s">
        <v>32</v>
      </c>
      <c r="F5" s="26">
        <v>2000</v>
      </c>
      <c r="G5" s="3" t="s">
        <v>1308</v>
      </c>
    </row>
    <row r="6" spans="1:7" x14ac:dyDescent="0.25">
      <c r="A6" s="3" t="s">
        <v>246</v>
      </c>
      <c r="B6" s="3" t="s">
        <v>1309</v>
      </c>
      <c r="C6" s="3">
        <v>37540</v>
      </c>
      <c r="D6" s="3">
        <v>6405</v>
      </c>
      <c r="E6" s="3" t="s">
        <v>32</v>
      </c>
      <c r="F6" s="26">
        <v>2000</v>
      </c>
      <c r="G6" s="3" t="s">
        <v>1310</v>
      </c>
    </row>
    <row r="7" spans="1:7" x14ac:dyDescent="0.25">
      <c r="A7" s="3" t="s">
        <v>246</v>
      </c>
      <c r="B7" s="3" t="s">
        <v>1311</v>
      </c>
      <c r="C7" s="3">
        <v>37520</v>
      </c>
      <c r="D7" s="3">
        <v>6405</v>
      </c>
      <c r="E7" s="3" t="s">
        <v>1312</v>
      </c>
      <c r="F7" s="26">
        <v>2000</v>
      </c>
      <c r="G7" s="3" t="s">
        <v>1313</v>
      </c>
    </row>
    <row r="8" spans="1:7" x14ac:dyDescent="0.25">
      <c r="A8" s="3" t="s">
        <v>246</v>
      </c>
      <c r="B8" s="3" t="s">
        <v>1314</v>
      </c>
      <c r="C8" s="3">
        <v>37520</v>
      </c>
      <c r="D8" s="3">
        <v>6405</v>
      </c>
      <c r="E8" s="3" t="s">
        <v>1312</v>
      </c>
      <c r="F8" s="26">
        <v>2000</v>
      </c>
      <c r="G8" s="3" t="s">
        <v>1315</v>
      </c>
    </row>
    <row r="9" spans="1:7" x14ac:dyDescent="0.25">
      <c r="A9" s="3" t="s">
        <v>246</v>
      </c>
      <c r="B9" s="3" t="s">
        <v>1316</v>
      </c>
      <c r="C9" s="3">
        <v>37520</v>
      </c>
      <c r="D9" s="3">
        <v>6405</v>
      </c>
      <c r="E9" s="3" t="s">
        <v>1312</v>
      </c>
      <c r="F9" s="26">
        <v>2000</v>
      </c>
      <c r="G9" s="3" t="s">
        <v>1317</v>
      </c>
    </row>
    <row r="10" spans="1:7" x14ac:dyDescent="0.25">
      <c r="A10" s="3" t="s">
        <v>246</v>
      </c>
      <c r="B10" s="3" t="s">
        <v>1318</v>
      </c>
      <c r="C10" s="3">
        <v>37530</v>
      </c>
      <c r="D10" s="3">
        <v>6405</v>
      </c>
      <c r="E10" s="3" t="s">
        <v>1319</v>
      </c>
      <c r="F10" s="26">
        <v>2000</v>
      </c>
      <c r="G10" s="3" t="s">
        <v>1320</v>
      </c>
    </row>
    <row r="11" spans="1:7" x14ac:dyDescent="0.25">
      <c r="A11" s="3" t="s">
        <v>246</v>
      </c>
      <c r="B11" s="3" t="s">
        <v>1321</v>
      </c>
      <c r="C11" s="3">
        <v>37530</v>
      </c>
      <c r="D11" s="3">
        <v>6405</v>
      </c>
      <c r="E11" s="3" t="s">
        <v>1319</v>
      </c>
      <c r="F11" s="26">
        <v>2000</v>
      </c>
      <c r="G11" s="3" t="s">
        <v>1322</v>
      </c>
    </row>
    <row r="12" spans="1:7" x14ac:dyDescent="0.25">
      <c r="A12" s="3" t="s">
        <v>246</v>
      </c>
      <c r="B12" s="3" t="s">
        <v>1323</v>
      </c>
      <c r="C12" s="3">
        <v>37530</v>
      </c>
      <c r="D12" s="3">
        <v>6405</v>
      </c>
      <c r="E12" s="3" t="s">
        <v>1319</v>
      </c>
      <c r="F12" s="26">
        <v>2000</v>
      </c>
      <c r="G12" s="3" t="s">
        <v>1324</v>
      </c>
    </row>
    <row r="14" spans="1:7" x14ac:dyDescent="0.25">
      <c r="F14" s="26">
        <f>SUM(F2:F13)</f>
        <v>22000</v>
      </c>
    </row>
    <row r="18" spans="1:7" ht="30" x14ac:dyDescent="0.25">
      <c r="A18" s="35" t="s">
        <v>0</v>
      </c>
      <c r="B18" s="36" t="s">
        <v>1298</v>
      </c>
      <c r="C18" s="36" t="s">
        <v>5</v>
      </c>
      <c r="D18" s="36" t="s">
        <v>7</v>
      </c>
      <c r="E18" s="36" t="s">
        <v>6</v>
      </c>
      <c r="F18" s="37" t="s">
        <v>1325</v>
      </c>
      <c r="G18" s="37" t="s">
        <v>1326</v>
      </c>
    </row>
    <row r="19" spans="1:7" x14ac:dyDescent="0.25">
      <c r="A19" s="3" t="s">
        <v>246</v>
      </c>
      <c r="B19" s="3" t="s">
        <v>1301</v>
      </c>
      <c r="C19" s="3">
        <v>37520</v>
      </c>
      <c r="D19" s="3">
        <v>6405</v>
      </c>
      <c r="E19" s="3" t="s">
        <v>32</v>
      </c>
      <c r="F19" s="26">
        <v>2000</v>
      </c>
      <c r="G19" s="3" t="s">
        <v>1327</v>
      </c>
    </row>
    <row r="20" spans="1:7" x14ac:dyDescent="0.25">
      <c r="A20" s="3" t="s">
        <v>246</v>
      </c>
      <c r="B20" s="3" t="s">
        <v>1303</v>
      </c>
      <c r="C20" s="3">
        <v>37520</v>
      </c>
      <c r="D20" s="3">
        <v>6405</v>
      </c>
      <c r="E20" s="3" t="s">
        <v>32</v>
      </c>
      <c r="F20" s="26">
        <v>2000</v>
      </c>
      <c r="G20" s="3" t="s">
        <v>1328</v>
      </c>
    </row>
    <row r="21" spans="1:7" x14ac:dyDescent="0.25">
      <c r="A21" s="3" t="s">
        <v>246</v>
      </c>
      <c r="B21" s="3" t="s">
        <v>1305</v>
      </c>
      <c r="C21" s="3">
        <v>37520</v>
      </c>
      <c r="D21" s="3">
        <v>6405</v>
      </c>
      <c r="E21" s="3" t="s">
        <v>1329</v>
      </c>
      <c r="F21" s="26">
        <v>2000</v>
      </c>
      <c r="G21" s="3" t="s">
        <v>1330</v>
      </c>
    </row>
    <row r="22" spans="1:7" x14ac:dyDescent="0.25">
      <c r="A22" s="3" t="s">
        <v>246</v>
      </c>
      <c r="B22" s="3" t="s">
        <v>1307</v>
      </c>
      <c r="C22" s="3">
        <v>37520</v>
      </c>
      <c r="D22" s="3">
        <v>6405</v>
      </c>
      <c r="E22" s="3" t="s">
        <v>32</v>
      </c>
      <c r="F22" s="26">
        <v>2000</v>
      </c>
      <c r="G22" s="3" t="s">
        <v>1331</v>
      </c>
    </row>
    <row r="23" spans="1:7" x14ac:dyDescent="0.25">
      <c r="A23" s="3" t="s">
        <v>246</v>
      </c>
      <c r="B23" s="3" t="s">
        <v>1309</v>
      </c>
      <c r="C23" s="3">
        <v>37520</v>
      </c>
      <c r="D23" s="3">
        <v>6405</v>
      </c>
      <c r="E23" s="3" t="s">
        <v>32</v>
      </c>
      <c r="F23" s="26">
        <v>2000</v>
      </c>
      <c r="G23" s="3" t="s">
        <v>1332</v>
      </c>
    </row>
    <row r="24" spans="1:7" x14ac:dyDescent="0.25">
      <c r="A24" s="3" t="s">
        <v>246</v>
      </c>
      <c r="B24" s="3" t="s">
        <v>1314</v>
      </c>
      <c r="C24" s="3">
        <v>37520</v>
      </c>
      <c r="D24" s="3">
        <v>6405</v>
      </c>
      <c r="E24" s="3" t="s">
        <v>1312</v>
      </c>
      <c r="F24" s="26">
        <v>2000</v>
      </c>
      <c r="G24" s="3" t="s">
        <v>1333</v>
      </c>
    </row>
    <row r="25" spans="1:7" x14ac:dyDescent="0.25">
      <c r="A25" s="3" t="s">
        <v>246</v>
      </c>
      <c r="B25" s="3" t="s">
        <v>1316</v>
      </c>
      <c r="C25" s="3">
        <v>37520</v>
      </c>
      <c r="D25" s="3">
        <v>6405</v>
      </c>
      <c r="E25" s="3" t="s">
        <v>1312</v>
      </c>
      <c r="F25" s="26">
        <v>2000</v>
      </c>
      <c r="G25" s="3" t="s">
        <v>1334</v>
      </c>
    </row>
    <row r="26" spans="1:7" x14ac:dyDescent="0.25">
      <c r="A26" s="3" t="s">
        <v>246</v>
      </c>
      <c r="B26" s="3" t="s">
        <v>1321</v>
      </c>
      <c r="C26" s="3">
        <v>37520</v>
      </c>
      <c r="D26" s="3">
        <v>6405</v>
      </c>
      <c r="E26" s="3" t="s">
        <v>1319</v>
      </c>
      <c r="F26" s="26">
        <v>2000</v>
      </c>
      <c r="G26" s="3" t="s">
        <v>1335</v>
      </c>
    </row>
    <row r="27" spans="1:7" x14ac:dyDescent="0.25">
      <c r="A27" s="3" t="s">
        <v>246</v>
      </c>
      <c r="B27" s="3" t="s">
        <v>1336</v>
      </c>
      <c r="C27" s="3">
        <v>37520</v>
      </c>
      <c r="D27" s="3">
        <v>6405</v>
      </c>
      <c r="E27" s="3" t="s">
        <v>1312</v>
      </c>
      <c r="F27" s="26">
        <v>2000</v>
      </c>
      <c r="G27" s="3" t="s">
        <v>1337</v>
      </c>
    </row>
    <row r="29" spans="1:7" x14ac:dyDescent="0.25">
      <c r="F29" s="26">
        <f>SUM(F19:F27)</f>
        <v>18000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0859-8968-4F0A-96B7-C4172F968974}">
  <sheetPr>
    <tabColor theme="7" tint="0.39997558519241921"/>
  </sheetPr>
  <dimension ref="A1:G23"/>
  <sheetViews>
    <sheetView workbookViewId="0"/>
  </sheetViews>
  <sheetFormatPr defaultRowHeight="15" x14ac:dyDescent="0.25"/>
  <cols>
    <col min="1" max="1" width="27" bestFit="1" customWidth="1"/>
    <col min="2" max="2" width="43.5703125" bestFit="1" customWidth="1"/>
    <col min="3" max="3" width="16.42578125" customWidth="1"/>
    <col min="4" max="5" width="14.42578125" customWidth="1"/>
    <col min="6" max="6" width="15.5703125" customWidth="1"/>
    <col min="7" max="7" width="43.42578125" bestFit="1" customWidth="1"/>
  </cols>
  <sheetData>
    <row r="1" spans="1:7" ht="30" x14ac:dyDescent="0.25">
      <c r="A1" s="69" t="s">
        <v>0</v>
      </c>
      <c r="B1" s="70" t="s">
        <v>1</v>
      </c>
      <c r="C1" s="71" t="s">
        <v>202</v>
      </c>
      <c r="D1" s="72" t="s">
        <v>204</v>
      </c>
      <c r="E1" s="71" t="s">
        <v>1338</v>
      </c>
      <c r="F1" s="71" t="s">
        <v>1339</v>
      </c>
      <c r="G1" s="73" t="s">
        <v>165</v>
      </c>
    </row>
    <row r="2" spans="1:7" x14ac:dyDescent="0.25">
      <c r="A2" s="79" t="s">
        <v>236</v>
      </c>
      <c r="B2" s="66" t="s">
        <v>237</v>
      </c>
      <c r="C2" s="67" t="s">
        <v>173</v>
      </c>
      <c r="D2" s="68">
        <v>8000</v>
      </c>
      <c r="E2" s="67" t="s">
        <v>1340</v>
      </c>
      <c r="F2" s="67" t="s">
        <v>174</v>
      </c>
      <c r="G2" s="80"/>
    </row>
    <row r="3" spans="1:7" x14ac:dyDescent="0.25">
      <c r="A3" s="74" t="s">
        <v>238</v>
      </c>
      <c r="B3" s="75" t="s">
        <v>1341</v>
      </c>
      <c r="C3" s="76" t="s">
        <v>192</v>
      </c>
      <c r="D3" s="77">
        <v>8000</v>
      </c>
      <c r="E3" s="76" t="s">
        <v>192</v>
      </c>
      <c r="F3" s="76" t="s">
        <v>174</v>
      </c>
      <c r="G3" s="78"/>
    </row>
    <row r="4" spans="1:7" x14ac:dyDescent="0.25">
      <c r="A4" s="79" t="s">
        <v>75</v>
      </c>
      <c r="B4" s="66" t="s">
        <v>76</v>
      </c>
      <c r="C4" s="67" t="s">
        <v>173</v>
      </c>
      <c r="D4" s="68">
        <v>85000</v>
      </c>
      <c r="E4" s="67" t="s">
        <v>1340</v>
      </c>
      <c r="F4" s="67" t="s">
        <v>178</v>
      </c>
      <c r="G4" s="80"/>
    </row>
    <row r="5" spans="1:7" x14ac:dyDescent="0.25">
      <c r="A5" s="74" t="s">
        <v>81</v>
      </c>
      <c r="B5" s="75" t="s">
        <v>82</v>
      </c>
      <c r="C5" s="76" t="s">
        <v>173</v>
      </c>
      <c r="D5" s="77">
        <v>114000</v>
      </c>
      <c r="E5" s="76" t="s">
        <v>1340</v>
      </c>
      <c r="F5" s="76" t="s">
        <v>178</v>
      </c>
      <c r="G5" s="78"/>
    </row>
    <row r="6" spans="1:7" x14ac:dyDescent="0.25">
      <c r="A6" s="79" t="s">
        <v>88</v>
      </c>
      <c r="B6" s="66" t="s">
        <v>249</v>
      </c>
      <c r="C6" s="67" t="s">
        <v>173</v>
      </c>
      <c r="D6" s="68">
        <v>0</v>
      </c>
      <c r="E6" s="67" t="s">
        <v>1340</v>
      </c>
      <c r="F6" s="67" t="s">
        <v>174</v>
      </c>
      <c r="G6" s="67" t="s">
        <v>1342</v>
      </c>
    </row>
    <row r="7" spans="1:7" x14ac:dyDescent="0.25">
      <c r="A7" s="74" t="s">
        <v>88</v>
      </c>
      <c r="B7" s="75" t="s">
        <v>251</v>
      </c>
      <c r="C7" s="76" t="s">
        <v>173</v>
      </c>
      <c r="D7" s="77">
        <v>17000</v>
      </c>
      <c r="E7" s="76" t="s">
        <v>1340</v>
      </c>
      <c r="F7" s="76" t="s">
        <v>174</v>
      </c>
      <c r="G7" s="76"/>
    </row>
    <row r="8" spans="1:7" x14ac:dyDescent="0.25">
      <c r="A8" s="79" t="s">
        <v>99</v>
      </c>
      <c r="B8" s="66" t="s">
        <v>100</v>
      </c>
      <c r="C8" s="67" t="s">
        <v>173</v>
      </c>
      <c r="D8" s="68">
        <v>118000</v>
      </c>
      <c r="E8" s="67" t="s">
        <v>1340</v>
      </c>
      <c r="F8" s="67" t="s">
        <v>178</v>
      </c>
      <c r="G8" s="80"/>
    </row>
    <row r="9" spans="1:7" x14ac:dyDescent="0.25">
      <c r="A9" s="74" t="s">
        <v>187</v>
      </c>
      <c r="B9" s="75" t="s">
        <v>122</v>
      </c>
      <c r="C9" s="76" t="s">
        <v>188</v>
      </c>
      <c r="D9" s="77">
        <v>35000</v>
      </c>
      <c r="E9" s="76" t="s">
        <v>192</v>
      </c>
      <c r="F9" s="76" t="s">
        <v>178</v>
      </c>
      <c r="G9" s="78"/>
    </row>
    <row r="10" spans="1:7" x14ac:dyDescent="0.25">
      <c r="A10" s="79" t="s">
        <v>121</v>
      </c>
      <c r="B10" s="66" t="s">
        <v>122</v>
      </c>
      <c r="C10" s="67" t="s">
        <v>192</v>
      </c>
      <c r="D10" s="68">
        <v>6000</v>
      </c>
      <c r="E10" s="67" t="s">
        <v>192</v>
      </c>
      <c r="F10" s="67" t="s">
        <v>174</v>
      </c>
      <c r="G10" s="80"/>
    </row>
    <row r="11" spans="1:7" x14ac:dyDescent="0.25">
      <c r="A11" s="74" t="s">
        <v>141</v>
      </c>
      <c r="B11" s="75" t="s">
        <v>142</v>
      </c>
      <c r="C11" s="76" t="s">
        <v>198</v>
      </c>
      <c r="D11" s="77">
        <v>22000</v>
      </c>
      <c r="E11" s="76" t="s">
        <v>1340</v>
      </c>
      <c r="F11" s="76" t="s">
        <v>174</v>
      </c>
      <c r="G11" s="78"/>
    </row>
    <row r="13" spans="1:7" x14ac:dyDescent="0.25">
      <c r="A13" s="82" t="s">
        <v>1343</v>
      </c>
    </row>
    <row r="15" spans="1:7" x14ac:dyDescent="0.25">
      <c r="A15" s="40" t="s">
        <v>1344</v>
      </c>
    </row>
    <row r="16" spans="1:7" x14ac:dyDescent="0.25">
      <c r="A16" s="35" t="s">
        <v>0</v>
      </c>
      <c r="B16" s="36" t="s">
        <v>1</v>
      </c>
      <c r="C16" s="38" t="s">
        <v>202</v>
      </c>
      <c r="D16" s="61" t="s">
        <v>204</v>
      </c>
    </row>
    <row r="17" spans="1:4" x14ac:dyDescent="0.25">
      <c r="A17" s="59" t="s">
        <v>246</v>
      </c>
      <c r="B17" s="60" t="s">
        <v>247</v>
      </c>
      <c r="C17" s="64" t="s">
        <v>234</v>
      </c>
      <c r="D17" s="65">
        <v>300000</v>
      </c>
    </row>
    <row r="18" spans="1:4" x14ac:dyDescent="0.25">
      <c r="A18" s="57" t="s">
        <v>246</v>
      </c>
      <c r="B18" s="58" t="s">
        <v>248</v>
      </c>
      <c r="C18" s="62" t="s">
        <v>234</v>
      </c>
      <c r="D18" s="63">
        <v>19000</v>
      </c>
    </row>
    <row r="20" spans="1:4" x14ac:dyDescent="0.25">
      <c r="A20" s="40" t="s">
        <v>1345</v>
      </c>
    </row>
    <row r="21" spans="1:4" x14ac:dyDescent="0.25">
      <c r="A21" s="35" t="s">
        <v>0</v>
      </c>
      <c r="B21" s="36" t="s">
        <v>1</v>
      </c>
      <c r="C21" s="38" t="s">
        <v>202</v>
      </c>
      <c r="D21" s="61" t="s">
        <v>204</v>
      </c>
    </row>
    <row r="22" spans="1:4" x14ac:dyDescent="0.25">
      <c r="A22" s="74" t="s">
        <v>170</v>
      </c>
      <c r="B22" s="75" t="s">
        <v>222</v>
      </c>
      <c r="C22" s="76" t="s">
        <v>173</v>
      </c>
      <c r="D22" s="77">
        <v>11000</v>
      </c>
    </row>
    <row r="23" spans="1:4" x14ac:dyDescent="0.25">
      <c r="A23" s="57" t="s">
        <v>284</v>
      </c>
      <c r="B23" s="58" t="s">
        <v>285</v>
      </c>
      <c r="C23" s="62" t="s">
        <v>217</v>
      </c>
      <c r="D23" s="63">
        <v>713000</v>
      </c>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FADBE-FA57-4CC9-90DE-963D4F03B9D3}">
  <sheetPr>
    <tabColor theme="7" tint="0.39997558519241921"/>
  </sheetPr>
  <dimension ref="A1:G5"/>
  <sheetViews>
    <sheetView workbookViewId="0"/>
  </sheetViews>
  <sheetFormatPr defaultRowHeight="15" x14ac:dyDescent="0.25"/>
  <cols>
    <col min="1" max="1" width="29" bestFit="1" customWidth="1"/>
    <col min="2" max="2" width="36.42578125" bestFit="1" customWidth="1"/>
    <col min="3" max="3" width="16.42578125" customWidth="1"/>
    <col min="4" max="4" width="14.42578125" customWidth="1"/>
    <col min="5" max="5" width="18" customWidth="1"/>
    <col min="6" max="6" width="21" customWidth="1"/>
    <col min="7" max="7" width="46.5703125" bestFit="1" customWidth="1"/>
  </cols>
  <sheetData>
    <row r="1" spans="1:7" x14ac:dyDescent="0.25">
      <c r="A1" s="69" t="s">
        <v>0</v>
      </c>
      <c r="B1" s="70" t="s">
        <v>1</v>
      </c>
      <c r="C1" s="71" t="s">
        <v>202</v>
      </c>
      <c r="D1" s="72" t="s">
        <v>204</v>
      </c>
      <c r="E1" s="71" t="s">
        <v>1338</v>
      </c>
      <c r="F1" s="71" t="s">
        <v>1339</v>
      </c>
      <c r="G1" s="73" t="s">
        <v>165</v>
      </c>
    </row>
    <row r="2" spans="1:7" x14ac:dyDescent="0.25">
      <c r="A2" s="74" t="s">
        <v>253</v>
      </c>
      <c r="B2" s="75" t="s">
        <v>254</v>
      </c>
      <c r="C2" s="76" t="s">
        <v>192</v>
      </c>
      <c r="D2" s="77">
        <v>0</v>
      </c>
      <c r="E2" s="76" t="s">
        <v>192</v>
      </c>
      <c r="F2" s="76"/>
      <c r="G2" s="78" t="s">
        <v>1346</v>
      </c>
    </row>
    <row r="3" spans="1:7" x14ac:dyDescent="0.25">
      <c r="A3" s="59" t="s">
        <v>315</v>
      </c>
      <c r="B3" s="60" t="s">
        <v>119</v>
      </c>
      <c r="C3" s="64" t="s">
        <v>192</v>
      </c>
      <c r="D3" s="65">
        <v>300000</v>
      </c>
      <c r="E3" s="64"/>
      <c r="F3" s="64" t="s">
        <v>178</v>
      </c>
      <c r="G3" s="81"/>
    </row>
    <row r="5" spans="1:7" x14ac:dyDescent="0.25">
      <c r="A5" s="82" t="s">
        <v>1343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000-E3E5-4F5D-B2C8-F7C6435AE5E2}">
  <sheetPr>
    <tabColor theme="7" tint="0.39997558519241921"/>
  </sheetPr>
  <dimension ref="A1:H10"/>
  <sheetViews>
    <sheetView workbookViewId="0"/>
  </sheetViews>
  <sheetFormatPr defaultRowHeight="15" x14ac:dyDescent="0.25"/>
  <cols>
    <col min="1" max="1" width="27" bestFit="1" customWidth="1"/>
    <col min="2" max="2" width="53.5703125" bestFit="1" customWidth="1"/>
    <col min="3" max="3" width="16.42578125" customWidth="1"/>
    <col min="4" max="4" width="14.42578125" style="1" customWidth="1"/>
    <col min="5" max="5" width="13" customWidth="1"/>
    <col min="6" max="6" width="11.5703125" customWidth="1"/>
    <col min="7" max="7" width="43.42578125" bestFit="1" customWidth="1"/>
  </cols>
  <sheetData>
    <row r="1" spans="1:8" ht="45" x14ac:dyDescent="0.25">
      <c r="A1" s="69" t="s">
        <v>0</v>
      </c>
      <c r="B1" s="70" t="s">
        <v>1</v>
      </c>
      <c r="C1" s="71" t="s">
        <v>202</v>
      </c>
      <c r="D1" s="72" t="s">
        <v>204</v>
      </c>
      <c r="E1" s="71" t="s">
        <v>1338</v>
      </c>
      <c r="F1" s="71" t="s">
        <v>1339</v>
      </c>
      <c r="G1" s="73" t="s">
        <v>165</v>
      </c>
    </row>
    <row r="2" spans="1:8" x14ac:dyDescent="0.25">
      <c r="A2" s="79" t="s">
        <v>227</v>
      </c>
      <c r="B2" s="66" t="s">
        <v>228</v>
      </c>
      <c r="C2" s="67" t="s">
        <v>192</v>
      </c>
      <c r="D2" s="68">
        <v>36000</v>
      </c>
      <c r="E2" s="67" t="s">
        <v>192</v>
      </c>
      <c r="F2" s="67" t="s">
        <v>178</v>
      </c>
      <c r="G2" s="80"/>
      <c r="H2" s="9" t="s">
        <v>1347</v>
      </c>
    </row>
    <row r="3" spans="1:8" x14ac:dyDescent="0.25">
      <c r="A3" s="74" t="s">
        <v>227</v>
      </c>
      <c r="B3" s="75" t="s">
        <v>230</v>
      </c>
      <c r="C3" s="76" t="s">
        <v>192</v>
      </c>
      <c r="D3" s="77">
        <v>118000</v>
      </c>
      <c r="E3" s="76" t="s">
        <v>192</v>
      </c>
      <c r="F3" s="76" t="s">
        <v>178</v>
      </c>
      <c r="G3" s="78"/>
      <c r="H3" s="83" t="s">
        <v>1347</v>
      </c>
    </row>
    <row r="4" spans="1:8" x14ac:dyDescent="0.25">
      <c r="A4" s="79" t="s">
        <v>59</v>
      </c>
      <c r="B4" s="66" t="s">
        <v>60</v>
      </c>
      <c r="C4" s="67" t="s">
        <v>192</v>
      </c>
      <c r="D4" s="68">
        <v>129000</v>
      </c>
      <c r="E4" s="67" t="s">
        <v>192</v>
      </c>
      <c r="F4" s="67" t="s">
        <v>178</v>
      </c>
      <c r="G4" s="80"/>
      <c r="H4" s="9" t="s">
        <v>1348</v>
      </c>
    </row>
    <row r="5" spans="1:8" x14ac:dyDescent="0.25">
      <c r="A5" s="74" t="s">
        <v>101</v>
      </c>
      <c r="B5" s="75" t="s">
        <v>102</v>
      </c>
      <c r="C5" s="76" t="s">
        <v>271</v>
      </c>
      <c r="D5" s="77">
        <v>205000</v>
      </c>
      <c r="E5" s="76" t="s">
        <v>173</v>
      </c>
      <c r="F5" s="76" t="s">
        <v>178</v>
      </c>
      <c r="G5" s="78"/>
      <c r="H5" s="83" t="s">
        <v>1347</v>
      </c>
    </row>
    <row r="6" spans="1:8" x14ac:dyDescent="0.25">
      <c r="A6" s="79" t="s">
        <v>135</v>
      </c>
      <c r="B6" s="66" t="s">
        <v>136</v>
      </c>
      <c r="C6" s="67" t="s">
        <v>173</v>
      </c>
      <c r="D6" s="68">
        <v>21000</v>
      </c>
      <c r="E6" s="67" t="s">
        <v>173</v>
      </c>
      <c r="F6" s="67" t="s">
        <v>174</v>
      </c>
      <c r="G6" s="80"/>
      <c r="H6" s="9" t="s">
        <v>1348</v>
      </c>
    </row>
    <row r="7" spans="1:8" x14ac:dyDescent="0.25">
      <c r="A7" s="74" t="s">
        <v>306</v>
      </c>
      <c r="B7" s="75" t="s">
        <v>307</v>
      </c>
      <c r="C7" s="76" t="s">
        <v>173</v>
      </c>
      <c r="D7" s="77">
        <v>106000</v>
      </c>
      <c r="E7" s="76" t="s">
        <v>173</v>
      </c>
      <c r="F7" s="76" t="s">
        <v>178</v>
      </c>
      <c r="G7" s="78"/>
      <c r="H7" s="83" t="s">
        <v>1347</v>
      </c>
    </row>
    <row r="8" spans="1:8" x14ac:dyDescent="0.25">
      <c r="A8" s="79" t="s">
        <v>311</v>
      </c>
      <c r="B8" s="66" t="s">
        <v>312</v>
      </c>
      <c r="C8" s="67" t="s">
        <v>173</v>
      </c>
      <c r="D8" s="68">
        <v>1002000</v>
      </c>
      <c r="E8" s="67" t="s">
        <v>173</v>
      </c>
      <c r="F8" s="67" t="s">
        <v>178</v>
      </c>
      <c r="G8" s="80"/>
      <c r="H8" s="9" t="s">
        <v>1347</v>
      </c>
    </row>
    <row r="10" spans="1:8" x14ac:dyDescent="0.25">
      <c r="A10" s="82" t="s">
        <v>1343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1809-5329-48A6-8392-1C516FED5740}">
  <sheetPr>
    <tabColor theme="7" tint="0.39997558519241921"/>
  </sheetPr>
  <dimension ref="A1:G11"/>
  <sheetViews>
    <sheetView workbookViewId="0"/>
  </sheetViews>
  <sheetFormatPr defaultRowHeight="15" x14ac:dyDescent="0.25"/>
  <cols>
    <col min="1" max="1" width="23.42578125" bestFit="1" customWidth="1"/>
    <col min="2" max="2" width="51.42578125" bestFit="1" customWidth="1"/>
    <col min="3" max="3" width="14.42578125" bestFit="1" customWidth="1"/>
    <col min="4" max="4" width="11.5703125" style="1" bestFit="1" customWidth="1"/>
    <col min="5" max="5" width="9.42578125" bestFit="1" customWidth="1"/>
    <col min="6" max="6" width="11.5703125" bestFit="1" customWidth="1"/>
    <col min="7" max="7" width="9.42578125" customWidth="1"/>
  </cols>
  <sheetData>
    <row r="1" spans="1:7" ht="45" x14ac:dyDescent="0.25">
      <c r="A1" s="69" t="s">
        <v>0</v>
      </c>
      <c r="B1" s="70" t="s">
        <v>1</v>
      </c>
      <c r="C1" s="71" t="s">
        <v>202</v>
      </c>
      <c r="D1" s="72" t="s">
        <v>204</v>
      </c>
      <c r="E1" s="71" t="s">
        <v>1338</v>
      </c>
      <c r="F1" s="71" t="s">
        <v>1339</v>
      </c>
      <c r="G1" s="73" t="s">
        <v>165</v>
      </c>
    </row>
    <row r="2" spans="1:7" x14ac:dyDescent="0.25">
      <c r="A2" t="s">
        <v>1349</v>
      </c>
      <c r="B2" t="s">
        <v>31</v>
      </c>
      <c r="C2" t="s">
        <v>192</v>
      </c>
      <c r="D2" s="1">
        <v>120</v>
      </c>
      <c r="E2" t="s">
        <v>192</v>
      </c>
      <c r="F2" t="s">
        <v>174</v>
      </c>
    </row>
    <row r="3" spans="1:7" x14ac:dyDescent="0.25">
      <c r="A3" t="s">
        <v>34</v>
      </c>
      <c r="B3" t="s">
        <v>35</v>
      </c>
      <c r="C3" t="s">
        <v>212</v>
      </c>
      <c r="D3" s="1">
        <v>0</v>
      </c>
      <c r="E3" t="s">
        <v>192</v>
      </c>
      <c r="F3" t="s">
        <v>174</v>
      </c>
    </row>
    <row r="4" spans="1:7" x14ac:dyDescent="0.25">
      <c r="A4" t="s">
        <v>224</v>
      </c>
      <c r="B4" t="s">
        <v>225</v>
      </c>
      <c r="C4" t="s">
        <v>173</v>
      </c>
      <c r="D4" s="1">
        <v>25000</v>
      </c>
      <c r="E4" t="s">
        <v>173</v>
      </c>
      <c r="F4" t="s">
        <v>178</v>
      </c>
    </row>
    <row r="5" spans="1:7" x14ac:dyDescent="0.25">
      <c r="A5" t="s">
        <v>1350</v>
      </c>
      <c r="B5" t="s">
        <v>256</v>
      </c>
      <c r="C5" t="s">
        <v>173</v>
      </c>
      <c r="D5" s="1">
        <v>20000</v>
      </c>
      <c r="E5" t="s">
        <v>173</v>
      </c>
      <c r="F5" t="s">
        <v>174</v>
      </c>
    </row>
    <row r="6" spans="1:7" x14ac:dyDescent="0.25">
      <c r="A6" t="s">
        <v>1351</v>
      </c>
      <c r="B6" t="s">
        <v>98</v>
      </c>
      <c r="C6" t="s">
        <v>173</v>
      </c>
      <c r="D6" s="1">
        <v>12000</v>
      </c>
      <c r="E6" t="s">
        <v>173</v>
      </c>
      <c r="F6" t="s">
        <v>174</v>
      </c>
    </row>
    <row r="7" spans="1:7" x14ac:dyDescent="0.25">
      <c r="A7" t="s">
        <v>292</v>
      </c>
      <c r="B7" t="s">
        <v>225</v>
      </c>
      <c r="C7" t="s">
        <v>173</v>
      </c>
      <c r="D7" s="1">
        <v>25000</v>
      </c>
      <c r="E7" t="s">
        <v>173</v>
      </c>
      <c r="F7" t="s">
        <v>178</v>
      </c>
    </row>
    <row r="8" spans="1:7" x14ac:dyDescent="0.25">
      <c r="A8" t="s">
        <v>306</v>
      </c>
      <c r="B8" t="s">
        <v>309</v>
      </c>
      <c r="C8" t="s">
        <v>173</v>
      </c>
      <c r="D8" s="1">
        <v>330000</v>
      </c>
      <c r="E8" t="s">
        <v>173</v>
      </c>
      <c r="F8" t="s">
        <v>178</v>
      </c>
    </row>
    <row r="9" spans="1:7" x14ac:dyDescent="0.25">
      <c r="A9" t="s">
        <v>313</v>
      </c>
      <c r="B9" t="s">
        <v>314</v>
      </c>
      <c r="C9" t="s">
        <v>173</v>
      </c>
      <c r="D9" s="1">
        <v>22500</v>
      </c>
      <c r="E9" t="s">
        <v>173</v>
      </c>
      <c r="F9" t="s">
        <v>174</v>
      </c>
    </row>
    <row r="11" spans="1:7" x14ac:dyDescent="0.25">
      <c r="A11" s="82" t="s">
        <v>1343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786E-59D3-4462-8710-3FD0B6819BF7}">
  <sheetPr>
    <tabColor theme="7" tint="0.39997558519241921"/>
  </sheetPr>
  <dimension ref="A1:G9"/>
  <sheetViews>
    <sheetView workbookViewId="0"/>
  </sheetViews>
  <sheetFormatPr defaultRowHeight="15" x14ac:dyDescent="0.25"/>
  <cols>
    <col min="1" max="1" width="29.5703125" bestFit="1" customWidth="1"/>
    <col min="2" max="2" width="51.42578125" bestFit="1" customWidth="1"/>
    <col min="3" max="3" width="14.42578125" bestFit="1" customWidth="1"/>
    <col min="4" max="4" width="11.5703125" style="1" bestFit="1" customWidth="1"/>
    <col min="5" max="5" width="9.42578125" bestFit="1" customWidth="1"/>
    <col min="6" max="6" width="13.42578125" customWidth="1"/>
    <col min="7" max="7" width="10.5703125" customWidth="1"/>
  </cols>
  <sheetData>
    <row r="1" spans="1:7" ht="45" x14ac:dyDescent="0.25">
      <c r="A1" s="69" t="s">
        <v>0</v>
      </c>
      <c r="B1" s="70" t="s">
        <v>1</v>
      </c>
      <c r="C1" s="71" t="s">
        <v>202</v>
      </c>
      <c r="D1" s="72" t="s">
        <v>204</v>
      </c>
      <c r="E1" s="71" t="s">
        <v>1338</v>
      </c>
      <c r="F1" s="71" t="s">
        <v>1339</v>
      </c>
      <c r="G1" s="73" t="s">
        <v>165</v>
      </c>
    </row>
    <row r="2" spans="1:7" x14ac:dyDescent="0.25">
      <c r="A2" t="s">
        <v>238</v>
      </c>
      <c r="B2" t="s">
        <v>1341</v>
      </c>
      <c r="C2" t="s">
        <v>192</v>
      </c>
      <c r="D2" s="1">
        <v>6000</v>
      </c>
      <c r="E2" t="s">
        <v>192</v>
      </c>
      <c r="F2" t="s">
        <v>174</v>
      </c>
    </row>
    <row r="3" spans="1:7" x14ac:dyDescent="0.25">
      <c r="A3" t="s">
        <v>258</v>
      </c>
      <c r="B3" t="s">
        <v>259</v>
      </c>
      <c r="C3" t="s">
        <v>192</v>
      </c>
      <c r="D3" s="1">
        <v>3000</v>
      </c>
      <c r="E3" t="s">
        <v>192</v>
      </c>
      <c r="F3" t="s">
        <v>174</v>
      </c>
    </row>
    <row r="4" spans="1:7" x14ac:dyDescent="0.25">
      <c r="A4" t="s">
        <v>107</v>
      </c>
      <c r="B4" t="s">
        <v>108</v>
      </c>
      <c r="C4" t="s">
        <v>192</v>
      </c>
      <c r="D4" s="1">
        <v>437000</v>
      </c>
      <c r="E4" t="s">
        <v>192</v>
      </c>
      <c r="F4" t="s">
        <v>178</v>
      </c>
    </row>
    <row r="5" spans="1:7" x14ac:dyDescent="0.25">
      <c r="A5" t="s">
        <v>278</v>
      </c>
      <c r="B5" t="s">
        <v>279</v>
      </c>
      <c r="C5" t="s">
        <v>173</v>
      </c>
      <c r="D5" s="1">
        <v>472000</v>
      </c>
      <c r="E5" t="s">
        <v>173</v>
      </c>
      <c r="F5" t="s">
        <v>178</v>
      </c>
    </row>
    <row r="6" spans="1:7" x14ac:dyDescent="0.25">
      <c r="A6" t="s">
        <v>283</v>
      </c>
      <c r="B6" t="s">
        <v>114</v>
      </c>
      <c r="C6" t="s">
        <v>212</v>
      </c>
      <c r="D6" s="1">
        <v>52000</v>
      </c>
      <c r="E6" t="s">
        <v>192</v>
      </c>
      <c r="F6" t="s">
        <v>178</v>
      </c>
    </row>
    <row r="9" spans="1:7" x14ac:dyDescent="0.25">
      <c r="A9" s="82" t="s">
        <v>1343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73E78-39E2-4D7E-8411-B91CA60599E8}">
  <dimension ref="A1:AI10"/>
  <sheetViews>
    <sheetView workbookViewId="0"/>
  </sheetViews>
  <sheetFormatPr defaultRowHeight="15" x14ac:dyDescent="0.25"/>
  <cols>
    <col min="1" max="1" width="29.140625" bestFit="1" customWidth="1"/>
  </cols>
  <sheetData>
    <row r="1" spans="1:35" s="46" customFormat="1" ht="60" x14ac:dyDescent="0.25">
      <c r="A1" s="206" t="s">
        <v>0</v>
      </c>
      <c r="B1" s="206" t="s">
        <v>1</v>
      </c>
      <c r="C1" s="206" t="s">
        <v>2</v>
      </c>
      <c r="D1" s="206" t="s">
        <v>5</v>
      </c>
      <c r="E1" s="206" t="s">
        <v>143</v>
      </c>
      <c r="F1" s="206" t="s">
        <v>144</v>
      </c>
      <c r="G1" s="206" t="s">
        <v>7</v>
      </c>
      <c r="H1" s="206" t="s">
        <v>6</v>
      </c>
      <c r="I1" s="207" t="s">
        <v>145</v>
      </c>
      <c r="J1" s="207" t="s">
        <v>146</v>
      </c>
      <c r="K1" s="206" t="s">
        <v>10</v>
      </c>
      <c r="L1" s="206" t="s">
        <v>147</v>
      </c>
      <c r="M1" s="207" t="s">
        <v>148</v>
      </c>
      <c r="N1" s="207" t="s">
        <v>149</v>
      </c>
      <c r="O1" s="207" t="s">
        <v>150</v>
      </c>
      <c r="P1" s="208" t="s">
        <v>151</v>
      </c>
      <c r="Q1" s="208" t="s">
        <v>152</v>
      </c>
      <c r="R1" s="209" t="s">
        <v>153</v>
      </c>
      <c r="S1" s="209" t="s">
        <v>12</v>
      </c>
      <c r="T1" s="209" t="s">
        <v>154</v>
      </c>
      <c r="U1" s="209" t="s">
        <v>155</v>
      </c>
      <c r="V1" s="209" t="s">
        <v>156</v>
      </c>
      <c r="W1" s="209" t="s">
        <v>157</v>
      </c>
      <c r="X1" s="209" t="s">
        <v>158</v>
      </c>
      <c r="Y1" s="206" t="s">
        <v>159</v>
      </c>
      <c r="Z1" s="206" t="s">
        <v>160</v>
      </c>
      <c r="AA1" s="207" t="s">
        <v>161</v>
      </c>
      <c r="AB1" s="206" t="s">
        <v>162</v>
      </c>
      <c r="AC1" s="207" t="s">
        <v>163</v>
      </c>
      <c r="AD1" s="207" t="s">
        <v>164</v>
      </c>
      <c r="AE1" s="210" t="s">
        <v>165</v>
      </c>
      <c r="AF1" s="211" t="s">
        <v>166</v>
      </c>
      <c r="AG1" s="211" t="s">
        <v>167</v>
      </c>
      <c r="AH1" s="212" t="s">
        <v>168</v>
      </c>
      <c r="AI1" s="211" t="s">
        <v>169</v>
      </c>
    </row>
    <row r="2" spans="1:35" x14ac:dyDescent="0.25">
      <c r="A2" t="s">
        <v>170</v>
      </c>
      <c r="B2" t="s">
        <v>171</v>
      </c>
      <c r="C2" s="3" t="s">
        <v>16</v>
      </c>
      <c r="D2">
        <v>37510</v>
      </c>
      <c r="E2" t="s">
        <v>28</v>
      </c>
      <c r="F2" t="s">
        <v>172</v>
      </c>
      <c r="G2">
        <v>6405</v>
      </c>
      <c r="H2" t="s">
        <v>26</v>
      </c>
      <c r="I2" s="9" t="s">
        <v>173</v>
      </c>
      <c r="J2" s="11" t="s">
        <v>174</v>
      </c>
      <c r="K2" s="3">
        <v>200017</v>
      </c>
      <c r="L2" s="3" t="s">
        <v>175</v>
      </c>
      <c r="M2" s="9">
        <v>43221</v>
      </c>
      <c r="N2" s="9">
        <v>43465</v>
      </c>
      <c r="O2" s="11" t="s">
        <v>176</v>
      </c>
      <c r="P2" s="1">
        <v>11124</v>
      </c>
      <c r="Q2" s="1">
        <v>11000</v>
      </c>
      <c r="R2" s="1">
        <v>11330</v>
      </c>
      <c r="S2" s="1">
        <v>206</v>
      </c>
      <c r="T2" s="463">
        <v>11124</v>
      </c>
      <c r="U2" s="463"/>
      <c r="V2" s="463"/>
      <c r="W2" s="463"/>
      <c r="X2" s="463"/>
      <c r="Y2" s="15" t="s">
        <v>177</v>
      </c>
      <c r="Z2" s="9">
        <v>44592</v>
      </c>
      <c r="AA2" s="9">
        <v>44957</v>
      </c>
      <c r="AB2" s="15"/>
      <c r="AC2" s="9">
        <v>44896</v>
      </c>
      <c r="AD2" s="9" t="s">
        <v>178</v>
      </c>
      <c r="AE2" s="127"/>
      <c r="AF2" s="19" t="s">
        <v>178</v>
      </c>
      <c r="AG2" s="19"/>
      <c r="AH2" s="131"/>
      <c r="AI2" s="16"/>
    </row>
    <row r="3" spans="1:35" ht="105" x14ac:dyDescent="0.25">
      <c r="A3" t="s">
        <v>75</v>
      </c>
      <c r="B3" t="s">
        <v>76</v>
      </c>
      <c r="C3" s="3" t="s">
        <v>16</v>
      </c>
      <c r="D3">
        <v>37510</v>
      </c>
      <c r="E3" s="8" t="s">
        <v>77</v>
      </c>
      <c r="F3" t="s">
        <v>172</v>
      </c>
      <c r="G3">
        <v>6405</v>
      </c>
      <c r="H3" t="s">
        <v>26</v>
      </c>
      <c r="I3" s="9" t="s">
        <v>173</v>
      </c>
      <c r="J3" s="11" t="s">
        <v>178</v>
      </c>
      <c r="K3" s="3">
        <v>200105</v>
      </c>
      <c r="L3" s="3" t="s">
        <v>179</v>
      </c>
      <c r="M3" s="9">
        <v>43665</v>
      </c>
      <c r="N3" s="9">
        <v>44760</v>
      </c>
      <c r="O3" s="11" t="s">
        <v>176</v>
      </c>
      <c r="P3" s="1">
        <v>84150</v>
      </c>
      <c r="Q3" s="1">
        <v>88598</v>
      </c>
      <c r="R3" s="1">
        <v>91256</v>
      </c>
      <c r="S3" s="1">
        <v>7106</v>
      </c>
      <c r="T3" s="156"/>
      <c r="U3" s="463"/>
      <c r="V3" s="463"/>
      <c r="W3" s="463"/>
      <c r="X3" s="463"/>
      <c r="Y3" s="15" t="s">
        <v>180</v>
      </c>
      <c r="Z3" s="9">
        <v>44378</v>
      </c>
      <c r="AA3" s="9">
        <v>44742</v>
      </c>
      <c r="AB3" s="15"/>
      <c r="AC3" s="9"/>
      <c r="AD3" s="9"/>
      <c r="AE3" s="126"/>
      <c r="AF3" s="13" t="s">
        <v>178</v>
      </c>
      <c r="AG3" s="13"/>
      <c r="AH3" s="132"/>
      <c r="AI3" s="16"/>
    </row>
    <row r="4" spans="1:35" ht="60" x14ac:dyDescent="0.25">
      <c r="A4" t="s">
        <v>81</v>
      </c>
      <c r="B4" t="s">
        <v>82</v>
      </c>
      <c r="C4" s="3" t="s">
        <v>16</v>
      </c>
      <c r="D4">
        <v>37510</v>
      </c>
      <c r="E4" s="8" t="s">
        <v>83</v>
      </c>
      <c r="F4" t="s">
        <v>172</v>
      </c>
      <c r="G4">
        <v>6405</v>
      </c>
      <c r="H4" t="s">
        <v>26</v>
      </c>
      <c r="I4" s="9" t="s">
        <v>173</v>
      </c>
      <c r="J4" s="11" t="s">
        <v>178</v>
      </c>
      <c r="K4" s="3" t="s">
        <v>181</v>
      </c>
      <c r="L4" s="3" t="s">
        <v>175</v>
      </c>
      <c r="M4" s="9">
        <v>43312</v>
      </c>
      <c r="N4" s="9">
        <v>44760</v>
      </c>
      <c r="O4" s="11" t="s">
        <v>176</v>
      </c>
      <c r="P4" s="1">
        <v>112860</v>
      </c>
      <c r="Q4" s="1">
        <v>131850</v>
      </c>
      <c r="R4" s="1">
        <v>135806</v>
      </c>
      <c r="S4" s="1">
        <v>22946</v>
      </c>
      <c r="T4" s="463"/>
      <c r="U4" s="463"/>
      <c r="V4" s="463"/>
      <c r="W4" s="463"/>
      <c r="X4" s="463"/>
      <c r="Y4" s="20" t="s">
        <v>182</v>
      </c>
      <c r="Z4" s="9">
        <v>44378</v>
      </c>
      <c r="AA4" s="9">
        <v>44742</v>
      </c>
      <c r="AB4" s="15"/>
      <c r="AC4" s="9"/>
      <c r="AD4" s="9"/>
      <c r="AE4" s="126"/>
      <c r="AF4" s="13" t="s">
        <v>178</v>
      </c>
      <c r="AG4" s="13"/>
      <c r="AH4" s="132"/>
      <c r="AI4" s="16"/>
    </row>
    <row r="5" spans="1:35" ht="30" x14ac:dyDescent="0.25">
      <c r="A5" t="s">
        <v>88</v>
      </c>
      <c r="B5" t="s">
        <v>89</v>
      </c>
      <c r="C5" s="3" t="s">
        <v>16</v>
      </c>
      <c r="D5">
        <v>37510</v>
      </c>
      <c r="E5" t="s">
        <v>27</v>
      </c>
      <c r="F5" t="s">
        <v>172</v>
      </c>
      <c r="G5">
        <v>6405</v>
      </c>
      <c r="H5" t="s">
        <v>26</v>
      </c>
      <c r="I5" s="9" t="s">
        <v>173</v>
      </c>
      <c r="J5" s="11" t="s">
        <v>178</v>
      </c>
      <c r="K5" s="460">
        <v>107066</v>
      </c>
      <c r="L5" s="460" t="s">
        <v>175</v>
      </c>
      <c r="M5" s="9">
        <v>42491</v>
      </c>
      <c r="N5" s="9">
        <v>43646</v>
      </c>
      <c r="O5" s="11" t="s">
        <v>176</v>
      </c>
      <c r="P5" s="463">
        <v>63000</v>
      </c>
      <c r="Q5" s="463">
        <v>67475</v>
      </c>
      <c r="R5" s="463">
        <v>69499</v>
      </c>
      <c r="S5" s="463">
        <v>6499</v>
      </c>
      <c r="T5" s="463"/>
      <c r="U5" s="463"/>
      <c r="V5" s="463"/>
      <c r="W5" s="463"/>
      <c r="X5" s="463"/>
      <c r="Y5" s="168" t="s">
        <v>183</v>
      </c>
      <c r="Z5" s="17">
        <v>44378</v>
      </c>
      <c r="AA5" s="9">
        <v>44742</v>
      </c>
      <c r="AB5" s="168"/>
      <c r="AC5" s="9"/>
      <c r="AD5" s="9"/>
      <c r="AE5" s="126"/>
      <c r="AF5" s="13" t="s">
        <v>178</v>
      </c>
      <c r="AG5" s="13"/>
      <c r="AH5" s="130"/>
      <c r="AI5" s="16"/>
    </row>
    <row r="6" spans="1:35" x14ac:dyDescent="0.25">
      <c r="A6" t="s">
        <v>99</v>
      </c>
      <c r="B6" t="s">
        <v>100</v>
      </c>
      <c r="C6" s="3" t="s">
        <v>16</v>
      </c>
      <c r="D6">
        <v>37510</v>
      </c>
      <c r="E6" t="s">
        <v>28</v>
      </c>
      <c r="F6" t="s">
        <v>172</v>
      </c>
      <c r="G6">
        <v>6405</v>
      </c>
      <c r="H6" t="s">
        <v>26</v>
      </c>
      <c r="I6" t="s">
        <v>173</v>
      </c>
      <c r="J6" s="11" t="s">
        <v>178</v>
      </c>
      <c r="K6" s="3">
        <v>200093</v>
      </c>
      <c r="L6" s="3" t="s">
        <v>184</v>
      </c>
      <c r="M6" s="9">
        <v>42125</v>
      </c>
      <c r="N6" s="9">
        <v>44711</v>
      </c>
      <c r="O6" s="11" t="s">
        <v>176</v>
      </c>
      <c r="P6" s="1">
        <v>145736</v>
      </c>
      <c r="Q6" s="1">
        <v>163486</v>
      </c>
      <c r="R6" s="1">
        <v>168391</v>
      </c>
      <c r="S6" s="1">
        <v>22655</v>
      </c>
      <c r="T6" s="463"/>
      <c r="U6" s="463"/>
      <c r="V6" s="463"/>
      <c r="W6" s="463"/>
      <c r="X6" s="463"/>
      <c r="Y6" s="15" t="s">
        <v>185</v>
      </c>
      <c r="Z6" s="9">
        <v>44348</v>
      </c>
      <c r="AA6" s="9">
        <v>44712</v>
      </c>
      <c r="AB6" s="15"/>
      <c r="AC6" s="9"/>
      <c r="AD6" s="9"/>
      <c r="AE6" s="128"/>
      <c r="AF6" s="13" t="s">
        <v>174</v>
      </c>
      <c r="AG6" s="13"/>
      <c r="AH6" s="130"/>
      <c r="AI6" s="16" t="s">
        <v>186</v>
      </c>
    </row>
    <row r="7" spans="1:35" x14ac:dyDescent="0.25">
      <c r="A7" t="s">
        <v>187</v>
      </c>
      <c r="B7" t="s">
        <v>122</v>
      </c>
      <c r="C7" s="3" t="s">
        <v>16</v>
      </c>
      <c r="D7">
        <v>37510</v>
      </c>
      <c r="E7" t="s">
        <v>123</v>
      </c>
      <c r="F7" t="s">
        <v>172</v>
      </c>
      <c r="G7">
        <v>6405</v>
      </c>
      <c r="H7" t="s">
        <v>26</v>
      </c>
      <c r="I7" s="9" t="s">
        <v>188</v>
      </c>
      <c r="J7" s="11" t="s">
        <v>174</v>
      </c>
      <c r="K7" s="460">
        <v>200118</v>
      </c>
      <c r="L7" s="3" t="s">
        <v>189</v>
      </c>
      <c r="M7" s="9">
        <v>43720</v>
      </c>
      <c r="N7" s="9">
        <v>44815</v>
      </c>
      <c r="O7" s="11" t="s">
        <v>176</v>
      </c>
      <c r="P7" s="463">
        <v>10000</v>
      </c>
      <c r="Q7" s="463">
        <v>10000</v>
      </c>
      <c r="R7" s="463">
        <v>10300</v>
      </c>
      <c r="S7" s="463">
        <v>300</v>
      </c>
      <c r="T7" s="463"/>
      <c r="U7" s="463"/>
      <c r="V7" s="463"/>
      <c r="W7" s="463"/>
      <c r="X7" s="463"/>
      <c r="Y7" s="20" t="s">
        <v>190</v>
      </c>
      <c r="Z7" s="9">
        <v>44378</v>
      </c>
      <c r="AA7" s="9">
        <v>44742</v>
      </c>
      <c r="AB7" s="15"/>
      <c r="AC7" s="9"/>
      <c r="AD7" s="9"/>
      <c r="AE7" s="126"/>
      <c r="AF7" s="13" t="s">
        <v>178</v>
      </c>
      <c r="AG7" s="13"/>
      <c r="AH7" s="130"/>
      <c r="AI7" s="465" t="s">
        <v>191</v>
      </c>
    </row>
    <row r="8" spans="1:35" x14ac:dyDescent="0.25">
      <c r="A8" t="s">
        <v>121</v>
      </c>
      <c r="B8" t="s">
        <v>122</v>
      </c>
      <c r="C8" s="3" t="s">
        <v>16</v>
      </c>
      <c r="D8">
        <v>37510</v>
      </c>
      <c r="E8" t="s">
        <v>123</v>
      </c>
      <c r="F8" t="s">
        <v>172</v>
      </c>
      <c r="G8">
        <v>6405</v>
      </c>
      <c r="H8" t="s">
        <v>26</v>
      </c>
      <c r="I8" s="9" t="s">
        <v>192</v>
      </c>
      <c r="J8" s="11" t="s">
        <v>174</v>
      </c>
      <c r="K8" s="460" t="s">
        <v>29</v>
      </c>
      <c r="L8" s="460" t="s">
        <v>29</v>
      </c>
      <c r="M8" s="9"/>
      <c r="N8" s="9"/>
      <c r="O8" s="11" t="s">
        <v>176</v>
      </c>
      <c r="P8" s="463">
        <v>6000</v>
      </c>
      <c r="Q8" s="463">
        <v>6000</v>
      </c>
      <c r="R8" s="463">
        <v>6180</v>
      </c>
      <c r="S8" s="463">
        <v>180</v>
      </c>
      <c r="T8" s="463"/>
      <c r="U8" s="463"/>
      <c r="V8" s="463"/>
      <c r="W8" s="463"/>
      <c r="X8" s="463"/>
      <c r="Y8" s="20" t="s">
        <v>193</v>
      </c>
      <c r="Z8" s="9">
        <v>44378</v>
      </c>
      <c r="AA8" s="9">
        <v>44742</v>
      </c>
      <c r="AB8" s="15"/>
      <c r="AC8" s="9"/>
      <c r="AD8" s="34"/>
      <c r="AE8" s="126"/>
      <c r="AF8" s="13" t="s">
        <v>178</v>
      </c>
      <c r="AG8" s="13"/>
      <c r="AH8" s="130"/>
      <c r="AI8" s="465" t="s">
        <v>191</v>
      </c>
    </row>
    <row r="9" spans="1:35" x14ac:dyDescent="0.25">
      <c r="A9" t="s">
        <v>133</v>
      </c>
      <c r="B9" t="s">
        <v>134</v>
      </c>
      <c r="C9" s="3" t="s">
        <v>16</v>
      </c>
      <c r="D9">
        <v>37510</v>
      </c>
      <c r="E9" t="s">
        <v>28</v>
      </c>
      <c r="F9" t="s">
        <v>172</v>
      </c>
      <c r="G9">
        <v>6405</v>
      </c>
      <c r="H9" t="s">
        <v>26</v>
      </c>
      <c r="I9" s="9" t="s">
        <v>194</v>
      </c>
      <c r="J9" s="11" t="s">
        <v>178</v>
      </c>
      <c r="K9" s="460">
        <v>1000002</v>
      </c>
      <c r="L9" s="3" t="s">
        <v>195</v>
      </c>
      <c r="M9" s="9">
        <v>44593</v>
      </c>
      <c r="N9" s="9">
        <v>45688</v>
      </c>
      <c r="O9" s="11" t="s">
        <v>196</v>
      </c>
      <c r="P9" s="463">
        <v>713000</v>
      </c>
      <c r="Q9" s="463">
        <v>576912</v>
      </c>
      <c r="R9" s="463">
        <v>724090</v>
      </c>
      <c r="S9" s="1">
        <v>11090</v>
      </c>
      <c r="T9" s="463">
        <v>586572</v>
      </c>
      <c r="U9" s="463"/>
      <c r="V9" s="463"/>
      <c r="W9" s="463"/>
      <c r="X9" s="463"/>
      <c r="Y9" s="15" t="s">
        <v>197</v>
      </c>
      <c r="Z9" s="9">
        <v>44593</v>
      </c>
      <c r="AA9" s="9">
        <v>44957</v>
      </c>
      <c r="AB9" s="15" t="s">
        <v>197</v>
      </c>
      <c r="AC9" s="9">
        <v>44927</v>
      </c>
      <c r="AD9" s="9" t="s">
        <v>178</v>
      </c>
      <c r="AE9" s="466"/>
      <c r="AF9" s="467"/>
      <c r="AG9" s="467"/>
      <c r="AH9" s="130"/>
      <c r="AI9" s="465"/>
    </row>
    <row r="10" spans="1:35" x14ac:dyDescent="0.25">
      <c r="A10" t="s">
        <v>141</v>
      </c>
      <c r="B10" t="s">
        <v>142</v>
      </c>
      <c r="C10" s="3" t="s">
        <v>16</v>
      </c>
      <c r="D10">
        <v>37510</v>
      </c>
      <c r="E10" t="s">
        <v>27</v>
      </c>
      <c r="F10" t="s">
        <v>172</v>
      </c>
      <c r="G10">
        <v>6405</v>
      </c>
      <c r="H10" t="s">
        <v>26</v>
      </c>
      <c r="I10" s="9" t="s">
        <v>198</v>
      </c>
      <c r="J10" s="11" t="s">
        <v>178</v>
      </c>
      <c r="K10" s="3" t="s">
        <v>29</v>
      </c>
      <c r="L10" s="3" t="s">
        <v>29</v>
      </c>
      <c r="M10" s="9"/>
      <c r="N10" s="9"/>
      <c r="O10" s="11" t="s">
        <v>176</v>
      </c>
      <c r="P10" s="1">
        <v>28000</v>
      </c>
      <c r="Q10" s="1">
        <v>29002</v>
      </c>
      <c r="R10" s="1">
        <v>29872.06</v>
      </c>
      <c r="S10" s="1">
        <v>1872.0600000000013</v>
      </c>
      <c r="T10" s="463"/>
      <c r="U10" s="463"/>
      <c r="V10" s="463"/>
      <c r="W10" s="463"/>
      <c r="X10" s="463"/>
      <c r="Y10" s="11" t="s">
        <v>199</v>
      </c>
      <c r="Z10" s="17">
        <v>44378</v>
      </c>
      <c r="AA10" s="9">
        <v>44742</v>
      </c>
      <c r="AB10" s="11"/>
      <c r="AC10" s="9"/>
      <c r="AD10" s="173"/>
      <c r="AE10" s="128"/>
      <c r="AF10" s="13" t="s">
        <v>178</v>
      </c>
      <c r="AG10" s="13"/>
      <c r="AH10" s="130"/>
      <c r="AI10" s="16" t="s">
        <v>200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FBA89-C8E4-46BD-9794-AD62FE0DB06D}">
  <sheetPr>
    <tabColor theme="7" tint="0.39997558519241921"/>
  </sheetPr>
  <dimension ref="A1:G9"/>
  <sheetViews>
    <sheetView workbookViewId="0"/>
  </sheetViews>
  <sheetFormatPr defaultRowHeight="15" x14ac:dyDescent="0.25"/>
  <cols>
    <col min="1" max="1" width="29.5703125" bestFit="1" customWidth="1"/>
    <col min="2" max="2" width="73.5703125" bestFit="1" customWidth="1"/>
    <col min="3" max="3" width="16.42578125" customWidth="1"/>
    <col min="4" max="4" width="14.42578125" style="1" customWidth="1"/>
    <col min="5" max="5" width="13" customWidth="1"/>
    <col min="6" max="6" width="11.5703125" customWidth="1"/>
    <col min="7" max="7" width="43.42578125" bestFit="1" customWidth="1"/>
  </cols>
  <sheetData>
    <row r="1" spans="1:7" ht="45" x14ac:dyDescent="0.25">
      <c r="A1" s="69" t="s">
        <v>0</v>
      </c>
      <c r="B1" s="70" t="s">
        <v>1</v>
      </c>
      <c r="C1" s="71" t="s">
        <v>202</v>
      </c>
      <c r="D1" s="72" t="s">
        <v>204</v>
      </c>
      <c r="E1" s="71" t="s">
        <v>1338</v>
      </c>
      <c r="F1" s="71" t="s">
        <v>1339</v>
      </c>
      <c r="G1" s="73" t="s">
        <v>165</v>
      </c>
    </row>
    <row r="2" spans="1:7" x14ac:dyDescent="0.25">
      <c r="A2" t="s">
        <v>219</v>
      </c>
      <c r="B2" t="s">
        <v>49</v>
      </c>
      <c r="C2" t="s">
        <v>221</v>
      </c>
      <c r="D2" s="1">
        <v>59000</v>
      </c>
      <c r="E2" t="s">
        <v>173</v>
      </c>
      <c r="F2" t="s">
        <v>178</v>
      </c>
    </row>
    <row r="3" spans="1:7" x14ac:dyDescent="0.25">
      <c r="A3" t="s">
        <v>94</v>
      </c>
      <c r="B3" t="s">
        <v>95</v>
      </c>
      <c r="C3" t="s">
        <v>192</v>
      </c>
      <c r="D3" s="1">
        <v>196000</v>
      </c>
      <c r="E3" t="s">
        <v>192</v>
      </c>
      <c r="F3" t="s">
        <v>178</v>
      </c>
    </row>
    <row r="4" spans="1:7" x14ac:dyDescent="0.25">
      <c r="A4" t="s">
        <v>286</v>
      </c>
      <c r="B4" t="s">
        <v>117</v>
      </c>
      <c r="C4" t="s">
        <v>192</v>
      </c>
      <c r="D4" s="1">
        <v>110000</v>
      </c>
      <c r="E4" t="s">
        <v>192</v>
      </c>
      <c r="F4" t="s">
        <v>178</v>
      </c>
    </row>
    <row r="5" spans="1:7" x14ac:dyDescent="0.25">
      <c r="A5" t="s">
        <v>286</v>
      </c>
      <c r="B5" t="s">
        <v>116</v>
      </c>
      <c r="C5" t="s">
        <v>221</v>
      </c>
      <c r="D5" s="1">
        <v>0</v>
      </c>
      <c r="E5" t="s">
        <v>173</v>
      </c>
      <c r="F5" t="s">
        <v>174</v>
      </c>
      <c r="G5" t="s">
        <v>1352</v>
      </c>
    </row>
    <row r="6" spans="1:7" x14ac:dyDescent="0.25">
      <c r="A6" t="s">
        <v>304</v>
      </c>
      <c r="B6" t="s">
        <v>132</v>
      </c>
      <c r="C6" t="s">
        <v>192</v>
      </c>
      <c r="D6" s="1">
        <v>65000</v>
      </c>
      <c r="E6" t="s">
        <v>192</v>
      </c>
      <c r="F6" t="s">
        <v>178</v>
      </c>
    </row>
    <row r="7" spans="1:7" x14ac:dyDescent="0.25">
      <c r="A7" t="s">
        <v>137</v>
      </c>
      <c r="B7" t="s">
        <v>138</v>
      </c>
      <c r="C7" t="s">
        <v>192</v>
      </c>
      <c r="D7" s="1">
        <v>10000</v>
      </c>
      <c r="E7" t="s">
        <v>192</v>
      </c>
      <c r="F7" t="s">
        <v>174</v>
      </c>
    </row>
    <row r="9" spans="1:7" x14ac:dyDescent="0.25">
      <c r="A9" s="82" t="s">
        <v>1343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0"/>
  <sheetViews>
    <sheetView workbookViewId="0"/>
  </sheetViews>
  <sheetFormatPr defaultRowHeight="15" outlineLevelCol="1" x14ac:dyDescent="0.25"/>
  <cols>
    <col min="2" max="2" width="29.42578125" bestFit="1" customWidth="1"/>
    <col min="3" max="3" width="34.5703125" bestFit="1" customWidth="1"/>
    <col min="4" max="4" width="49.42578125" bestFit="1" customWidth="1"/>
    <col min="5" max="5" width="12.42578125" customWidth="1" outlineLevel="1"/>
    <col min="6" max="6" width="20.5703125" customWidth="1" outlineLevel="1"/>
    <col min="7" max="7" width="13.42578125" customWidth="1" outlineLevel="1"/>
    <col min="8" max="8" width="31.5703125" customWidth="1" outlineLevel="1"/>
    <col min="9" max="9" width="17.5703125" style="1" bestFit="1" customWidth="1"/>
    <col min="10" max="10" width="13.42578125" style="1" hidden="1" customWidth="1" outlineLevel="1"/>
    <col min="11" max="11" width="10.42578125" style="3" customWidth="1" collapsed="1"/>
    <col min="12" max="12" width="57.5703125" bestFit="1" customWidth="1"/>
  </cols>
  <sheetData>
    <row r="1" spans="1:12" ht="30" x14ac:dyDescent="0.25">
      <c r="A1" s="33" t="s">
        <v>3</v>
      </c>
      <c r="B1" s="33" t="s">
        <v>1353</v>
      </c>
      <c r="C1" s="33" t="s">
        <v>1354</v>
      </c>
      <c r="D1" s="33" t="s">
        <v>336</v>
      </c>
      <c r="E1" s="31" t="s">
        <v>5</v>
      </c>
      <c r="F1" s="33" t="s">
        <v>1355</v>
      </c>
      <c r="G1" s="33" t="s">
        <v>1356</v>
      </c>
      <c r="H1" s="33" t="s">
        <v>1357</v>
      </c>
      <c r="I1" s="30" t="s">
        <v>203</v>
      </c>
      <c r="J1" s="32" t="s">
        <v>1358</v>
      </c>
      <c r="K1" s="31" t="s">
        <v>1359</v>
      </c>
      <c r="L1" s="30" t="s">
        <v>165</v>
      </c>
    </row>
    <row r="2" spans="1:12" x14ac:dyDescent="0.25">
      <c r="A2" t="s">
        <v>1360</v>
      </c>
      <c r="B2" t="s">
        <v>322</v>
      </c>
      <c r="C2" t="s">
        <v>1361</v>
      </c>
      <c r="D2" t="s">
        <v>1362</v>
      </c>
      <c r="E2">
        <v>37530</v>
      </c>
      <c r="F2" t="s">
        <v>44</v>
      </c>
      <c r="G2" s="3">
        <v>6405</v>
      </c>
      <c r="H2" t="s">
        <v>1363</v>
      </c>
      <c r="I2" s="1">
        <v>200000</v>
      </c>
      <c r="J2" s="28"/>
      <c r="K2" s="27"/>
    </row>
    <row r="3" spans="1:12" x14ac:dyDescent="0.25">
      <c r="A3" t="s">
        <v>1360</v>
      </c>
      <c r="B3" t="s">
        <v>322</v>
      </c>
      <c r="C3" t="s">
        <v>1292</v>
      </c>
      <c r="D3" t="s">
        <v>1364</v>
      </c>
      <c r="E3">
        <v>37530</v>
      </c>
      <c r="F3" t="s">
        <v>44</v>
      </c>
      <c r="G3" s="3">
        <v>6405</v>
      </c>
      <c r="H3" t="s">
        <v>1363</v>
      </c>
      <c r="I3" s="1">
        <v>1805001.3333333335</v>
      </c>
      <c r="J3" s="28"/>
      <c r="K3" s="27" t="s">
        <v>16</v>
      </c>
      <c r="L3" t="s">
        <v>1365</v>
      </c>
    </row>
    <row r="4" spans="1:12" x14ac:dyDescent="0.25">
      <c r="A4" t="s">
        <v>1366</v>
      </c>
      <c r="B4" t="s">
        <v>1367</v>
      </c>
      <c r="C4" t="s">
        <v>213</v>
      </c>
      <c r="D4" t="s">
        <v>214</v>
      </c>
      <c r="E4">
        <v>37550</v>
      </c>
      <c r="F4" t="s">
        <v>87</v>
      </c>
      <c r="G4" s="3">
        <v>6405</v>
      </c>
      <c r="H4" t="s">
        <v>1363</v>
      </c>
      <c r="I4" s="1">
        <v>25882</v>
      </c>
      <c r="J4" s="28"/>
      <c r="K4" s="27"/>
    </row>
    <row r="5" spans="1:12" x14ac:dyDescent="0.25">
      <c r="A5" t="s">
        <v>1360</v>
      </c>
      <c r="B5" t="s">
        <v>332</v>
      </c>
      <c r="C5" t="s">
        <v>216</v>
      </c>
      <c r="D5" t="s">
        <v>1368</v>
      </c>
      <c r="E5">
        <v>37530</v>
      </c>
      <c r="F5" t="s">
        <v>44</v>
      </c>
      <c r="G5" s="3">
        <v>6615</v>
      </c>
      <c r="H5" t="s">
        <v>1369</v>
      </c>
      <c r="I5" s="1">
        <v>0</v>
      </c>
      <c r="J5" s="28">
        <v>27344.400000000001</v>
      </c>
      <c r="K5" s="27" t="s">
        <v>16</v>
      </c>
      <c r="L5" t="s">
        <v>1370</v>
      </c>
    </row>
    <row r="6" spans="1:12" x14ac:dyDescent="0.25">
      <c r="A6" t="s">
        <v>1360</v>
      </c>
      <c r="B6" t="s">
        <v>332</v>
      </c>
      <c r="C6" t="s">
        <v>216</v>
      </c>
      <c r="D6" t="s">
        <v>1368</v>
      </c>
      <c r="E6">
        <v>37530</v>
      </c>
      <c r="F6" t="s">
        <v>44</v>
      </c>
      <c r="G6" s="3">
        <v>6615</v>
      </c>
      <c r="H6" t="s">
        <v>1369</v>
      </c>
      <c r="I6" s="1">
        <v>17607.599999999999</v>
      </c>
      <c r="J6" s="28"/>
      <c r="K6" s="27" t="s">
        <v>16</v>
      </c>
      <c r="L6" t="s">
        <v>1371</v>
      </c>
    </row>
    <row r="7" spans="1:12" x14ac:dyDescent="0.25">
      <c r="A7" t="s">
        <v>1372</v>
      </c>
      <c r="B7" t="s">
        <v>332</v>
      </c>
      <c r="C7" t="s">
        <v>224</v>
      </c>
      <c r="D7" t="s">
        <v>225</v>
      </c>
      <c r="E7">
        <v>37540</v>
      </c>
      <c r="F7" t="s">
        <v>32</v>
      </c>
      <c r="G7" s="3">
        <v>6405</v>
      </c>
      <c r="H7" t="s">
        <v>1363</v>
      </c>
      <c r="I7" s="1">
        <v>25000</v>
      </c>
      <c r="J7" s="28"/>
      <c r="K7" s="27"/>
    </row>
    <row r="8" spans="1:12" x14ac:dyDescent="0.25">
      <c r="A8" t="s">
        <v>1360</v>
      </c>
      <c r="B8" t="s">
        <v>322</v>
      </c>
      <c r="C8" t="s">
        <v>1373</v>
      </c>
      <c r="D8" t="s">
        <v>230</v>
      </c>
      <c r="E8">
        <v>37530</v>
      </c>
      <c r="F8" t="s">
        <v>44</v>
      </c>
      <c r="G8" s="3">
        <v>6405</v>
      </c>
      <c r="H8" t="s">
        <v>1363</v>
      </c>
      <c r="I8" s="1">
        <v>115000</v>
      </c>
      <c r="J8" s="28"/>
      <c r="K8" s="27"/>
    </row>
    <row r="9" spans="1:12" x14ac:dyDescent="0.25">
      <c r="A9" t="s">
        <v>1360</v>
      </c>
      <c r="B9" t="s">
        <v>322</v>
      </c>
      <c r="C9" t="s">
        <v>1373</v>
      </c>
      <c r="D9" t="s">
        <v>1374</v>
      </c>
      <c r="E9">
        <v>37530</v>
      </c>
      <c r="F9" t="s">
        <v>44</v>
      </c>
      <c r="G9" s="3">
        <v>6405</v>
      </c>
      <c r="H9" t="s">
        <v>1363</v>
      </c>
      <c r="I9" s="1">
        <v>45000</v>
      </c>
      <c r="J9" s="28"/>
      <c r="K9" s="27"/>
    </row>
    <row r="10" spans="1:12" x14ac:dyDescent="0.25">
      <c r="A10" t="s">
        <v>1366</v>
      </c>
      <c r="B10" t="s">
        <v>56</v>
      </c>
      <c r="C10" t="s">
        <v>1375</v>
      </c>
      <c r="D10" t="s">
        <v>1376</v>
      </c>
      <c r="E10">
        <v>37560</v>
      </c>
      <c r="F10" t="s">
        <v>50</v>
      </c>
      <c r="G10" s="3">
        <v>6405</v>
      </c>
      <c r="H10" t="s">
        <v>1363</v>
      </c>
      <c r="I10" s="1">
        <v>0</v>
      </c>
      <c r="J10" s="28">
        <v>8200</v>
      </c>
      <c r="K10" s="27"/>
      <c r="L10" t="s">
        <v>1377</v>
      </c>
    </row>
    <row r="11" spans="1:12" x14ac:dyDescent="0.25">
      <c r="A11" t="s">
        <v>1366</v>
      </c>
      <c r="B11" t="s">
        <v>1367</v>
      </c>
      <c r="C11" t="s">
        <v>66</v>
      </c>
      <c r="D11" t="s">
        <v>1341</v>
      </c>
      <c r="E11">
        <v>37550</v>
      </c>
      <c r="F11" t="s">
        <v>87</v>
      </c>
      <c r="G11" s="3">
        <v>6405</v>
      </c>
      <c r="H11" t="s">
        <v>1363</v>
      </c>
      <c r="I11" s="1">
        <v>6000</v>
      </c>
      <c r="J11" s="28"/>
      <c r="K11" s="27"/>
    </row>
    <row r="12" spans="1:12" x14ac:dyDescent="0.25">
      <c r="A12" t="s">
        <v>1366</v>
      </c>
      <c r="B12" t="s">
        <v>1367</v>
      </c>
      <c r="C12" t="s">
        <v>241</v>
      </c>
      <c r="D12" t="s">
        <v>242</v>
      </c>
      <c r="E12">
        <v>37550</v>
      </c>
      <c r="F12" t="s">
        <v>87</v>
      </c>
      <c r="G12" s="3">
        <v>6405</v>
      </c>
      <c r="H12" t="s">
        <v>1363</v>
      </c>
      <c r="I12" s="1">
        <v>5847.58</v>
      </c>
      <c r="J12" s="28"/>
      <c r="K12" s="27" t="s">
        <v>16</v>
      </c>
      <c r="L12" t="s">
        <v>1378</v>
      </c>
    </row>
    <row r="13" spans="1:12" x14ac:dyDescent="0.25">
      <c r="A13" t="s">
        <v>1366</v>
      </c>
      <c r="B13" t="s">
        <v>56</v>
      </c>
      <c r="C13" t="s">
        <v>69</v>
      </c>
      <c r="D13" t="s">
        <v>1379</v>
      </c>
      <c r="E13">
        <v>37560</v>
      </c>
      <c r="F13" t="s">
        <v>50</v>
      </c>
      <c r="G13" s="3">
        <v>6405</v>
      </c>
      <c r="H13" t="s">
        <v>1363</v>
      </c>
      <c r="I13" s="1">
        <v>19990</v>
      </c>
      <c r="J13" s="28"/>
      <c r="K13" s="27" t="s">
        <v>174</v>
      </c>
      <c r="L13" t="s">
        <v>1380</v>
      </c>
    </row>
    <row r="14" spans="1:12" x14ac:dyDescent="0.25">
      <c r="A14" t="s">
        <v>1360</v>
      </c>
      <c r="B14" t="s">
        <v>28</v>
      </c>
      <c r="C14" t="s">
        <v>75</v>
      </c>
      <c r="D14" t="s">
        <v>1381</v>
      </c>
      <c r="E14">
        <v>37510</v>
      </c>
      <c r="F14" t="s">
        <v>26</v>
      </c>
      <c r="G14" s="3">
        <v>6405</v>
      </c>
      <c r="H14" t="s">
        <v>1363</v>
      </c>
      <c r="I14" s="1">
        <v>85000</v>
      </c>
      <c r="J14" s="28"/>
      <c r="K14" s="27"/>
    </row>
    <row r="15" spans="1:12" x14ac:dyDescent="0.25">
      <c r="A15" t="s">
        <v>1360</v>
      </c>
      <c r="B15" t="s">
        <v>28</v>
      </c>
      <c r="C15" t="s">
        <v>1382</v>
      </c>
      <c r="D15" t="s">
        <v>1381</v>
      </c>
      <c r="E15">
        <v>37510</v>
      </c>
      <c r="F15" t="s">
        <v>26</v>
      </c>
      <c r="G15" s="3">
        <v>6405</v>
      </c>
      <c r="H15" t="s">
        <v>1363</v>
      </c>
      <c r="I15" s="1">
        <v>113000</v>
      </c>
      <c r="J15" s="28"/>
      <c r="K15" s="27"/>
    </row>
    <row r="16" spans="1:12" x14ac:dyDescent="0.25">
      <c r="A16" t="s">
        <v>1366</v>
      </c>
      <c r="B16" t="s">
        <v>1367</v>
      </c>
      <c r="C16" t="s">
        <v>85</v>
      </c>
      <c r="D16" t="s">
        <v>86</v>
      </c>
      <c r="E16">
        <v>37550</v>
      </c>
      <c r="F16" t="s">
        <v>87</v>
      </c>
      <c r="G16" s="3">
        <v>6405</v>
      </c>
      <c r="H16" t="s">
        <v>1363</v>
      </c>
      <c r="I16" s="1">
        <v>31613</v>
      </c>
      <c r="J16" s="28"/>
      <c r="K16" s="27" t="s">
        <v>174</v>
      </c>
      <c r="L16" t="s">
        <v>1380</v>
      </c>
    </row>
    <row r="17" spans="1:12" x14ac:dyDescent="0.25">
      <c r="A17" t="s">
        <v>1360</v>
      </c>
      <c r="B17" t="s">
        <v>234</v>
      </c>
      <c r="C17" t="s">
        <v>1383</v>
      </c>
      <c r="D17" t="s">
        <v>247</v>
      </c>
      <c r="E17">
        <v>37510</v>
      </c>
      <c r="F17" t="s">
        <v>26</v>
      </c>
      <c r="G17" s="3">
        <v>6615</v>
      </c>
      <c r="H17" t="s">
        <v>1369</v>
      </c>
      <c r="I17" s="1">
        <v>275000</v>
      </c>
      <c r="J17" s="28"/>
      <c r="K17" s="27" t="s">
        <v>16</v>
      </c>
      <c r="L17" t="s">
        <v>1384</v>
      </c>
    </row>
    <row r="18" spans="1:12" x14ac:dyDescent="0.25">
      <c r="A18" t="s">
        <v>1360</v>
      </c>
      <c r="B18" t="s">
        <v>28</v>
      </c>
      <c r="C18" t="s">
        <v>1383</v>
      </c>
      <c r="D18" t="s">
        <v>248</v>
      </c>
      <c r="E18">
        <v>37510</v>
      </c>
      <c r="F18" t="s">
        <v>26</v>
      </c>
      <c r="G18" s="3">
        <v>6615</v>
      </c>
      <c r="H18" t="s">
        <v>1369</v>
      </c>
      <c r="I18" s="1">
        <v>22000</v>
      </c>
      <c r="J18" s="28"/>
      <c r="K18" s="27" t="s">
        <v>16</v>
      </c>
      <c r="L18" t="s">
        <v>1384</v>
      </c>
    </row>
    <row r="19" spans="1:12" x14ac:dyDescent="0.25">
      <c r="A19" t="s">
        <v>1360</v>
      </c>
      <c r="B19" t="s">
        <v>28</v>
      </c>
      <c r="C19" t="s">
        <v>88</v>
      </c>
      <c r="D19" t="s">
        <v>251</v>
      </c>
      <c r="E19">
        <v>37510</v>
      </c>
      <c r="F19" t="s">
        <v>26</v>
      </c>
      <c r="G19" s="3">
        <v>6405</v>
      </c>
      <c r="H19" t="s">
        <v>1363</v>
      </c>
      <c r="I19" s="1">
        <v>18000</v>
      </c>
      <c r="J19" s="28"/>
      <c r="K19" s="27" t="s">
        <v>38</v>
      </c>
      <c r="L19" t="s">
        <v>1385</v>
      </c>
    </row>
    <row r="20" spans="1:12" x14ac:dyDescent="0.25">
      <c r="A20" t="s">
        <v>1366</v>
      </c>
      <c r="B20" t="s">
        <v>172</v>
      </c>
      <c r="C20" t="s">
        <v>1295</v>
      </c>
      <c r="D20" t="s">
        <v>1386</v>
      </c>
      <c r="E20">
        <v>37550</v>
      </c>
      <c r="F20" t="s">
        <v>87</v>
      </c>
      <c r="G20" s="3">
        <v>6405</v>
      </c>
      <c r="H20" t="s">
        <v>1363</v>
      </c>
      <c r="I20" s="1">
        <v>758000</v>
      </c>
      <c r="J20" s="28"/>
      <c r="K20" s="27"/>
    </row>
    <row r="21" spans="1:12" x14ac:dyDescent="0.25">
      <c r="A21" t="s">
        <v>1360</v>
      </c>
      <c r="B21" t="s">
        <v>234</v>
      </c>
      <c r="C21" t="s">
        <v>1387</v>
      </c>
      <c r="D21" t="s">
        <v>1388</v>
      </c>
      <c r="E21">
        <v>37510</v>
      </c>
      <c r="F21" t="s">
        <v>26</v>
      </c>
      <c r="G21" s="3">
        <v>6405</v>
      </c>
      <c r="H21" t="s">
        <v>1363</v>
      </c>
      <c r="I21" s="1">
        <v>0</v>
      </c>
      <c r="J21" s="28"/>
      <c r="K21" s="27" t="s">
        <v>16</v>
      </c>
    </row>
    <row r="22" spans="1:12" x14ac:dyDescent="0.25">
      <c r="A22" t="s">
        <v>1372</v>
      </c>
      <c r="B22" t="s">
        <v>332</v>
      </c>
      <c r="C22" t="s">
        <v>255</v>
      </c>
      <c r="D22" t="s">
        <v>256</v>
      </c>
      <c r="E22">
        <v>37540</v>
      </c>
      <c r="F22" t="s">
        <v>32</v>
      </c>
      <c r="G22" s="3">
        <v>6405</v>
      </c>
      <c r="H22" t="s">
        <v>1363</v>
      </c>
      <c r="I22" s="1">
        <v>20000</v>
      </c>
      <c r="J22" s="28"/>
      <c r="K22" s="27"/>
    </row>
    <row r="23" spans="1:12" x14ac:dyDescent="0.25">
      <c r="A23" t="s">
        <v>1366</v>
      </c>
      <c r="B23" t="s">
        <v>1367</v>
      </c>
      <c r="C23" t="s">
        <v>258</v>
      </c>
      <c r="D23" t="s">
        <v>1389</v>
      </c>
      <c r="E23">
        <v>37550</v>
      </c>
      <c r="F23" t="s">
        <v>87</v>
      </c>
      <c r="G23" s="3">
        <v>6405</v>
      </c>
      <c r="H23" t="s">
        <v>1363</v>
      </c>
      <c r="I23" s="1">
        <v>25000</v>
      </c>
      <c r="J23" s="28"/>
      <c r="K23" s="27"/>
    </row>
    <row r="24" spans="1:12" x14ac:dyDescent="0.25">
      <c r="A24" t="s">
        <v>1366</v>
      </c>
      <c r="B24" t="s">
        <v>56</v>
      </c>
      <c r="C24" t="s">
        <v>1390</v>
      </c>
      <c r="D24" t="s">
        <v>1391</v>
      </c>
      <c r="E24">
        <v>37560</v>
      </c>
      <c r="F24" t="s">
        <v>50</v>
      </c>
      <c r="G24" s="3">
        <v>6405</v>
      </c>
      <c r="H24" t="s">
        <v>1363</v>
      </c>
      <c r="I24" s="1">
        <v>0</v>
      </c>
      <c r="J24" s="28"/>
      <c r="K24" s="27"/>
    </row>
    <row r="25" spans="1:12" x14ac:dyDescent="0.25">
      <c r="A25" t="s">
        <v>1366</v>
      </c>
      <c r="B25" t="s">
        <v>56</v>
      </c>
      <c r="C25" t="s">
        <v>1392</v>
      </c>
      <c r="D25" t="s">
        <v>1393</v>
      </c>
      <c r="E25">
        <v>37560</v>
      </c>
      <c r="F25" t="s">
        <v>50</v>
      </c>
      <c r="G25" s="3">
        <v>6405</v>
      </c>
      <c r="H25" t="s">
        <v>1363</v>
      </c>
      <c r="I25" s="1">
        <v>360000</v>
      </c>
      <c r="J25" s="28"/>
      <c r="K25" s="27"/>
    </row>
    <row r="26" spans="1:12" x14ac:dyDescent="0.25">
      <c r="A26" t="s">
        <v>1366</v>
      </c>
      <c r="B26" t="s">
        <v>1367</v>
      </c>
      <c r="C26" t="s">
        <v>90</v>
      </c>
      <c r="D26" t="s">
        <v>91</v>
      </c>
      <c r="E26">
        <v>37550</v>
      </c>
      <c r="F26" t="s">
        <v>87</v>
      </c>
      <c r="G26" s="3">
        <v>6405</v>
      </c>
      <c r="H26" t="s">
        <v>1363</v>
      </c>
      <c r="I26" s="1">
        <v>40392</v>
      </c>
      <c r="J26" s="28"/>
      <c r="K26" s="27" t="s">
        <v>174</v>
      </c>
      <c r="L26" t="s">
        <v>1394</v>
      </c>
    </row>
    <row r="27" spans="1:12" x14ac:dyDescent="0.25">
      <c r="A27" t="s">
        <v>1366</v>
      </c>
      <c r="B27" t="s">
        <v>56</v>
      </c>
      <c r="C27" t="s">
        <v>94</v>
      </c>
      <c r="D27" t="s">
        <v>1395</v>
      </c>
      <c r="E27">
        <v>37560</v>
      </c>
      <c r="F27" t="s">
        <v>50</v>
      </c>
      <c r="G27" s="3">
        <v>6405</v>
      </c>
      <c r="H27" t="s">
        <v>1363</v>
      </c>
      <c r="I27" s="1">
        <v>206000</v>
      </c>
      <c r="J27" s="28"/>
      <c r="K27" s="27"/>
    </row>
    <row r="28" spans="1:12" x14ac:dyDescent="0.25">
      <c r="A28" t="s">
        <v>1366</v>
      </c>
      <c r="B28" t="s">
        <v>56</v>
      </c>
      <c r="C28" t="s">
        <v>262</v>
      </c>
      <c r="D28" t="s">
        <v>266</v>
      </c>
      <c r="E28">
        <v>37560</v>
      </c>
      <c r="F28" t="s">
        <v>50</v>
      </c>
      <c r="G28" s="3">
        <v>6405</v>
      </c>
      <c r="H28" t="s">
        <v>1363</v>
      </c>
      <c r="I28" s="1">
        <v>96464</v>
      </c>
      <c r="J28" s="28"/>
      <c r="K28" s="27" t="s">
        <v>174</v>
      </c>
      <c r="L28" t="s">
        <v>1380</v>
      </c>
    </row>
    <row r="29" spans="1:12" x14ac:dyDescent="0.25">
      <c r="A29" t="s">
        <v>1366</v>
      </c>
      <c r="B29" t="s">
        <v>56</v>
      </c>
      <c r="C29" t="s">
        <v>262</v>
      </c>
      <c r="D29" t="s">
        <v>263</v>
      </c>
      <c r="E29">
        <v>37560</v>
      </c>
      <c r="F29" t="s">
        <v>50</v>
      </c>
      <c r="G29" s="3">
        <v>6405</v>
      </c>
      <c r="H29" t="s">
        <v>1363</v>
      </c>
      <c r="I29" s="1">
        <v>38359</v>
      </c>
      <c r="J29" s="28"/>
      <c r="K29" s="27" t="s">
        <v>174</v>
      </c>
      <c r="L29" t="s">
        <v>1380</v>
      </c>
    </row>
    <row r="30" spans="1:12" x14ac:dyDescent="0.25">
      <c r="A30" t="s">
        <v>1366</v>
      </c>
      <c r="B30" t="s">
        <v>1396</v>
      </c>
      <c r="C30" t="s">
        <v>909</v>
      </c>
      <c r="D30" t="s">
        <v>1397</v>
      </c>
      <c r="E30">
        <v>37100</v>
      </c>
      <c r="F30" t="s">
        <v>324</v>
      </c>
      <c r="G30" s="27">
        <v>6115</v>
      </c>
      <c r="H30" s="29" t="s">
        <v>1398</v>
      </c>
      <c r="I30" s="1">
        <v>0</v>
      </c>
      <c r="J30" s="28">
        <v>3101.16</v>
      </c>
      <c r="K30" s="27"/>
      <c r="L30" t="s">
        <v>1399</v>
      </c>
    </row>
    <row r="31" spans="1:12" x14ac:dyDescent="0.25">
      <c r="A31" t="s">
        <v>1360</v>
      </c>
      <c r="B31" t="s">
        <v>28</v>
      </c>
      <c r="C31" t="s">
        <v>99</v>
      </c>
      <c r="D31" t="s">
        <v>100</v>
      </c>
      <c r="E31">
        <v>37510</v>
      </c>
      <c r="F31" t="s">
        <v>26</v>
      </c>
      <c r="G31" s="3">
        <v>6405</v>
      </c>
      <c r="H31" t="s">
        <v>1363</v>
      </c>
      <c r="I31" s="1">
        <v>97000</v>
      </c>
      <c r="J31" s="28"/>
      <c r="K31" s="27"/>
    </row>
    <row r="32" spans="1:12" x14ac:dyDescent="0.25">
      <c r="A32" t="s">
        <v>1360</v>
      </c>
      <c r="B32" t="s">
        <v>322</v>
      </c>
      <c r="C32" t="s">
        <v>101</v>
      </c>
      <c r="D32" t="s">
        <v>102</v>
      </c>
      <c r="E32">
        <v>37530</v>
      </c>
      <c r="F32" t="s">
        <v>44</v>
      </c>
      <c r="G32" s="3">
        <v>6405</v>
      </c>
      <c r="H32" t="s">
        <v>1363</v>
      </c>
      <c r="I32" s="1">
        <v>205000</v>
      </c>
      <c r="J32" s="28"/>
      <c r="K32" s="27"/>
    </row>
    <row r="33" spans="1:12" x14ac:dyDescent="0.25">
      <c r="A33" t="s">
        <v>1360</v>
      </c>
      <c r="B33" t="s">
        <v>322</v>
      </c>
      <c r="C33" t="s">
        <v>101</v>
      </c>
      <c r="D33" t="s">
        <v>1400</v>
      </c>
      <c r="E33">
        <v>37530</v>
      </c>
      <c r="F33" t="s">
        <v>44</v>
      </c>
      <c r="G33" s="3">
        <v>6405</v>
      </c>
      <c r="H33" t="s">
        <v>1363</v>
      </c>
      <c r="I33" s="1">
        <v>100000</v>
      </c>
      <c r="J33" s="28"/>
      <c r="K33" s="27"/>
    </row>
    <row r="34" spans="1:12" x14ac:dyDescent="0.25">
      <c r="A34" t="s">
        <v>1366</v>
      </c>
      <c r="B34" t="s">
        <v>56</v>
      </c>
      <c r="C34" t="s">
        <v>272</v>
      </c>
      <c r="D34" t="s">
        <v>104</v>
      </c>
      <c r="E34">
        <v>37560</v>
      </c>
      <c r="F34" t="s">
        <v>50</v>
      </c>
      <c r="G34" s="3">
        <v>6405</v>
      </c>
      <c r="H34" t="s">
        <v>1363</v>
      </c>
      <c r="I34" s="1">
        <v>20000</v>
      </c>
      <c r="J34" s="28"/>
      <c r="K34" s="27" t="s">
        <v>174</v>
      </c>
      <c r="L34" t="s">
        <v>1380</v>
      </c>
    </row>
    <row r="35" spans="1:12" x14ac:dyDescent="0.25">
      <c r="A35" t="s">
        <v>1366</v>
      </c>
      <c r="B35" t="s">
        <v>172</v>
      </c>
      <c r="C35" t="s">
        <v>107</v>
      </c>
      <c r="D35" t="s">
        <v>108</v>
      </c>
      <c r="E35">
        <v>37550</v>
      </c>
      <c r="F35" t="s">
        <v>87</v>
      </c>
      <c r="G35" s="3">
        <v>6405</v>
      </c>
      <c r="H35" t="s">
        <v>1363</v>
      </c>
      <c r="I35" s="1">
        <v>424000</v>
      </c>
      <c r="J35" s="28"/>
      <c r="K35" s="27"/>
    </row>
    <row r="36" spans="1:12" x14ac:dyDescent="0.25">
      <c r="A36" t="s">
        <v>1360</v>
      </c>
      <c r="B36" t="s">
        <v>322</v>
      </c>
      <c r="C36" t="s">
        <v>376</v>
      </c>
      <c r="D36" t="s">
        <v>1401</v>
      </c>
      <c r="E36">
        <v>37530</v>
      </c>
      <c r="F36" t="s">
        <v>44</v>
      </c>
      <c r="G36" s="3">
        <v>6405</v>
      </c>
      <c r="H36" t="s">
        <v>1363</v>
      </c>
      <c r="I36" s="1">
        <v>400000</v>
      </c>
      <c r="J36" s="28"/>
      <c r="K36" s="27"/>
    </row>
    <row r="37" spans="1:12" x14ac:dyDescent="0.25">
      <c r="A37" t="s">
        <v>1366</v>
      </c>
      <c r="B37" t="s">
        <v>172</v>
      </c>
      <c r="C37" t="s">
        <v>1402</v>
      </c>
      <c r="D37" t="s">
        <v>1403</v>
      </c>
      <c r="E37">
        <v>37550</v>
      </c>
      <c r="F37" t="s">
        <v>87</v>
      </c>
      <c r="G37" s="3">
        <v>6405</v>
      </c>
      <c r="H37" t="s">
        <v>1363</v>
      </c>
      <c r="I37" s="1">
        <v>450000</v>
      </c>
      <c r="J37" s="28"/>
      <c r="K37" s="27"/>
    </row>
    <row r="38" spans="1:12" x14ac:dyDescent="0.25">
      <c r="A38" t="s">
        <v>1366</v>
      </c>
      <c r="B38" t="s">
        <v>56</v>
      </c>
      <c r="C38" t="s">
        <v>1402</v>
      </c>
      <c r="D38" t="s">
        <v>1404</v>
      </c>
      <c r="E38">
        <v>37560</v>
      </c>
      <c r="F38" t="s">
        <v>50</v>
      </c>
      <c r="G38" s="3">
        <v>6405</v>
      </c>
      <c r="H38" t="s">
        <v>1363</v>
      </c>
      <c r="I38" s="1">
        <v>22000</v>
      </c>
      <c r="J38" s="28"/>
      <c r="K38" s="27"/>
    </row>
    <row r="39" spans="1:12" x14ac:dyDescent="0.25">
      <c r="A39" t="s">
        <v>1366</v>
      </c>
      <c r="B39" t="s">
        <v>56</v>
      </c>
      <c r="C39" t="s">
        <v>1405</v>
      </c>
      <c r="D39" t="s">
        <v>1406</v>
      </c>
      <c r="E39">
        <v>37560</v>
      </c>
      <c r="F39" t="s">
        <v>50</v>
      </c>
      <c r="G39" s="3">
        <v>6405</v>
      </c>
      <c r="H39" t="s">
        <v>1363</v>
      </c>
      <c r="I39" s="1">
        <v>56000</v>
      </c>
      <c r="J39" s="28"/>
      <c r="K39" s="27"/>
    </row>
    <row r="40" spans="1:12" x14ac:dyDescent="0.25">
      <c r="A40" t="s">
        <v>1360</v>
      </c>
      <c r="B40" t="s">
        <v>28</v>
      </c>
      <c r="C40" t="s">
        <v>1407</v>
      </c>
      <c r="D40" t="s">
        <v>1408</v>
      </c>
      <c r="E40">
        <v>37510</v>
      </c>
      <c r="F40" t="s">
        <v>26</v>
      </c>
      <c r="G40" s="3">
        <v>6405</v>
      </c>
      <c r="H40" t="s">
        <v>1363</v>
      </c>
      <c r="I40" s="1">
        <v>93000</v>
      </c>
      <c r="J40" s="28"/>
      <c r="K40" s="27"/>
    </row>
    <row r="41" spans="1:12" x14ac:dyDescent="0.25">
      <c r="A41" t="s">
        <v>1366</v>
      </c>
      <c r="B41" t="s">
        <v>1367</v>
      </c>
      <c r="C41" t="s">
        <v>283</v>
      </c>
      <c r="D41" t="s">
        <v>114</v>
      </c>
      <c r="E41">
        <v>37550</v>
      </c>
      <c r="F41" t="s">
        <v>87</v>
      </c>
      <c r="G41" s="3">
        <v>6405</v>
      </c>
      <c r="H41" t="s">
        <v>1363</v>
      </c>
      <c r="I41" s="1">
        <v>99000</v>
      </c>
      <c r="J41" s="28"/>
      <c r="K41" s="27"/>
    </row>
    <row r="42" spans="1:12" x14ac:dyDescent="0.25">
      <c r="A42" t="s">
        <v>1372</v>
      </c>
      <c r="B42" t="s">
        <v>80</v>
      </c>
      <c r="C42" t="s">
        <v>1409</v>
      </c>
      <c r="D42" t="s">
        <v>1410</v>
      </c>
      <c r="E42">
        <v>37520</v>
      </c>
      <c r="F42" t="s">
        <v>1411</v>
      </c>
      <c r="G42" s="3">
        <v>6405</v>
      </c>
      <c r="H42" t="s">
        <v>1363</v>
      </c>
      <c r="I42" s="1">
        <v>30000</v>
      </c>
      <c r="J42" s="28"/>
      <c r="K42" s="27"/>
    </row>
    <row r="43" spans="1:12" x14ac:dyDescent="0.25">
      <c r="A43" t="s">
        <v>1360</v>
      </c>
      <c r="B43" t="s">
        <v>28</v>
      </c>
      <c r="C43" t="s">
        <v>284</v>
      </c>
      <c r="D43" t="s">
        <v>285</v>
      </c>
      <c r="E43">
        <v>37510</v>
      </c>
      <c r="F43" t="s">
        <v>26</v>
      </c>
      <c r="G43" s="3">
        <v>6405</v>
      </c>
      <c r="H43" t="s">
        <v>1363</v>
      </c>
      <c r="I43" s="1">
        <v>692000</v>
      </c>
      <c r="J43" s="28"/>
      <c r="K43" s="27"/>
    </row>
    <row r="44" spans="1:12" x14ac:dyDescent="0.25">
      <c r="A44" t="s">
        <v>1360</v>
      </c>
      <c r="B44" t="s">
        <v>234</v>
      </c>
      <c r="C44" t="s">
        <v>284</v>
      </c>
      <c r="D44" t="s">
        <v>1412</v>
      </c>
      <c r="E44">
        <v>37510</v>
      </c>
      <c r="F44" t="s">
        <v>26</v>
      </c>
      <c r="G44" s="3">
        <v>6405</v>
      </c>
      <c r="H44" t="s">
        <v>1363</v>
      </c>
      <c r="I44" s="1">
        <v>0</v>
      </c>
      <c r="J44" s="28"/>
      <c r="K44" s="27" t="s">
        <v>16</v>
      </c>
      <c r="L44" t="s">
        <v>1413</v>
      </c>
    </row>
    <row r="45" spans="1:12" x14ac:dyDescent="0.25">
      <c r="A45" t="s">
        <v>1366</v>
      </c>
      <c r="B45" t="s">
        <v>56</v>
      </c>
      <c r="C45" t="s">
        <v>286</v>
      </c>
      <c r="D45" t="s">
        <v>1414</v>
      </c>
      <c r="E45">
        <v>37560</v>
      </c>
      <c r="F45" t="s">
        <v>50</v>
      </c>
      <c r="G45" s="3">
        <v>6405</v>
      </c>
      <c r="H45" t="s">
        <v>1363</v>
      </c>
      <c r="I45" s="1">
        <v>72000</v>
      </c>
      <c r="J45" s="28"/>
      <c r="K45" s="27"/>
    </row>
    <row r="46" spans="1:12" x14ac:dyDescent="0.25">
      <c r="A46" t="s">
        <v>1372</v>
      </c>
      <c r="B46" t="s">
        <v>1415</v>
      </c>
      <c r="C46" t="s">
        <v>315</v>
      </c>
      <c r="D46" t="s">
        <v>1416</v>
      </c>
      <c r="E46">
        <v>37520</v>
      </c>
      <c r="F46" t="s">
        <v>1411</v>
      </c>
      <c r="G46" s="3">
        <v>6405</v>
      </c>
      <c r="H46" t="s">
        <v>1363</v>
      </c>
      <c r="I46" s="1">
        <v>300000</v>
      </c>
      <c r="J46" s="28"/>
      <c r="K46" s="27"/>
    </row>
    <row r="47" spans="1:12" x14ac:dyDescent="0.25">
      <c r="A47" t="s">
        <v>1360</v>
      </c>
      <c r="B47" t="s">
        <v>322</v>
      </c>
      <c r="C47" t="s">
        <v>1417</v>
      </c>
      <c r="D47" t="s">
        <v>1418</v>
      </c>
      <c r="E47">
        <v>37530</v>
      </c>
      <c r="F47" t="s">
        <v>44</v>
      </c>
      <c r="G47" s="3">
        <v>6405</v>
      </c>
      <c r="H47" t="s">
        <v>1363</v>
      </c>
      <c r="I47" s="1">
        <v>15000</v>
      </c>
      <c r="J47" s="28"/>
      <c r="K47" s="27"/>
    </row>
    <row r="48" spans="1:12" x14ac:dyDescent="0.25">
      <c r="A48" t="s">
        <v>1372</v>
      </c>
      <c r="B48" t="s">
        <v>332</v>
      </c>
      <c r="C48" t="s">
        <v>1419</v>
      </c>
      <c r="D48" t="s">
        <v>1420</v>
      </c>
      <c r="E48">
        <v>37540</v>
      </c>
      <c r="F48" t="s">
        <v>32</v>
      </c>
      <c r="G48" s="3">
        <v>6405</v>
      </c>
      <c r="H48" t="s">
        <v>1363</v>
      </c>
      <c r="I48" s="1">
        <v>43000</v>
      </c>
      <c r="J48" s="28"/>
      <c r="K48" s="27"/>
    </row>
    <row r="49" spans="1:12" x14ac:dyDescent="0.25">
      <c r="A49" t="s">
        <v>1372</v>
      </c>
      <c r="B49" t="s">
        <v>332</v>
      </c>
      <c r="C49" t="s">
        <v>292</v>
      </c>
      <c r="D49" t="s">
        <v>225</v>
      </c>
      <c r="E49">
        <v>37540</v>
      </c>
      <c r="F49" t="s">
        <v>32</v>
      </c>
      <c r="G49" s="3">
        <v>6405</v>
      </c>
      <c r="H49" t="s">
        <v>1363</v>
      </c>
      <c r="I49" s="1">
        <v>25000</v>
      </c>
      <c r="J49" s="28"/>
      <c r="K49" s="27"/>
    </row>
    <row r="50" spans="1:12" x14ac:dyDescent="0.25">
      <c r="A50" t="s">
        <v>1366</v>
      </c>
      <c r="B50" t="s">
        <v>172</v>
      </c>
      <c r="C50" t="s">
        <v>126</v>
      </c>
      <c r="D50" t="s">
        <v>1421</v>
      </c>
      <c r="E50">
        <v>37550</v>
      </c>
      <c r="F50" t="s">
        <v>87</v>
      </c>
      <c r="G50" s="3">
        <v>6405</v>
      </c>
      <c r="H50" t="s">
        <v>1363</v>
      </c>
      <c r="I50" s="1">
        <v>1274000</v>
      </c>
      <c r="J50" s="28"/>
      <c r="K50" s="27"/>
    </row>
    <row r="51" spans="1:12" x14ac:dyDescent="0.25">
      <c r="A51" t="s">
        <v>1360</v>
      </c>
      <c r="B51" t="s">
        <v>332</v>
      </c>
      <c r="C51" t="s">
        <v>1422</v>
      </c>
      <c r="D51" t="s">
        <v>79</v>
      </c>
      <c r="E51">
        <v>37530</v>
      </c>
      <c r="F51" t="s">
        <v>44</v>
      </c>
      <c r="G51" s="3">
        <v>6405</v>
      </c>
      <c r="H51" t="s">
        <v>1363</v>
      </c>
      <c r="I51" s="1">
        <v>29000</v>
      </c>
      <c r="J51" s="28"/>
      <c r="K51" s="27"/>
    </row>
    <row r="52" spans="1:12" x14ac:dyDescent="0.25">
      <c r="A52" t="s">
        <v>1372</v>
      </c>
      <c r="B52" t="s">
        <v>332</v>
      </c>
      <c r="C52" t="s">
        <v>1422</v>
      </c>
      <c r="D52" t="s">
        <v>297</v>
      </c>
      <c r="E52">
        <v>37540</v>
      </c>
      <c r="F52" t="s">
        <v>32</v>
      </c>
      <c r="G52" s="3">
        <v>6405</v>
      </c>
      <c r="H52" t="s">
        <v>1363</v>
      </c>
      <c r="I52" s="1">
        <v>26000</v>
      </c>
      <c r="J52" s="28"/>
      <c r="K52" s="27"/>
    </row>
    <row r="53" spans="1:12" x14ac:dyDescent="0.25">
      <c r="A53" t="s">
        <v>1366</v>
      </c>
      <c r="B53" t="s">
        <v>1367</v>
      </c>
      <c r="C53" t="s">
        <v>301</v>
      </c>
      <c r="D53" t="s">
        <v>1423</v>
      </c>
      <c r="E53">
        <v>37550</v>
      </c>
      <c r="F53" t="s">
        <v>87</v>
      </c>
      <c r="G53" s="3">
        <v>6405</v>
      </c>
      <c r="H53" t="s">
        <v>1363</v>
      </c>
      <c r="I53" s="1">
        <v>15099</v>
      </c>
      <c r="J53" s="28"/>
      <c r="K53" s="27" t="s">
        <v>16</v>
      </c>
      <c r="L53" t="s">
        <v>1424</v>
      </c>
    </row>
    <row r="54" spans="1:12" x14ac:dyDescent="0.25">
      <c r="A54" t="s">
        <v>1366</v>
      </c>
      <c r="B54" t="s">
        <v>56</v>
      </c>
      <c r="C54" t="s">
        <v>301</v>
      </c>
      <c r="D54" t="s">
        <v>1425</v>
      </c>
      <c r="E54">
        <v>37560</v>
      </c>
      <c r="F54" t="s">
        <v>50</v>
      </c>
      <c r="G54" s="3">
        <v>6405</v>
      </c>
      <c r="H54" t="s">
        <v>1363</v>
      </c>
      <c r="I54" s="1">
        <v>74686</v>
      </c>
      <c r="J54" s="28"/>
      <c r="K54" s="27" t="s">
        <v>16</v>
      </c>
      <c r="L54" t="s">
        <v>1380</v>
      </c>
    </row>
    <row r="55" spans="1:12" x14ac:dyDescent="0.25">
      <c r="A55" t="s">
        <v>1360</v>
      </c>
      <c r="B55" t="s">
        <v>322</v>
      </c>
      <c r="C55" t="s">
        <v>1426</v>
      </c>
      <c r="D55" t="s">
        <v>1427</v>
      </c>
      <c r="E55">
        <v>37530</v>
      </c>
      <c r="F55" t="s">
        <v>44</v>
      </c>
      <c r="G55" s="3">
        <v>6405</v>
      </c>
      <c r="H55" t="s">
        <v>1363</v>
      </c>
      <c r="I55" s="1">
        <v>60000</v>
      </c>
      <c r="J55" s="28"/>
      <c r="K55" s="27"/>
    </row>
    <row r="56" spans="1:12" x14ac:dyDescent="0.25">
      <c r="A56" t="s">
        <v>1366</v>
      </c>
      <c r="B56" t="s">
        <v>56</v>
      </c>
      <c r="C56" t="s">
        <v>304</v>
      </c>
      <c r="D56" t="s">
        <v>132</v>
      </c>
      <c r="E56">
        <v>37560</v>
      </c>
      <c r="F56" t="s">
        <v>50</v>
      </c>
      <c r="G56" s="3">
        <v>6405</v>
      </c>
      <c r="H56" t="s">
        <v>1363</v>
      </c>
      <c r="I56" s="1">
        <v>62000</v>
      </c>
      <c r="J56" s="28"/>
      <c r="K56" s="27"/>
    </row>
    <row r="57" spans="1:12" x14ac:dyDescent="0.25">
      <c r="A57" t="s">
        <v>1360</v>
      </c>
      <c r="B57" t="s">
        <v>332</v>
      </c>
      <c r="C57" t="s">
        <v>135</v>
      </c>
      <c r="D57" t="s">
        <v>136</v>
      </c>
      <c r="E57">
        <v>37530</v>
      </c>
      <c r="F57" t="s">
        <v>44</v>
      </c>
      <c r="G57" s="3">
        <v>6405</v>
      </c>
      <c r="H57" t="s">
        <v>1363</v>
      </c>
      <c r="I57" s="1">
        <v>23000</v>
      </c>
      <c r="J57" s="28"/>
      <c r="K57" s="27"/>
    </row>
    <row r="58" spans="1:12" x14ac:dyDescent="0.25">
      <c r="A58" t="s">
        <v>1360</v>
      </c>
      <c r="B58" t="s">
        <v>28</v>
      </c>
      <c r="C58" t="s">
        <v>1428</v>
      </c>
      <c r="D58" t="s">
        <v>142</v>
      </c>
      <c r="E58">
        <v>37510</v>
      </c>
      <c r="F58" t="s">
        <v>26</v>
      </c>
      <c r="G58" s="3">
        <v>6405</v>
      </c>
      <c r="H58" t="s">
        <v>1363</v>
      </c>
      <c r="I58" s="1">
        <v>21000</v>
      </c>
      <c r="J58" s="28"/>
      <c r="K58" s="27"/>
    </row>
    <row r="59" spans="1:12" x14ac:dyDescent="0.25">
      <c r="A59" t="s">
        <v>1360</v>
      </c>
      <c r="B59" t="s">
        <v>322</v>
      </c>
      <c r="C59" t="s">
        <v>1429</v>
      </c>
      <c r="D59" t="s">
        <v>1430</v>
      </c>
      <c r="E59">
        <v>37530</v>
      </c>
      <c r="F59" t="s">
        <v>44</v>
      </c>
      <c r="G59" s="3">
        <v>6405</v>
      </c>
      <c r="H59" t="s">
        <v>1363</v>
      </c>
      <c r="I59" s="1">
        <v>103000</v>
      </c>
      <c r="J59" s="28"/>
      <c r="K59" s="27"/>
    </row>
    <row r="60" spans="1:12" x14ac:dyDescent="0.25">
      <c r="A60" t="s">
        <v>1372</v>
      </c>
      <c r="B60" t="s">
        <v>332</v>
      </c>
      <c r="C60" t="s">
        <v>1429</v>
      </c>
      <c r="D60" t="s">
        <v>1431</v>
      </c>
      <c r="E60">
        <v>37540</v>
      </c>
      <c r="F60" t="s">
        <v>32</v>
      </c>
      <c r="G60" s="3">
        <v>6405</v>
      </c>
      <c r="H60" t="s">
        <v>1363</v>
      </c>
      <c r="I60" s="1">
        <v>334000</v>
      </c>
      <c r="J60" s="28"/>
      <c r="K60" s="27"/>
    </row>
  </sheetData>
  <autoFilter ref="A1:K60" xr:uid="{00000000-0009-0000-0000-000004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workbookViewId="0"/>
  </sheetViews>
  <sheetFormatPr defaultRowHeight="15" x14ac:dyDescent="0.25"/>
  <cols>
    <col min="1" max="1" width="13.42578125" bestFit="1" customWidth="1"/>
    <col min="2" max="2" width="38.42578125" bestFit="1" customWidth="1"/>
    <col min="3" max="3" width="18" bestFit="1" customWidth="1"/>
  </cols>
  <sheetData>
    <row r="1" spans="1:3" x14ac:dyDescent="0.25">
      <c r="A1" t="s">
        <v>5</v>
      </c>
      <c r="B1" t="s">
        <v>1432</v>
      </c>
      <c r="C1" t="s">
        <v>1433</v>
      </c>
    </row>
    <row r="2" spans="1:3" x14ac:dyDescent="0.25">
      <c r="A2">
        <v>37100</v>
      </c>
      <c r="B2" t="s">
        <v>1434</v>
      </c>
      <c r="C2" t="s">
        <v>74</v>
      </c>
    </row>
    <row r="3" spans="1:3" x14ac:dyDescent="0.25">
      <c r="A3">
        <v>37200</v>
      </c>
      <c r="B3" t="s">
        <v>567</v>
      </c>
      <c r="C3" t="s">
        <v>1435</v>
      </c>
    </row>
    <row r="4" spans="1:3" x14ac:dyDescent="0.25">
      <c r="A4">
        <v>37400</v>
      </c>
      <c r="B4" t="s">
        <v>418</v>
      </c>
      <c r="C4" t="s">
        <v>74</v>
      </c>
    </row>
    <row r="5" spans="1:3" x14ac:dyDescent="0.25">
      <c r="A5">
        <v>37510</v>
      </c>
      <c r="B5" t="s">
        <v>28</v>
      </c>
      <c r="C5" t="s">
        <v>1436</v>
      </c>
    </row>
    <row r="6" spans="1:3" x14ac:dyDescent="0.25">
      <c r="A6">
        <v>37520</v>
      </c>
      <c r="B6" t="s">
        <v>332</v>
      </c>
      <c r="C6" t="s">
        <v>1437</v>
      </c>
    </row>
    <row r="7" spans="1:3" x14ac:dyDescent="0.25">
      <c r="A7">
        <v>37530</v>
      </c>
      <c r="B7" t="s">
        <v>322</v>
      </c>
      <c r="C7" t="s">
        <v>1436</v>
      </c>
    </row>
    <row r="8" spans="1:3" x14ac:dyDescent="0.25">
      <c r="A8">
        <v>37540</v>
      </c>
      <c r="B8" t="s">
        <v>332</v>
      </c>
      <c r="C8" t="s">
        <v>1437</v>
      </c>
    </row>
    <row r="9" spans="1:3" x14ac:dyDescent="0.25">
      <c r="A9">
        <v>37550</v>
      </c>
      <c r="B9" t="s">
        <v>1438</v>
      </c>
      <c r="C9" t="s">
        <v>74</v>
      </c>
    </row>
    <row r="10" spans="1:3" x14ac:dyDescent="0.25">
      <c r="A10">
        <v>37560</v>
      </c>
      <c r="B10" t="s">
        <v>56</v>
      </c>
      <c r="C10" t="s">
        <v>74</v>
      </c>
    </row>
    <row r="11" spans="1:3" x14ac:dyDescent="0.25">
      <c r="A11">
        <v>37570</v>
      </c>
      <c r="B11" t="s">
        <v>172</v>
      </c>
      <c r="C11" t="s">
        <v>74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B93"/>
  <sheetViews>
    <sheetView workbookViewId="0"/>
  </sheetViews>
  <sheetFormatPr defaultRowHeight="15" x14ac:dyDescent="0.25"/>
  <cols>
    <col min="1" max="1" width="32.42578125" bestFit="1" customWidth="1"/>
    <col min="2" max="2" width="54.5703125" hidden="1" customWidth="1"/>
    <col min="3" max="3" width="8.5703125" hidden="1" customWidth="1"/>
    <col min="4" max="4" width="23.5703125" hidden="1" customWidth="1"/>
    <col min="5" max="5" width="13.5703125" customWidth="1"/>
    <col min="6" max="6" width="15.42578125" style="11" customWidth="1"/>
    <col min="7" max="7" width="16.5703125" style="11" customWidth="1"/>
    <col min="8" max="8" width="21.5703125" style="9" customWidth="1"/>
    <col min="9" max="9" width="20.5703125" style="9" customWidth="1"/>
    <col min="10" max="10" width="16.5703125" style="9" customWidth="1"/>
    <col min="11" max="11" width="16.5703125" style="2" customWidth="1"/>
    <col min="12" max="12" width="14.42578125" style="2" hidden="1" customWidth="1"/>
    <col min="13" max="13" width="15" style="2" hidden="1" customWidth="1"/>
    <col min="14" max="16" width="12.42578125" style="2" hidden="1" customWidth="1"/>
    <col min="17" max="17" width="11.42578125" style="2" hidden="1" customWidth="1"/>
    <col min="18" max="18" width="14.5703125" style="3" customWidth="1"/>
    <col min="19" max="19" width="12.5703125" customWidth="1"/>
    <col min="20" max="20" width="11.5703125" customWidth="1"/>
    <col min="21" max="21" width="8.42578125" style="3" customWidth="1"/>
    <col min="22" max="22" width="11.5703125" style="9" customWidth="1"/>
    <col min="23" max="23" width="7.5703125" style="9" customWidth="1"/>
    <col min="24" max="24" width="47.5703125" customWidth="1"/>
    <col min="25" max="25" width="12.5703125" customWidth="1"/>
    <col min="26" max="26" width="21.42578125" style="3" customWidth="1"/>
    <col min="27" max="27" width="14.5703125" style="3" customWidth="1"/>
    <col min="28" max="28" width="14" style="3" customWidth="1"/>
    <col min="29" max="29" width="12.5703125" bestFit="1" customWidth="1"/>
    <col min="30" max="30" width="3.5703125" customWidth="1"/>
    <col min="31" max="31" width="12.5703125" bestFit="1" customWidth="1"/>
  </cols>
  <sheetData>
    <row r="1" spans="1:28" s="8" customFormat="1" ht="45" x14ac:dyDescent="0.25">
      <c r="A1" s="4" t="s">
        <v>0</v>
      </c>
      <c r="B1" s="4" t="s">
        <v>1</v>
      </c>
      <c r="C1" s="4" t="s">
        <v>5</v>
      </c>
      <c r="D1" s="4" t="s">
        <v>6</v>
      </c>
      <c r="E1" s="4" t="s">
        <v>10</v>
      </c>
      <c r="F1" s="5" t="s">
        <v>1439</v>
      </c>
      <c r="G1" s="5" t="s">
        <v>1440</v>
      </c>
      <c r="H1" s="5" t="s">
        <v>1441</v>
      </c>
      <c r="I1" s="11" t="s">
        <v>1442</v>
      </c>
      <c r="J1" s="11" t="s">
        <v>1443</v>
      </c>
      <c r="K1" s="6" t="s">
        <v>203</v>
      </c>
      <c r="L1" s="6" t="s">
        <v>1444</v>
      </c>
      <c r="M1" s="6" t="s">
        <v>1445</v>
      </c>
      <c r="N1" s="6" t="s">
        <v>1446</v>
      </c>
      <c r="O1" s="6" t="s">
        <v>317</v>
      </c>
      <c r="P1" s="6" t="s">
        <v>155</v>
      </c>
      <c r="Q1" s="6" t="s">
        <v>156</v>
      </c>
      <c r="R1" s="4" t="s">
        <v>1447</v>
      </c>
      <c r="S1" s="4" t="s">
        <v>160</v>
      </c>
      <c r="T1" s="4" t="s">
        <v>161</v>
      </c>
      <c r="U1" s="4" t="s">
        <v>1326</v>
      </c>
      <c r="V1" s="5" t="s">
        <v>163</v>
      </c>
      <c r="W1" s="5" t="s">
        <v>1448</v>
      </c>
      <c r="X1" s="7" t="s">
        <v>165</v>
      </c>
      <c r="Y1" s="6" t="s">
        <v>1449</v>
      </c>
      <c r="Z1" s="4"/>
      <c r="AA1" s="4"/>
      <c r="AB1" s="4"/>
    </row>
    <row r="2" spans="1:28" x14ac:dyDescent="0.25">
      <c r="A2" t="s">
        <v>1450</v>
      </c>
      <c r="B2" t="s">
        <v>1451</v>
      </c>
      <c r="C2">
        <v>37530</v>
      </c>
      <c r="D2" t="s">
        <v>44</v>
      </c>
      <c r="E2" s="3">
        <v>103979</v>
      </c>
      <c r="F2" s="11">
        <v>40725</v>
      </c>
      <c r="G2" s="11">
        <v>43465</v>
      </c>
      <c r="H2" s="10" t="s">
        <v>1452</v>
      </c>
      <c r="I2" s="9" t="s">
        <v>1453</v>
      </c>
      <c r="K2" s="2">
        <v>200000</v>
      </c>
      <c r="M2" s="454"/>
      <c r="N2" s="454"/>
      <c r="O2" s="454"/>
      <c r="P2" s="454"/>
      <c r="Q2" s="454"/>
      <c r="R2" s="11" t="s">
        <v>1454</v>
      </c>
      <c r="S2" s="9">
        <v>43282</v>
      </c>
      <c r="T2" s="9">
        <v>43465</v>
      </c>
      <c r="U2" s="11"/>
      <c r="X2" s="12"/>
      <c r="Y2" s="13" t="s">
        <v>178</v>
      </c>
    </row>
    <row r="3" spans="1:28" ht="15.75" customHeight="1" x14ac:dyDescent="0.25">
      <c r="A3" t="s">
        <v>1455</v>
      </c>
      <c r="B3" t="s">
        <v>31</v>
      </c>
      <c r="C3">
        <v>37540</v>
      </c>
      <c r="D3" t="s">
        <v>32</v>
      </c>
      <c r="E3" s="3" t="s">
        <v>209</v>
      </c>
      <c r="H3" s="14" t="s">
        <v>30</v>
      </c>
      <c r="I3" s="25" t="s">
        <v>192</v>
      </c>
      <c r="J3" s="25"/>
      <c r="K3" s="2">
        <v>0</v>
      </c>
      <c r="L3" s="454"/>
      <c r="M3" s="454"/>
      <c r="N3" s="454"/>
      <c r="O3" s="454"/>
      <c r="P3" s="454"/>
      <c r="Q3" s="454"/>
      <c r="R3" s="15" t="s">
        <v>1456</v>
      </c>
      <c r="S3" s="9">
        <v>43344</v>
      </c>
      <c r="T3" s="9">
        <v>43646</v>
      </c>
      <c r="U3" s="15"/>
      <c r="X3" s="16" t="s">
        <v>1457</v>
      </c>
      <c r="Y3" s="13" t="s">
        <v>174</v>
      </c>
    </row>
    <row r="4" spans="1:28" ht="15.75" customHeight="1" x14ac:dyDescent="0.25">
      <c r="A4" t="s">
        <v>1458</v>
      </c>
      <c r="B4" t="s">
        <v>1459</v>
      </c>
      <c r="C4">
        <v>37100</v>
      </c>
      <c r="D4" t="s">
        <v>324</v>
      </c>
      <c r="E4" s="3">
        <v>107601</v>
      </c>
      <c r="H4" s="14" t="s">
        <v>1460</v>
      </c>
      <c r="I4" s="9" t="s">
        <v>173</v>
      </c>
      <c r="K4" s="2">
        <v>27000</v>
      </c>
      <c r="L4" s="454"/>
      <c r="M4" s="454"/>
      <c r="N4" s="454"/>
      <c r="O4" s="454"/>
      <c r="P4" s="454"/>
      <c r="Q4" s="454"/>
      <c r="R4" s="15" t="s">
        <v>1461</v>
      </c>
      <c r="S4" s="9">
        <v>43347</v>
      </c>
      <c r="T4" s="9">
        <v>43711</v>
      </c>
      <c r="U4" s="15"/>
      <c r="X4" s="12"/>
      <c r="Y4" s="467" t="s">
        <v>174</v>
      </c>
    </row>
    <row r="5" spans="1:28" x14ac:dyDescent="0.25">
      <c r="A5" t="s">
        <v>1462</v>
      </c>
      <c r="B5" t="s">
        <v>1463</v>
      </c>
      <c r="C5">
        <v>37530</v>
      </c>
      <c r="D5" t="s">
        <v>44</v>
      </c>
      <c r="E5" s="3">
        <v>106415</v>
      </c>
      <c r="F5" s="11">
        <v>41730</v>
      </c>
      <c r="G5" s="11">
        <v>43769</v>
      </c>
      <c r="H5" s="10" t="s">
        <v>1292</v>
      </c>
      <c r="K5" s="2">
        <v>1805001.3333333335</v>
      </c>
      <c r="L5" s="2">
        <v>1734934</v>
      </c>
      <c r="M5" s="454"/>
      <c r="N5" s="454"/>
      <c r="O5" s="454"/>
      <c r="P5" s="454"/>
      <c r="Q5" s="454"/>
      <c r="R5" s="11" t="s">
        <v>1464</v>
      </c>
      <c r="S5" s="9">
        <v>43191</v>
      </c>
      <c r="T5" s="17">
        <v>43738</v>
      </c>
      <c r="U5" s="11"/>
      <c r="X5" s="12"/>
      <c r="Y5" s="13" t="s">
        <v>178</v>
      </c>
    </row>
    <row r="6" spans="1:28" x14ac:dyDescent="0.25">
      <c r="A6" t="s">
        <v>770</v>
      </c>
      <c r="B6" t="s">
        <v>1465</v>
      </c>
      <c r="C6">
        <v>37100</v>
      </c>
      <c r="D6" t="s">
        <v>324</v>
      </c>
      <c r="E6" s="3">
        <v>104551</v>
      </c>
      <c r="F6" s="11">
        <v>43282</v>
      </c>
      <c r="G6" s="11">
        <v>43646</v>
      </c>
      <c r="H6" s="10" t="s">
        <v>1466</v>
      </c>
      <c r="K6" s="2">
        <v>177160</v>
      </c>
      <c r="L6" s="454"/>
      <c r="M6" s="454"/>
      <c r="N6" s="454"/>
      <c r="O6" s="454"/>
      <c r="P6" s="454"/>
      <c r="Q6" s="454"/>
      <c r="R6" s="11" t="s">
        <v>1467</v>
      </c>
      <c r="S6" s="9">
        <v>43282</v>
      </c>
      <c r="T6" s="17">
        <v>43646</v>
      </c>
      <c r="U6" s="11"/>
      <c r="V6" s="9">
        <v>43647</v>
      </c>
      <c r="X6" s="470"/>
      <c r="Y6" s="467" t="s">
        <v>174</v>
      </c>
    </row>
    <row r="7" spans="1:28" x14ac:dyDescent="0.25">
      <c r="A7" t="s">
        <v>770</v>
      </c>
      <c r="B7" t="s">
        <v>1468</v>
      </c>
      <c r="C7">
        <v>37100</v>
      </c>
      <c r="D7" t="s">
        <v>324</v>
      </c>
      <c r="E7" s="3">
        <v>104551</v>
      </c>
      <c r="H7" s="10"/>
      <c r="K7" s="2">
        <v>78500</v>
      </c>
      <c r="L7" s="454"/>
      <c r="M7" s="454"/>
      <c r="N7" s="454"/>
      <c r="O7" s="454"/>
      <c r="P7" s="454"/>
      <c r="Q7" s="454"/>
      <c r="R7" s="11" t="s">
        <v>234</v>
      </c>
      <c r="S7" s="9"/>
      <c r="T7" s="17"/>
      <c r="U7" s="11"/>
      <c r="X7" s="470"/>
      <c r="Y7" s="467" t="s">
        <v>174</v>
      </c>
    </row>
    <row r="8" spans="1:28" x14ac:dyDescent="0.25">
      <c r="A8" t="s">
        <v>770</v>
      </c>
      <c r="B8" t="s">
        <v>1469</v>
      </c>
      <c r="C8">
        <v>37100</v>
      </c>
      <c r="D8" t="s">
        <v>324</v>
      </c>
      <c r="E8" s="3">
        <v>104551</v>
      </c>
      <c r="H8" s="10"/>
      <c r="K8" s="2">
        <v>198000</v>
      </c>
      <c r="L8" s="454"/>
      <c r="M8" s="454"/>
      <c r="N8" s="454"/>
      <c r="O8" s="454"/>
      <c r="P8" s="454"/>
      <c r="Q8" s="454"/>
      <c r="R8" s="11" t="s">
        <v>234</v>
      </c>
      <c r="S8" s="9"/>
      <c r="T8" s="17"/>
      <c r="U8" s="11"/>
      <c r="X8" s="470"/>
      <c r="Y8" s="13" t="s">
        <v>174</v>
      </c>
    </row>
    <row r="9" spans="1:28" x14ac:dyDescent="0.25">
      <c r="A9" t="s">
        <v>770</v>
      </c>
      <c r="B9" t="s">
        <v>1470</v>
      </c>
      <c r="C9">
        <v>37100</v>
      </c>
      <c r="D9" t="s">
        <v>324</v>
      </c>
      <c r="E9" s="3">
        <v>104551</v>
      </c>
      <c r="H9" s="10"/>
      <c r="K9" s="454">
        <v>0</v>
      </c>
      <c r="L9" s="454">
        <v>9000</v>
      </c>
      <c r="M9" s="454"/>
      <c r="N9" s="454"/>
      <c r="O9" s="454"/>
      <c r="P9" s="454"/>
      <c r="Q9" s="454"/>
      <c r="R9" s="11" t="s">
        <v>234</v>
      </c>
      <c r="S9" s="9">
        <v>43647</v>
      </c>
      <c r="T9" s="17">
        <v>44012</v>
      </c>
      <c r="U9" s="11"/>
      <c r="W9" s="9" t="s">
        <v>16</v>
      </c>
      <c r="X9" s="470" t="s">
        <v>1471</v>
      </c>
      <c r="Y9" s="13" t="s">
        <v>174</v>
      </c>
    </row>
    <row r="10" spans="1:28" x14ac:dyDescent="0.25">
      <c r="A10" t="s">
        <v>213</v>
      </c>
      <c r="B10" t="s">
        <v>214</v>
      </c>
      <c r="C10">
        <v>37550</v>
      </c>
      <c r="D10" t="s">
        <v>87</v>
      </c>
      <c r="E10" s="3">
        <v>26112228</v>
      </c>
      <c r="F10" s="11">
        <v>42826</v>
      </c>
      <c r="G10" s="11">
        <v>44651</v>
      </c>
      <c r="H10" s="10" t="s">
        <v>213</v>
      </c>
      <c r="K10" s="2">
        <v>25882</v>
      </c>
      <c r="L10" s="454">
        <v>25882</v>
      </c>
      <c r="M10" s="454">
        <v>25882</v>
      </c>
      <c r="N10" s="454">
        <v>25882</v>
      </c>
      <c r="O10" s="454">
        <v>25882</v>
      </c>
      <c r="P10" s="454"/>
      <c r="Q10" s="454"/>
      <c r="R10" s="11" t="s">
        <v>1472</v>
      </c>
      <c r="S10" s="9">
        <v>43191</v>
      </c>
      <c r="T10" s="9">
        <v>43555</v>
      </c>
      <c r="U10" s="11"/>
      <c r="V10" s="9">
        <v>44652</v>
      </c>
      <c r="W10" s="9" t="s">
        <v>178</v>
      </c>
      <c r="X10" s="12"/>
      <c r="Y10" s="13" t="s">
        <v>178</v>
      </c>
    </row>
    <row r="11" spans="1:28" x14ac:dyDescent="0.25">
      <c r="A11" t="s">
        <v>216</v>
      </c>
      <c r="B11" t="s">
        <v>1473</v>
      </c>
      <c r="C11">
        <v>37540</v>
      </c>
      <c r="D11" t="s">
        <v>32</v>
      </c>
      <c r="E11" s="3">
        <v>200002</v>
      </c>
      <c r="F11" s="11">
        <v>43210</v>
      </c>
      <c r="G11" s="11">
        <v>45036</v>
      </c>
      <c r="H11" s="18" t="s">
        <v>216</v>
      </c>
      <c r="K11" s="2">
        <v>17607.599999999999</v>
      </c>
      <c r="L11" s="454">
        <v>17607.599999999999</v>
      </c>
      <c r="M11" s="454">
        <v>17607.599999999999</v>
      </c>
      <c r="N11" s="454">
        <v>17607.599999999999</v>
      </c>
      <c r="O11" s="454">
        <v>4401.8999999999996</v>
      </c>
      <c r="P11" s="454"/>
      <c r="Q11" s="454"/>
      <c r="R11" s="11" t="s">
        <v>1474</v>
      </c>
      <c r="S11" s="9">
        <v>43191</v>
      </c>
      <c r="T11" s="9">
        <v>45016</v>
      </c>
      <c r="U11" s="11" t="s">
        <v>1474</v>
      </c>
      <c r="V11" s="9">
        <v>45017</v>
      </c>
      <c r="W11" s="9" t="s">
        <v>178</v>
      </c>
      <c r="X11" s="12" t="s">
        <v>1475</v>
      </c>
      <c r="Y11" s="467"/>
      <c r="AA11" s="11"/>
      <c r="AB11" s="11"/>
    </row>
    <row r="12" spans="1:28" x14ac:dyDescent="0.25">
      <c r="A12" t="s">
        <v>216</v>
      </c>
      <c r="B12" t="s">
        <v>1473</v>
      </c>
      <c r="C12">
        <v>37540</v>
      </c>
      <c r="D12" t="s">
        <v>32</v>
      </c>
      <c r="E12" s="3">
        <v>200002</v>
      </c>
      <c r="F12" s="11">
        <v>43210</v>
      </c>
      <c r="G12" s="11">
        <v>45036</v>
      </c>
      <c r="H12" s="10"/>
      <c r="K12" s="2">
        <v>0</v>
      </c>
      <c r="L12" s="454">
        <v>27344.400000000001</v>
      </c>
      <c r="M12" s="454">
        <v>27344.400000000001</v>
      </c>
      <c r="N12" s="454">
        <v>27344.400000000001</v>
      </c>
      <c r="O12" s="454">
        <v>27344.400000000001</v>
      </c>
      <c r="P12" s="454">
        <v>2278.6999999999998</v>
      </c>
      <c r="Q12" s="454"/>
      <c r="R12" s="15" t="s">
        <v>1476</v>
      </c>
      <c r="S12" s="9">
        <v>43497</v>
      </c>
      <c r="T12" s="9">
        <v>45322</v>
      </c>
      <c r="U12" s="15" t="s">
        <v>1476</v>
      </c>
      <c r="V12" s="9">
        <v>45323</v>
      </c>
      <c r="W12" s="9" t="s">
        <v>178</v>
      </c>
      <c r="X12" s="12" t="s">
        <v>1475</v>
      </c>
      <c r="Y12" s="467"/>
    </row>
    <row r="13" spans="1:28" x14ac:dyDescent="0.25">
      <c r="A13" t="s">
        <v>1477</v>
      </c>
      <c r="B13" t="s">
        <v>1401</v>
      </c>
      <c r="C13">
        <v>37530</v>
      </c>
      <c r="D13" t="s">
        <v>44</v>
      </c>
      <c r="E13" s="3"/>
      <c r="H13" s="10"/>
      <c r="I13" s="9" t="s">
        <v>221</v>
      </c>
      <c r="L13" s="454"/>
      <c r="M13" s="454"/>
      <c r="N13" s="454"/>
      <c r="O13" s="454"/>
      <c r="P13" s="454"/>
      <c r="Q13" s="454"/>
      <c r="R13" s="3" t="s">
        <v>376</v>
      </c>
      <c r="X13" s="16"/>
      <c r="Y13" s="13"/>
    </row>
    <row r="14" spans="1:28" x14ac:dyDescent="0.25">
      <c r="A14" t="s">
        <v>1477</v>
      </c>
      <c r="B14" t="s">
        <v>1478</v>
      </c>
      <c r="C14">
        <v>37530</v>
      </c>
      <c r="D14" t="s">
        <v>44</v>
      </c>
      <c r="E14" s="3" t="s">
        <v>209</v>
      </c>
      <c r="H14" s="10"/>
      <c r="I14" s="9" t="s">
        <v>173</v>
      </c>
      <c r="L14" s="454"/>
      <c r="M14" s="454"/>
      <c r="N14" s="454"/>
      <c r="O14" s="454"/>
      <c r="P14" s="454"/>
      <c r="Q14" s="454"/>
      <c r="R14" s="3" t="s">
        <v>376</v>
      </c>
      <c r="X14" s="16"/>
      <c r="Y14" s="13"/>
    </row>
    <row r="15" spans="1:28" x14ac:dyDescent="0.25">
      <c r="A15" t="s">
        <v>1479</v>
      </c>
      <c r="B15" t="s">
        <v>1480</v>
      </c>
      <c r="C15">
        <v>37550</v>
      </c>
      <c r="D15" t="s">
        <v>87</v>
      </c>
      <c r="E15" s="3">
        <v>107530</v>
      </c>
      <c r="F15" s="11">
        <v>42979</v>
      </c>
      <c r="G15" s="11">
        <v>44804</v>
      </c>
      <c r="H15" s="10" t="s">
        <v>1481</v>
      </c>
      <c r="I15" s="9" t="s">
        <v>1482</v>
      </c>
      <c r="K15" s="2">
        <v>7115728.955272832</v>
      </c>
      <c r="L15" s="454"/>
      <c r="M15" s="454"/>
      <c r="N15" s="454"/>
      <c r="O15" s="454"/>
      <c r="P15" s="454"/>
      <c r="Q15" s="454"/>
      <c r="R15" s="11" t="s">
        <v>1483</v>
      </c>
      <c r="S15" s="9">
        <v>43282</v>
      </c>
      <c r="T15" s="9">
        <v>43646</v>
      </c>
      <c r="U15" s="11"/>
      <c r="V15" s="9">
        <v>43647</v>
      </c>
      <c r="X15" s="12"/>
      <c r="Y15" s="13" t="s">
        <v>174</v>
      </c>
    </row>
    <row r="16" spans="1:28" x14ac:dyDescent="0.25">
      <c r="A16" t="s">
        <v>219</v>
      </c>
      <c r="B16" t="s">
        <v>1484</v>
      </c>
      <c r="C16">
        <v>37560</v>
      </c>
      <c r="D16" t="s">
        <v>50</v>
      </c>
      <c r="E16" s="3"/>
      <c r="H16" s="10"/>
      <c r="I16" s="9" t="s">
        <v>221</v>
      </c>
      <c r="K16" s="2">
        <v>0</v>
      </c>
      <c r="L16" s="454"/>
      <c r="M16" s="454"/>
      <c r="N16" s="454"/>
      <c r="O16" s="454"/>
      <c r="P16" s="454"/>
      <c r="Q16" s="454"/>
      <c r="R16" s="11" t="s">
        <v>1485</v>
      </c>
      <c r="S16" s="9">
        <v>43497</v>
      </c>
      <c r="T16" s="9">
        <v>43646</v>
      </c>
      <c r="U16" s="11"/>
      <c r="V16" s="9">
        <v>43647</v>
      </c>
      <c r="X16" s="12" t="s">
        <v>1486</v>
      </c>
      <c r="Y16" s="467" t="s">
        <v>178</v>
      </c>
    </row>
    <row r="17" spans="1:28" x14ac:dyDescent="0.25">
      <c r="A17" t="s">
        <v>219</v>
      </c>
      <c r="B17" t="s">
        <v>1487</v>
      </c>
      <c r="C17">
        <v>37560</v>
      </c>
      <c r="D17" t="s">
        <v>50</v>
      </c>
      <c r="E17" s="3"/>
      <c r="H17" s="10"/>
      <c r="I17" s="9" t="s">
        <v>221</v>
      </c>
      <c r="K17" s="2">
        <v>0</v>
      </c>
      <c r="L17" s="454"/>
      <c r="M17" s="454"/>
      <c r="N17" s="454"/>
      <c r="O17" s="454"/>
      <c r="P17" s="454"/>
      <c r="Q17" s="454"/>
      <c r="R17" s="11" t="s">
        <v>1488</v>
      </c>
      <c r="S17" s="9">
        <v>43374</v>
      </c>
      <c r="T17" s="9">
        <v>43646</v>
      </c>
      <c r="U17" s="11"/>
      <c r="V17" s="9">
        <v>43647</v>
      </c>
      <c r="X17" s="12" t="s">
        <v>1486</v>
      </c>
      <c r="Y17" s="467" t="s">
        <v>178</v>
      </c>
    </row>
    <row r="18" spans="1:28" x14ac:dyDescent="0.25">
      <c r="A18" t="s">
        <v>223</v>
      </c>
      <c r="B18" t="s">
        <v>222</v>
      </c>
      <c r="C18">
        <v>37510</v>
      </c>
      <c r="D18" t="s">
        <v>26</v>
      </c>
      <c r="E18" s="3">
        <v>200017</v>
      </c>
      <c r="F18" s="11">
        <v>43221</v>
      </c>
      <c r="G18" s="11">
        <v>43465</v>
      </c>
      <c r="H18" s="10" t="s">
        <v>223</v>
      </c>
      <c r="K18" s="2">
        <v>0</v>
      </c>
      <c r="L18" s="454"/>
      <c r="M18" s="454"/>
      <c r="N18" s="454"/>
      <c r="O18" s="454"/>
      <c r="P18" s="454"/>
      <c r="Q18" s="454"/>
      <c r="R18" s="11" t="s">
        <v>1489</v>
      </c>
      <c r="S18" s="9">
        <v>43466</v>
      </c>
      <c r="T18" s="9">
        <v>43830</v>
      </c>
      <c r="U18" s="11"/>
      <c r="V18" s="9">
        <v>43831</v>
      </c>
      <c r="W18" s="9" t="s">
        <v>178</v>
      </c>
      <c r="X18" s="16" t="s">
        <v>1490</v>
      </c>
      <c r="Y18" s="19" t="s">
        <v>178</v>
      </c>
    </row>
    <row r="19" spans="1:28" x14ac:dyDescent="0.25">
      <c r="A19" t="s">
        <v>224</v>
      </c>
      <c r="B19" t="s">
        <v>225</v>
      </c>
      <c r="C19">
        <v>37540</v>
      </c>
      <c r="D19" t="s">
        <v>32</v>
      </c>
      <c r="E19" s="3">
        <v>107206</v>
      </c>
      <c r="F19" s="11">
        <v>42079</v>
      </c>
      <c r="G19" s="11">
        <v>43174</v>
      </c>
      <c r="H19" s="10"/>
      <c r="I19" s="25" t="s">
        <v>173</v>
      </c>
      <c r="J19" s="25"/>
      <c r="K19" s="2">
        <v>25000</v>
      </c>
      <c r="L19" s="454"/>
      <c r="M19" s="454"/>
      <c r="N19" s="454"/>
      <c r="O19" s="454"/>
      <c r="P19" s="454"/>
      <c r="Q19" s="454"/>
      <c r="R19" s="11" t="s">
        <v>1491</v>
      </c>
      <c r="S19" s="9">
        <v>43282</v>
      </c>
      <c r="T19" s="9">
        <v>43646</v>
      </c>
      <c r="U19" s="11"/>
      <c r="V19"/>
      <c r="W19"/>
      <c r="X19" s="12" t="s">
        <v>1492</v>
      </c>
      <c r="Y19" s="13"/>
    </row>
    <row r="20" spans="1:28" x14ac:dyDescent="0.25">
      <c r="A20" t="s">
        <v>227</v>
      </c>
      <c r="B20" t="s">
        <v>228</v>
      </c>
      <c r="C20">
        <v>37530</v>
      </c>
      <c r="D20" t="s">
        <v>44</v>
      </c>
      <c r="E20" s="3">
        <v>107533</v>
      </c>
      <c r="F20" s="11">
        <v>42856</v>
      </c>
      <c r="G20" s="11">
        <v>43951</v>
      </c>
      <c r="H20" s="10" t="s">
        <v>1373</v>
      </c>
      <c r="I20" s="9" t="s">
        <v>212</v>
      </c>
      <c r="K20" s="2">
        <v>45000</v>
      </c>
      <c r="M20" s="454"/>
      <c r="N20" s="454"/>
      <c r="O20" s="454"/>
      <c r="P20" s="454"/>
      <c r="Q20" s="454"/>
      <c r="R20" s="11" t="s">
        <v>1493</v>
      </c>
      <c r="S20" s="9">
        <v>43282</v>
      </c>
      <c r="T20" s="9">
        <v>43646</v>
      </c>
      <c r="U20" s="11"/>
      <c r="V20" s="9">
        <v>43647</v>
      </c>
      <c r="X20" s="12"/>
      <c r="Y20" s="13" t="s">
        <v>178</v>
      </c>
    </row>
    <row r="21" spans="1:28" x14ac:dyDescent="0.25">
      <c r="A21" t="s">
        <v>227</v>
      </c>
      <c r="B21" t="s">
        <v>1494</v>
      </c>
      <c r="C21">
        <v>37530</v>
      </c>
      <c r="D21" t="s">
        <v>44</v>
      </c>
      <c r="E21" s="3">
        <v>105064</v>
      </c>
      <c r="F21" s="11">
        <v>41351</v>
      </c>
      <c r="G21" s="11">
        <v>43176</v>
      </c>
      <c r="H21" s="10" t="s">
        <v>1373</v>
      </c>
      <c r="K21" s="454">
        <v>115000</v>
      </c>
      <c r="L21" s="454"/>
      <c r="M21" s="454"/>
      <c r="N21" s="454"/>
      <c r="O21" s="454"/>
      <c r="P21" s="454"/>
      <c r="Q21" s="454"/>
      <c r="R21" s="11" t="s">
        <v>1495</v>
      </c>
      <c r="S21" s="9">
        <v>43282</v>
      </c>
      <c r="T21" s="9">
        <v>43646</v>
      </c>
      <c r="U21" s="11"/>
      <c r="V21" s="9">
        <v>43647</v>
      </c>
      <c r="X21" s="12"/>
      <c r="Y21" s="13" t="s">
        <v>174</v>
      </c>
    </row>
    <row r="22" spans="1:28" x14ac:dyDescent="0.25">
      <c r="A22" t="s">
        <v>233</v>
      </c>
      <c r="B22" t="s">
        <v>1496</v>
      </c>
      <c r="C22">
        <v>37560</v>
      </c>
      <c r="D22" t="s">
        <v>50</v>
      </c>
      <c r="E22" s="26"/>
      <c r="F22" s="11">
        <v>42552</v>
      </c>
      <c r="G22" s="11">
        <v>43646</v>
      </c>
      <c r="H22" s="10" t="s">
        <v>233</v>
      </c>
      <c r="I22" s="9" t="s">
        <v>1497</v>
      </c>
      <c r="K22" s="454">
        <v>0</v>
      </c>
      <c r="L22" s="454"/>
      <c r="M22" s="454"/>
      <c r="N22" s="454"/>
      <c r="O22" s="454"/>
      <c r="P22" s="454"/>
      <c r="Q22" s="454"/>
      <c r="R22" s="20" t="s">
        <v>1498</v>
      </c>
      <c r="S22" s="9">
        <v>43282</v>
      </c>
      <c r="T22" s="9">
        <v>43646</v>
      </c>
      <c r="U22" s="20"/>
      <c r="V22" s="9">
        <v>43647</v>
      </c>
      <c r="X22" s="16" t="s">
        <v>1499</v>
      </c>
      <c r="Y22" s="467" t="s">
        <v>178</v>
      </c>
    </row>
    <row r="23" spans="1:28" x14ac:dyDescent="0.25">
      <c r="A23" t="s">
        <v>57</v>
      </c>
      <c r="B23" t="s">
        <v>1500</v>
      </c>
      <c r="C23">
        <v>37560</v>
      </c>
      <c r="D23" t="s">
        <v>50</v>
      </c>
      <c r="E23" s="3" t="s">
        <v>209</v>
      </c>
      <c r="H23" s="10"/>
      <c r="K23" s="2">
        <v>0</v>
      </c>
      <c r="L23" s="454">
        <v>8200</v>
      </c>
      <c r="M23" s="454"/>
      <c r="N23" s="454"/>
      <c r="O23" s="454"/>
      <c r="P23" s="454"/>
      <c r="Q23" s="454"/>
      <c r="R23" s="11" t="s">
        <v>1501</v>
      </c>
      <c r="S23" s="9">
        <v>43374</v>
      </c>
      <c r="T23" s="9">
        <v>44104</v>
      </c>
      <c r="U23" s="11" t="s">
        <v>1501</v>
      </c>
      <c r="V23" s="9">
        <v>44105</v>
      </c>
      <c r="W23" s="9" t="s">
        <v>178</v>
      </c>
      <c r="X23" s="470" t="s">
        <v>1502</v>
      </c>
      <c r="Y23" s="467"/>
    </row>
    <row r="24" spans="1:28" x14ac:dyDescent="0.25">
      <c r="A24" t="s">
        <v>59</v>
      </c>
      <c r="B24" t="s">
        <v>1503</v>
      </c>
      <c r="C24">
        <v>37530</v>
      </c>
      <c r="D24" t="s">
        <v>44</v>
      </c>
      <c r="E24" s="3">
        <v>107637</v>
      </c>
      <c r="F24" s="11">
        <v>42948</v>
      </c>
      <c r="G24" s="11">
        <v>44013</v>
      </c>
      <c r="H24" s="10" t="s">
        <v>59</v>
      </c>
      <c r="I24" s="9" t="s">
        <v>1504</v>
      </c>
      <c r="K24" s="2">
        <v>0</v>
      </c>
      <c r="L24" s="454"/>
      <c r="M24" s="454"/>
      <c r="N24" s="454"/>
      <c r="O24" s="454"/>
      <c r="P24" s="454"/>
      <c r="Q24" s="454"/>
      <c r="R24" s="11" t="s">
        <v>1505</v>
      </c>
      <c r="S24" s="9">
        <v>43282</v>
      </c>
      <c r="T24" s="9">
        <v>43646</v>
      </c>
      <c r="U24" s="11"/>
      <c r="V24" s="9">
        <v>43647</v>
      </c>
      <c r="X24" s="12"/>
      <c r="Y24" s="13" t="s">
        <v>174</v>
      </c>
    </row>
    <row r="25" spans="1:28" x14ac:dyDescent="0.25">
      <c r="A25" t="s">
        <v>238</v>
      </c>
      <c r="B25" t="s">
        <v>1341</v>
      </c>
      <c r="C25">
        <v>37550</v>
      </c>
      <c r="D25" t="s">
        <v>87</v>
      </c>
      <c r="E25" s="3" t="s">
        <v>209</v>
      </c>
      <c r="H25"/>
      <c r="K25" s="2">
        <v>6000</v>
      </c>
      <c r="L25" s="454"/>
      <c r="M25" s="454"/>
      <c r="N25" s="454"/>
      <c r="O25" s="454"/>
      <c r="P25" s="454"/>
      <c r="Q25" s="454"/>
      <c r="R25" s="3" t="s">
        <v>1506</v>
      </c>
      <c r="S25" s="9">
        <v>43282</v>
      </c>
      <c r="T25" s="9">
        <v>43646</v>
      </c>
      <c r="V25" s="9">
        <v>43647</v>
      </c>
      <c r="X25" s="12"/>
      <c r="Y25" s="13" t="s">
        <v>178</v>
      </c>
    </row>
    <row r="26" spans="1:28" x14ac:dyDescent="0.25">
      <c r="A26" t="s">
        <v>241</v>
      </c>
      <c r="B26" t="s">
        <v>242</v>
      </c>
      <c r="C26">
        <v>37550</v>
      </c>
      <c r="D26" t="s">
        <v>87</v>
      </c>
      <c r="E26" s="3" t="s">
        <v>209</v>
      </c>
      <c r="F26" s="11">
        <v>42917</v>
      </c>
      <c r="G26" s="11">
        <v>44377</v>
      </c>
      <c r="H26" s="10" t="s">
        <v>1507</v>
      </c>
      <c r="I26" s="9" t="s">
        <v>173</v>
      </c>
      <c r="K26" s="2">
        <v>5847.58</v>
      </c>
      <c r="L26" s="454">
        <v>6826.99</v>
      </c>
      <c r="M26" s="454">
        <v>5847.58</v>
      </c>
      <c r="N26" s="454">
        <v>5847.58</v>
      </c>
      <c r="O26" s="454">
        <v>6826.99</v>
      </c>
      <c r="P26" s="454"/>
      <c r="Q26" s="454"/>
      <c r="R26" s="3" t="s">
        <v>547</v>
      </c>
      <c r="S26" s="9">
        <v>42917</v>
      </c>
      <c r="T26" s="9">
        <v>44742</v>
      </c>
      <c r="V26" s="9">
        <v>44743</v>
      </c>
      <c r="W26" s="9" t="s">
        <v>178</v>
      </c>
      <c r="X26" s="12"/>
      <c r="Y26" s="13"/>
    </row>
    <row r="27" spans="1:28" x14ac:dyDescent="0.25">
      <c r="A27" t="s">
        <v>69</v>
      </c>
      <c r="B27" t="s">
        <v>243</v>
      </c>
      <c r="C27">
        <v>37560</v>
      </c>
      <c r="D27" t="s">
        <v>50</v>
      </c>
      <c r="E27" s="3" t="s">
        <v>209</v>
      </c>
      <c r="F27" s="11">
        <v>43282</v>
      </c>
      <c r="G27" s="11">
        <v>44377</v>
      </c>
      <c r="H27" s="10" t="s">
        <v>244</v>
      </c>
      <c r="K27" s="2">
        <v>19990</v>
      </c>
      <c r="L27" s="454">
        <v>19990</v>
      </c>
      <c r="M27" s="454">
        <v>19990</v>
      </c>
      <c r="N27" s="454"/>
      <c r="O27" s="454"/>
      <c r="P27" s="454"/>
      <c r="Q27" s="454"/>
      <c r="R27" s="11" t="s">
        <v>1508</v>
      </c>
      <c r="S27" s="9">
        <v>43647</v>
      </c>
      <c r="T27" s="9">
        <v>44377</v>
      </c>
      <c r="U27" s="11" t="s">
        <v>1508</v>
      </c>
      <c r="V27" s="9">
        <v>44378</v>
      </c>
      <c r="W27" s="9" t="s">
        <v>178</v>
      </c>
      <c r="X27" s="470" t="s">
        <v>1502</v>
      </c>
      <c r="Y27" s="13"/>
    </row>
    <row r="28" spans="1:28" x14ac:dyDescent="0.25">
      <c r="A28" t="s">
        <v>75</v>
      </c>
      <c r="B28" t="s">
        <v>76</v>
      </c>
      <c r="C28">
        <v>37510</v>
      </c>
      <c r="D28" t="s">
        <v>26</v>
      </c>
      <c r="E28" s="3">
        <v>105399</v>
      </c>
      <c r="F28" s="11">
        <v>41456</v>
      </c>
      <c r="G28" s="11">
        <v>43281</v>
      </c>
      <c r="H28" s="10" t="s">
        <v>245</v>
      </c>
      <c r="K28" s="2">
        <v>85000</v>
      </c>
      <c r="L28" s="454"/>
      <c r="M28" s="454"/>
      <c r="N28" s="454"/>
      <c r="O28" s="454"/>
      <c r="P28" s="454"/>
      <c r="Q28" s="454"/>
      <c r="R28" s="11" t="s">
        <v>1509</v>
      </c>
      <c r="S28" s="9">
        <v>43282</v>
      </c>
      <c r="T28" s="9">
        <v>43646</v>
      </c>
      <c r="U28" s="11"/>
      <c r="V28" s="9">
        <v>43647</v>
      </c>
      <c r="X28" s="12"/>
      <c r="Y28" s="13" t="s">
        <v>1510</v>
      </c>
    </row>
    <row r="29" spans="1:28" x14ac:dyDescent="0.25">
      <c r="A29" t="s">
        <v>848</v>
      </c>
      <c r="B29" t="s">
        <v>1511</v>
      </c>
      <c r="C29">
        <v>37100</v>
      </c>
      <c r="D29" t="s">
        <v>324</v>
      </c>
      <c r="E29" s="3"/>
      <c r="H29" s="21"/>
      <c r="K29" s="2">
        <v>29500</v>
      </c>
      <c r="L29" s="454">
        <v>29500</v>
      </c>
      <c r="M29" s="454">
        <v>29500</v>
      </c>
      <c r="N29" s="454"/>
      <c r="O29" s="454"/>
      <c r="P29" s="454"/>
      <c r="Q29" s="454"/>
      <c r="R29" s="11" t="s">
        <v>1512</v>
      </c>
      <c r="S29" s="9">
        <v>43343</v>
      </c>
      <c r="T29" s="9">
        <v>44438</v>
      </c>
      <c r="U29" s="11"/>
      <c r="W29" s="9" t="s">
        <v>178</v>
      </c>
      <c r="X29" s="12"/>
      <c r="Y29" s="13" t="s">
        <v>174</v>
      </c>
    </row>
    <row r="30" spans="1:28" x14ac:dyDescent="0.25">
      <c r="A30" t="s">
        <v>81</v>
      </c>
      <c r="B30" t="s">
        <v>82</v>
      </c>
      <c r="C30">
        <v>37510</v>
      </c>
      <c r="D30" t="s">
        <v>26</v>
      </c>
      <c r="E30" s="3">
        <v>200016</v>
      </c>
      <c r="F30" s="11">
        <v>43312</v>
      </c>
      <c r="G30" s="11">
        <v>43635</v>
      </c>
      <c r="H30" s="21" t="s">
        <v>81</v>
      </c>
      <c r="K30" s="2">
        <v>113000</v>
      </c>
      <c r="L30" s="454"/>
      <c r="M30" s="454"/>
      <c r="N30" s="454"/>
      <c r="O30" s="454"/>
      <c r="P30" s="454"/>
      <c r="Q30" s="454"/>
      <c r="R30" s="11" t="s">
        <v>1513</v>
      </c>
      <c r="S30" s="9">
        <v>43282</v>
      </c>
      <c r="T30" s="9">
        <v>408859</v>
      </c>
      <c r="U30" s="11"/>
      <c r="X30" s="12"/>
      <c r="Y30" s="13" t="s">
        <v>1510</v>
      </c>
      <c r="AB30" s="11"/>
    </row>
    <row r="31" spans="1:28" x14ac:dyDescent="0.25">
      <c r="A31" t="s">
        <v>85</v>
      </c>
      <c r="B31" t="s">
        <v>86</v>
      </c>
      <c r="C31">
        <v>37550</v>
      </c>
      <c r="D31" t="s">
        <v>87</v>
      </c>
      <c r="E31" s="3" t="s">
        <v>209</v>
      </c>
      <c r="H31" s="10" t="s">
        <v>85</v>
      </c>
      <c r="I31" s="9" t="s">
        <v>173</v>
      </c>
      <c r="K31" s="2">
        <v>31613</v>
      </c>
      <c r="L31" s="454">
        <v>31613</v>
      </c>
      <c r="M31" s="454">
        <v>32253</v>
      </c>
      <c r="N31" s="454"/>
      <c r="O31" s="454"/>
      <c r="P31" s="454"/>
      <c r="Q31" s="454"/>
      <c r="R31" s="3" t="s">
        <v>1514</v>
      </c>
      <c r="S31" s="9">
        <v>43282</v>
      </c>
      <c r="T31" s="9">
        <v>44377</v>
      </c>
      <c r="V31" s="9">
        <v>44378</v>
      </c>
      <c r="W31" s="9" t="s">
        <v>178</v>
      </c>
      <c r="X31" s="12"/>
      <c r="Y31" s="13" t="s">
        <v>1515</v>
      </c>
    </row>
    <row r="32" spans="1:28" x14ac:dyDescent="0.25">
      <c r="A32" t="s">
        <v>860</v>
      </c>
      <c r="B32" t="s">
        <v>680</v>
      </c>
      <c r="C32">
        <v>37550</v>
      </c>
      <c r="D32" t="s">
        <v>87</v>
      </c>
      <c r="E32" s="3">
        <v>107349</v>
      </c>
      <c r="F32" s="11">
        <v>42548</v>
      </c>
      <c r="G32" s="11">
        <v>43281</v>
      </c>
      <c r="H32" s="10" t="s">
        <v>1516</v>
      </c>
      <c r="K32" s="2">
        <v>48000</v>
      </c>
      <c r="L32" s="454"/>
      <c r="M32" s="454"/>
      <c r="N32" s="454"/>
      <c r="O32" s="454"/>
      <c r="P32" s="454"/>
      <c r="Q32" s="454"/>
      <c r="R32" s="11" t="s">
        <v>1517</v>
      </c>
      <c r="S32" s="9">
        <v>43282</v>
      </c>
      <c r="T32" s="9">
        <v>43646</v>
      </c>
      <c r="U32" s="11"/>
      <c r="V32" s="9">
        <v>43647</v>
      </c>
      <c r="X32" s="12"/>
      <c r="Y32" s="13" t="s">
        <v>178</v>
      </c>
    </row>
    <row r="33" spans="1:25" x14ac:dyDescent="0.25">
      <c r="A33" t="s">
        <v>246</v>
      </c>
      <c r="B33" t="s">
        <v>247</v>
      </c>
      <c r="C33">
        <v>37510</v>
      </c>
      <c r="D33" t="s">
        <v>26</v>
      </c>
      <c r="E33" s="3">
        <v>105876</v>
      </c>
      <c r="F33" s="3"/>
      <c r="H33" s="10"/>
      <c r="K33" s="2">
        <v>275000</v>
      </c>
      <c r="L33" s="454"/>
      <c r="M33" s="454"/>
      <c r="N33" s="454"/>
      <c r="O33" s="454"/>
      <c r="P33" s="454"/>
      <c r="Q33" s="454"/>
      <c r="R33" s="3" t="s">
        <v>376</v>
      </c>
      <c r="U33" s="3" t="s">
        <v>376</v>
      </c>
      <c r="W33" s="9" t="s">
        <v>178</v>
      </c>
      <c r="X33" s="12" t="s">
        <v>1518</v>
      </c>
      <c r="Y33" s="13"/>
    </row>
    <row r="34" spans="1:25" x14ac:dyDescent="0.25">
      <c r="A34" t="s">
        <v>246</v>
      </c>
      <c r="B34" t="s">
        <v>248</v>
      </c>
      <c r="C34">
        <v>37510</v>
      </c>
      <c r="D34" t="s">
        <v>26</v>
      </c>
      <c r="E34" s="3" t="s">
        <v>209</v>
      </c>
      <c r="H34" s="10"/>
      <c r="K34" s="2">
        <v>22000</v>
      </c>
      <c r="L34" s="454"/>
      <c r="M34" s="454"/>
      <c r="N34" s="454"/>
      <c r="O34" s="454"/>
      <c r="P34" s="454"/>
      <c r="Q34" s="454"/>
      <c r="R34" s="3" t="s">
        <v>376</v>
      </c>
      <c r="S34" s="9"/>
      <c r="T34" s="9"/>
      <c r="U34" s="3" t="s">
        <v>376</v>
      </c>
      <c r="W34" s="9" t="s">
        <v>178</v>
      </c>
      <c r="X34" s="12"/>
      <c r="Y34" s="13"/>
    </row>
    <row r="35" spans="1:25" x14ac:dyDescent="0.25">
      <c r="A35" t="s">
        <v>88</v>
      </c>
      <c r="B35" t="s">
        <v>251</v>
      </c>
      <c r="C35">
        <v>37510</v>
      </c>
      <c r="D35" t="s">
        <v>26</v>
      </c>
      <c r="E35" s="3">
        <v>107066</v>
      </c>
      <c r="G35" s="11">
        <v>42845</v>
      </c>
      <c r="H35" s="10" t="s">
        <v>1519</v>
      </c>
      <c r="I35" s="9" t="s">
        <v>173</v>
      </c>
      <c r="K35" s="2">
        <v>18000</v>
      </c>
      <c r="L35" s="454"/>
      <c r="M35" s="454"/>
      <c r="N35" s="454"/>
      <c r="O35" s="454"/>
      <c r="P35" s="454"/>
      <c r="Q35" s="454"/>
      <c r="R35" s="11" t="s">
        <v>1520</v>
      </c>
      <c r="S35" s="9">
        <v>43282</v>
      </c>
      <c r="T35" s="9">
        <v>43646</v>
      </c>
      <c r="U35" s="11"/>
      <c r="X35" s="12"/>
      <c r="Y35" s="13" t="s">
        <v>178</v>
      </c>
    </row>
    <row r="36" spans="1:25" x14ac:dyDescent="0.25">
      <c r="A36" t="s">
        <v>1295</v>
      </c>
      <c r="B36" t="s">
        <v>1386</v>
      </c>
      <c r="C36">
        <v>37550</v>
      </c>
      <c r="D36" t="s">
        <v>87</v>
      </c>
      <c r="E36" s="3">
        <v>102638</v>
      </c>
      <c r="F36" s="11">
        <v>40178</v>
      </c>
      <c r="G36" s="11">
        <v>43830</v>
      </c>
      <c r="H36" s="10" t="s">
        <v>1295</v>
      </c>
      <c r="K36" s="2">
        <v>758000</v>
      </c>
      <c r="L36" s="454"/>
      <c r="M36" s="454"/>
      <c r="N36" s="454"/>
      <c r="O36" s="454"/>
      <c r="P36" s="454"/>
      <c r="Q36" s="454"/>
      <c r="R36" s="11" t="s">
        <v>1521</v>
      </c>
      <c r="S36" s="9">
        <v>43282</v>
      </c>
      <c r="T36" s="9">
        <v>43646</v>
      </c>
      <c r="U36" s="11"/>
      <c r="V36" s="9">
        <v>43647</v>
      </c>
      <c r="X36" s="12"/>
      <c r="Y36" s="13" t="s">
        <v>178</v>
      </c>
    </row>
    <row r="37" spans="1:25" x14ac:dyDescent="0.25">
      <c r="A37" t="s">
        <v>255</v>
      </c>
      <c r="B37" t="s">
        <v>256</v>
      </c>
      <c r="C37">
        <v>37540</v>
      </c>
      <c r="D37" t="s">
        <v>32</v>
      </c>
      <c r="E37" s="3"/>
      <c r="H37" s="10"/>
      <c r="I37" s="25" t="s">
        <v>173</v>
      </c>
      <c r="J37" s="25"/>
      <c r="K37" s="454">
        <v>20000</v>
      </c>
      <c r="L37" s="454"/>
      <c r="M37" s="454"/>
      <c r="N37" s="454"/>
      <c r="O37" s="454"/>
      <c r="P37" s="454"/>
      <c r="Q37" s="454"/>
      <c r="R37" s="11" t="s">
        <v>376</v>
      </c>
      <c r="S37" s="9"/>
      <c r="T37" s="9"/>
      <c r="U37" s="11"/>
      <c r="X37" s="470" t="s">
        <v>1522</v>
      </c>
      <c r="Y37" s="467"/>
    </row>
    <row r="38" spans="1:25" x14ac:dyDescent="0.25">
      <c r="A38" t="s">
        <v>258</v>
      </c>
      <c r="B38" t="s">
        <v>259</v>
      </c>
      <c r="C38">
        <v>37550</v>
      </c>
      <c r="D38" t="s">
        <v>87</v>
      </c>
      <c r="E38" s="3" t="s">
        <v>209</v>
      </c>
      <c r="H38" s="10"/>
      <c r="I38" s="9" t="s">
        <v>212</v>
      </c>
      <c r="K38" s="2">
        <v>25000</v>
      </c>
      <c r="L38" s="454"/>
      <c r="M38" s="454"/>
      <c r="N38" s="454"/>
      <c r="O38" s="454"/>
      <c r="P38" s="454"/>
      <c r="Q38" s="454"/>
      <c r="R38" s="11" t="s">
        <v>1523</v>
      </c>
      <c r="S38" s="9">
        <v>43311</v>
      </c>
      <c r="T38" s="9">
        <v>43646</v>
      </c>
      <c r="U38" s="11"/>
      <c r="V38" s="9">
        <v>43282</v>
      </c>
      <c r="X38" s="12"/>
      <c r="Y38" s="13" t="s">
        <v>178</v>
      </c>
    </row>
    <row r="39" spans="1:25" x14ac:dyDescent="0.25">
      <c r="A39" t="s">
        <v>1524</v>
      </c>
      <c r="B39" t="s">
        <v>1525</v>
      </c>
      <c r="C39">
        <v>37550</v>
      </c>
      <c r="D39" t="s">
        <v>87</v>
      </c>
      <c r="E39" s="3">
        <v>200022</v>
      </c>
      <c r="F39" s="11">
        <v>43381</v>
      </c>
      <c r="G39" s="11">
        <v>43746</v>
      </c>
      <c r="H39" s="10" t="s">
        <v>1524</v>
      </c>
      <c r="I39" s="9" t="s">
        <v>1526</v>
      </c>
      <c r="K39" s="2">
        <v>10000</v>
      </c>
      <c r="L39" s="454"/>
      <c r="M39" s="454"/>
      <c r="N39" s="454"/>
      <c r="O39" s="454"/>
      <c r="P39" s="454"/>
      <c r="Q39" s="454"/>
      <c r="R39" s="11" t="s">
        <v>1527</v>
      </c>
      <c r="S39" s="9">
        <v>43374</v>
      </c>
      <c r="T39" s="9">
        <v>43738</v>
      </c>
      <c r="U39" s="11"/>
      <c r="V39" s="9">
        <v>43739</v>
      </c>
      <c r="X39" s="12"/>
      <c r="Y39" s="13" t="s">
        <v>178</v>
      </c>
    </row>
    <row r="40" spans="1:25" x14ac:dyDescent="0.25">
      <c r="A40" t="s">
        <v>880</v>
      </c>
      <c r="B40" t="s">
        <v>1528</v>
      </c>
      <c r="C40">
        <v>37100</v>
      </c>
      <c r="D40" t="s">
        <v>324</v>
      </c>
      <c r="E40" s="3" t="s">
        <v>209</v>
      </c>
      <c r="F40" s="11">
        <v>43281</v>
      </c>
      <c r="G40" s="11">
        <v>43646</v>
      </c>
      <c r="H40" s="10"/>
      <c r="I40" s="9" t="s">
        <v>173</v>
      </c>
      <c r="L40" s="454"/>
      <c r="M40" s="454"/>
      <c r="N40" s="454"/>
      <c r="O40" s="454"/>
      <c r="P40" s="454"/>
      <c r="Q40" s="454"/>
      <c r="R40" s="11" t="s">
        <v>1529</v>
      </c>
      <c r="S40" s="9">
        <v>43281</v>
      </c>
      <c r="T40" s="9">
        <v>43646</v>
      </c>
      <c r="U40" s="11"/>
      <c r="V40" s="9">
        <v>43647</v>
      </c>
      <c r="X40" s="465"/>
      <c r="Y40" s="467"/>
    </row>
    <row r="41" spans="1:25" x14ac:dyDescent="0.25">
      <c r="A41" t="s">
        <v>1392</v>
      </c>
      <c r="B41" t="s">
        <v>1393</v>
      </c>
      <c r="C41">
        <v>37560</v>
      </c>
      <c r="D41" t="s">
        <v>50</v>
      </c>
      <c r="E41" s="3">
        <v>104753</v>
      </c>
      <c r="F41" s="11">
        <v>41456</v>
      </c>
      <c r="G41" s="11">
        <v>43646</v>
      </c>
      <c r="H41" s="10" t="s">
        <v>1530</v>
      </c>
      <c r="K41" s="2">
        <v>360000</v>
      </c>
      <c r="L41" s="454"/>
      <c r="M41" s="454"/>
      <c r="N41" s="454"/>
      <c r="O41" s="454"/>
      <c r="P41" s="454"/>
      <c r="Q41" s="454"/>
      <c r="R41" s="11" t="s">
        <v>1531</v>
      </c>
      <c r="S41" s="9">
        <v>43282</v>
      </c>
      <c r="T41" s="9">
        <v>43646</v>
      </c>
      <c r="U41" s="11"/>
      <c r="V41" s="9">
        <v>43647</v>
      </c>
      <c r="X41" s="12" t="s">
        <v>1532</v>
      </c>
      <c r="Y41" s="13" t="s">
        <v>178</v>
      </c>
    </row>
    <row r="42" spans="1:25" x14ac:dyDescent="0.25">
      <c r="A42" t="s">
        <v>90</v>
      </c>
      <c r="B42" t="s">
        <v>91</v>
      </c>
      <c r="C42">
        <v>37550</v>
      </c>
      <c r="D42" t="s">
        <v>87</v>
      </c>
      <c r="E42" s="3">
        <v>200015</v>
      </c>
      <c r="F42" s="11">
        <v>43281</v>
      </c>
      <c r="G42" s="11">
        <v>44012</v>
      </c>
      <c r="H42" s="10" t="s">
        <v>260</v>
      </c>
      <c r="I42" s="9" t="s">
        <v>215</v>
      </c>
      <c r="K42" s="2">
        <v>40392</v>
      </c>
      <c r="L42" s="454">
        <v>40392</v>
      </c>
      <c r="M42" s="454">
        <v>40392</v>
      </c>
      <c r="N42" s="454"/>
      <c r="O42" s="454"/>
      <c r="P42" s="454"/>
      <c r="Q42" s="454"/>
      <c r="R42" s="11" t="s">
        <v>1533</v>
      </c>
      <c r="S42" s="9">
        <v>43282</v>
      </c>
      <c r="T42" s="9">
        <v>44012</v>
      </c>
      <c r="U42" s="11"/>
      <c r="V42" s="9">
        <v>44013</v>
      </c>
      <c r="W42" s="9" t="s">
        <v>178</v>
      </c>
      <c r="X42" s="12"/>
      <c r="Y42" s="13" t="s">
        <v>178</v>
      </c>
    </row>
    <row r="43" spans="1:25" x14ac:dyDescent="0.25">
      <c r="A43" t="s">
        <v>94</v>
      </c>
      <c r="B43" t="s">
        <v>1395</v>
      </c>
      <c r="C43">
        <v>37560</v>
      </c>
      <c r="D43" t="s">
        <v>50</v>
      </c>
      <c r="E43" s="3">
        <v>107606</v>
      </c>
      <c r="F43" s="11">
        <v>42948</v>
      </c>
      <c r="G43" s="11">
        <v>43677</v>
      </c>
      <c r="H43" s="22" t="s">
        <v>261</v>
      </c>
      <c r="K43" s="2">
        <v>206000</v>
      </c>
      <c r="L43" s="454"/>
      <c r="M43" s="454"/>
      <c r="N43" s="454"/>
      <c r="O43" s="454"/>
      <c r="P43" s="454"/>
      <c r="Q43" s="454"/>
      <c r="R43" s="11" t="s">
        <v>1534</v>
      </c>
      <c r="S43" s="9">
        <v>43282</v>
      </c>
      <c r="T43" s="9">
        <v>43646</v>
      </c>
      <c r="U43" s="11"/>
      <c r="V43" s="9">
        <v>43647</v>
      </c>
      <c r="X43" s="12" t="s">
        <v>1535</v>
      </c>
      <c r="Y43" s="13" t="s">
        <v>178</v>
      </c>
    </row>
    <row r="44" spans="1:25" x14ac:dyDescent="0.25">
      <c r="A44" t="s">
        <v>262</v>
      </c>
      <c r="B44" t="s">
        <v>263</v>
      </c>
      <c r="C44">
        <v>37560</v>
      </c>
      <c r="D44" t="s">
        <v>50</v>
      </c>
      <c r="E44" s="3">
        <v>102686</v>
      </c>
      <c r="F44" s="11">
        <v>43282</v>
      </c>
      <c r="G44" s="11">
        <v>44377</v>
      </c>
      <c r="H44" s="10" t="s">
        <v>262</v>
      </c>
      <c r="I44" s="9" t="s">
        <v>221</v>
      </c>
      <c r="K44" s="2">
        <v>38359</v>
      </c>
      <c r="L44" s="454">
        <v>46381</v>
      </c>
      <c r="M44" s="454">
        <v>47134</v>
      </c>
      <c r="N44" s="454"/>
      <c r="O44" s="454"/>
      <c r="P44" s="454"/>
      <c r="Q44" s="454"/>
      <c r="R44" s="11" t="s">
        <v>1536</v>
      </c>
      <c r="S44" s="9">
        <v>43282</v>
      </c>
      <c r="T44" s="9">
        <v>44377</v>
      </c>
      <c r="U44" s="11" t="s">
        <v>1536</v>
      </c>
      <c r="V44" s="9">
        <v>44378</v>
      </c>
      <c r="W44" s="9" t="s">
        <v>178</v>
      </c>
      <c r="X44" s="470" t="s">
        <v>1502</v>
      </c>
      <c r="Y44" s="13" t="s">
        <v>178</v>
      </c>
    </row>
    <row r="45" spans="1:25" x14ac:dyDescent="0.25">
      <c r="A45" t="s">
        <v>265</v>
      </c>
      <c r="B45" t="s">
        <v>266</v>
      </c>
      <c r="C45">
        <v>37560</v>
      </c>
      <c r="D45" t="s">
        <v>50</v>
      </c>
      <c r="E45" s="3">
        <v>105235</v>
      </c>
      <c r="F45" s="11">
        <v>43282</v>
      </c>
      <c r="G45" s="11">
        <v>44377</v>
      </c>
      <c r="H45" s="10" t="s">
        <v>262</v>
      </c>
      <c r="I45" s="9" t="s">
        <v>221</v>
      </c>
      <c r="K45" s="2">
        <v>96464</v>
      </c>
      <c r="L45" s="454">
        <v>96464</v>
      </c>
      <c r="M45" s="454">
        <v>98394</v>
      </c>
      <c r="N45" s="454"/>
      <c r="O45" s="454"/>
      <c r="P45" s="454"/>
      <c r="Q45" s="454"/>
      <c r="R45" s="11" t="s">
        <v>1537</v>
      </c>
      <c r="S45" s="9">
        <v>43282</v>
      </c>
      <c r="T45" s="9">
        <v>44377</v>
      </c>
      <c r="U45" s="11" t="s">
        <v>1537</v>
      </c>
      <c r="V45" s="9">
        <v>44378</v>
      </c>
      <c r="W45" s="9" t="s">
        <v>178</v>
      </c>
      <c r="X45" s="470" t="s">
        <v>1502</v>
      </c>
      <c r="Y45" s="13" t="s">
        <v>1515</v>
      </c>
    </row>
    <row r="46" spans="1:25" x14ac:dyDescent="0.25">
      <c r="A46" t="s">
        <v>1351</v>
      </c>
      <c r="B46" t="s">
        <v>98</v>
      </c>
      <c r="C46">
        <v>37540</v>
      </c>
      <c r="D46" t="s">
        <v>32</v>
      </c>
      <c r="E46" s="3" t="s">
        <v>209</v>
      </c>
      <c r="H46" s="10" t="s">
        <v>268</v>
      </c>
      <c r="I46" s="9" t="s">
        <v>173</v>
      </c>
      <c r="K46" s="2">
        <v>0</v>
      </c>
      <c r="L46" s="2">
        <v>11400</v>
      </c>
      <c r="M46" s="454"/>
      <c r="N46" s="454"/>
      <c r="O46" s="454"/>
      <c r="P46" s="454"/>
      <c r="Q46" s="454"/>
      <c r="R46" s="11" t="s">
        <v>1538</v>
      </c>
      <c r="S46" s="9">
        <v>43344</v>
      </c>
      <c r="T46" s="9">
        <v>43646</v>
      </c>
      <c r="U46" s="11"/>
      <c r="V46" s="9">
        <v>43647</v>
      </c>
      <c r="X46" s="12" t="s">
        <v>1539</v>
      </c>
      <c r="Y46" s="13" t="s">
        <v>178</v>
      </c>
    </row>
    <row r="47" spans="1:25" x14ac:dyDescent="0.25">
      <c r="A47" t="s">
        <v>909</v>
      </c>
      <c r="B47" t="s">
        <v>1540</v>
      </c>
      <c r="C47">
        <v>37100</v>
      </c>
      <c r="D47" t="s">
        <v>324</v>
      </c>
      <c r="E47" s="3" t="s">
        <v>209</v>
      </c>
      <c r="H47" s="10" t="s">
        <v>909</v>
      </c>
      <c r="I47" s="9" t="s">
        <v>215</v>
      </c>
      <c r="L47" s="454"/>
      <c r="M47" s="454"/>
      <c r="N47" s="454"/>
      <c r="O47" s="454"/>
      <c r="P47" s="454"/>
      <c r="Q47" s="454"/>
      <c r="R47" s="15" t="s">
        <v>1541</v>
      </c>
      <c r="S47" s="9">
        <v>43525</v>
      </c>
      <c r="T47" s="9">
        <v>43890</v>
      </c>
      <c r="U47" s="15"/>
      <c r="V47" s="9">
        <v>43891</v>
      </c>
      <c r="X47" s="12"/>
      <c r="Y47" s="467"/>
    </row>
    <row r="48" spans="1:25" x14ac:dyDescent="0.25">
      <c r="A48" t="s">
        <v>99</v>
      </c>
      <c r="B48" t="s">
        <v>100</v>
      </c>
      <c r="C48">
        <v>37510</v>
      </c>
      <c r="D48" t="s">
        <v>26</v>
      </c>
      <c r="E48" s="3">
        <v>105969</v>
      </c>
      <c r="F48" s="11">
        <v>42125</v>
      </c>
      <c r="G48" s="11">
        <v>43646</v>
      </c>
      <c r="H48" s="10" t="s">
        <v>269</v>
      </c>
      <c r="I48" t="s">
        <v>173</v>
      </c>
      <c r="J48"/>
      <c r="K48" s="2">
        <v>97000</v>
      </c>
      <c r="L48" s="454"/>
      <c r="M48" s="454"/>
      <c r="N48" s="454"/>
      <c r="O48" s="454"/>
      <c r="P48" s="454"/>
      <c r="Q48" s="454"/>
      <c r="R48" s="11" t="s">
        <v>1542</v>
      </c>
      <c r="S48" s="9">
        <v>43252</v>
      </c>
      <c r="T48" s="9">
        <v>43646</v>
      </c>
      <c r="U48" s="11"/>
      <c r="V48" s="9">
        <v>43647</v>
      </c>
      <c r="X48" s="12"/>
      <c r="Y48" s="13"/>
    </row>
    <row r="49" spans="1:25" x14ac:dyDescent="0.25">
      <c r="A49" t="s">
        <v>101</v>
      </c>
      <c r="B49" t="s">
        <v>102</v>
      </c>
      <c r="C49">
        <v>37530</v>
      </c>
      <c r="D49" t="s">
        <v>44</v>
      </c>
      <c r="E49" s="3">
        <v>105494</v>
      </c>
      <c r="F49" s="11">
        <v>41579</v>
      </c>
      <c r="G49" s="11">
        <v>43646</v>
      </c>
      <c r="H49" s="22" t="s">
        <v>270</v>
      </c>
      <c r="K49" s="2">
        <v>205000</v>
      </c>
      <c r="L49" s="454"/>
      <c r="M49" s="454"/>
      <c r="N49" s="454"/>
      <c r="O49" s="454"/>
      <c r="P49" s="454"/>
      <c r="Q49" s="454"/>
      <c r="R49" s="11" t="s">
        <v>1543</v>
      </c>
      <c r="S49" s="9">
        <v>43282</v>
      </c>
      <c r="T49" s="9">
        <v>43465</v>
      </c>
      <c r="U49" s="11"/>
      <c r="V49" s="9">
        <v>43465</v>
      </c>
      <c r="X49" s="12"/>
      <c r="Y49" s="13" t="s">
        <v>178</v>
      </c>
    </row>
    <row r="50" spans="1:25" x14ac:dyDescent="0.25">
      <c r="A50" t="s">
        <v>101</v>
      </c>
      <c r="B50" t="s">
        <v>1544</v>
      </c>
      <c r="C50">
        <v>37530</v>
      </c>
      <c r="D50" t="s">
        <v>44</v>
      </c>
      <c r="E50" s="3"/>
      <c r="H50" s="10"/>
      <c r="I50" s="9" t="s">
        <v>210</v>
      </c>
      <c r="K50" s="2">
        <v>100000</v>
      </c>
      <c r="L50" s="454"/>
      <c r="M50" s="454"/>
      <c r="N50" s="454"/>
      <c r="O50" s="454"/>
      <c r="P50" s="454"/>
      <c r="Q50" s="454"/>
      <c r="R50" s="11" t="s">
        <v>1545</v>
      </c>
      <c r="S50" s="9"/>
      <c r="T50" s="9"/>
      <c r="U50" s="11"/>
      <c r="X50" s="470"/>
      <c r="Y50" s="467"/>
    </row>
    <row r="51" spans="1:25" x14ac:dyDescent="0.25">
      <c r="A51" t="s">
        <v>272</v>
      </c>
      <c r="B51" t="s">
        <v>104</v>
      </c>
      <c r="C51">
        <v>37560</v>
      </c>
      <c r="D51" t="s">
        <v>50</v>
      </c>
      <c r="E51" s="3" t="s">
        <v>209</v>
      </c>
      <c r="H51" s="22" t="s">
        <v>272</v>
      </c>
      <c r="K51" s="2">
        <v>20000</v>
      </c>
      <c r="L51" s="454">
        <v>20285</v>
      </c>
      <c r="M51" s="454">
        <v>20915</v>
      </c>
      <c r="N51" s="454"/>
      <c r="O51" s="454"/>
      <c r="P51" s="454"/>
      <c r="Q51" s="454"/>
      <c r="R51" s="11" t="s">
        <v>1546</v>
      </c>
      <c r="S51" s="9">
        <v>43282</v>
      </c>
      <c r="T51" s="9">
        <v>44377</v>
      </c>
      <c r="U51" s="11" t="s">
        <v>1546</v>
      </c>
      <c r="V51" s="9">
        <v>44378</v>
      </c>
      <c r="W51" s="9" t="s">
        <v>178</v>
      </c>
      <c r="X51" s="470" t="s">
        <v>1502</v>
      </c>
      <c r="Y51" s="13" t="s">
        <v>178</v>
      </c>
    </row>
    <row r="52" spans="1:25" x14ac:dyDescent="0.25">
      <c r="A52" t="s">
        <v>107</v>
      </c>
      <c r="B52" t="s">
        <v>108</v>
      </c>
      <c r="C52">
        <v>37550</v>
      </c>
      <c r="D52" t="s">
        <v>87</v>
      </c>
      <c r="E52" s="3">
        <v>106663</v>
      </c>
      <c r="F52" s="11">
        <v>42248</v>
      </c>
      <c r="G52" s="11">
        <v>43708</v>
      </c>
      <c r="H52" s="22" t="s">
        <v>1547</v>
      </c>
      <c r="I52" s="9" t="s">
        <v>173</v>
      </c>
      <c r="K52" s="2">
        <v>424000</v>
      </c>
      <c r="L52" s="454"/>
      <c r="M52" s="454"/>
      <c r="N52" s="454"/>
      <c r="O52" s="454"/>
      <c r="P52" s="454"/>
      <c r="Q52" s="454"/>
      <c r="R52" s="11" t="s">
        <v>1548</v>
      </c>
      <c r="S52" s="9">
        <v>43299</v>
      </c>
      <c r="T52" s="9">
        <v>43646</v>
      </c>
      <c r="U52" s="11"/>
      <c r="V52" s="9">
        <v>43647</v>
      </c>
      <c r="X52" s="12"/>
      <c r="Y52" s="13" t="s">
        <v>178</v>
      </c>
    </row>
    <row r="53" spans="1:25" x14ac:dyDescent="0.25">
      <c r="A53" t="s">
        <v>278</v>
      </c>
      <c r="B53" t="s">
        <v>1403</v>
      </c>
      <c r="C53">
        <v>37550</v>
      </c>
      <c r="D53" t="s">
        <v>87</v>
      </c>
      <c r="E53" s="3">
        <v>104846</v>
      </c>
      <c r="F53" s="11">
        <v>41194</v>
      </c>
      <c r="G53" s="11">
        <v>43646</v>
      </c>
      <c r="H53" s="10" t="s">
        <v>280</v>
      </c>
      <c r="K53" s="2">
        <v>450000</v>
      </c>
      <c r="L53" s="454"/>
      <c r="M53" s="454"/>
      <c r="N53" s="454"/>
      <c r="O53" s="454"/>
      <c r="P53" s="454"/>
      <c r="Q53" s="454"/>
      <c r="R53" s="11" t="s">
        <v>1549</v>
      </c>
      <c r="S53" s="9">
        <v>43282</v>
      </c>
      <c r="T53" s="9">
        <v>43646</v>
      </c>
      <c r="U53" s="11"/>
      <c r="V53" s="9">
        <v>43647</v>
      </c>
      <c r="X53" s="12"/>
      <c r="Y53" s="13" t="s">
        <v>178</v>
      </c>
    </row>
    <row r="54" spans="1:25" x14ac:dyDescent="0.25">
      <c r="A54" t="s">
        <v>278</v>
      </c>
      <c r="B54" t="s">
        <v>1404</v>
      </c>
      <c r="C54">
        <v>37560</v>
      </c>
      <c r="D54" t="s">
        <v>50</v>
      </c>
      <c r="E54" s="3"/>
      <c r="H54" s="10"/>
      <c r="K54" s="454">
        <v>22000</v>
      </c>
      <c r="L54" s="454"/>
      <c r="M54" s="454"/>
      <c r="N54" s="454"/>
      <c r="O54" s="454"/>
      <c r="P54" s="454"/>
      <c r="Q54" s="454"/>
      <c r="R54" s="11" t="s">
        <v>234</v>
      </c>
      <c r="S54" s="9"/>
      <c r="T54" s="9"/>
      <c r="U54" s="11" t="s">
        <v>234</v>
      </c>
      <c r="W54" s="9" t="s">
        <v>178</v>
      </c>
      <c r="X54" s="470" t="s">
        <v>1550</v>
      </c>
      <c r="Y54" s="467" t="s">
        <v>178</v>
      </c>
    </row>
    <row r="55" spans="1:25" x14ac:dyDescent="0.25">
      <c r="A55" t="s">
        <v>1551</v>
      </c>
      <c r="B55" t="s">
        <v>1552</v>
      </c>
      <c r="C55">
        <v>37560</v>
      </c>
      <c r="D55" t="s">
        <v>50</v>
      </c>
      <c r="E55" s="3"/>
      <c r="F55" s="11">
        <v>43009</v>
      </c>
      <c r="G55" s="11">
        <v>43738</v>
      </c>
      <c r="H55" s="10" t="s">
        <v>1405</v>
      </c>
      <c r="I55" s="9" t="s">
        <v>221</v>
      </c>
      <c r="K55" s="2">
        <v>56000</v>
      </c>
      <c r="L55" s="454"/>
      <c r="M55" s="454"/>
      <c r="N55" s="454"/>
      <c r="O55" s="454"/>
      <c r="P55" s="454"/>
      <c r="Q55" s="454"/>
      <c r="R55" s="11" t="s">
        <v>1553</v>
      </c>
      <c r="S55" s="9">
        <v>43282</v>
      </c>
      <c r="T55" s="9">
        <v>43738</v>
      </c>
      <c r="U55" s="11"/>
      <c r="V55" s="9">
        <v>43282</v>
      </c>
      <c r="X55" s="12" t="s">
        <v>1554</v>
      </c>
      <c r="Y55" s="13" t="s">
        <v>178</v>
      </c>
    </row>
    <row r="56" spans="1:25" x14ac:dyDescent="0.25">
      <c r="A56" t="s">
        <v>281</v>
      </c>
      <c r="B56" t="s">
        <v>1408</v>
      </c>
      <c r="C56">
        <v>37510</v>
      </c>
      <c r="D56" t="s">
        <v>26</v>
      </c>
      <c r="E56" s="3">
        <v>105270</v>
      </c>
      <c r="G56" s="11">
        <v>43608</v>
      </c>
      <c r="H56" s="10" t="s">
        <v>1555</v>
      </c>
      <c r="K56" s="2">
        <v>93000</v>
      </c>
      <c r="L56" s="454"/>
      <c r="M56" s="454"/>
      <c r="N56" s="454"/>
      <c r="O56" s="454"/>
      <c r="P56" s="454"/>
      <c r="Q56" s="454"/>
      <c r="R56" s="11" t="s">
        <v>1556</v>
      </c>
      <c r="S56" s="9">
        <v>43240</v>
      </c>
      <c r="T56" s="9">
        <v>43330</v>
      </c>
      <c r="U56" s="11"/>
      <c r="X56" s="12"/>
      <c r="Y56" s="13" t="s">
        <v>178</v>
      </c>
    </row>
    <row r="57" spans="1:25" x14ac:dyDescent="0.25">
      <c r="A57" t="s">
        <v>281</v>
      </c>
      <c r="B57" t="s">
        <v>282</v>
      </c>
      <c r="C57">
        <v>37520</v>
      </c>
      <c r="D57" t="s">
        <v>19</v>
      </c>
      <c r="E57" s="3"/>
      <c r="F57" s="11">
        <v>43353</v>
      </c>
      <c r="G57" s="11">
        <v>43646</v>
      </c>
      <c r="H57" s="10"/>
      <c r="K57" s="2">
        <v>0</v>
      </c>
      <c r="L57" s="454"/>
      <c r="M57" s="454"/>
      <c r="N57" s="454"/>
      <c r="O57" s="454"/>
      <c r="P57" s="454"/>
      <c r="Q57" s="454"/>
      <c r="R57" s="11" t="s">
        <v>1557</v>
      </c>
      <c r="S57" s="9">
        <v>43353</v>
      </c>
      <c r="T57" s="9">
        <v>43281</v>
      </c>
      <c r="U57" s="11"/>
      <c r="V57" s="9">
        <v>43647</v>
      </c>
      <c r="X57" s="12" t="s">
        <v>1558</v>
      </c>
      <c r="Y57" s="467"/>
    </row>
    <row r="58" spans="1:25" x14ac:dyDescent="0.25">
      <c r="A58" t="s">
        <v>283</v>
      </c>
      <c r="B58" t="s">
        <v>114</v>
      </c>
      <c r="C58">
        <v>37550</v>
      </c>
      <c r="D58" t="s">
        <v>87</v>
      </c>
      <c r="E58" s="3"/>
      <c r="H58" s="10" t="s">
        <v>1559</v>
      </c>
      <c r="I58" t="s">
        <v>212</v>
      </c>
      <c r="J58"/>
      <c r="K58" s="2">
        <v>99000</v>
      </c>
      <c r="L58" s="454"/>
      <c r="M58" s="454"/>
      <c r="N58" s="454"/>
      <c r="O58" s="454"/>
      <c r="P58" s="454"/>
      <c r="Q58" s="454"/>
      <c r="R58" s="3" t="s">
        <v>1560</v>
      </c>
      <c r="S58" s="9">
        <v>43282</v>
      </c>
      <c r="T58" s="9">
        <v>43646</v>
      </c>
      <c r="V58" s="9">
        <v>43647</v>
      </c>
      <c r="X58" s="12"/>
      <c r="Y58" s="13"/>
    </row>
    <row r="59" spans="1:25" x14ac:dyDescent="0.25">
      <c r="A59" t="s">
        <v>1409</v>
      </c>
      <c r="B59" t="s">
        <v>1410</v>
      </c>
      <c r="C59">
        <v>37520</v>
      </c>
      <c r="D59" t="s">
        <v>19</v>
      </c>
      <c r="E59" s="3">
        <v>107176</v>
      </c>
      <c r="F59" s="11">
        <v>42491</v>
      </c>
      <c r="G59" s="11">
        <v>44316</v>
      </c>
      <c r="H59" s="10"/>
      <c r="I59" s="25"/>
      <c r="J59" s="25"/>
      <c r="K59" s="2">
        <v>30000</v>
      </c>
      <c r="L59" s="454"/>
      <c r="M59" s="454"/>
      <c r="N59" s="454"/>
      <c r="O59" s="454"/>
      <c r="P59" s="454"/>
      <c r="Q59" s="454"/>
      <c r="R59" s="11" t="s">
        <v>1561</v>
      </c>
      <c r="S59" s="9">
        <v>43151</v>
      </c>
      <c r="T59" s="9">
        <v>43646</v>
      </c>
      <c r="U59" s="11"/>
      <c r="V59" s="9">
        <v>43647</v>
      </c>
      <c r="X59" s="16" t="s">
        <v>1562</v>
      </c>
      <c r="Y59" s="13" t="s">
        <v>174</v>
      </c>
    </row>
    <row r="60" spans="1:25" x14ac:dyDescent="0.25">
      <c r="A60" t="s">
        <v>284</v>
      </c>
      <c r="B60" t="s">
        <v>285</v>
      </c>
      <c r="C60">
        <v>37510</v>
      </c>
      <c r="D60" t="s">
        <v>26</v>
      </c>
      <c r="E60" s="3">
        <v>107548</v>
      </c>
      <c r="F60" s="11">
        <v>42736</v>
      </c>
      <c r="G60" s="11">
        <v>43861</v>
      </c>
      <c r="H60" s="10" t="s">
        <v>284</v>
      </c>
      <c r="K60" s="2">
        <v>692000</v>
      </c>
      <c r="L60" s="454"/>
      <c r="M60" s="454"/>
      <c r="N60" s="454"/>
      <c r="O60" s="454"/>
      <c r="P60" s="454"/>
      <c r="Q60" s="454"/>
      <c r="R60" s="11" t="s">
        <v>1563</v>
      </c>
      <c r="S60" s="9">
        <v>43282</v>
      </c>
      <c r="T60" s="9">
        <v>43646</v>
      </c>
      <c r="U60" s="11"/>
      <c r="V60" s="9">
        <v>43647</v>
      </c>
      <c r="X60" s="12"/>
      <c r="Y60" s="13"/>
    </row>
    <row r="61" spans="1:25" x14ac:dyDescent="0.25">
      <c r="A61" t="s">
        <v>1564</v>
      </c>
      <c r="B61" t="s">
        <v>1401</v>
      </c>
      <c r="C61">
        <v>37530</v>
      </c>
      <c r="D61" t="s">
        <v>44</v>
      </c>
      <c r="E61" s="3">
        <v>107542</v>
      </c>
      <c r="F61" s="11">
        <v>42856</v>
      </c>
      <c r="G61" s="11">
        <v>43585</v>
      </c>
      <c r="H61" s="10"/>
      <c r="K61" s="454"/>
      <c r="L61" s="454"/>
      <c r="M61" s="454"/>
      <c r="N61" s="454"/>
      <c r="O61" s="454"/>
      <c r="P61" s="454"/>
      <c r="Q61" s="454"/>
      <c r="R61" s="3" t="s">
        <v>376</v>
      </c>
      <c r="X61" s="23"/>
      <c r="Y61" s="13"/>
    </row>
    <row r="62" spans="1:25" x14ac:dyDescent="0.25">
      <c r="A62" t="s">
        <v>286</v>
      </c>
      <c r="B62" t="s">
        <v>1565</v>
      </c>
      <c r="C62">
        <v>37560</v>
      </c>
      <c r="D62" t="s">
        <v>50</v>
      </c>
      <c r="E62" s="3">
        <v>107175</v>
      </c>
      <c r="F62" s="11">
        <v>42552</v>
      </c>
      <c r="G62" s="11">
        <v>43646</v>
      </c>
      <c r="H62" s="10" t="s">
        <v>287</v>
      </c>
      <c r="I62"/>
      <c r="J62"/>
      <c r="K62" s="2">
        <v>72000</v>
      </c>
      <c r="L62" s="454"/>
      <c r="M62" s="454"/>
      <c r="N62" s="454"/>
      <c r="O62" s="454"/>
      <c r="P62" s="454"/>
      <c r="Q62" s="454"/>
      <c r="R62" s="11" t="s">
        <v>1566</v>
      </c>
      <c r="S62" s="9">
        <v>43282</v>
      </c>
      <c r="T62" s="9">
        <v>43646</v>
      </c>
      <c r="U62" s="11"/>
      <c r="V62" s="9">
        <v>43647</v>
      </c>
      <c r="X62" s="12" t="s">
        <v>1567</v>
      </c>
      <c r="Y62" s="13" t="s">
        <v>178</v>
      </c>
    </row>
    <row r="63" spans="1:25" x14ac:dyDescent="0.25">
      <c r="A63" t="s">
        <v>315</v>
      </c>
      <c r="B63" t="s">
        <v>1416</v>
      </c>
      <c r="C63">
        <v>37520</v>
      </c>
      <c r="D63" t="s">
        <v>19</v>
      </c>
      <c r="E63" s="3">
        <v>102241</v>
      </c>
      <c r="F63" s="11">
        <v>42917</v>
      </c>
      <c r="G63" s="11">
        <v>43281</v>
      </c>
      <c r="H63" s="10" t="s">
        <v>118</v>
      </c>
      <c r="I63" s="9" t="s">
        <v>173</v>
      </c>
      <c r="K63" s="2">
        <v>300000</v>
      </c>
      <c r="L63" s="454"/>
      <c r="M63" s="454"/>
      <c r="N63" s="454"/>
      <c r="O63" s="454"/>
      <c r="P63" s="454"/>
      <c r="Q63" s="454"/>
      <c r="R63" s="11" t="s">
        <v>1568</v>
      </c>
      <c r="S63" s="9">
        <v>43282</v>
      </c>
      <c r="T63" s="9">
        <v>43646</v>
      </c>
      <c r="U63" s="11"/>
      <c r="V63" s="9">
        <v>43647</v>
      </c>
      <c r="Y63" s="13" t="s">
        <v>174</v>
      </c>
    </row>
    <row r="64" spans="1:25" x14ac:dyDescent="0.25">
      <c r="A64" t="s">
        <v>1569</v>
      </c>
      <c r="B64" t="s">
        <v>1570</v>
      </c>
      <c r="C64">
        <v>37530</v>
      </c>
      <c r="D64" t="s">
        <v>44</v>
      </c>
      <c r="E64" s="3"/>
      <c r="H64"/>
      <c r="L64" s="454"/>
      <c r="M64" s="454"/>
      <c r="N64" s="454"/>
      <c r="O64" s="454"/>
      <c r="P64" s="454"/>
      <c r="Q64" s="454"/>
      <c r="R64" s="3" t="s">
        <v>376</v>
      </c>
      <c r="X64" s="16"/>
      <c r="Y64" s="13"/>
    </row>
    <row r="65" spans="1:25" x14ac:dyDescent="0.25">
      <c r="A65" t="s">
        <v>1569</v>
      </c>
      <c r="B65" t="s">
        <v>1571</v>
      </c>
      <c r="C65">
        <v>37530</v>
      </c>
      <c r="D65" t="s">
        <v>44</v>
      </c>
      <c r="E65" s="3"/>
      <c r="H65" s="10"/>
      <c r="K65" s="454"/>
      <c r="L65" s="454"/>
      <c r="M65" s="454"/>
      <c r="N65" s="454"/>
      <c r="O65" s="454"/>
      <c r="P65" s="454"/>
      <c r="Q65" s="454"/>
      <c r="R65" s="3" t="s">
        <v>376</v>
      </c>
      <c r="X65" s="16"/>
      <c r="Y65" s="13"/>
    </row>
    <row r="66" spans="1:25" x14ac:dyDescent="0.25">
      <c r="A66" t="s">
        <v>290</v>
      </c>
      <c r="B66" t="s">
        <v>72</v>
      </c>
      <c r="C66">
        <v>37530</v>
      </c>
      <c r="D66" t="s">
        <v>44</v>
      </c>
      <c r="E66" s="3">
        <v>107536</v>
      </c>
      <c r="F66" s="11">
        <v>42856</v>
      </c>
      <c r="G66" s="11">
        <v>43585</v>
      </c>
      <c r="H66" s="10"/>
      <c r="K66" s="454">
        <v>15000</v>
      </c>
      <c r="M66" s="454"/>
      <c r="N66" s="454"/>
      <c r="O66" s="454"/>
      <c r="P66" s="454"/>
      <c r="Q66" s="454"/>
      <c r="R66" s="3" t="s">
        <v>1572</v>
      </c>
      <c r="S66" s="9">
        <v>43282</v>
      </c>
      <c r="T66" s="9">
        <v>43646</v>
      </c>
      <c r="V66" s="9">
        <v>43647</v>
      </c>
      <c r="X66" s="12"/>
      <c r="Y66" s="13" t="s">
        <v>178</v>
      </c>
    </row>
    <row r="67" spans="1:25" x14ac:dyDescent="0.25">
      <c r="A67" t="s">
        <v>290</v>
      </c>
      <c r="B67" t="s">
        <v>1573</v>
      </c>
      <c r="C67">
        <v>37530</v>
      </c>
      <c r="D67" t="s">
        <v>44</v>
      </c>
      <c r="E67" s="3">
        <v>107120</v>
      </c>
      <c r="F67" s="11">
        <v>42869</v>
      </c>
      <c r="G67" s="11">
        <v>43599</v>
      </c>
      <c r="H67" s="10" t="s">
        <v>1417</v>
      </c>
      <c r="K67" s="454"/>
      <c r="L67" s="454"/>
      <c r="M67" s="454"/>
      <c r="N67" s="454"/>
      <c r="O67" s="454"/>
      <c r="P67" s="454"/>
      <c r="Q67" s="454"/>
      <c r="R67" s="3" t="s">
        <v>1574</v>
      </c>
      <c r="S67" s="9">
        <v>43405</v>
      </c>
      <c r="T67" s="9">
        <v>43646</v>
      </c>
      <c r="V67" s="9">
        <v>43647</v>
      </c>
      <c r="X67" s="12"/>
      <c r="Y67" s="13" t="s">
        <v>178</v>
      </c>
    </row>
    <row r="68" spans="1:25" x14ac:dyDescent="0.25">
      <c r="A68" t="s">
        <v>679</v>
      </c>
      <c r="B68" t="s">
        <v>1575</v>
      </c>
      <c r="C68">
        <v>37550</v>
      </c>
      <c r="D68" t="s">
        <v>87</v>
      </c>
      <c r="E68" s="3" t="s">
        <v>209</v>
      </c>
      <c r="H68" s="10"/>
      <c r="I68" s="9" t="s">
        <v>1576</v>
      </c>
      <c r="K68" s="454">
        <v>0</v>
      </c>
      <c r="L68" s="454"/>
      <c r="M68" s="454"/>
      <c r="N68" s="454"/>
      <c r="O68" s="454"/>
      <c r="P68" s="454"/>
      <c r="Q68" s="454"/>
      <c r="R68" s="3" t="s">
        <v>1577</v>
      </c>
      <c r="S68" s="9">
        <v>43466</v>
      </c>
      <c r="T68" s="9">
        <v>43830</v>
      </c>
      <c r="V68" s="9">
        <v>43831</v>
      </c>
      <c r="X68" s="470"/>
      <c r="Y68" s="467" t="s">
        <v>174</v>
      </c>
    </row>
    <row r="69" spans="1:25" x14ac:dyDescent="0.25">
      <c r="A69" t="s">
        <v>348</v>
      </c>
      <c r="B69" t="s">
        <v>1401</v>
      </c>
      <c r="C69">
        <v>37530</v>
      </c>
      <c r="D69" t="s">
        <v>44</v>
      </c>
      <c r="E69" s="3">
        <v>107541</v>
      </c>
      <c r="F69" s="11">
        <v>42856</v>
      </c>
      <c r="G69" s="11">
        <v>43585</v>
      </c>
      <c r="H69" s="10"/>
      <c r="K69" s="454"/>
      <c r="L69" s="454"/>
      <c r="M69" s="454"/>
      <c r="N69" s="454"/>
      <c r="O69" s="454"/>
      <c r="P69" s="454"/>
      <c r="Q69" s="454"/>
      <c r="R69" s="3" t="s">
        <v>376</v>
      </c>
      <c r="X69" s="23"/>
      <c r="Y69" s="13"/>
    </row>
    <row r="70" spans="1:25" x14ac:dyDescent="0.25">
      <c r="A70" t="s">
        <v>1578</v>
      </c>
      <c r="B70" t="s">
        <v>1579</v>
      </c>
      <c r="C70">
        <v>37100</v>
      </c>
      <c r="D70" t="s">
        <v>324</v>
      </c>
      <c r="E70" s="3">
        <v>106990</v>
      </c>
      <c r="F70" s="11">
        <v>42552</v>
      </c>
      <c r="G70" s="11">
        <v>43646</v>
      </c>
      <c r="H70" s="22" t="s">
        <v>1580</v>
      </c>
      <c r="I70" t="s">
        <v>173</v>
      </c>
      <c r="J70"/>
      <c r="K70" s="2">
        <v>71000</v>
      </c>
      <c r="L70" s="454">
        <v>75200</v>
      </c>
      <c r="M70" s="454">
        <v>77000</v>
      </c>
      <c r="N70" s="454"/>
      <c r="O70" s="454"/>
      <c r="P70" s="454"/>
      <c r="Q70" s="454"/>
      <c r="R70" s="11" t="s">
        <v>1581</v>
      </c>
      <c r="S70" s="9">
        <v>42552</v>
      </c>
      <c r="T70" s="9">
        <v>43646</v>
      </c>
      <c r="U70" s="11"/>
      <c r="W70" s="9" t="s">
        <v>178</v>
      </c>
      <c r="X70" s="12"/>
      <c r="Y70" s="13" t="s">
        <v>174</v>
      </c>
    </row>
    <row r="71" spans="1:25" x14ac:dyDescent="0.25">
      <c r="A71" t="s">
        <v>292</v>
      </c>
      <c r="B71" t="s">
        <v>225</v>
      </c>
      <c r="C71">
        <v>37540</v>
      </c>
      <c r="D71" t="s">
        <v>32</v>
      </c>
      <c r="E71" s="3">
        <v>107256</v>
      </c>
      <c r="F71" s="11">
        <v>42079</v>
      </c>
      <c r="G71" s="11">
        <v>42809</v>
      </c>
      <c r="H71" s="10"/>
      <c r="I71" s="9" t="s">
        <v>173</v>
      </c>
      <c r="K71" s="2">
        <v>25000</v>
      </c>
      <c r="L71" s="454"/>
      <c r="M71" s="454"/>
      <c r="N71" s="454"/>
      <c r="O71" s="454"/>
      <c r="P71" s="454"/>
      <c r="Q71" s="454"/>
      <c r="R71" s="11" t="s">
        <v>1582</v>
      </c>
      <c r="S71" s="9">
        <v>43282</v>
      </c>
      <c r="T71" s="9">
        <v>43646</v>
      </c>
      <c r="U71" s="11"/>
      <c r="X71" s="12" t="s">
        <v>1583</v>
      </c>
      <c r="Y71" s="13"/>
    </row>
    <row r="72" spans="1:25" x14ac:dyDescent="0.25">
      <c r="A72" t="s">
        <v>126</v>
      </c>
      <c r="B72" t="s">
        <v>293</v>
      </c>
      <c r="C72">
        <v>37550</v>
      </c>
      <c r="D72" t="s">
        <v>87</v>
      </c>
      <c r="E72" s="3">
        <v>106756</v>
      </c>
      <c r="F72" s="11">
        <v>42217</v>
      </c>
      <c r="G72" s="11">
        <v>44834</v>
      </c>
      <c r="H72" s="10" t="s">
        <v>1584</v>
      </c>
      <c r="K72" s="2">
        <v>1274000</v>
      </c>
      <c r="L72" s="454">
        <v>1255096</v>
      </c>
      <c r="M72" s="454"/>
      <c r="N72" s="454"/>
      <c r="O72" s="454"/>
      <c r="P72" s="454"/>
      <c r="Q72" s="454"/>
      <c r="R72" s="11" t="s">
        <v>1585</v>
      </c>
      <c r="S72" s="9">
        <v>43282</v>
      </c>
      <c r="T72" s="9">
        <v>43830</v>
      </c>
      <c r="U72" s="11"/>
      <c r="V72" s="9">
        <v>43831</v>
      </c>
      <c r="W72" s="9" t="s">
        <v>178</v>
      </c>
      <c r="X72" s="12"/>
      <c r="Y72" s="13" t="s">
        <v>178</v>
      </c>
    </row>
    <row r="73" spans="1:25" x14ac:dyDescent="0.25">
      <c r="A73" t="s">
        <v>1422</v>
      </c>
      <c r="B73" t="s">
        <v>79</v>
      </c>
      <c r="C73">
        <v>37540</v>
      </c>
      <c r="D73" t="s">
        <v>32</v>
      </c>
      <c r="E73" s="3">
        <v>106709</v>
      </c>
      <c r="F73" s="11">
        <v>42227</v>
      </c>
      <c r="G73" s="11">
        <v>43646</v>
      </c>
      <c r="H73" s="10" t="s">
        <v>296</v>
      </c>
      <c r="I73" s="9" t="s">
        <v>173</v>
      </c>
      <c r="K73" s="2">
        <v>29000</v>
      </c>
      <c r="L73" s="454"/>
      <c r="M73" s="454"/>
      <c r="N73" s="454"/>
      <c r="O73" s="454"/>
      <c r="P73" s="454"/>
      <c r="Q73" s="454"/>
      <c r="R73" s="11" t="s">
        <v>1586</v>
      </c>
      <c r="S73" s="9">
        <v>43242</v>
      </c>
      <c r="T73" s="9">
        <v>43646</v>
      </c>
      <c r="U73" s="11"/>
      <c r="V73" s="9">
        <v>43647</v>
      </c>
      <c r="X73" s="12" t="s">
        <v>1587</v>
      </c>
      <c r="Y73" s="13" t="s">
        <v>174</v>
      </c>
    </row>
    <row r="74" spans="1:25" x14ac:dyDescent="0.25">
      <c r="A74" t="s">
        <v>1422</v>
      </c>
      <c r="B74" t="s">
        <v>297</v>
      </c>
      <c r="C74">
        <v>37540</v>
      </c>
      <c r="D74" t="s">
        <v>32</v>
      </c>
      <c r="E74" s="3">
        <v>106709</v>
      </c>
      <c r="H74" s="10" t="s">
        <v>1588</v>
      </c>
      <c r="I74" s="9" t="s">
        <v>173</v>
      </c>
      <c r="K74" s="2">
        <v>26000</v>
      </c>
      <c r="L74" s="454"/>
      <c r="M74" s="454"/>
      <c r="N74" s="454"/>
      <c r="O74" s="454"/>
      <c r="P74" s="454"/>
      <c r="Q74" s="454"/>
      <c r="R74" s="11" t="s">
        <v>1589</v>
      </c>
      <c r="S74" s="9">
        <v>43252</v>
      </c>
      <c r="T74" s="9">
        <v>43281</v>
      </c>
      <c r="U74" s="11"/>
      <c r="X74" s="23" t="s">
        <v>1590</v>
      </c>
      <c r="Y74" s="13" t="s">
        <v>174</v>
      </c>
    </row>
    <row r="75" spans="1:25" x14ac:dyDescent="0.25">
      <c r="A75" t="s">
        <v>301</v>
      </c>
      <c r="B75" t="s">
        <v>263</v>
      </c>
      <c r="C75">
        <v>37560</v>
      </c>
      <c r="D75" t="s">
        <v>50</v>
      </c>
      <c r="E75" s="3">
        <v>102252</v>
      </c>
      <c r="F75" s="11">
        <v>42186</v>
      </c>
      <c r="G75" s="11">
        <v>44377</v>
      </c>
      <c r="H75" s="10" t="s">
        <v>1591</v>
      </c>
      <c r="K75" s="2">
        <v>74686</v>
      </c>
      <c r="L75" s="454">
        <v>74686</v>
      </c>
      <c r="M75" s="454">
        <v>76926</v>
      </c>
      <c r="N75" s="454"/>
      <c r="O75" s="454"/>
      <c r="P75" s="454"/>
      <c r="Q75" s="454"/>
      <c r="R75" s="11" t="s">
        <v>1592</v>
      </c>
      <c r="S75" s="9">
        <v>43282</v>
      </c>
      <c r="T75" s="9">
        <v>44377</v>
      </c>
      <c r="U75" s="11" t="s">
        <v>1592</v>
      </c>
      <c r="V75" s="9">
        <v>44378</v>
      </c>
      <c r="W75" s="9" t="s">
        <v>178</v>
      </c>
      <c r="X75" s="470" t="s">
        <v>1502</v>
      </c>
      <c r="Y75" s="13" t="s">
        <v>178</v>
      </c>
    </row>
    <row r="76" spans="1:25" x14ac:dyDescent="0.25">
      <c r="A76" t="s">
        <v>301</v>
      </c>
      <c r="B76" t="s">
        <v>316</v>
      </c>
      <c r="C76">
        <v>37550</v>
      </c>
      <c r="D76" t="s">
        <v>87</v>
      </c>
      <c r="E76" s="3">
        <v>101380</v>
      </c>
      <c r="F76" s="11">
        <v>39340</v>
      </c>
      <c r="H76" s="10" t="s">
        <v>1593</v>
      </c>
      <c r="I76" s="9" t="s">
        <v>173</v>
      </c>
      <c r="K76" s="2">
        <v>15099</v>
      </c>
      <c r="L76" s="454">
        <v>15099</v>
      </c>
      <c r="M76" s="454">
        <v>15099</v>
      </c>
      <c r="N76" s="454">
        <v>15099</v>
      </c>
      <c r="O76" s="454">
        <v>15099</v>
      </c>
      <c r="P76" s="454"/>
      <c r="Q76" s="454"/>
      <c r="R76" s="11" t="s">
        <v>1594</v>
      </c>
      <c r="S76" s="9">
        <v>43282</v>
      </c>
      <c r="T76" s="9">
        <v>45107</v>
      </c>
      <c r="U76" s="11"/>
      <c r="V76" s="9">
        <v>45108</v>
      </c>
      <c r="W76" s="9" t="s">
        <v>178</v>
      </c>
      <c r="X76" s="12"/>
      <c r="Y76" s="13"/>
    </row>
    <row r="77" spans="1:25" x14ac:dyDescent="0.25">
      <c r="A77" t="s">
        <v>304</v>
      </c>
      <c r="B77" t="s">
        <v>132</v>
      </c>
      <c r="C77">
        <v>37560</v>
      </c>
      <c r="D77" t="s">
        <v>50</v>
      </c>
      <c r="E77" s="3">
        <v>107257</v>
      </c>
      <c r="F77" s="11">
        <v>42514</v>
      </c>
      <c r="G77" s="11">
        <v>43555</v>
      </c>
      <c r="H77" s="10" t="s">
        <v>304</v>
      </c>
      <c r="K77" s="2">
        <v>62000</v>
      </c>
      <c r="L77" s="454"/>
      <c r="M77" s="454"/>
      <c r="N77" s="454"/>
      <c r="O77" s="454"/>
      <c r="P77" s="454"/>
      <c r="Q77" s="454"/>
      <c r="R77" s="11" t="s">
        <v>1595</v>
      </c>
      <c r="S77" s="9">
        <v>43282</v>
      </c>
      <c r="T77" s="9">
        <v>43646</v>
      </c>
      <c r="U77" s="11"/>
      <c r="V77" s="9">
        <v>43647</v>
      </c>
      <c r="X77" s="12" t="s">
        <v>1567</v>
      </c>
      <c r="Y77" s="13" t="s">
        <v>178</v>
      </c>
    </row>
    <row r="78" spans="1:25" x14ac:dyDescent="0.25">
      <c r="A78" t="s">
        <v>135</v>
      </c>
      <c r="B78" t="s">
        <v>136</v>
      </c>
      <c r="C78">
        <v>37520</v>
      </c>
      <c r="D78" t="s">
        <v>19</v>
      </c>
      <c r="E78" s="3">
        <v>106991</v>
      </c>
      <c r="F78" s="11">
        <v>42480</v>
      </c>
      <c r="H78" s="10" t="s">
        <v>305</v>
      </c>
      <c r="I78" s="9" t="s">
        <v>173</v>
      </c>
      <c r="K78" s="2">
        <v>23000</v>
      </c>
      <c r="L78" s="454"/>
      <c r="M78" s="454"/>
      <c r="N78" s="454"/>
      <c r="O78" s="454"/>
      <c r="P78" s="454"/>
      <c r="Q78" s="454"/>
      <c r="R78" s="11" t="s">
        <v>1596</v>
      </c>
      <c r="S78" s="9">
        <v>43282</v>
      </c>
      <c r="T78" s="9">
        <v>43646</v>
      </c>
      <c r="U78" s="11"/>
      <c r="X78" s="12" t="s">
        <v>1597</v>
      </c>
      <c r="Y78" s="13" t="s">
        <v>174</v>
      </c>
    </row>
    <row r="79" spans="1:25" x14ac:dyDescent="0.25">
      <c r="A79" t="s">
        <v>746</v>
      </c>
      <c r="B79" t="s">
        <v>747</v>
      </c>
      <c r="C79">
        <v>37100</v>
      </c>
      <c r="D79" t="s">
        <v>324</v>
      </c>
      <c r="E79" s="3"/>
      <c r="H79" s="10"/>
      <c r="I79" s="9" t="s">
        <v>212</v>
      </c>
      <c r="K79" s="2">
        <v>50000</v>
      </c>
      <c r="L79" s="454"/>
      <c r="M79" s="454"/>
      <c r="N79" s="454"/>
      <c r="O79" s="454"/>
      <c r="P79" s="454"/>
      <c r="Q79" s="454"/>
      <c r="R79" s="11" t="s">
        <v>1598</v>
      </c>
      <c r="S79" s="9">
        <v>43282</v>
      </c>
      <c r="T79" s="9">
        <v>43646</v>
      </c>
      <c r="U79" s="11"/>
      <c r="X79" s="12"/>
      <c r="Y79" s="467" t="s">
        <v>174</v>
      </c>
    </row>
    <row r="80" spans="1:25" x14ac:dyDescent="0.25">
      <c r="A80" t="s">
        <v>931</v>
      </c>
      <c r="B80" t="s">
        <v>752</v>
      </c>
      <c r="C80">
        <v>37100</v>
      </c>
      <c r="D80" t="s">
        <v>324</v>
      </c>
      <c r="E80" s="3">
        <v>106258</v>
      </c>
      <c r="F80" s="11">
        <v>41974</v>
      </c>
      <c r="G80" s="11">
        <v>43069</v>
      </c>
      <c r="H80" s="10" t="s">
        <v>931</v>
      </c>
      <c r="I80" s="9" t="s">
        <v>173</v>
      </c>
      <c r="L80" s="454"/>
      <c r="M80" s="454"/>
      <c r="N80" s="454"/>
      <c r="O80" s="454"/>
      <c r="P80" s="454"/>
      <c r="Q80" s="454"/>
      <c r="R80" s="11" t="s">
        <v>1599</v>
      </c>
      <c r="S80" s="9">
        <v>43374</v>
      </c>
      <c r="T80" s="9">
        <v>43738</v>
      </c>
      <c r="U80" s="11"/>
      <c r="X80" s="12"/>
      <c r="Y80" s="467" t="s">
        <v>174</v>
      </c>
    </row>
    <row r="81" spans="1:28" x14ac:dyDescent="0.25">
      <c r="A81" t="s">
        <v>1297</v>
      </c>
      <c r="B81" t="s">
        <v>1600</v>
      </c>
      <c r="C81">
        <v>37520</v>
      </c>
      <c r="D81" t="s">
        <v>19</v>
      </c>
      <c r="E81" s="3" t="s">
        <v>209</v>
      </c>
      <c r="H81" s="18" t="s">
        <v>1297</v>
      </c>
      <c r="I81" s="9" t="s">
        <v>173</v>
      </c>
      <c r="K81" s="454"/>
      <c r="L81" s="454"/>
      <c r="M81" s="454"/>
      <c r="N81" s="454"/>
      <c r="O81" s="454"/>
      <c r="P81" s="454"/>
      <c r="Q81" s="454"/>
      <c r="R81" s="11" t="s">
        <v>1601</v>
      </c>
      <c r="S81" s="9">
        <v>43435</v>
      </c>
      <c r="T81" s="9">
        <v>43646</v>
      </c>
      <c r="U81" s="11" t="s">
        <v>234</v>
      </c>
      <c r="V81" s="9">
        <v>43647</v>
      </c>
      <c r="W81" s="9" t="s">
        <v>178</v>
      </c>
      <c r="X81" s="12" t="s">
        <v>1602</v>
      </c>
      <c r="Y81" s="13" t="s">
        <v>178</v>
      </c>
    </row>
    <row r="82" spans="1:28" x14ac:dyDescent="0.25">
      <c r="A82" t="s">
        <v>137</v>
      </c>
      <c r="B82" t="s">
        <v>138</v>
      </c>
      <c r="C82">
        <v>37560</v>
      </c>
      <c r="D82" t="s">
        <v>50</v>
      </c>
      <c r="E82" s="3" t="s">
        <v>209</v>
      </c>
      <c r="H82" s="10" t="s">
        <v>137</v>
      </c>
      <c r="K82" s="454">
        <v>0</v>
      </c>
      <c r="L82" s="454"/>
      <c r="M82" s="454"/>
      <c r="N82" s="454"/>
      <c r="O82" s="454"/>
      <c r="P82" s="454"/>
      <c r="Q82" s="454"/>
      <c r="R82" s="11" t="s">
        <v>1603</v>
      </c>
      <c r="S82" s="9">
        <v>43435</v>
      </c>
      <c r="T82" s="9">
        <v>43830</v>
      </c>
      <c r="U82" s="11"/>
      <c r="V82" s="9">
        <v>43831</v>
      </c>
      <c r="X82" s="12" t="s">
        <v>1567</v>
      </c>
      <c r="Y82" s="13" t="s">
        <v>178</v>
      </c>
    </row>
    <row r="83" spans="1:28" x14ac:dyDescent="0.25">
      <c r="A83" t="s">
        <v>306</v>
      </c>
      <c r="B83" t="s">
        <v>307</v>
      </c>
      <c r="C83">
        <v>37530</v>
      </c>
      <c r="D83" t="s">
        <v>44</v>
      </c>
      <c r="E83" s="3">
        <v>104333</v>
      </c>
      <c r="F83" s="11">
        <v>40877</v>
      </c>
      <c r="G83" s="11">
        <v>44561</v>
      </c>
      <c r="H83" s="10" t="s">
        <v>1604</v>
      </c>
      <c r="K83" s="2">
        <v>103000</v>
      </c>
      <c r="L83" s="454"/>
      <c r="M83" s="454"/>
      <c r="N83" s="454"/>
      <c r="O83" s="454"/>
      <c r="P83" s="454"/>
      <c r="Q83" s="454"/>
      <c r="R83" s="11" t="s">
        <v>1605</v>
      </c>
      <c r="S83" s="9">
        <v>43282</v>
      </c>
      <c r="T83" s="9">
        <v>43646</v>
      </c>
      <c r="U83" s="11"/>
      <c r="V83" s="9">
        <v>43647</v>
      </c>
      <c r="X83" s="12"/>
      <c r="Y83" s="13" t="s">
        <v>174</v>
      </c>
    </row>
    <row r="84" spans="1:28" x14ac:dyDescent="0.25">
      <c r="A84" t="s">
        <v>306</v>
      </c>
      <c r="B84" t="s">
        <v>1606</v>
      </c>
      <c r="C84">
        <v>37540</v>
      </c>
      <c r="D84" t="s">
        <v>32</v>
      </c>
      <c r="E84" s="3">
        <v>104333</v>
      </c>
      <c r="F84" s="11">
        <v>40877</v>
      </c>
      <c r="G84" s="11">
        <v>44561</v>
      </c>
      <c r="H84" s="10" t="s">
        <v>1607</v>
      </c>
      <c r="I84" s="9" t="s">
        <v>173</v>
      </c>
      <c r="K84" s="2">
        <v>334000</v>
      </c>
      <c r="L84" s="454"/>
      <c r="M84" s="454"/>
      <c r="N84" s="454"/>
      <c r="O84" s="454"/>
      <c r="P84" s="454"/>
      <c r="Q84" s="454"/>
      <c r="R84" s="11" t="s">
        <v>1608</v>
      </c>
      <c r="S84" s="9">
        <v>43282</v>
      </c>
      <c r="T84" s="9">
        <v>43646</v>
      </c>
      <c r="U84" s="11"/>
      <c r="V84" s="9">
        <v>43647</v>
      </c>
      <c r="X84" s="12" t="s">
        <v>1609</v>
      </c>
      <c r="Y84" s="13" t="s">
        <v>174</v>
      </c>
    </row>
    <row r="85" spans="1:28" x14ac:dyDescent="0.25">
      <c r="A85" t="s">
        <v>313</v>
      </c>
      <c r="B85" t="s">
        <v>314</v>
      </c>
      <c r="C85">
        <v>37540</v>
      </c>
      <c r="D85" t="s">
        <v>32</v>
      </c>
      <c r="E85" s="3"/>
      <c r="F85" s="11">
        <v>43263</v>
      </c>
      <c r="G85" s="11">
        <v>43465</v>
      </c>
      <c r="H85" s="10"/>
      <c r="I85" s="9" t="s">
        <v>173</v>
      </c>
      <c r="K85" s="2">
        <v>43000</v>
      </c>
      <c r="L85" s="454"/>
      <c r="M85" s="454"/>
      <c r="N85" s="454"/>
      <c r="O85" s="454"/>
      <c r="P85" s="454"/>
      <c r="Q85" s="454"/>
      <c r="R85" s="11" t="s">
        <v>1610</v>
      </c>
      <c r="S85" s="9"/>
      <c r="T85" s="9"/>
      <c r="U85" s="11"/>
      <c r="V85" s="9">
        <v>43465</v>
      </c>
      <c r="X85" s="23" t="s">
        <v>1611</v>
      </c>
      <c r="Y85" s="13" t="s">
        <v>174</v>
      </c>
    </row>
    <row r="86" spans="1:28" x14ac:dyDescent="0.25">
      <c r="A86" t="s">
        <v>1612</v>
      </c>
      <c r="B86" t="s">
        <v>1401</v>
      </c>
      <c r="C86">
        <v>37530</v>
      </c>
      <c r="D86" t="s">
        <v>44</v>
      </c>
      <c r="E86" s="3">
        <v>107535</v>
      </c>
      <c r="F86" s="11">
        <v>42856</v>
      </c>
      <c r="G86" s="11">
        <v>43585</v>
      </c>
      <c r="H86" s="10"/>
      <c r="L86" s="454"/>
      <c r="M86" s="454"/>
      <c r="N86" s="454"/>
      <c r="O86" s="454"/>
      <c r="P86" s="454"/>
      <c r="Q86" s="454"/>
      <c r="R86" s="3" t="s">
        <v>376</v>
      </c>
      <c r="X86" s="16"/>
      <c r="Y86" s="13" t="s">
        <v>174</v>
      </c>
    </row>
    <row r="87" spans="1:28" x14ac:dyDescent="0.25">
      <c r="A87" t="s">
        <v>141</v>
      </c>
      <c r="B87" t="s">
        <v>142</v>
      </c>
      <c r="C87">
        <v>37510</v>
      </c>
      <c r="D87" t="s">
        <v>26</v>
      </c>
      <c r="E87" s="3" t="s">
        <v>209</v>
      </c>
      <c r="H87" s="10"/>
      <c r="K87" s="2">
        <v>21000</v>
      </c>
      <c r="L87" s="454"/>
      <c r="M87" s="454"/>
      <c r="N87" s="454"/>
      <c r="O87" s="454"/>
      <c r="P87" s="454"/>
      <c r="Q87" s="454"/>
      <c r="R87" s="11" t="s">
        <v>1613</v>
      </c>
      <c r="S87" s="9">
        <v>43282</v>
      </c>
      <c r="T87" s="9">
        <v>43646</v>
      </c>
      <c r="U87" s="11"/>
      <c r="V87" s="9">
        <v>43646</v>
      </c>
      <c r="X87" s="12"/>
      <c r="Y87" s="13" t="s">
        <v>178</v>
      </c>
    </row>
    <row r="88" spans="1:28" x14ac:dyDescent="0.25">
      <c r="E88" s="459"/>
      <c r="H88" s="39"/>
      <c r="K88" s="471"/>
      <c r="L88" s="471"/>
      <c r="M88" s="471"/>
      <c r="N88" s="471"/>
      <c r="O88" s="471"/>
      <c r="P88" s="471"/>
      <c r="Q88" s="471"/>
      <c r="X88" s="471"/>
    </row>
    <row r="89" spans="1:28" x14ac:dyDescent="0.25">
      <c r="A89" s="24"/>
    </row>
    <row r="92" spans="1:28" x14ac:dyDescent="0.25">
      <c r="C92" s="8"/>
      <c r="F92" s="3"/>
    </row>
    <row r="93" spans="1:28" s="9" customFormat="1" x14ac:dyDescent="0.25">
      <c r="A93"/>
      <c r="B93" s="8"/>
      <c r="C93"/>
      <c r="D93"/>
      <c r="E93"/>
      <c r="F93" s="3"/>
      <c r="G93" s="11"/>
      <c r="K93" s="2"/>
      <c r="L93" s="2"/>
      <c r="M93" s="2"/>
      <c r="N93" s="2"/>
      <c r="O93" s="2"/>
      <c r="P93" s="2"/>
      <c r="Q93" s="2"/>
      <c r="R93" s="3"/>
      <c r="S93"/>
      <c r="T93"/>
      <c r="U93" s="3"/>
      <c r="Y93"/>
      <c r="Z93" s="3"/>
      <c r="AA93" s="11"/>
      <c r="AB93" s="11"/>
    </row>
  </sheetData>
  <hyperlinks>
    <hyperlink ref="H39" r:id="rId1" xr:uid="{00000000-0004-0000-0600-000000000000}"/>
    <hyperlink ref="H80" r:id="rId2" xr:uid="{00000000-0004-0000-0600-000001000000}"/>
    <hyperlink ref="H26" r:id="rId3" xr:uid="{00000000-0004-0000-0600-000002000000}"/>
    <hyperlink ref="H2" r:id="rId4" xr:uid="{00000000-0004-0000-0600-000003000000}"/>
    <hyperlink ref="H5" r:id="rId5" xr:uid="{00000000-0004-0000-0600-000004000000}"/>
    <hyperlink ref="H10" r:id="rId6" xr:uid="{00000000-0004-0000-0600-000005000000}"/>
    <hyperlink ref="H15" r:id="rId7" xr:uid="{00000000-0004-0000-0600-000006000000}"/>
    <hyperlink ref="H27" r:id="rId8" xr:uid="{00000000-0004-0000-0600-000007000000}"/>
    <hyperlink ref="H24" r:id="rId9" xr:uid="{00000000-0004-0000-0600-000008000000}"/>
    <hyperlink ref="H20" r:id="rId10" xr:uid="{00000000-0004-0000-0600-000009000000}"/>
    <hyperlink ref="H21" r:id="rId11" xr:uid="{00000000-0004-0000-0600-00000A000000}"/>
    <hyperlink ref="H28" r:id="rId12" xr:uid="{00000000-0004-0000-0600-00000B000000}"/>
    <hyperlink ref="H30" r:id="rId13" xr:uid="{00000000-0004-0000-0600-00000C000000}"/>
    <hyperlink ref="H31" r:id="rId14" xr:uid="{00000000-0004-0000-0600-00000D000000}"/>
    <hyperlink ref="H32" r:id="rId15" xr:uid="{00000000-0004-0000-0600-00000E000000}"/>
    <hyperlink ref="H35" r:id="rId16" xr:uid="{00000000-0004-0000-0600-00000F000000}"/>
    <hyperlink ref="H36" r:id="rId17" xr:uid="{00000000-0004-0000-0600-000010000000}"/>
    <hyperlink ref="H41" r:id="rId18" xr:uid="{00000000-0004-0000-0600-000011000000}"/>
    <hyperlink ref="H42" r:id="rId19" xr:uid="{00000000-0004-0000-0600-000012000000}"/>
    <hyperlink ref="H43" r:id="rId20" xr:uid="{00000000-0004-0000-0600-000013000000}"/>
    <hyperlink ref="H44" r:id="rId21" xr:uid="{00000000-0004-0000-0600-000014000000}"/>
    <hyperlink ref="H45" r:id="rId22" xr:uid="{00000000-0004-0000-0600-000015000000}"/>
    <hyperlink ref="H48" r:id="rId23" xr:uid="{00000000-0004-0000-0600-000016000000}"/>
    <hyperlink ref="H52" r:id="rId24" xr:uid="{00000000-0004-0000-0600-000017000000}"/>
    <hyperlink ref="H53" r:id="rId25" xr:uid="{00000000-0004-0000-0600-000018000000}"/>
    <hyperlink ref="H55" r:id="rId26" xr:uid="{00000000-0004-0000-0600-000019000000}"/>
    <hyperlink ref="H56" r:id="rId27" xr:uid="{00000000-0004-0000-0600-00001A000000}"/>
    <hyperlink ref="H58" r:id="rId28" xr:uid="{00000000-0004-0000-0600-00001B000000}"/>
    <hyperlink ref="H60" r:id="rId29" xr:uid="{00000000-0004-0000-0600-00001C000000}"/>
    <hyperlink ref="H62" r:id="rId30" xr:uid="{00000000-0004-0000-0600-00001D000000}"/>
    <hyperlink ref="H63" r:id="rId31" xr:uid="{00000000-0004-0000-0600-00001E000000}"/>
    <hyperlink ref="H70" r:id="rId32" xr:uid="{00000000-0004-0000-0600-00001F000000}"/>
    <hyperlink ref="H72" r:id="rId33" xr:uid="{00000000-0004-0000-0600-000020000000}"/>
    <hyperlink ref="H75" r:id="rId34" xr:uid="{00000000-0004-0000-0600-000021000000}"/>
    <hyperlink ref="H76" r:id="rId35" xr:uid="{00000000-0004-0000-0600-000022000000}"/>
    <hyperlink ref="H49" r:id="rId36" xr:uid="{00000000-0004-0000-0600-000023000000}"/>
    <hyperlink ref="H51" r:id="rId37" xr:uid="{00000000-0004-0000-0600-000024000000}"/>
    <hyperlink ref="H73" r:id="rId38" xr:uid="{00000000-0004-0000-0600-000025000000}"/>
    <hyperlink ref="H74" r:id="rId39" xr:uid="{00000000-0004-0000-0600-000026000000}"/>
    <hyperlink ref="H77" r:id="rId40" xr:uid="{00000000-0004-0000-0600-000027000000}"/>
    <hyperlink ref="H78" r:id="rId41" xr:uid="{00000000-0004-0000-0600-000028000000}"/>
    <hyperlink ref="H83" r:id="rId42" xr:uid="{00000000-0004-0000-0600-000029000000}"/>
    <hyperlink ref="H84" r:id="rId43" xr:uid="{00000000-0004-0000-0600-00002A000000}"/>
    <hyperlink ref="H46" r:id="rId44" xr:uid="{00000000-0004-0000-0600-00002B000000}"/>
    <hyperlink ref="H67" r:id="rId45" xr:uid="{00000000-0004-0000-0600-00002C000000}"/>
    <hyperlink ref="H82" r:id="rId46" xr:uid="{00000000-0004-0000-0600-00002D000000}"/>
    <hyperlink ref="H81" r:id="rId47" xr:uid="{00000000-0004-0000-0600-00002E000000}"/>
    <hyperlink ref="H47" r:id="rId48" xr:uid="{00000000-0004-0000-0600-00002F000000}"/>
    <hyperlink ref="H18" r:id="rId49" xr:uid="{00000000-0004-0000-0600-000030000000}"/>
    <hyperlink ref="H22" r:id="rId50" xr:uid="{00000000-0004-0000-0600-000031000000}"/>
    <hyperlink ref="H6" r:id="rId51" xr:uid="{00000000-0004-0000-0600-000032000000}"/>
    <hyperlink ref="H11" r:id="rId52" xr:uid="{00000000-0004-0000-0600-000033000000}"/>
    <hyperlink ref="H3" r:id="rId53" xr:uid="{00000000-0004-0000-0600-000034000000}"/>
    <hyperlink ref="H4" r:id="rId54" xr:uid="{00000000-0004-0000-0600-000035000000}"/>
  </hyperlinks>
  <pageMargins left="0" right="0" top="0" bottom="0" header="0" footer="0"/>
  <pageSetup paperSize="5" scale="61" orientation="landscape" r:id="rId55"/>
  <tableParts count="1">
    <tablePart r:id="rId56"/>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AD34B-A83C-44EB-8269-8394DAB1ABEA}">
  <dimension ref="A1:AQ119"/>
  <sheetViews>
    <sheetView tabSelected="1" zoomScaleNormal="100" workbookViewId="0">
      <pane xSplit="1" topLeftCell="B1" activePane="topRight" state="frozen"/>
      <selection pane="topRight"/>
    </sheetView>
  </sheetViews>
  <sheetFormatPr defaultColWidth="9.140625" defaultRowHeight="15" outlineLevelCol="1" x14ac:dyDescent="0.25"/>
  <cols>
    <col min="1" max="1" width="40.5703125" customWidth="1"/>
    <col min="2" max="2" width="44.85546875" customWidth="1"/>
    <col min="3" max="3" width="12" style="3" hidden="1" customWidth="1" outlineLevel="1"/>
    <col min="4" max="4" width="16" style="179" hidden="1" customWidth="1" outlineLevel="1"/>
    <col min="5" max="5" width="13.28515625" style="179" hidden="1" customWidth="1" outlineLevel="1"/>
    <col min="6" max="6" width="8.42578125" customWidth="1" collapsed="1"/>
    <col min="7" max="7" width="34.28515625" hidden="1" customWidth="1" outlineLevel="1"/>
    <col min="8" max="8" width="10.5703125" customWidth="1" collapsed="1"/>
    <col min="9" max="9" width="24" customWidth="1"/>
    <col min="10" max="10" width="16" customWidth="1"/>
    <col min="11" max="11" width="19.5703125" hidden="1" customWidth="1" outlineLevel="1"/>
    <col min="12" max="12" width="13.7109375" hidden="1" customWidth="1" outlineLevel="1"/>
    <col min="13" max="13" width="17.7109375" style="3" customWidth="1" collapsed="1"/>
    <col min="14" max="14" width="15.42578125" hidden="1" customWidth="1" outlineLevel="1"/>
    <col min="15" max="15" width="14.85546875" hidden="1" customWidth="1" outlineLevel="1"/>
    <col min="16" max="16" width="13" style="3" hidden="1" customWidth="1" outlineLevel="1"/>
    <col min="17" max="17" width="16.140625" style="9" hidden="1" customWidth="1" outlineLevel="1"/>
    <col min="18" max="18" width="11.85546875" style="11" hidden="1" customWidth="1" outlineLevel="1"/>
    <col min="19" max="19" width="11.85546875" style="9" hidden="1" customWidth="1" outlineLevel="1"/>
    <col min="20" max="20" width="13.7109375" style="9" customWidth="1" collapsed="1"/>
    <col min="21" max="21" width="13" style="50" customWidth="1"/>
    <col min="22" max="22" width="12.5703125" style="50" customWidth="1"/>
    <col min="23" max="23" width="13" style="9" customWidth="1"/>
    <col min="24" max="24" width="15.5703125" style="9" customWidth="1"/>
    <col min="25" max="25" width="11.85546875" style="1" hidden="1" customWidth="1" outlineLevel="1" collapsed="1"/>
    <col min="26" max="26" width="10.28515625" style="1" hidden="1" customWidth="1" outlineLevel="1"/>
    <col min="27" max="27" width="10.140625" style="1" hidden="1" customWidth="1" outlineLevel="1"/>
    <col min="28" max="28" width="10.7109375" style="1" hidden="1" customWidth="1" outlineLevel="1"/>
    <col min="29" max="29" width="11.42578125" style="1" customWidth="1" collapsed="1"/>
    <col min="30" max="30" width="11.42578125" style="1" customWidth="1"/>
    <col min="31" max="31" width="11.85546875" style="1" customWidth="1"/>
    <col min="32" max="32" width="13.28515625" style="2" customWidth="1"/>
    <col min="33" max="33" width="14" style="3" customWidth="1"/>
    <col min="34" max="34" width="16.28515625" style="1" hidden="1" customWidth="1"/>
    <col min="35" max="35" width="92.85546875" style="320" hidden="1" customWidth="1" outlineLevel="1"/>
    <col min="36" max="36" width="15" style="47" hidden="1" customWidth="1" collapsed="1"/>
    <col min="37" max="37" width="14" style="3" hidden="1" customWidth="1" outlineLevel="1"/>
    <col min="38" max="38" width="24.140625" style="3" hidden="1" customWidth="1" outlineLevel="1"/>
    <col min="39" max="39" width="63.140625" hidden="1" customWidth="1" collapsed="1"/>
    <col min="40" max="40" width="64.5703125" hidden="1" customWidth="1"/>
    <col min="41" max="41" width="48.7109375" style="381" hidden="1" customWidth="1"/>
    <col min="42" max="42" width="10.85546875" bestFit="1" customWidth="1"/>
    <col min="43" max="43" width="12.5703125" bestFit="1" customWidth="1"/>
  </cols>
  <sheetData>
    <row r="1" spans="1:43" s="46" customFormat="1" ht="45" x14ac:dyDescent="0.25">
      <c r="A1" s="42" t="s">
        <v>1268</v>
      </c>
      <c r="B1" s="42" t="s">
        <v>1</v>
      </c>
      <c r="C1" s="42" t="s">
        <v>2</v>
      </c>
      <c r="D1" s="42" t="s">
        <v>3</v>
      </c>
      <c r="E1" s="42" t="s">
        <v>4</v>
      </c>
      <c r="F1" s="42" t="s">
        <v>5</v>
      </c>
      <c r="G1" s="42" t="s">
        <v>6</v>
      </c>
      <c r="H1" s="42" t="s">
        <v>7</v>
      </c>
      <c r="I1" s="42" t="s">
        <v>8</v>
      </c>
      <c r="J1" s="42" t="s">
        <v>144</v>
      </c>
      <c r="K1" s="308" t="s">
        <v>395</v>
      </c>
      <c r="L1" s="308" t="s">
        <v>396</v>
      </c>
      <c r="M1" s="42" t="s">
        <v>10</v>
      </c>
      <c r="N1" s="43" t="s">
        <v>148</v>
      </c>
      <c r="O1" s="43" t="s">
        <v>149</v>
      </c>
      <c r="P1" s="43" t="s">
        <v>397</v>
      </c>
      <c r="Q1" s="43" t="s">
        <v>398</v>
      </c>
      <c r="R1" s="413" t="s">
        <v>1614</v>
      </c>
      <c r="S1" s="413" t="s">
        <v>13</v>
      </c>
      <c r="T1" s="412" t="s">
        <v>1615</v>
      </c>
      <c r="U1" s="412" t="s">
        <v>1616</v>
      </c>
      <c r="V1" s="49" t="s">
        <v>1617</v>
      </c>
      <c r="W1" s="49" t="s">
        <v>1618</v>
      </c>
      <c r="X1" s="48" t="s">
        <v>1619</v>
      </c>
      <c r="Y1" s="49" t="s">
        <v>399</v>
      </c>
      <c r="Z1" s="49" t="s">
        <v>400</v>
      </c>
      <c r="AA1" s="49" t="s">
        <v>1620</v>
      </c>
      <c r="AB1" s="49" t="s">
        <v>1621</v>
      </c>
      <c r="AC1" s="42" t="s">
        <v>1622</v>
      </c>
      <c r="AD1" s="42" t="s">
        <v>1623</v>
      </c>
      <c r="AE1" s="42" t="s">
        <v>160</v>
      </c>
      <c r="AF1" s="43" t="s">
        <v>161</v>
      </c>
      <c r="AG1" s="42" t="s">
        <v>1624</v>
      </c>
      <c r="AH1" s="43" t="s">
        <v>163</v>
      </c>
      <c r="AI1" s="129" t="s">
        <v>403</v>
      </c>
      <c r="AJ1" s="45" t="s">
        <v>404</v>
      </c>
      <c r="AK1" s="45" t="s">
        <v>405</v>
      </c>
      <c r="AL1" s="45" t="s">
        <v>169</v>
      </c>
      <c r="AM1" s="45" t="s">
        <v>1625</v>
      </c>
      <c r="AN1" s="45" t="s">
        <v>407</v>
      </c>
      <c r="AO1" s="380" t="s">
        <v>1626</v>
      </c>
      <c r="AP1" s="129" t="s">
        <v>2233</v>
      </c>
      <c r="AQ1" s="45" t="s">
        <v>2234</v>
      </c>
    </row>
    <row r="2" spans="1:43" x14ac:dyDescent="0.25">
      <c r="A2" t="s">
        <v>30</v>
      </c>
      <c r="B2" t="s">
        <v>31</v>
      </c>
      <c r="C2" s="3" t="s">
        <v>16</v>
      </c>
      <c r="D2" s="179" t="s">
        <v>24</v>
      </c>
      <c r="E2" s="179" t="s">
        <v>25</v>
      </c>
      <c r="F2">
        <v>37540</v>
      </c>
      <c r="G2" t="s">
        <v>32</v>
      </c>
      <c r="H2">
        <v>6405</v>
      </c>
      <c r="I2" t="s">
        <v>1628</v>
      </c>
      <c r="J2" t="s">
        <v>1629</v>
      </c>
      <c r="K2" s="11" t="s">
        <v>192</v>
      </c>
      <c r="L2" s="11" t="s">
        <v>174</v>
      </c>
      <c r="M2" s="460" t="s">
        <v>29</v>
      </c>
      <c r="N2" s="9"/>
      <c r="O2" s="9"/>
      <c r="P2" s="11"/>
      <c r="Q2" s="11"/>
      <c r="R2" s="461">
        <v>124</v>
      </c>
      <c r="S2" s="461">
        <v>120</v>
      </c>
      <c r="T2" s="462">
        <v>120</v>
      </c>
      <c r="U2" s="462">
        <v>120</v>
      </c>
      <c r="V2" s="463">
        <v>120</v>
      </c>
      <c r="W2" s="1">
        <v>120</v>
      </c>
      <c r="X2" s="1">
        <f>Table147[[#This Row],[FY26 Budget]]-Table147[[#This Row],[FY26 Committed]]</f>
        <v>0</v>
      </c>
      <c r="Y2" s="463"/>
      <c r="Z2" s="463"/>
      <c r="AA2" s="463"/>
      <c r="AB2" s="463"/>
      <c r="AC2" s="15" t="s">
        <v>433</v>
      </c>
      <c r="AD2" s="15" t="s">
        <v>1630</v>
      </c>
      <c r="AE2" s="9">
        <v>45839</v>
      </c>
      <c r="AF2" s="365">
        <v>46203</v>
      </c>
      <c r="AG2" s="15" t="s">
        <v>1631</v>
      </c>
      <c r="AH2" s="9">
        <v>46204</v>
      </c>
      <c r="AI2" s="455"/>
      <c r="AJ2" s="234" t="s">
        <v>174</v>
      </c>
      <c r="AK2" s="234" t="s">
        <v>174</v>
      </c>
      <c r="AL2" s="16" t="s">
        <v>186</v>
      </c>
      <c r="AM2" s="2" t="s">
        <v>421</v>
      </c>
      <c r="AN2" s="454"/>
      <c r="AO2" s="456" t="s">
        <v>234</v>
      </c>
      <c r="AP2" s="501" t="s">
        <v>1092</v>
      </c>
      <c r="AQ2" s="500">
        <f>120/12</f>
        <v>10</v>
      </c>
    </row>
    <row r="3" spans="1:43" x14ac:dyDescent="0.25">
      <c r="A3" t="s">
        <v>1632</v>
      </c>
      <c r="B3" t="s">
        <v>422</v>
      </c>
      <c r="C3" s="3" t="s">
        <v>16</v>
      </c>
      <c r="D3" s="179" t="s">
        <v>24</v>
      </c>
      <c r="E3" s="179" t="s">
        <v>25</v>
      </c>
      <c r="F3">
        <v>37510</v>
      </c>
      <c r="G3" t="s">
        <v>26</v>
      </c>
      <c r="H3">
        <v>6405</v>
      </c>
      <c r="I3" t="s">
        <v>65</v>
      </c>
      <c r="K3" s="11" t="s">
        <v>173</v>
      </c>
      <c r="L3" s="11" t="s">
        <v>174</v>
      </c>
      <c r="M3" s="460" t="s">
        <v>29</v>
      </c>
      <c r="N3" s="9"/>
      <c r="O3" s="9"/>
      <c r="P3" s="11"/>
      <c r="Q3" s="11"/>
      <c r="R3" s="461">
        <v>0</v>
      </c>
      <c r="S3" s="461">
        <v>0</v>
      </c>
      <c r="T3" s="462">
        <f>4804.16*3</f>
        <v>14412.48</v>
      </c>
      <c r="U3" s="462">
        <v>14412</v>
      </c>
      <c r="V3" s="463">
        <v>14844</v>
      </c>
      <c r="W3" s="1">
        <v>16723.68</v>
      </c>
      <c r="X3" s="1">
        <f>Table147[[#This Row],[FY26 Budget]]-Table147[[#This Row],[FY26 Committed]]</f>
        <v>-1879.6800000000003</v>
      </c>
      <c r="Y3" s="463"/>
      <c r="Z3" s="463"/>
      <c r="AA3" s="463"/>
      <c r="AB3" s="463"/>
      <c r="AC3" s="15" t="s">
        <v>234</v>
      </c>
      <c r="AD3" s="15" t="s">
        <v>1633</v>
      </c>
      <c r="AE3" s="9">
        <v>45839</v>
      </c>
      <c r="AF3" s="365">
        <v>46203</v>
      </c>
      <c r="AG3" s="15" t="s">
        <v>1634</v>
      </c>
      <c r="AH3" s="9">
        <v>46204</v>
      </c>
      <c r="AI3" s="384"/>
      <c r="AJ3" s="234" t="s">
        <v>174</v>
      </c>
      <c r="AK3" s="234" t="s">
        <v>174</v>
      </c>
      <c r="AL3" s="16"/>
      <c r="AM3" s="2"/>
      <c r="AN3" s="454"/>
      <c r="AO3" s="381" t="s">
        <v>234</v>
      </c>
      <c r="AP3" s="501" t="s">
        <v>2235</v>
      </c>
      <c r="AQ3" s="500"/>
    </row>
    <row r="4" spans="1:43" x14ac:dyDescent="0.25">
      <c r="A4" t="s">
        <v>435</v>
      </c>
      <c r="B4" t="s">
        <v>436</v>
      </c>
      <c r="C4" s="3" t="s">
        <v>38</v>
      </c>
      <c r="D4" s="179" t="s">
        <v>24</v>
      </c>
      <c r="E4" s="179" t="s">
        <v>18</v>
      </c>
      <c r="F4">
        <v>37100</v>
      </c>
      <c r="G4" t="s">
        <v>324</v>
      </c>
      <c r="H4">
        <v>6130</v>
      </c>
      <c r="I4" t="s">
        <v>1635</v>
      </c>
      <c r="J4" t="s">
        <v>1636</v>
      </c>
      <c r="K4" s="11" t="s">
        <v>173</v>
      </c>
      <c r="L4" s="11" t="s">
        <v>174</v>
      </c>
      <c r="M4" s="460">
        <v>1002248</v>
      </c>
      <c r="N4" s="9">
        <v>45597</v>
      </c>
      <c r="O4" s="9">
        <v>45961</v>
      </c>
      <c r="P4" s="11"/>
      <c r="Q4" s="11"/>
      <c r="R4" s="461">
        <v>0</v>
      </c>
      <c r="S4" s="461">
        <v>2581.6799999999998</v>
      </c>
      <c r="T4" s="462">
        <v>3000</v>
      </c>
      <c r="U4" s="462">
        <v>2839.85</v>
      </c>
      <c r="V4" s="463">
        <v>3000</v>
      </c>
      <c r="W4" s="1"/>
      <c r="X4" s="1">
        <f>Table147[[#This Row],[FY26 Budget]]-Table147[[#This Row],[FY26 Committed]]</f>
        <v>3000</v>
      </c>
      <c r="Y4" s="463"/>
      <c r="Z4" s="463"/>
      <c r="AA4" s="463"/>
      <c r="AB4" s="463"/>
      <c r="AC4" s="15" t="s">
        <v>441</v>
      </c>
      <c r="AD4" s="15" t="s">
        <v>1637</v>
      </c>
      <c r="AE4" s="9">
        <v>45597</v>
      </c>
      <c r="AF4" s="365">
        <v>45961</v>
      </c>
      <c r="AG4" s="15"/>
      <c r="AH4" s="9">
        <v>45931</v>
      </c>
      <c r="AI4" s="384"/>
      <c r="AJ4" s="234" t="s">
        <v>174</v>
      </c>
      <c r="AK4" s="234" t="s">
        <v>174</v>
      </c>
      <c r="AL4" s="16" t="s">
        <v>186</v>
      </c>
      <c r="AM4" s="2" t="s">
        <v>443</v>
      </c>
      <c r="AN4" s="454" t="s">
        <v>1638</v>
      </c>
      <c r="AO4" s="381" t="s">
        <v>234</v>
      </c>
      <c r="AP4" s="501" t="s">
        <v>772</v>
      </c>
      <c r="AQ4" s="500"/>
    </row>
    <row r="5" spans="1:43" x14ac:dyDescent="0.25">
      <c r="A5" t="s">
        <v>444</v>
      </c>
      <c r="B5" t="s">
        <v>445</v>
      </c>
      <c r="C5" s="3" t="s">
        <v>38</v>
      </c>
      <c r="D5" s="179" t="s">
        <v>24</v>
      </c>
      <c r="E5" s="179" t="s">
        <v>18</v>
      </c>
      <c r="F5">
        <v>37100</v>
      </c>
      <c r="G5" t="s">
        <v>324</v>
      </c>
      <c r="H5">
        <v>6130</v>
      </c>
      <c r="I5" t="s">
        <v>1635</v>
      </c>
      <c r="J5" t="s">
        <v>1636</v>
      </c>
      <c r="K5" s="11" t="s">
        <v>173</v>
      </c>
      <c r="L5" s="11" t="s">
        <v>178</v>
      </c>
      <c r="M5" s="460">
        <v>1003714</v>
      </c>
      <c r="N5" s="9">
        <v>45474</v>
      </c>
      <c r="O5" s="9">
        <v>45838</v>
      </c>
      <c r="P5" s="11"/>
      <c r="Q5" s="11"/>
      <c r="R5" s="461">
        <v>225750</v>
      </c>
      <c r="S5" s="461">
        <v>206261</v>
      </c>
      <c r="T5" s="462">
        <v>217000</v>
      </c>
      <c r="U5" s="462">
        <v>227762.32</v>
      </c>
      <c r="V5" s="463">
        <v>250000</v>
      </c>
      <c r="W5" s="1">
        <v>247292.38</v>
      </c>
      <c r="X5" s="1">
        <f>Table147[[#This Row],[FY26 Budget]]-Table147[[#This Row],[FY26 Committed]]</f>
        <v>2707.6199999999953</v>
      </c>
      <c r="Y5" s="463"/>
      <c r="Z5" s="463"/>
      <c r="AA5" s="463"/>
      <c r="AB5" s="463"/>
      <c r="AC5" s="15" t="s">
        <v>447</v>
      </c>
      <c r="AD5" s="15" t="s">
        <v>1639</v>
      </c>
      <c r="AE5" s="9">
        <v>45839</v>
      </c>
      <c r="AF5" s="365">
        <v>46203</v>
      </c>
      <c r="AG5" s="15" t="s">
        <v>1640</v>
      </c>
      <c r="AH5" s="9">
        <v>46204</v>
      </c>
      <c r="AI5" s="455"/>
      <c r="AJ5" s="234" t="s">
        <v>174</v>
      </c>
      <c r="AK5" s="234" t="s">
        <v>174</v>
      </c>
      <c r="AL5" s="16" t="s">
        <v>186</v>
      </c>
      <c r="AM5" s="2"/>
      <c r="AN5" s="454"/>
      <c r="AO5" s="456" t="s">
        <v>234</v>
      </c>
      <c r="AP5" s="501" t="s">
        <v>772</v>
      </c>
      <c r="AQ5" s="500">
        <v>247292.38</v>
      </c>
    </row>
    <row r="6" spans="1:43" x14ac:dyDescent="0.25">
      <c r="A6" t="s">
        <v>456</v>
      </c>
      <c r="B6" t="s">
        <v>214</v>
      </c>
      <c r="C6" s="3" t="s">
        <v>38</v>
      </c>
      <c r="D6" s="179" t="s">
        <v>1641</v>
      </c>
      <c r="E6" s="179" t="s">
        <v>18</v>
      </c>
      <c r="F6">
        <v>37550</v>
      </c>
      <c r="G6" t="s">
        <v>87</v>
      </c>
      <c r="H6">
        <v>6405</v>
      </c>
      <c r="I6" t="s">
        <v>1642</v>
      </c>
      <c r="J6" t="s">
        <v>1643</v>
      </c>
      <c r="K6" s="11" t="s">
        <v>173</v>
      </c>
      <c r="L6" s="11" t="s">
        <v>178</v>
      </c>
      <c r="M6" s="460">
        <v>1000315</v>
      </c>
      <c r="N6" s="9"/>
      <c r="O6" s="9"/>
      <c r="P6" s="11"/>
      <c r="Q6" s="11"/>
      <c r="R6" s="461">
        <v>23160</v>
      </c>
      <c r="S6" s="461">
        <v>23160</v>
      </c>
      <c r="T6" s="462">
        <v>23160</v>
      </c>
      <c r="U6" s="462">
        <v>24760.400000000001</v>
      </c>
      <c r="V6" s="463">
        <v>24760</v>
      </c>
      <c r="W6" s="1">
        <v>24760.400000000001</v>
      </c>
      <c r="X6" s="1">
        <f>Table147[[#This Row],[FY26 Budget]]-Table147[[#This Row],[FY26 Committed]]</f>
        <v>-0.40000000000145519</v>
      </c>
      <c r="Y6" s="463">
        <v>24760.400000000001</v>
      </c>
      <c r="Z6" s="463"/>
      <c r="AA6" s="463"/>
      <c r="AB6" s="463"/>
      <c r="AC6" s="15" t="s">
        <v>457</v>
      </c>
      <c r="AD6" s="15" t="s">
        <v>457</v>
      </c>
      <c r="AE6" s="9">
        <v>44652</v>
      </c>
      <c r="AF6" s="365">
        <v>46477</v>
      </c>
      <c r="AG6" s="15" t="str">
        <f>Table147[[#This Row],[FY25 PO]]</f>
        <v>P22052202</v>
      </c>
      <c r="AH6" s="9">
        <v>46478</v>
      </c>
      <c r="AI6" s="455" t="s">
        <v>458</v>
      </c>
      <c r="AJ6" s="234" t="s">
        <v>178</v>
      </c>
      <c r="AK6" s="234" t="s">
        <v>174</v>
      </c>
      <c r="AL6" s="16"/>
      <c r="AM6" s="2" t="s">
        <v>461</v>
      </c>
      <c r="AN6" s="454" t="s">
        <v>1644</v>
      </c>
      <c r="AO6" s="456" t="s">
        <v>1645</v>
      </c>
      <c r="AP6" s="501" t="s">
        <v>1092</v>
      </c>
      <c r="AQ6" s="500">
        <v>1527.3</v>
      </c>
    </row>
    <row r="7" spans="1:43" x14ac:dyDescent="0.25">
      <c r="A7" t="s">
        <v>1646</v>
      </c>
      <c r="B7" t="s">
        <v>1647</v>
      </c>
      <c r="C7" s="3" t="s">
        <v>16</v>
      </c>
      <c r="D7" s="179" t="s">
        <v>24</v>
      </c>
      <c r="E7" s="179" t="s">
        <v>18</v>
      </c>
      <c r="F7">
        <v>37200</v>
      </c>
      <c r="G7" t="s">
        <v>1648</v>
      </c>
      <c r="H7">
        <v>6130</v>
      </c>
      <c r="I7" t="s">
        <v>1636</v>
      </c>
      <c r="K7" s="11" t="s">
        <v>173</v>
      </c>
      <c r="L7" s="11" t="s">
        <v>178</v>
      </c>
      <c r="M7" s="460" t="s">
        <v>29</v>
      </c>
      <c r="N7" s="9"/>
      <c r="O7" s="9"/>
      <c r="P7" s="11"/>
      <c r="Q7" s="11"/>
      <c r="R7" s="461">
        <v>0</v>
      </c>
      <c r="S7" s="461">
        <v>0</v>
      </c>
      <c r="T7" s="462">
        <v>14000</v>
      </c>
      <c r="U7" s="462">
        <v>40996.5</v>
      </c>
      <c r="V7" s="463">
        <v>14000</v>
      </c>
      <c r="W7" s="1">
        <v>13665.5</v>
      </c>
      <c r="X7" s="1">
        <f>Table147[[#This Row],[FY26 Budget]]-Table147[[#This Row],[FY26 Committed]]</f>
        <v>334.5</v>
      </c>
      <c r="Y7" s="463">
        <v>13665.5</v>
      </c>
      <c r="Z7" s="463"/>
      <c r="AA7" s="463"/>
      <c r="AB7" s="463"/>
      <c r="AC7" s="15" t="s">
        <v>234</v>
      </c>
      <c r="AD7" s="15" t="s">
        <v>1649</v>
      </c>
      <c r="AE7" s="9">
        <v>45505</v>
      </c>
      <c r="AF7" s="365">
        <v>46599</v>
      </c>
      <c r="AG7" s="15" t="str">
        <f>Table147[[#This Row],[FY25 PO]]</f>
        <v>P25008734</v>
      </c>
      <c r="AH7" s="9">
        <v>46600</v>
      </c>
      <c r="AI7" s="384" t="s">
        <v>1650</v>
      </c>
      <c r="AJ7" s="234" t="s">
        <v>174</v>
      </c>
      <c r="AK7" s="234" t="s">
        <v>174</v>
      </c>
      <c r="AL7" s="16"/>
      <c r="AM7" s="2"/>
      <c r="AN7" s="454" t="s">
        <v>1651</v>
      </c>
      <c r="AO7" s="381" t="s">
        <v>234</v>
      </c>
      <c r="AP7" s="501" t="s">
        <v>772</v>
      </c>
      <c r="AQ7" s="500">
        <v>13665.5</v>
      </c>
    </row>
    <row r="8" spans="1:43" x14ac:dyDescent="0.25">
      <c r="A8" t="s">
        <v>36</v>
      </c>
      <c r="B8" t="s">
        <v>37</v>
      </c>
      <c r="C8" s="3" t="s">
        <v>38</v>
      </c>
      <c r="D8" s="179" t="s">
        <v>408</v>
      </c>
      <c r="E8" s="179" t="s">
        <v>18</v>
      </c>
      <c r="F8">
        <v>37521</v>
      </c>
      <c r="G8" t="s">
        <v>1652</v>
      </c>
      <c r="H8">
        <v>6405</v>
      </c>
      <c r="I8" t="s">
        <v>1653</v>
      </c>
      <c r="J8" t="s">
        <v>1629</v>
      </c>
      <c r="K8" s="11" t="str">
        <f>IF(Table147[[#This Row],[Proprietary?
(Y/N)]]="Y","Proprietary",IF(Table147[[#This Row],[FY25 Budget]]&lt;Lookups!$F$3,"Single Quote",IF(Table147[[#This Row],[FY25 Budget]]&gt;Lookups!$G$3,"RFP","Three quotes")))</f>
        <v>Proprietary</v>
      </c>
      <c r="L8" s="11" t="s">
        <v>174</v>
      </c>
      <c r="M8" s="460">
        <v>200250</v>
      </c>
      <c r="N8" s="9">
        <v>44117</v>
      </c>
      <c r="O8" s="9">
        <v>46673</v>
      </c>
      <c r="P8" s="11" t="s">
        <v>1274</v>
      </c>
      <c r="Q8" s="11"/>
      <c r="R8" s="461">
        <v>15450</v>
      </c>
      <c r="S8" s="461">
        <v>13000</v>
      </c>
      <c r="T8" s="462">
        <v>0</v>
      </c>
      <c r="U8" s="462">
        <v>13000</v>
      </c>
      <c r="V8" s="463">
        <v>13000</v>
      </c>
      <c r="W8" s="1">
        <v>15000</v>
      </c>
      <c r="X8" s="1">
        <f>Table147[[#This Row],[FY26 Budget]]-Table147[[#This Row],[FY26 Committed]]</f>
        <v>-2000</v>
      </c>
      <c r="Y8" s="463"/>
      <c r="Z8" s="463"/>
      <c r="AA8" s="463"/>
      <c r="AB8" s="463"/>
      <c r="AC8" s="15" t="s">
        <v>463</v>
      </c>
      <c r="AD8" s="15" t="s">
        <v>1654</v>
      </c>
      <c r="AE8" s="9">
        <v>45901</v>
      </c>
      <c r="AF8" s="365">
        <v>46265</v>
      </c>
      <c r="AG8" s="15" t="s">
        <v>1655</v>
      </c>
      <c r="AH8" s="9">
        <v>46266</v>
      </c>
      <c r="AI8" s="455" t="s">
        <v>1656</v>
      </c>
      <c r="AJ8" s="234" t="s">
        <v>178</v>
      </c>
      <c r="AK8" s="234" t="s">
        <v>174</v>
      </c>
      <c r="AL8" s="16"/>
      <c r="AM8" s="2"/>
      <c r="AN8" s="454"/>
      <c r="AO8" s="456" t="s">
        <v>1657</v>
      </c>
      <c r="AP8" s="501" t="s">
        <v>2235</v>
      </c>
      <c r="AQ8" s="500"/>
    </row>
    <row r="9" spans="1:43" x14ac:dyDescent="0.25">
      <c r="A9" t="s">
        <v>1658</v>
      </c>
      <c r="B9" t="s">
        <v>469</v>
      </c>
      <c r="C9" s="3" t="s">
        <v>16</v>
      </c>
      <c r="D9" s="179" t="s">
        <v>24</v>
      </c>
      <c r="E9" s="179" t="s">
        <v>25</v>
      </c>
      <c r="F9">
        <v>37510</v>
      </c>
      <c r="G9" t="s">
        <v>26</v>
      </c>
      <c r="H9">
        <v>6405</v>
      </c>
      <c r="I9" t="s">
        <v>65</v>
      </c>
      <c r="K9" s="11" t="s">
        <v>173</v>
      </c>
      <c r="L9" s="11" t="s">
        <v>174</v>
      </c>
      <c r="M9" s="460"/>
      <c r="N9" s="9"/>
      <c r="O9" s="9"/>
      <c r="P9" s="11"/>
      <c r="Q9" s="11"/>
      <c r="R9" s="461">
        <v>0</v>
      </c>
      <c r="S9" s="461">
        <v>749.36</v>
      </c>
      <c r="T9" s="462">
        <v>0</v>
      </c>
      <c r="U9" s="462">
        <v>749</v>
      </c>
      <c r="V9" s="463">
        <v>1000</v>
      </c>
      <c r="W9" s="1">
        <v>3182.13</v>
      </c>
      <c r="X9" s="1">
        <f>Table147[[#This Row],[FY26 Budget]]-Table147[[#This Row],[FY26 Committed]]</f>
        <v>-2182.13</v>
      </c>
      <c r="Y9" s="463"/>
      <c r="Z9" s="463"/>
      <c r="AA9" s="463"/>
      <c r="AB9" s="463"/>
      <c r="AC9" s="15" t="s">
        <v>470</v>
      </c>
      <c r="AD9" s="15" t="s">
        <v>470</v>
      </c>
      <c r="AE9" s="9">
        <v>45792</v>
      </c>
      <c r="AF9" s="365">
        <v>46857</v>
      </c>
      <c r="AG9" s="15" t="s">
        <v>1659</v>
      </c>
      <c r="AH9" s="9">
        <v>46874</v>
      </c>
      <c r="AI9" s="384" t="s">
        <v>1660</v>
      </c>
      <c r="AJ9" s="234" t="s">
        <v>174</v>
      </c>
      <c r="AK9" s="234" t="s">
        <v>174</v>
      </c>
      <c r="AL9" s="16" t="s">
        <v>186</v>
      </c>
      <c r="AM9" s="2" t="s">
        <v>471</v>
      </c>
      <c r="AN9" s="454" t="s">
        <v>1661</v>
      </c>
      <c r="AO9" s="381" t="s">
        <v>234</v>
      </c>
      <c r="AP9" s="501" t="s">
        <v>2235</v>
      </c>
      <c r="AQ9" s="500"/>
    </row>
    <row r="10" spans="1:43" x14ac:dyDescent="0.25">
      <c r="A10" t="s">
        <v>472</v>
      </c>
      <c r="B10" t="s">
        <v>473</v>
      </c>
      <c r="C10" s="3" t="s">
        <v>16</v>
      </c>
      <c r="D10" s="179" t="s">
        <v>74</v>
      </c>
      <c r="E10" s="179" t="s">
        <v>18</v>
      </c>
      <c r="F10">
        <v>37410</v>
      </c>
      <c r="G10" t="s">
        <v>416</v>
      </c>
      <c r="H10">
        <v>6405</v>
      </c>
      <c r="I10" t="s">
        <v>1662</v>
      </c>
      <c r="J10" t="s">
        <v>418</v>
      </c>
      <c r="K10" s="11" t="str">
        <f>IF(Table147[[#This Row],[Proprietary?
(Y/N)]]="Y","Proprietary",IF(Table147[[#This Row],[FY25 Budget]]&lt;Lookups!$F$3,"Single Quote",IF(Table147[[#This Row],[FY25 Budget]]&gt;Lookups!$G$3,"RFP","Three quotes")))</f>
        <v>Single Quote</v>
      </c>
      <c r="L10" s="11" t="s">
        <v>174</v>
      </c>
      <c r="M10" s="460"/>
      <c r="N10" s="9"/>
      <c r="O10" s="9"/>
      <c r="P10" s="11"/>
      <c r="Q10" s="11"/>
      <c r="R10" s="461">
        <v>0</v>
      </c>
      <c r="S10" s="461">
        <v>10000</v>
      </c>
      <c r="T10" s="462">
        <v>10000</v>
      </c>
      <c r="U10" s="462"/>
      <c r="V10" s="463">
        <v>10000</v>
      </c>
      <c r="W10" s="1"/>
      <c r="X10" s="1">
        <f>Table147[[#This Row],[FY26 Budget]]-Table147[[#This Row],[FY26 Committed]]</f>
        <v>10000</v>
      </c>
      <c r="Y10" s="463"/>
      <c r="Z10" s="463"/>
      <c r="AA10" s="463"/>
      <c r="AB10" s="463"/>
      <c r="AC10" s="15" t="s">
        <v>475</v>
      </c>
      <c r="AD10" s="15" t="s">
        <v>475</v>
      </c>
      <c r="AE10" s="9">
        <v>45108</v>
      </c>
      <c r="AF10" s="365">
        <v>46203</v>
      </c>
      <c r="AG10" s="15" t="s">
        <v>475</v>
      </c>
      <c r="AH10" s="9">
        <v>46203</v>
      </c>
      <c r="AI10" s="455"/>
      <c r="AJ10" s="234" t="s">
        <v>174</v>
      </c>
      <c r="AK10" s="234" t="s">
        <v>174</v>
      </c>
      <c r="AL10" s="16"/>
      <c r="AM10" s="2"/>
      <c r="AN10" s="454" t="s">
        <v>1663</v>
      </c>
      <c r="AO10" s="456" t="s">
        <v>234</v>
      </c>
      <c r="AP10" s="501" t="s">
        <v>2235</v>
      </c>
      <c r="AQ10" s="500"/>
    </row>
    <row r="11" spans="1:43" x14ac:dyDescent="0.25">
      <c r="A11" t="s">
        <v>42</v>
      </c>
      <c r="B11" t="s">
        <v>43</v>
      </c>
      <c r="C11" s="3" t="s">
        <v>16</v>
      </c>
      <c r="D11" s="179" t="s">
        <v>408</v>
      </c>
      <c r="E11" s="179" t="s">
        <v>25</v>
      </c>
      <c r="F11">
        <v>37410</v>
      </c>
      <c r="G11" t="s">
        <v>1664</v>
      </c>
      <c r="H11">
        <v>6405</v>
      </c>
      <c r="I11" t="s">
        <v>1665</v>
      </c>
      <c r="J11" t="s">
        <v>418</v>
      </c>
      <c r="K11" s="11" t="str">
        <f>IF(Table147[[#This Row],[Proprietary?
(Y/N)]]="Y","Proprietary",IF(Table147[[#This Row],[FY25 Budget]]&lt;Lookups!$F$3,"Single Quote",IF(Table147[[#This Row],[FY25 Budget]]&gt;Lookups!$G$3,"RFP","Three quotes")))</f>
        <v>Three quotes</v>
      </c>
      <c r="L11" s="11" t="s">
        <v>178</v>
      </c>
      <c r="M11" s="460">
        <v>1000079</v>
      </c>
      <c r="N11" s="9">
        <v>44595</v>
      </c>
      <c r="O11" s="9">
        <v>45838</v>
      </c>
      <c r="P11" s="11" t="s">
        <v>1666</v>
      </c>
      <c r="Q11" s="11"/>
      <c r="R11" s="461">
        <v>175671.1</v>
      </c>
      <c r="S11" s="461">
        <v>130757.4</v>
      </c>
      <c r="T11" s="462">
        <v>134680</v>
      </c>
      <c r="U11" s="462"/>
      <c r="V11" s="463">
        <v>138720</v>
      </c>
      <c r="W11" s="1">
        <v>152208</v>
      </c>
      <c r="X11" s="1">
        <f>Table147[[#This Row],[FY26 Budget]]-Table147[[#This Row],[FY26 Committed]]</f>
        <v>-13488</v>
      </c>
      <c r="Y11" s="463"/>
      <c r="Z11" s="463"/>
      <c r="AA11" s="463"/>
      <c r="AB11" s="463"/>
      <c r="AC11" s="15" t="s">
        <v>478</v>
      </c>
      <c r="AD11" s="15" t="s">
        <v>478</v>
      </c>
      <c r="AE11" s="9">
        <v>45839</v>
      </c>
      <c r="AF11" s="365">
        <v>46203</v>
      </c>
      <c r="AG11" s="15" t="s">
        <v>1667</v>
      </c>
      <c r="AH11" s="9">
        <v>46204</v>
      </c>
      <c r="AI11" s="384" t="s">
        <v>1656</v>
      </c>
      <c r="AJ11" s="234" t="s">
        <v>178</v>
      </c>
      <c r="AK11" s="234" t="s">
        <v>174</v>
      </c>
      <c r="AL11" s="16"/>
      <c r="AM11" s="2" t="s">
        <v>1656</v>
      </c>
      <c r="AN11" s="454"/>
      <c r="AO11" s="381" t="s">
        <v>234</v>
      </c>
      <c r="AP11" s="501" t="s">
        <v>2235</v>
      </c>
      <c r="AQ11" s="500"/>
    </row>
    <row r="12" spans="1:43" ht="18.75" customHeight="1" x14ac:dyDescent="0.25">
      <c r="A12" t="s">
        <v>1668</v>
      </c>
      <c r="B12" t="s">
        <v>1669</v>
      </c>
      <c r="C12" s="3" t="s">
        <v>38</v>
      </c>
      <c r="D12" s="179" t="s">
        <v>1641</v>
      </c>
      <c r="E12" s="179" t="s">
        <v>18</v>
      </c>
      <c r="F12">
        <v>37550</v>
      </c>
      <c r="G12" t="s">
        <v>87</v>
      </c>
      <c r="H12" s="416" t="s">
        <v>1670</v>
      </c>
      <c r="I12" t="s">
        <v>1643</v>
      </c>
      <c r="K12" s="11" t="str">
        <f>IF(Table147[[#This Row],[Proprietary?
(Y/N)]]="Y","Proprietary",IF(Table147[[#This Row],[FY25 Budget]]&lt;Lookups!$F$3,"Single Quote",IF(Table147[[#This Row],[FY25 Budget]]&gt;Lookups!$G$3,"RFP","Three quotes")))</f>
        <v>Proprietary</v>
      </c>
      <c r="L12" s="11" t="s">
        <v>178</v>
      </c>
      <c r="M12" s="460"/>
      <c r="N12" s="9"/>
      <c r="O12" s="9"/>
      <c r="P12" s="11"/>
      <c r="Q12" s="11"/>
      <c r="R12" s="461">
        <v>0</v>
      </c>
      <c r="S12" s="461">
        <v>0</v>
      </c>
      <c r="T12" s="462">
        <v>0</v>
      </c>
      <c r="U12" s="462">
        <v>0</v>
      </c>
      <c r="V12" s="463">
        <v>0</v>
      </c>
      <c r="W12" s="1">
        <v>64937.07</v>
      </c>
      <c r="X12" s="1">
        <f>Table147[[#This Row],[FY26 Budget]]-Table147[[#This Row],[FY26 Committed]]</f>
        <v>-64937.07</v>
      </c>
      <c r="Y12" s="463">
        <v>64937.07</v>
      </c>
      <c r="Z12" s="463"/>
      <c r="AA12" s="463"/>
      <c r="AB12" s="463"/>
      <c r="AC12" s="15" t="s">
        <v>234</v>
      </c>
      <c r="AD12" s="15" t="s">
        <v>234</v>
      </c>
      <c r="AE12" s="9">
        <v>45778</v>
      </c>
      <c r="AF12" s="365">
        <v>46904</v>
      </c>
      <c r="AG12" s="15" t="s">
        <v>1671</v>
      </c>
      <c r="AH12" s="9">
        <v>46844</v>
      </c>
      <c r="AI12" s="455" t="s">
        <v>1672</v>
      </c>
      <c r="AJ12" s="234"/>
      <c r="AK12" s="234"/>
      <c r="AL12" s="16"/>
      <c r="AM12" s="2"/>
      <c r="AN12" s="454" t="s">
        <v>1673</v>
      </c>
      <c r="AO12" s="456" t="s">
        <v>234</v>
      </c>
      <c r="AP12" s="501" t="s">
        <v>2235</v>
      </c>
      <c r="AQ12" s="500"/>
    </row>
    <row r="13" spans="1:43" x14ac:dyDescent="0.25">
      <c r="A13" t="s">
        <v>1674</v>
      </c>
      <c r="B13" t="s">
        <v>1675</v>
      </c>
      <c r="C13" s="3" t="s">
        <v>38</v>
      </c>
      <c r="D13" s="179" t="s">
        <v>1641</v>
      </c>
      <c r="E13" s="179" t="s">
        <v>18</v>
      </c>
      <c r="F13">
        <v>37560</v>
      </c>
      <c r="G13" t="s">
        <v>1676</v>
      </c>
      <c r="H13">
        <v>6405</v>
      </c>
      <c r="I13" t="s">
        <v>1677</v>
      </c>
      <c r="J13" t="s">
        <v>56</v>
      </c>
      <c r="K13" s="11" t="str">
        <f>IF(Table147[[#This Row],[Proprietary?
(Y/N)]]="Y","Proprietary",IF(Table147[[#This Row],[FY25 Budget]]&lt;Lookups!$F$3,"Single Quote",IF(Table147[[#This Row],[FY25 Budget]]&gt;Lookups!$G$3,"RFP","Three quotes")))</f>
        <v>Proprietary</v>
      </c>
      <c r="L13" s="11"/>
      <c r="M13" s="460">
        <v>1003785</v>
      </c>
      <c r="N13" s="9">
        <v>42794</v>
      </c>
      <c r="O13" s="9">
        <v>46568</v>
      </c>
      <c r="P13" s="11"/>
      <c r="Q13" s="11"/>
      <c r="R13" s="461"/>
      <c r="S13" s="461">
        <v>45100</v>
      </c>
      <c r="T13" s="462"/>
      <c r="U13" s="462">
        <v>12000</v>
      </c>
      <c r="V13" s="463">
        <v>0</v>
      </c>
      <c r="W13" s="1">
        <v>45000</v>
      </c>
      <c r="X13" s="1">
        <f>Table147[[#This Row],[FY26 Budget]]-Table147[[#This Row],[FY26 Committed]]</f>
        <v>-45000</v>
      </c>
      <c r="Y13" s="463">
        <v>45000</v>
      </c>
      <c r="Z13" s="463"/>
      <c r="AA13" s="463"/>
      <c r="AB13" s="463"/>
      <c r="AC13" s="15" t="s">
        <v>497</v>
      </c>
      <c r="AD13" s="15" t="s">
        <v>1678</v>
      </c>
      <c r="AE13" s="9">
        <v>45839</v>
      </c>
      <c r="AF13" s="365">
        <v>46203</v>
      </c>
      <c r="AG13" s="15" t="s">
        <v>1679</v>
      </c>
      <c r="AH13" s="9">
        <v>46204</v>
      </c>
      <c r="AI13" s="384"/>
      <c r="AJ13" s="234"/>
      <c r="AK13" s="234"/>
      <c r="AL13" s="16"/>
      <c r="AM13" s="2" t="s">
        <v>495</v>
      </c>
      <c r="AN13" s="454"/>
      <c r="AO13" s="381" t="s">
        <v>234</v>
      </c>
      <c r="AP13" s="501" t="s">
        <v>2235</v>
      </c>
      <c r="AQ13" s="500"/>
    </row>
    <row r="14" spans="1:43" x14ac:dyDescent="0.25">
      <c r="A14" t="s">
        <v>1680</v>
      </c>
      <c r="B14" t="s">
        <v>49</v>
      </c>
      <c r="C14" s="3" t="s">
        <v>38</v>
      </c>
      <c r="D14" s="179" t="s">
        <v>1641</v>
      </c>
      <c r="E14" s="179" t="s">
        <v>18</v>
      </c>
      <c r="F14">
        <v>37560</v>
      </c>
      <c r="G14" t="s">
        <v>1676</v>
      </c>
      <c r="H14">
        <v>6405</v>
      </c>
      <c r="I14" t="s">
        <v>56</v>
      </c>
      <c r="J14" t="s">
        <v>56</v>
      </c>
      <c r="K14" s="11" t="str">
        <f>IF(Table147[[#This Row],[Proprietary?
(Y/N)]]="Y","Proprietary",IF(Table147[[#This Row],[FY25 Budget]]&lt;Lookups!$F$3,"Single Quote",IF(Table147[[#This Row],[FY25 Budget]]&gt;Lookups!$G$3,"RFP","Three quotes")))</f>
        <v>Proprietary</v>
      </c>
      <c r="L14" s="11" t="s">
        <v>178</v>
      </c>
      <c r="M14" s="460">
        <v>1003785</v>
      </c>
      <c r="N14" s="9">
        <v>42794</v>
      </c>
      <c r="O14" s="9">
        <v>45838</v>
      </c>
      <c r="P14" s="11"/>
      <c r="Q14" s="11"/>
      <c r="R14" s="461">
        <v>139959.49</v>
      </c>
      <c r="S14" s="461">
        <v>139883</v>
      </c>
      <c r="T14" s="462">
        <v>144079</v>
      </c>
      <c r="U14" s="462">
        <v>167235</v>
      </c>
      <c r="V14" s="463">
        <v>177835</v>
      </c>
      <c r="W14" s="1">
        <v>171835</v>
      </c>
      <c r="X14" s="1">
        <f>Table147[[#This Row],[FY26 Budget]]-Table147[[#This Row],[FY26 Committed]]</f>
        <v>6000</v>
      </c>
      <c r="Y14" s="463">
        <v>166835</v>
      </c>
      <c r="Z14" s="463"/>
      <c r="AA14" s="463"/>
      <c r="AB14" s="463"/>
      <c r="AC14" s="15" t="s">
        <v>492</v>
      </c>
      <c r="AD14" s="15" t="s">
        <v>1681</v>
      </c>
      <c r="AE14" s="9">
        <v>45474</v>
      </c>
      <c r="AF14" s="365">
        <v>46568</v>
      </c>
      <c r="AG14" s="15" t="str">
        <f>Table147[[#This Row],[FY25 PO]]</f>
        <v>P25006264</v>
      </c>
      <c r="AH14" s="9">
        <v>46569</v>
      </c>
      <c r="AI14" s="455"/>
      <c r="AJ14" s="234" t="s">
        <v>178</v>
      </c>
      <c r="AK14" s="234" t="s">
        <v>174</v>
      </c>
      <c r="AL14" s="16"/>
      <c r="AM14" s="2" t="s">
        <v>495</v>
      </c>
      <c r="AN14" s="454"/>
      <c r="AO14" s="456" t="s">
        <v>1682</v>
      </c>
      <c r="AP14" s="501" t="s">
        <v>1092</v>
      </c>
      <c r="AQ14" s="500"/>
    </row>
    <row r="15" spans="1:43" x14ac:dyDescent="0.25">
      <c r="A15" t="s">
        <v>170</v>
      </c>
      <c r="B15" t="s">
        <v>171</v>
      </c>
      <c r="C15" s="3" t="s">
        <v>16</v>
      </c>
      <c r="D15" s="179" t="s">
        <v>24</v>
      </c>
      <c r="E15" s="179" t="s">
        <v>25</v>
      </c>
      <c r="F15">
        <v>37510</v>
      </c>
      <c r="G15" t="s">
        <v>26</v>
      </c>
      <c r="H15">
        <v>6405</v>
      </c>
      <c r="I15" t="s">
        <v>28</v>
      </c>
      <c r="J15" t="s">
        <v>56</v>
      </c>
      <c r="K15" s="11" t="str">
        <f>IF(Table147[[#This Row],[Proprietary?
(Y/N)]]="Y","Proprietary",IF(Table147[[#This Row],[FY25 Budget]]&lt;Lookups!$F$3,"Single Quote",IF(Table147[[#This Row],[FY25 Budget]]&gt;Lookups!$G$3,"RFP","Three quotes")))</f>
        <v>Single Quote</v>
      </c>
      <c r="L15" s="11" t="s">
        <v>174</v>
      </c>
      <c r="M15" s="460"/>
      <c r="N15" s="9"/>
      <c r="O15" s="9"/>
      <c r="P15" s="11"/>
      <c r="Q15" s="11"/>
      <c r="R15" s="461">
        <v>11457.720000000001</v>
      </c>
      <c r="S15" s="461">
        <v>11700</v>
      </c>
      <c r="T15" s="462">
        <v>12051</v>
      </c>
      <c r="U15" s="462">
        <v>14400</v>
      </c>
      <c r="V15" s="463">
        <v>13349</v>
      </c>
      <c r="W15" s="1"/>
      <c r="X15" s="1">
        <f>Table147[[#This Row],[FY26 Budget]]-Table147[[#This Row],[FY26 Committed]]</f>
        <v>13349</v>
      </c>
      <c r="Y15" s="463"/>
      <c r="Z15" s="463"/>
      <c r="AA15" s="463"/>
      <c r="AB15" s="463"/>
      <c r="AC15" s="15" t="s">
        <v>1683</v>
      </c>
      <c r="AD15" s="15" t="s">
        <v>1684</v>
      </c>
      <c r="AE15" s="9">
        <v>45682</v>
      </c>
      <c r="AF15" s="365">
        <v>46046</v>
      </c>
      <c r="AG15" s="15" t="str">
        <f>Table147[[#This Row],[FY25 PO]]</f>
        <v>P25032834</v>
      </c>
      <c r="AH15" s="9">
        <v>46054</v>
      </c>
      <c r="AI15" s="384"/>
      <c r="AJ15" s="234" t="s">
        <v>178</v>
      </c>
      <c r="AK15" s="234" t="s">
        <v>174</v>
      </c>
      <c r="AL15" s="16"/>
      <c r="AM15" s="2" t="s">
        <v>421</v>
      </c>
      <c r="AN15" s="454"/>
      <c r="AO15" s="381" t="s">
        <v>1685</v>
      </c>
      <c r="AP15" s="501" t="s">
        <v>1092</v>
      </c>
      <c r="AQ15" s="500">
        <v>400</v>
      </c>
    </row>
    <row r="16" spans="1:43" x14ac:dyDescent="0.25">
      <c r="A16" t="s">
        <v>52</v>
      </c>
      <c r="B16" t="s">
        <v>53</v>
      </c>
      <c r="C16" s="3" t="s">
        <v>16</v>
      </c>
      <c r="D16" s="179" t="s">
        <v>408</v>
      </c>
      <c r="E16" s="179" t="s">
        <v>25</v>
      </c>
      <c r="F16">
        <v>37530</v>
      </c>
      <c r="G16" t="s">
        <v>44</v>
      </c>
      <c r="H16">
        <v>6405</v>
      </c>
      <c r="I16" t="s">
        <v>1686</v>
      </c>
      <c r="J16" t="s">
        <v>1629</v>
      </c>
      <c r="K16" s="11" t="str">
        <f>IF(Table147[[#This Row],[Proprietary?
(Y/N)]]="Y","Proprietary",IF(Table147[[#This Row],[FY25 Budget]]&lt;Lookups!$F$3,"Single Quote",IF(Table147[[#This Row],[FY25 Budget]]&gt;Lookups!$G$3,"RFP","Three quotes")))</f>
        <v>Three quotes</v>
      </c>
      <c r="L16" s="11" t="s">
        <v>178</v>
      </c>
      <c r="M16" s="460">
        <v>107533</v>
      </c>
      <c r="N16" s="9">
        <v>42856</v>
      </c>
      <c r="O16" s="506">
        <v>45838</v>
      </c>
      <c r="P16" s="11" t="s">
        <v>1273</v>
      </c>
      <c r="Q16" s="11"/>
      <c r="R16" s="461">
        <v>37080</v>
      </c>
      <c r="S16" s="461">
        <v>40001.279999999999</v>
      </c>
      <c r="T16" s="462">
        <v>41201</v>
      </c>
      <c r="U16" s="462">
        <v>43812</v>
      </c>
      <c r="V16" s="463">
        <v>43710</v>
      </c>
      <c r="W16" s="1">
        <v>49000</v>
      </c>
      <c r="X16" s="1">
        <f>Table147[[#This Row],[FY26 Budget]]-Table147[[#This Row],[FY26 Committed]]</f>
        <v>-5290</v>
      </c>
      <c r="Y16" s="463"/>
      <c r="Z16" s="463"/>
      <c r="AA16" s="463"/>
      <c r="AB16" s="463"/>
      <c r="AC16" s="15" t="s">
        <v>506</v>
      </c>
      <c r="AD16" s="15" t="s">
        <v>1687</v>
      </c>
      <c r="AE16" s="9">
        <v>45931</v>
      </c>
      <c r="AF16" s="365">
        <v>46295</v>
      </c>
      <c r="AG16" s="15" t="s">
        <v>1688</v>
      </c>
      <c r="AH16" s="9">
        <v>46296</v>
      </c>
      <c r="AI16" s="455" t="s">
        <v>1656</v>
      </c>
      <c r="AJ16" s="234" t="s">
        <v>174</v>
      </c>
      <c r="AK16" s="234" t="s">
        <v>174</v>
      </c>
      <c r="AL16" s="16" t="s">
        <v>186</v>
      </c>
      <c r="AM16" s="2" t="s">
        <v>508</v>
      </c>
      <c r="AN16" s="454"/>
      <c r="AO16" s="456" t="s">
        <v>234</v>
      </c>
      <c r="AP16" s="501" t="s">
        <v>2235</v>
      </c>
      <c r="AQ16" s="500"/>
    </row>
    <row r="17" spans="1:43" x14ac:dyDescent="0.25">
      <c r="A17" t="s">
        <v>1689</v>
      </c>
      <c r="B17" t="s">
        <v>1690</v>
      </c>
      <c r="C17" s="3" t="s">
        <v>16</v>
      </c>
      <c r="D17" s="179" t="s">
        <v>408</v>
      </c>
      <c r="E17" s="179" t="s">
        <v>18</v>
      </c>
      <c r="F17">
        <v>37530</v>
      </c>
      <c r="G17" t="s">
        <v>44</v>
      </c>
      <c r="H17">
        <v>6405</v>
      </c>
      <c r="I17" t="s">
        <v>1686</v>
      </c>
      <c r="J17" t="s">
        <v>1629</v>
      </c>
      <c r="K17" s="11" t="s">
        <v>192</v>
      </c>
      <c r="L17" s="11"/>
      <c r="M17" s="460">
        <v>107533</v>
      </c>
      <c r="N17" s="9">
        <v>42856</v>
      </c>
      <c r="O17" s="9">
        <v>45838</v>
      </c>
      <c r="P17" s="11" t="s">
        <v>1273</v>
      </c>
      <c r="Q17" s="11"/>
      <c r="R17" s="461">
        <v>0</v>
      </c>
      <c r="S17" s="461">
        <v>0</v>
      </c>
      <c r="T17" s="462">
        <v>0</v>
      </c>
      <c r="U17" s="462">
        <v>26710</v>
      </c>
      <c r="V17" s="463">
        <v>0</v>
      </c>
      <c r="W17" s="1"/>
      <c r="X17" s="1">
        <f>Table147[[#This Row],[FY26 Budget]]-Table147[[#This Row],[FY26 Committed]]</f>
        <v>0</v>
      </c>
      <c r="Y17" s="463"/>
      <c r="Z17" s="463"/>
      <c r="AA17" s="463"/>
      <c r="AB17" s="463"/>
      <c r="AC17" s="15" t="s">
        <v>234</v>
      </c>
      <c r="AD17" s="15" t="s">
        <v>1691</v>
      </c>
      <c r="AE17" s="9">
        <v>45566</v>
      </c>
      <c r="AF17" s="365">
        <v>45930</v>
      </c>
      <c r="AG17" s="15"/>
      <c r="AH17" s="9">
        <v>45931</v>
      </c>
      <c r="AI17" s="455"/>
      <c r="AJ17" s="234" t="s">
        <v>174</v>
      </c>
      <c r="AK17" s="234" t="s">
        <v>174</v>
      </c>
      <c r="AL17" s="16" t="s">
        <v>186</v>
      </c>
      <c r="AM17" s="2" t="s">
        <v>1692</v>
      </c>
      <c r="AN17" s="454" t="s">
        <v>1693</v>
      </c>
      <c r="AO17" s="456" t="s">
        <v>234</v>
      </c>
      <c r="AP17" s="501" t="s">
        <v>2235</v>
      </c>
      <c r="AQ17" s="500"/>
    </row>
    <row r="18" spans="1:43" x14ac:dyDescent="0.25">
      <c r="A18" t="s">
        <v>509</v>
      </c>
      <c r="B18" t="s">
        <v>230</v>
      </c>
      <c r="C18" s="3" t="s">
        <v>16</v>
      </c>
      <c r="D18" s="179" t="s">
        <v>408</v>
      </c>
      <c r="E18" s="179" t="s">
        <v>18</v>
      </c>
      <c r="F18">
        <v>37100</v>
      </c>
      <c r="G18" t="s">
        <v>324</v>
      </c>
      <c r="H18">
        <v>6405</v>
      </c>
      <c r="I18" t="s">
        <v>452</v>
      </c>
      <c r="K18" s="11" t="str">
        <f>IF(Table147[[#This Row],[Proprietary?
(Y/N)]]="Y","Proprietary",IF(Table147[[#This Row],[FY25 Budget]]&lt;Lookups!$F$3,"Single Quote",IF(Table147[[#This Row],[FY25 Budget]]&gt;Lookups!$G$3,"RFP","Three quotes")))</f>
        <v>Three quotes</v>
      </c>
      <c r="L18" s="11" t="s">
        <v>178</v>
      </c>
      <c r="M18" s="460">
        <v>105064</v>
      </c>
      <c r="N18" s="9">
        <v>41351</v>
      </c>
      <c r="O18" s="414">
        <v>46203</v>
      </c>
      <c r="P18" s="11" t="s">
        <v>1273</v>
      </c>
      <c r="Q18" s="11"/>
      <c r="R18" s="461">
        <v>118450</v>
      </c>
      <c r="S18" s="461">
        <v>130000</v>
      </c>
      <c r="T18" s="462">
        <v>122004</v>
      </c>
      <c r="U18" s="462">
        <v>160000</v>
      </c>
      <c r="V18" s="463">
        <v>164800</v>
      </c>
      <c r="W18" s="1">
        <v>225000</v>
      </c>
      <c r="X18" s="1">
        <f>Table147[[#This Row],[FY26 Budget]]-Table147[[#This Row],[FY26 Committed]]</f>
        <v>-60200</v>
      </c>
      <c r="Y18" s="463"/>
      <c r="Z18" s="463"/>
      <c r="AA18" s="463"/>
      <c r="AB18" s="463"/>
      <c r="AC18" s="15" t="s">
        <v>511</v>
      </c>
      <c r="AD18" s="15" t="s">
        <v>1694</v>
      </c>
      <c r="AE18" s="9">
        <v>45839</v>
      </c>
      <c r="AF18" s="365">
        <v>46203</v>
      </c>
      <c r="AG18" s="15" t="s">
        <v>1695</v>
      </c>
      <c r="AH18" s="9">
        <v>46174</v>
      </c>
      <c r="AI18" s="491"/>
      <c r="AJ18" s="234" t="s">
        <v>174</v>
      </c>
      <c r="AK18" s="234" t="s">
        <v>174</v>
      </c>
      <c r="AL18" s="16" t="s">
        <v>186</v>
      </c>
      <c r="AM18" s="2" t="s">
        <v>513</v>
      </c>
      <c r="AN18" s="454"/>
      <c r="AO18" s="381" t="s">
        <v>234</v>
      </c>
      <c r="AP18" s="501" t="s">
        <v>2235</v>
      </c>
      <c r="AQ18" s="500"/>
    </row>
    <row r="19" spans="1:43" x14ac:dyDescent="0.25">
      <c r="A19" t="s">
        <v>1696</v>
      </c>
      <c r="B19" t="s">
        <v>519</v>
      </c>
      <c r="C19" s="3" t="s">
        <v>16</v>
      </c>
      <c r="D19" s="179" t="s">
        <v>74</v>
      </c>
      <c r="E19" s="179" t="s">
        <v>18</v>
      </c>
      <c r="F19">
        <v>37410</v>
      </c>
      <c r="G19" t="s">
        <v>416</v>
      </c>
      <c r="H19">
        <v>6405</v>
      </c>
      <c r="I19" t="s">
        <v>1662</v>
      </c>
      <c r="J19" t="s">
        <v>418</v>
      </c>
      <c r="K19" s="11" t="s">
        <v>515</v>
      </c>
      <c r="L19" s="11" t="s">
        <v>178</v>
      </c>
      <c r="M19" s="460">
        <v>1002116</v>
      </c>
      <c r="N19" s="9">
        <v>45092</v>
      </c>
      <c r="O19" s="9">
        <v>46187</v>
      </c>
      <c r="P19" s="11"/>
      <c r="Q19" s="11"/>
      <c r="R19" s="461">
        <v>130000</v>
      </c>
      <c r="S19" s="461">
        <v>130000</v>
      </c>
      <c r="T19" s="462">
        <v>200000</v>
      </c>
      <c r="U19" s="462"/>
      <c r="V19" s="463">
        <v>200000</v>
      </c>
      <c r="W19" s="1"/>
      <c r="X19" s="1">
        <f>Table147[[#This Row],[FY26 Budget]]-Table147[[#This Row],[FY26 Committed]]</f>
        <v>200000</v>
      </c>
      <c r="Y19" s="463"/>
      <c r="Z19" s="463"/>
      <c r="AA19" s="463"/>
      <c r="AB19" s="463"/>
      <c r="AC19" s="15" t="s">
        <v>520</v>
      </c>
      <c r="AD19" s="15" t="s">
        <v>520</v>
      </c>
      <c r="AE19" s="9">
        <v>45200</v>
      </c>
      <c r="AF19" s="365">
        <v>46023</v>
      </c>
      <c r="AG19" s="15"/>
      <c r="AH19" s="9">
        <v>46022</v>
      </c>
      <c r="AI19" s="455" t="s">
        <v>1697</v>
      </c>
      <c r="AJ19" s="234" t="s">
        <v>174</v>
      </c>
      <c r="AK19" s="234" t="s">
        <v>174</v>
      </c>
      <c r="AL19" s="16"/>
      <c r="AM19" s="2"/>
      <c r="AN19" s="454" t="s">
        <v>1698</v>
      </c>
      <c r="AO19" s="456" t="s">
        <v>234</v>
      </c>
      <c r="AP19" s="501" t="s">
        <v>2235</v>
      </c>
      <c r="AQ19" s="500"/>
    </row>
    <row r="20" spans="1:43" x14ac:dyDescent="0.25">
      <c r="A20" t="s">
        <v>1699</v>
      </c>
      <c r="B20" t="s">
        <v>522</v>
      </c>
      <c r="C20" s="3" t="s">
        <v>16</v>
      </c>
      <c r="D20" s="179" t="s">
        <v>408</v>
      </c>
      <c r="E20" s="179" t="s">
        <v>25</v>
      </c>
      <c r="F20">
        <v>37522</v>
      </c>
      <c r="G20" t="s">
        <v>1664</v>
      </c>
      <c r="H20">
        <v>6405</v>
      </c>
      <c r="I20" t="s">
        <v>1629</v>
      </c>
      <c r="K20" s="11" t="s">
        <v>515</v>
      </c>
      <c r="L20" s="11" t="s">
        <v>178</v>
      </c>
      <c r="M20" s="460">
        <v>1002116</v>
      </c>
      <c r="N20" s="9">
        <v>45092</v>
      </c>
      <c r="O20" s="9">
        <v>46187</v>
      </c>
      <c r="P20" s="11"/>
      <c r="Q20" s="11"/>
      <c r="R20" s="461">
        <v>28953.75</v>
      </c>
      <c r="S20" s="461">
        <v>40592</v>
      </c>
      <c r="T20" s="462">
        <v>40000</v>
      </c>
      <c r="U20" s="462">
        <v>40000</v>
      </c>
      <c r="V20" s="463">
        <v>40000</v>
      </c>
      <c r="W20" s="1">
        <v>47496</v>
      </c>
      <c r="X20" s="1">
        <f>Table147[[#This Row],[FY26 Budget]]-Table147[[#This Row],[FY26 Committed]]</f>
        <v>-7496</v>
      </c>
      <c r="Y20" s="463"/>
      <c r="Z20" s="463"/>
      <c r="AA20" s="463"/>
      <c r="AB20" s="463"/>
      <c r="AC20" s="15" t="s">
        <v>523</v>
      </c>
      <c r="AD20" s="15" t="s">
        <v>523</v>
      </c>
      <c r="AE20" s="9">
        <v>45839</v>
      </c>
      <c r="AF20" s="365">
        <v>46265</v>
      </c>
      <c r="AG20" s="15" t="s">
        <v>1700</v>
      </c>
      <c r="AH20" s="9">
        <v>46266</v>
      </c>
      <c r="AI20" s="384" t="s">
        <v>1656</v>
      </c>
      <c r="AJ20" s="234" t="s">
        <v>178</v>
      </c>
      <c r="AK20" s="234" t="s">
        <v>174</v>
      </c>
      <c r="AL20" s="16"/>
      <c r="AM20" s="2" t="s">
        <v>421</v>
      </c>
      <c r="AN20" s="454" t="s">
        <v>1701</v>
      </c>
      <c r="AO20" s="381" t="s">
        <v>1702</v>
      </c>
      <c r="AP20" s="501" t="s">
        <v>2235</v>
      </c>
      <c r="AQ20" s="500"/>
    </row>
    <row r="21" spans="1:43" x14ac:dyDescent="0.25">
      <c r="A21" t="s">
        <v>54</v>
      </c>
      <c r="B21" t="s">
        <v>55</v>
      </c>
      <c r="C21" s="3" t="s">
        <v>38</v>
      </c>
      <c r="D21" s="179" t="s">
        <v>1641</v>
      </c>
      <c r="E21" s="179" t="s">
        <v>18</v>
      </c>
      <c r="F21">
        <v>37561</v>
      </c>
      <c r="G21" t="s">
        <v>1703</v>
      </c>
      <c r="H21">
        <v>6405</v>
      </c>
      <c r="I21" t="s">
        <v>1704</v>
      </c>
      <c r="J21" t="s">
        <v>56</v>
      </c>
      <c r="K21" s="11" t="str">
        <f>IF(Table147[[#This Row],[Proprietary?
(Y/N)]]="Y","Proprietary",IF(Table147[[#This Row],[FY25 Budget]]&lt;Lookups!$F$3,"Single Quote",IF(Table147[[#This Row],[FY25 Budget]]&gt;Lookups!$G$3,"RFP","Three quotes")))</f>
        <v>Proprietary</v>
      </c>
      <c r="L21" s="11" t="s">
        <v>178</v>
      </c>
      <c r="M21" s="460">
        <v>1004908</v>
      </c>
      <c r="N21" s="9">
        <v>45839</v>
      </c>
      <c r="O21" s="9">
        <v>46569</v>
      </c>
      <c r="P21" s="11" t="s">
        <v>476</v>
      </c>
      <c r="Q21" s="11"/>
      <c r="R21" s="461">
        <v>42082</v>
      </c>
      <c r="S21" s="461">
        <v>28464</v>
      </c>
      <c r="T21" s="462">
        <v>58636</v>
      </c>
      <c r="U21" s="462">
        <v>23100</v>
      </c>
      <c r="V21" s="463">
        <v>24486</v>
      </c>
      <c r="W21" s="1">
        <v>23100</v>
      </c>
      <c r="X21" s="1">
        <f>Table147[[#This Row],[FY26 Budget]]-Table147[[#This Row],[FY26 Committed]]</f>
        <v>1386</v>
      </c>
      <c r="Y21" s="463"/>
      <c r="Z21" s="463"/>
      <c r="AA21" s="463"/>
      <c r="AB21" s="463"/>
      <c r="AC21" s="15" t="s">
        <v>525</v>
      </c>
      <c r="AD21" s="15" t="s">
        <v>1705</v>
      </c>
      <c r="AE21" s="9">
        <v>45839</v>
      </c>
      <c r="AF21" s="365">
        <v>46203</v>
      </c>
      <c r="AG21" s="15" t="s">
        <v>1706</v>
      </c>
      <c r="AH21" s="9">
        <v>46204</v>
      </c>
      <c r="AI21" s="455" t="s">
        <v>1707</v>
      </c>
      <c r="AJ21" s="234" t="s">
        <v>178</v>
      </c>
      <c r="AK21" s="234" t="s">
        <v>174</v>
      </c>
      <c r="AL21" s="16"/>
      <c r="AM21" s="2" t="s">
        <v>467</v>
      </c>
      <c r="AN21" s="454"/>
      <c r="AO21" s="456" t="s">
        <v>1657</v>
      </c>
      <c r="AP21" s="501" t="s">
        <v>2235</v>
      </c>
      <c r="AQ21" s="500"/>
    </row>
    <row r="22" spans="1:43" x14ac:dyDescent="0.25">
      <c r="A22" t="s">
        <v>57</v>
      </c>
      <c r="B22" t="s">
        <v>58</v>
      </c>
      <c r="C22" s="3" t="s">
        <v>38</v>
      </c>
      <c r="D22" s="179" t="s">
        <v>1641</v>
      </c>
      <c r="E22" s="179" t="s">
        <v>18</v>
      </c>
      <c r="F22">
        <v>37563</v>
      </c>
      <c r="G22" t="s">
        <v>1708</v>
      </c>
      <c r="H22">
        <v>6405</v>
      </c>
      <c r="I22" t="s">
        <v>1704</v>
      </c>
      <c r="J22" t="s">
        <v>56</v>
      </c>
      <c r="K22" s="11" t="str">
        <f>IF(Table147[[#This Row],[Proprietary?
(Y/N)]]="Y","Proprietary",IF(Table147[[#This Row],[FY25 Budget]]&lt;Lookups!$F$3,"Single Quote",IF(Table147[[#This Row],[FY25 Budget]]&gt;Lookups!$G$3,"RFP","Three quotes")))</f>
        <v>Proprietary</v>
      </c>
      <c r="L22" s="11" t="s">
        <v>174</v>
      </c>
      <c r="M22" s="460" t="s">
        <v>29</v>
      </c>
      <c r="N22" s="9"/>
      <c r="O22" s="9"/>
      <c r="P22" s="11"/>
      <c r="Q22" s="11"/>
      <c r="R22" s="461">
        <v>10090.1</v>
      </c>
      <c r="S22" s="461">
        <v>9430</v>
      </c>
      <c r="T22" s="462">
        <v>9713</v>
      </c>
      <c r="U22" s="462">
        <v>9820</v>
      </c>
      <c r="V22" s="463">
        <v>9820</v>
      </c>
      <c r="W22" s="1">
        <v>9820</v>
      </c>
      <c r="X22" s="1">
        <f>Table147[[#This Row],[FY26 Budget]]-Table147[[#This Row],[FY26 Committed]]</f>
        <v>0</v>
      </c>
      <c r="Y22" s="463">
        <v>9820</v>
      </c>
      <c r="Z22" s="463"/>
      <c r="AA22" s="463"/>
      <c r="AB22" s="463"/>
      <c r="AC22" s="15" t="s">
        <v>530</v>
      </c>
      <c r="AD22" s="15" t="s">
        <v>1709</v>
      </c>
      <c r="AE22" s="9">
        <v>45413</v>
      </c>
      <c r="AF22" s="365">
        <v>46507</v>
      </c>
      <c r="AG22" s="15" t="str">
        <f>Table147[[#This Row],[FY25 PO]]</f>
        <v>P24057936</v>
      </c>
      <c r="AH22" s="9">
        <v>46508</v>
      </c>
      <c r="AI22" s="384" t="s">
        <v>1710</v>
      </c>
      <c r="AJ22" s="234" t="s">
        <v>178</v>
      </c>
      <c r="AK22" s="234" t="s">
        <v>174</v>
      </c>
      <c r="AL22" s="16"/>
      <c r="AM22" s="2" t="s">
        <v>421</v>
      </c>
      <c r="AN22" s="454"/>
      <c r="AO22" s="381" t="s">
        <v>1711</v>
      </c>
      <c r="AP22" s="501" t="s">
        <v>1092</v>
      </c>
      <c r="AQ22" s="500">
        <v>9820</v>
      </c>
    </row>
    <row r="23" spans="1:43" x14ac:dyDescent="0.25">
      <c r="A23" t="s">
        <v>59</v>
      </c>
      <c r="B23" t="s">
        <v>60</v>
      </c>
      <c r="C23" s="3" t="s">
        <v>16</v>
      </c>
      <c r="D23" s="179" t="s">
        <v>408</v>
      </c>
      <c r="E23" s="179" t="s">
        <v>25</v>
      </c>
      <c r="F23">
        <v>37522</v>
      </c>
      <c r="G23" t="s">
        <v>1664</v>
      </c>
      <c r="H23">
        <v>6405</v>
      </c>
      <c r="I23" t="s">
        <v>1712</v>
      </c>
      <c r="J23" t="s">
        <v>1629</v>
      </c>
      <c r="K23" s="11" t="str">
        <f>IF(Table147[[#This Row],[Proprietary?
(Y/N)]]="Y","Proprietary",IF(Table147[[#This Row],[FY25 Budget]]&lt;Lookups!$F$3,"Single Quote",IF(Table147[[#This Row],[FY25 Budget]]&gt;Lookups!$G$3,"RFP","Three quotes")))</f>
        <v>Three quotes</v>
      </c>
      <c r="L23" s="11" t="s">
        <v>178</v>
      </c>
      <c r="M23" s="460">
        <v>1003214</v>
      </c>
      <c r="N23" s="9">
        <v>45352</v>
      </c>
      <c r="O23" s="9">
        <v>46446</v>
      </c>
      <c r="P23" s="11"/>
      <c r="Q23" s="11"/>
      <c r="R23" s="461">
        <v>321111.7</v>
      </c>
      <c r="S23" s="461">
        <v>230242.88</v>
      </c>
      <c r="T23" s="462">
        <v>237150</v>
      </c>
      <c r="U23" s="462">
        <v>381524.25</v>
      </c>
      <c r="V23" s="463">
        <v>414874</v>
      </c>
      <c r="W23" s="1">
        <v>414874.25</v>
      </c>
      <c r="X23" s="1">
        <f>Table147[[#This Row],[FY26 Budget]]-Table147[[#This Row],[FY26 Committed]]</f>
        <v>-0.25</v>
      </c>
      <c r="Y23" s="463"/>
      <c r="Z23" s="463"/>
      <c r="AA23" s="463"/>
      <c r="AB23" s="463"/>
      <c r="AC23" s="15"/>
      <c r="AD23" s="15" t="s">
        <v>1713</v>
      </c>
      <c r="AE23" s="9">
        <v>45383</v>
      </c>
      <c r="AF23" s="365">
        <v>46203</v>
      </c>
      <c r="AG23" s="15" t="s">
        <v>1713</v>
      </c>
      <c r="AH23" s="9">
        <v>46204</v>
      </c>
      <c r="AI23" s="455" t="s">
        <v>1714</v>
      </c>
      <c r="AJ23" s="234" t="s">
        <v>174</v>
      </c>
      <c r="AK23" s="234" t="s">
        <v>174</v>
      </c>
      <c r="AL23" s="16" t="s">
        <v>186</v>
      </c>
      <c r="AM23" s="2"/>
      <c r="AN23" s="454"/>
      <c r="AO23" s="456" t="s">
        <v>234</v>
      </c>
      <c r="AP23" s="501" t="s">
        <v>2235</v>
      </c>
      <c r="AQ23" s="500"/>
    </row>
    <row r="24" spans="1:43" x14ac:dyDescent="0.25">
      <c r="A24" t="s">
        <v>61</v>
      </c>
      <c r="B24" t="s">
        <v>62</v>
      </c>
      <c r="C24" s="3" t="s">
        <v>16</v>
      </c>
      <c r="D24" s="179" t="s">
        <v>24</v>
      </c>
      <c r="E24" s="179" t="s">
        <v>18</v>
      </c>
      <c r="F24">
        <v>37510</v>
      </c>
      <c r="G24" t="s">
        <v>26</v>
      </c>
      <c r="H24">
        <v>6405</v>
      </c>
      <c r="I24" t="s">
        <v>65</v>
      </c>
      <c r="K24" s="11" t="str">
        <f>IF(Table147[[#This Row],[Proprietary?
(Y/N)]]="Y","Proprietary",IF(Table147[[#This Row],[FY25 Budget]]&lt;Lookups!$F$3,"Single Quote",IF(Table147[[#This Row],[FY25 Budget]]&gt;Lookups!$G$3,"RFP","Three quotes")))</f>
        <v>Single Quote</v>
      </c>
      <c r="L24" s="11" t="s">
        <v>174</v>
      </c>
      <c r="M24" s="460" t="s">
        <v>29</v>
      </c>
      <c r="N24" s="9"/>
      <c r="O24" s="9"/>
      <c r="P24" s="11"/>
      <c r="Q24" s="11"/>
      <c r="R24" s="461">
        <v>0</v>
      </c>
      <c r="S24" s="461">
        <v>8474</v>
      </c>
      <c r="T24" s="462">
        <v>0</v>
      </c>
      <c r="U24" s="462">
        <v>13631</v>
      </c>
      <c r="V24" s="463">
        <v>14449</v>
      </c>
      <c r="W24" s="1">
        <v>12034.47</v>
      </c>
      <c r="X24" s="1">
        <f>Table147[[#This Row],[FY26 Budget]]-Table147[[#This Row],[FY26 Committed]]</f>
        <v>2414.5300000000007</v>
      </c>
      <c r="Y24" s="463"/>
      <c r="Z24" s="463"/>
      <c r="AA24" s="463"/>
      <c r="AB24" s="463"/>
      <c r="AC24" s="15" t="s">
        <v>536</v>
      </c>
      <c r="AD24" s="15" t="s">
        <v>1715</v>
      </c>
      <c r="AE24" s="9">
        <v>45870</v>
      </c>
      <c r="AF24" s="365">
        <v>46235</v>
      </c>
      <c r="AG24" s="15" t="s">
        <v>1716</v>
      </c>
      <c r="AH24" s="9">
        <v>46266</v>
      </c>
      <c r="AI24" s="384"/>
      <c r="AJ24" s="234" t="s">
        <v>178</v>
      </c>
      <c r="AK24" s="234" t="s">
        <v>174</v>
      </c>
      <c r="AL24" s="16"/>
      <c r="AM24" s="2" t="s">
        <v>421</v>
      </c>
      <c r="AN24" s="454"/>
      <c r="AO24" s="381" t="s">
        <v>1717</v>
      </c>
      <c r="AP24" s="501" t="s">
        <v>772</v>
      </c>
      <c r="AQ24" s="500">
        <v>12034.47</v>
      </c>
    </row>
    <row r="25" spans="1:43" x14ac:dyDescent="0.25">
      <c r="A25" t="s">
        <v>1718</v>
      </c>
      <c r="B25" t="s">
        <v>1719</v>
      </c>
      <c r="C25" s="3" t="s">
        <v>16</v>
      </c>
      <c r="D25" s="179" t="s">
        <v>1641</v>
      </c>
      <c r="E25" s="179" t="s">
        <v>18</v>
      </c>
      <c r="F25">
        <v>37550</v>
      </c>
      <c r="G25" t="s">
        <v>87</v>
      </c>
      <c r="H25">
        <v>6130</v>
      </c>
      <c r="I25" t="s">
        <v>1642</v>
      </c>
      <c r="J25" t="s">
        <v>1643</v>
      </c>
      <c r="K25" s="11" t="s">
        <v>173</v>
      </c>
      <c r="L25" s="11" t="s">
        <v>174</v>
      </c>
      <c r="M25" s="460" t="s">
        <v>29</v>
      </c>
      <c r="N25" s="9"/>
      <c r="O25" s="9"/>
      <c r="P25" s="11"/>
      <c r="Q25" s="11"/>
      <c r="R25" s="461">
        <v>0</v>
      </c>
      <c r="S25" s="461">
        <v>0</v>
      </c>
      <c r="T25" s="462">
        <v>0</v>
      </c>
      <c r="U25" s="462">
        <v>10935.08</v>
      </c>
      <c r="V25" s="463">
        <v>0</v>
      </c>
      <c r="W25" s="1"/>
      <c r="X25" s="1">
        <f>Table147[[#This Row],[FY26 Budget]]-Table147[[#This Row],[FY26 Committed]]</f>
        <v>0</v>
      </c>
      <c r="Y25" s="463"/>
      <c r="Z25" s="463"/>
      <c r="AA25" s="463"/>
      <c r="AB25" s="463"/>
      <c r="AC25" s="15" t="s">
        <v>234</v>
      </c>
      <c r="AD25" s="15" t="s">
        <v>1720</v>
      </c>
      <c r="AE25" s="9">
        <v>45474</v>
      </c>
      <c r="AF25" s="365">
        <v>45838</v>
      </c>
      <c r="AG25" s="15"/>
      <c r="AH25" s="9">
        <v>45839</v>
      </c>
      <c r="AI25" s="455" t="s">
        <v>1721</v>
      </c>
      <c r="AJ25" s="234"/>
      <c r="AK25" s="234"/>
      <c r="AL25" s="16"/>
      <c r="AM25" s="2"/>
      <c r="AN25" s="454" t="s">
        <v>1722</v>
      </c>
      <c r="AO25" s="453" t="s">
        <v>1723</v>
      </c>
      <c r="AP25" s="501" t="s">
        <v>2235</v>
      </c>
      <c r="AQ25" s="500"/>
    </row>
    <row r="26" spans="1:43" x14ac:dyDescent="0.25">
      <c r="A26" t="s">
        <v>1724</v>
      </c>
      <c r="B26" t="s">
        <v>706</v>
      </c>
      <c r="C26" s="3" t="s">
        <v>16</v>
      </c>
      <c r="D26" s="179" t="s">
        <v>1641</v>
      </c>
      <c r="E26" s="179" t="s">
        <v>18</v>
      </c>
      <c r="F26">
        <v>37550</v>
      </c>
      <c r="G26" t="s">
        <v>87</v>
      </c>
      <c r="H26">
        <v>6405</v>
      </c>
      <c r="I26" t="s">
        <v>1642</v>
      </c>
      <c r="J26" t="s">
        <v>1643</v>
      </c>
      <c r="K26" s="11" t="s">
        <v>173</v>
      </c>
      <c r="L26" s="11" t="s">
        <v>178</v>
      </c>
      <c r="M26" s="460"/>
      <c r="N26" s="9"/>
      <c r="O26" s="9"/>
      <c r="P26" s="11"/>
      <c r="Q26" s="11"/>
      <c r="R26" s="461">
        <v>0</v>
      </c>
      <c r="S26" s="461">
        <v>11145</v>
      </c>
      <c r="T26" s="462">
        <v>11145</v>
      </c>
      <c r="U26" s="462">
        <v>11145</v>
      </c>
      <c r="V26" s="463">
        <v>11145</v>
      </c>
      <c r="W26" s="1">
        <v>11145</v>
      </c>
      <c r="X26" s="1">
        <f>Table147[[#This Row],[FY26 Budget]]-Table147[[#This Row],[FY26 Committed]]</f>
        <v>0</v>
      </c>
      <c r="Y26" s="463">
        <v>11145</v>
      </c>
      <c r="Z26" s="463"/>
      <c r="AA26" s="463"/>
      <c r="AB26" s="463"/>
      <c r="AC26" s="15" t="s">
        <v>707</v>
      </c>
      <c r="AD26" s="15" t="s">
        <v>1725</v>
      </c>
      <c r="AE26" s="9">
        <v>44743</v>
      </c>
      <c r="AF26" s="365">
        <v>46568</v>
      </c>
      <c r="AG26" s="15" t="str">
        <f>Table147[[#This Row],[FY25 PO]]</f>
        <v>P25047659</v>
      </c>
      <c r="AH26" s="9">
        <v>46539</v>
      </c>
      <c r="AI26" s="384" t="s">
        <v>708</v>
      </c>
      <c r="AJ26" s="234" t="s">
        <v>178</v>
      </c>
      <c r="AK26" s="234" t="s">
        <v>174</v>
      </c>
      <c r="AL26" s="16"/>
      <c r="AM26" s="2" t="s">
        <v>461</v>
      </c>
      <c r="AN26" s="454" t="s">
        <v>1726</v>
      </c>
      <c r="AO26" s="381" t="s">
        <v>1727</v>
      </c>
      <c r="AP26" s="501" t="s">
        <v>2235</v>
      </c>
      <c r="AQ26" s="500"/>
    </row>
    <row r="27" spans="1:43" x14ac:dyDescent="0.25">
      <c r="A27" t="s">
        <v>66</v>
      </c>
      <c r="B27" t="s">
        <v>67</v>
      </c>
      <c r="C27" s="3" t="s">
        <v>38</v>
      </c>
      <c r="D27" s="179" t="s">
        <v>24</v>
      </c>
      <c r="E27" s="179" t="s">
        <v>18</v>
      </c>
      <c r="F27">
        <v>37510</v>
      </c>
      <c r="G27" t="s">
        <v>68</v>
      </c>
      <c r="H27">
        <v>6405</v>
      </c>
      <c r="I27" t="s">
        <v>65</v>
      </c>
      <c r="K27" s="11" t="str">
        <f>IF(Table147[[#This Row],[Proprietary?
(Y/N)]]="Y","Proprietary",IF(Table147[[#This Row],[FY25 Budget]]&lt;Lookups!$F$3,"Single Quote",IF(Table147[[#This Row],[FY25 Budget]]&gt;Lookups!$G$3,"RFP","Three quotes")))</f>
        <v>Proprietary</v>
      </c>
      <c r="L27" s="11" t="s">
        <v>174</v>
      </c>
      <c r="M27" s="460" t="s">
        <v>29</v>
      </c>
      <c r="N27" s="9"/>
      <c r="O27" s="9"/>
      <c r="P27" s="11"/>
      <c r="Q27" s="11"/>
      <c r="R27" s="461">
        <v>20229.2</v>
      </c>
      <c r="S27" s="461">
        <v>24640</v>
      </c>
      <c r="T27" s="462">
        <v>25379</v>
      </c>
      <c r="U27" s="462">
        <v>24640</v>
      </c>
      <c r="V27" s="463">
        <v>26925</v>
      </c>
      <c r="W27" s="1"/>
      <c r="X27" s="1">
        <f>Table147[[#This Row],[FY26 Budget]]-Table147[[#This Row],[FY26 Committed]]</f>
        <v>26925</v>
      </c>
      <c r="Y27" s="463"/>
      <c r="Z27" s="463"/>
      <c r="AA27" s="463"/>
      <c r="AB27" s="463"/>
      <c r="AC27" s="15" t="s">
        <v>544</v>
      </c>
      <c r="AD27" s="15" t="s">
        <v>1728</v>
      </c>
      <c r="AE27" s="9">
        <v>45597</v>
      </c>
      <c r="AF27" s="365">
        <v>45961</v>
      </c>
      <c r="AG27" s="15" t="s">
        <v>2237</v>
      </c>
      <c r="AH27" s="9">
        <v>45961</v>
      </c>
      <c r="AI27" s="455"/>
      <c r="AJ27" s="234" t="s">
        <v>178</v>
      </c>
      <c r="AK27" s="234" t="s">
        <v>174</v>
      </c>
      <c r="AL27" s="16"/>
      <c r="AM27" s="2" t="s">
        <v>421</v>
      </c>
      <c r="AN27" s="16" t="s">
        <v>1729</v>
      </c>
      <c r="AO27" s="456" t="s">
        <v>1730</v>
      </c>
      <c r="AP27" s="501" t="s">
        <v>2235</v>
      </c>
      <c r="AQ27" s="500"/>
    </row>
    <row r="28" spans="1:43" x14ac:dyDescent="0.25">
      <c r="A28" t="s">
        <v>1731</v>
      </c>
      <c r="B28" t="s">
        <v>242</v>
      </c>
      <c r="C28" s="3" t="s">
        <v>38</v>
      </c>
      <c r="D28" s="179" t="s">
        <v>1641</v>
      </c>
      <c r="E28" s="179" t="s">
        <v>18</v>
      </c>
      <c r="F28">
        <v>37550</v>
      </c>
      <c r="G28" t="s">
        <v>87</v>
      </c>
      <c r="H28">
        <v>6405</v>
      </c>
      <c r="I28" t="s">
        <v>1642</v>
      </c>
      <c r="J28" t="s">
        <v>1643</v>
      </c>
      <c r="K28" s="11" t="str">
        <f>IF(Table147[[#This Row],[Proprietary?
(Y/N)]]="Y","Proprietary",IF(Table147[[#This Row],[FY25 Budget]]&lt;Lookups!$F$3,"Single Quote",IF(Table147[[#This Row],[FY25 Budget]]&gt;Lookups!$G$3,"RFP","Three quotes")))</f>
        <v>Proprietary</v>
      </c>
      <c r="L28" s="11" t="s">
        <v>178</v>
      </c>
      <c r="M28" s="460" t="s">
        <v>29</v>
      </c>
      <c r="N28" s="9"/>
      <c r="O28" s="9"/>
      <c r="P28" s="11"/>
      <c r="Q28" s="11"/>
      <c r="R28" s="461">
        <v>9201</v>
      </c>
      <c r="S28" s="461">
        <v>9200.98</v>
      </c>
      <c r="T28" s="462">
        <v>11554</v>
      </c>
      <c r="U28" s="462">
        <v>9432.56</v>
      </c>
      <c r="V28" s="463">
        <v>11554</v>
      </c>
      <c r="W28" s="1">
        <v>11553.85</v>
      </c>
      <c r="X28" s="1">
        <f>Table147[[#This Row],[FY26 Budget]]-Table147[[#This Row],[FY26 Committed]]</f>
        <v>0.1499999999996362</v>
      </c>
      <c r="Y28" s="463">
        <v>9916.75</v>
      </c>
      <c r="Z28" s="463"/>
      <c r="AA28" s="463"/>
      <c r="AB28" s="463"/>
      <c r="AC28" s="15" t="s">
        <v>548</v>
      </c>
      <c r="AD28" s="15" t="s">
        <v>548</v>
      </c>
      <c r="AE28" s="9">
        <v>44743</v>
      </c>
      <c r="AF28" s="365">
        <v>46568</v>
      </c>
      <c r="AG28" s="15" t="str">
        <f>Table147[[#This Row],[FY25 PO]]</f>
        <v>P22057796</v>
      </c>
      <c r="AH28" s="9">
        <v>46569</v>
      </c>
      <c r="AI28" s="384" t="s">
        <v>549</v>
      </c>
      <c r="AJ28" s="234" t="s">
        <v>178</v>
      </c>
      <c r="AK28" s="234" t="s">
        <v>174</v>
      </c>
      <c r="AL28" s="16"/>
      <c r="AM28" s="2" t="s">
        <v>461</v>
      </c>
      <c r="AN28" s="454"/>
      <c r="AO28" s="381" t="s">
        <v>1732</v>
      </c>
      <c r="AP28" s="501" t="s">
        <v>2235</v>
      </c>
      <c r="AQ28" s="500"/>
    </row>
    <row r="29" spans="1:43" x14ac:dyDescent="0.25">
      <c r="A29" t="s">
        <v>69</v>
      </c>
      <c r="B29" t="s">
        <v>70</v>
      </c>
      <c r="C29" s="3" t="s">
        <v>38</v>
      </c>
      <c r="D29" s="179" t="s">
        <v>1641</v>
      </c>
      <c r="E29" s="179" t="s">
        <v>18</v>
      </c>
      <c r="F29">
        <v>37563</v>
      </c>
      <c r="G29" t="s">
        <v>1708</v>
      </c>
      <c r="H29">
        <v>6405</v>
      </c>
      <c r="I29" t="s">
        <v>1704</v>
      </c>
      <c r="J29" t="s">
        <v>56</v>
      </c>
      <c r="K29" s="11" t="str">
        <f>IF(Table147[[#This Row],[Proprietary?
(Y/N)]]="Y","Proprietary",IF(Table147[[#This Row],[FY25 Budget]]&lt;Lookups!$F$3,"Single Quote",IF(Table147[[#This Row],[FY25 Budget]]&gt;Lookups!$G$3,"RFP","Three quotes")))</f>
        <v>Proprietary</v>
      </c>
      <c r="L29" s="11" t="s">
        <v>178</v>
      </c>
      <c r="M29" s="460" t="s">
        <v>29</v>
      </c>
      <c r="N29" s="9">
        <v>45108</v>
      </c>
      <c r="O29" s="9">
        <v>46568</v>
      </c>
      <c r="P29" s="11"/>
      <c r="Q29" s="11"/>
      <c r="R29" s="461">
        <v>30306</v>
      </c>
      <c r="S29" s="461">
        <v>28323</v>
      </c>
      <c r="T29" s="462">
        <v>28323</v>
      </c>
      <c r="U29" s="462">
        <v>28323</v>
      </c>
      <c r="V29" s="463">
        <v>28323</v>
      </c>
      <c r="W29" s="1">
        <v>28323</v>
      </c>
      <c r="X29" s="1">
        <f>Table147[[#This Row],[FY26 Budget]]-Table147[[#This Row],[FY26 Committed]]</f>
        <v>0</v>
      </c>
      <c r="Y29" s="463">
        <v>28323</v>
      </c>
      <c r="Z29" s="463"/>
      <c r="AA29" s="463"/>
      <c r="AB29" s="463"/>
      <c r="AC29" s="15" t="s">
        <v>553</v>
      </c>
      <c r="AD29" s="15" t="s">
        <v>553</v>
      </c>
      <c r="AE29" s="9">
        <v>45108</v>
      </c>
      <c r="AF29" s="365">
        <v>46568</v>
      </c>
      <c r="AG29" s="15" t="str">
        <f>Table147[[#This Row],[FY25 PO]]</f>
        <v>P23062079</v>
      </c>
      <c r="AH29" s="9">
        <v>46569</v>
      </c>
      <c r="AI29" s="455"/>
      <c r="AJ29" s="234" t="s">
        <v>178</v>
      </c>
      <c r="AK29" s="234" t="s">
        <v>174</v>
      </c>
      <c r="AL29" s="16"/>
      <c r="AM29" s="2" t="s">
        <v>461</v>
      </c>
      <c r="AN29" s="454"/>
      <c r="AO29" s="456" t="s">
        <v>1733</v>
      </c>
      <c r="AP29" s="501" t="s">
        <v>1086</v>
      </c>
      <c r="AQ29" s="500">
        <v>7080.75</v>
      </c>
    </row>
    <row r="30" spans="1:43" x14ac:dyDescent="0.25">
      <c r="A30" t="s">
        <v>1734</v>
      </c>
      <c r="B30" t="s">
        <v>1735</v>
      </c>
      <c r="C30" s="3" t="s">
        <v>16</v>
      </c>
      <c r="D30" s="179" t="s">
        <v>24</v>
      </c>
      <c r="E30" s="179" t="s">
        <v>25</v>
      </c>
      <c r="F30">
        <v>37540</v>
      </c>
      <c r="G30" t="s">
        <v>32</v>
      </c>
      <c r="H30">
        <v>6405</v>
      </c>
      <c r="I30" t="s">
        <v>1628</v>
      </c>
      <c r="J30" t="s">
        <v>1629</v>
      </c>
      <c r="K30" s="11" t="str">
        <f>IF(Table147[[#This Row],[Proprietary?
(Y/N)]]="Y","Proprietary",IF(Table147[[#This Row],[FY25 Budget]]&lt;Lookups!$F$3,"Single Quote",IF(Table147[[#This Row],[FY25 Budget]]&gt;Lookups!$G$3,"RFP","Three quotes")))</f>
        <v>Single Quote</v>
      </c>
      <c r="L30" s="11" t="s">
        <v>174</v>
      </c>
      <c r="M30" s="460" t="s">
        <v>29</v>
      </c>
      <c r="N30" s="9"/>
      <c r="O30" s="9"/>
      <c r="P30" s="11"/>
      <c r="Q30" s="11"/>
      <c r="R30" s="461">
        <v>0</v>
      </c>
      <c r="S30" s="461">
        <v>0</v>
      </c>
      <c r="T30" s="462">
        <v>10300</v>
      </c>
      <c r="U30" s="462">
        <v>15000</v>
      </c>
      <c r="V30" s="463">
        <v>15450</v>
      </c>
      <c r="W30" s="1">
        <v>15000</v>
      </c>
      <c r="X30" s="1">
        <f>Table147[[#This Row],[FY26 Budget]]-Table147[[#This Row],[FY26 Committed]]</f>
        <v>450</v>
      </c>
      <c r="Y30" s="463"/>
      <c r="Z30" s="463"/>
      <c r="AA30" s="463"/>
      <c r="AB30" s="463"/>
      <c r="AC30" s="15" t="s">
        <v>234</v>
      </c>
      <c r="AD30" s="15" t="s">
        <v>1736</v>
      </c>
      <c r="AE30" s="9">
        <v>45931</v>
      </c>
      <c r="AF30" s="365">
        <v>46295</v>
      </c>
      <c r="AG30" s="15"/>
      <c r="AH30" s="9">
        <v>46296</v>
      </c>
      <c r="AI30" s="384"/>
      <c r="AJ30" s="234" t="s">
        <v>178</v>
      </c>
      <c r="AK30" s="234" t="s">
        <v>174</v>
      </c>
      <c r="AL30" s="16"/>
      <c r="AM30" s="2"/>
      <c r="AN30" s="454" t="s">
        <v>1737</v>
      </c>
      <c r="AO30" s="381" t="s">
        <v>234</v>
      </c>
      <c r="AP30" s="501" t="s">
        <v>2235</v>
      </c>
      <c r="AQ30" s="500"/>
    </row>
    <row r="31" spans="1:43" x14ac:dyDescent="0.25">
      <c r="A31" t="s">
        <v>71</v>
      </c>
      <c r="B31" t="s">
        <v>72</v>
      </c>
      <c r="C31" s="3" t="s">
        <v>16</v>
      </c>
      <c r="D31" s="179" t="s">
        <v>408</v>
      </c>
      <c r="E31" s="179" t="s">
        <v>18</v>
      </c>
      <c r="F31">
        <v>37530</v>
      </c>
      <c r="G31" t="s">
        <v>44</v>
      </c>
      <c r="H31">
        <v>6405</v>
      </c>
      <c r="I31" s="499" t="s">
        <v>1738</v>
      </c>
      <c r="K31" s="11" t="str">
        <f>IF(Table147[[#This Row],[Proprietary?
(Y/N)]]="Y","Proprietary",IF(Table147[[#This Row],[FY25 Budget]]&lt;Lookups!$F$3,"Single Quote",IF(Table147[[#This Row],[FY25 Budget]]&gt;Lookups!$G$3,"RFP","Three quotes")))</f>
        <v>Single Quote</v>
      </c>
      <c r="L31" s="11" t="s">
        <v>174</v>
      </c>
      <c r="M31" s="460" t="s">
        <v>29</v>
      </c>
      <c r="N31" s="9"/>
      <c r="O31" s="9"/>
      <c r="P31" s="11"/>
      <c r="Q31" s="11"/>
      <c r="R31" s="461">
        <v>10300</v>
      </c>
      <c r="S31" s="461">
        <v>17350</v>
      </c>
      <c r="T31" s="462">
        <v>10609</v>
      </c>
      <c r="U31" s="462">
        <v>18460</v>
      </c>
      <c r="V31" s="463">
        <v>17871</v>
      </c>
      <c r="W31" s="1"/>
      <c r="X31" s="1">
        <f>Table147[[#This Row],[FY26 Budget]]-Table147[[#This Row],[FY26 Committed]]</f>
        <v>17871</v>
      </c>
      <c r="Y31" s="463"/>
      <c r="Z31" s="463"/>
      <c r="AA31" s="463"/>
      <c r="AB31" s="463"/>
      <c r="AC31" s="15" t="s">
        <v>557</v>
      </c>
      <c r="AD31" s="15" t="s">
        <v>1739</v>
      </c>
      <c r="AE31" s="9">
        <v>45292</v>
      </c>
      <c r="AF31" s="365">
        <v>46022</v>
      </c>
      <c r="AG31" s="15"/>
      <c r="AH31" s="9">
        <v>46023</v>
      </c>
      <c r="AI31" s="455"/>
      <c r="AJ31" s="234" t="s">
        <v>174</v>
      </c>
      <c r="AK31" s="234" t="s">
        <v>174</v>
      </c>
      <c r="AL31" s="16"/>
      <c r="AM31" s="2" t="s">
        <v>443</v>
      </c>
      <c r="AN31" s="454"/>
      <c r="AO31" s="456" t="s">
        <v>1740</v>
      </c>
      <c r="AP31" s="501" t="s">
        <v>2235</v>
      </c>
      <c r="AQ31" s="500"/>
    </row>
    <row r="32" spans="1:43" x14ac:dyDescent="0.25">
      <c r="A32" t="s">
        <v>75</v>
      </c>
      <c r="B32" t="s">
        <v>1741</v>
      </c>
      <c r="C32" s="3" t="s">
        <v>16</v>
      </c>
      <c r="D32" s="179" t="s">
        <v>24</v>
      </c>
      <c r="E32" s="179" t="s">
        <v>2231</v>
      </c>
      <c r="F32">
        <v>37510</v>
      </c>
      <c r="G32" t="s">
        <v>26</v>
      </c>
      <c r="H32">
        <v>6405</v>
      </c>
      <c r="I32" t="s">
        <v>65</v>
      </c>
      <c r="K32" s="11" t="str">
        <f>IF(Table147[[#This Row],[Proprietary?
(Y/N)]]="Y","Proprietary",IF(Table147[[#This Row],[FY25 Budget]]&lt;Lookups!$F$3,"Single Quote",IF(Table147[[#This Row],[FY25 Budget]]&gt;Lookups!$G$3,"RFP","Three quotes")))</f>
        <v>Three quotes</v>
      </c>
      <c r="L32" s="11" t="s">
        <v>178</v>
      </c>
      <c r="M32" s="460">
        <v>1003890</v>
      </c>
      <c r="N32" s="9">
        <v>45474</v>
      </c>
      <c r="O32" s="9">
        <v>46568</v>
      </c>
      <c r="P32" s="11"/>
      <c r="Q32" s="11"/>
      <c r="R32" s="461">
        <v>90431.94</v>
      </c>
      <c r="S32" s="461">
        <v>98098</v>
      </c>
      <c r="T32" s="462">
        <v>101041</v>
      </c>
      <c r="U32" s="462">
        <v>119256</v>
      </c>
      <c r="V32" s="463">
        <v>39733</v>
      </c>
      <c r="W32" s="1">
        <v>39733</v>
      </c>
      <c r="X32" s="1">
        <f>Table147[[#This Row],[FY26 Budget]]-Table147[[#This Row],[FY26 Committed]]</f>
        <v>0</v>
      </c>
      <c r="Y32" s="463">
        <v>41203</v>
      </c>
      <c r="Z32" s="463"/>
      <c r="AA32" s="463"/>
      <c r="AB32" s="463"/>
      <c r="AC32" s="15" t="s">
        <v>559</v>
      </c>
      <c r="AD32" s="15" t="s">
        <v>1742</v>
      </c>
      <c r="AE32" s="9">
        <v>45474</v>
      </c>
      <c r="AF32" s="365">
        <v>46568</v>
      </c>
      <c r="AG32" s="15" t="str">
        <f>Table147[[#This Row],[FY25 PO]]</f>
        <v>P25011879</v>
      </c>
      <c r="AH32" s="9">
        <v>46569</v>
      </c>
      <c r="AI32" s="384" t="s">
        <v>1743</v>
      </c>
      <c r="AJ32" s="234" t="s">
        <v>178</v>
      </c>
      <c r="AK32" s="234" t="s">
        <v>178</v>
      </c>
      <c r="AL32" s="16"/>
      <c r="AM32" s="2" t="s">
        <v>563</v>
      </c>
      <c r="AN32" s="454" t="s">
        <v>1744</v>
      </c>
      <c r="AO32" s="381" t="s">
        <v>1745</v>
      </c>
      <c r="AP32" s="501" t="s">
        <v>2235</v>
      </c>
      <c r="AQ32" s="500"/>
    </row>
    <row r="33" spans="1:43" x14ac:dyDescent="0.25">
      <c r="A33" t="s">
        <v>1746</v>
      </c>
      <c r="B33" t="s">
        <v>1747</v>
      </c>
      <c r="C33" s="3" t="s">
        <v>38</v>
      </c>
      <c r="D33" s="179" t="s">
        <v>1641</v>
      </c>
      <c r="E33" s="179" t="s">
        <v>18</v>
      </c>
      <c r="F33">
        <v>37563</v>
      </c>
      <c r="G33" t="s">
        <v>1708</v>
      </c>
      <c r="H33">
        <v>6405</v>
      </c>
      <c r="I33" t="s">
        <v>1704</v>
      </c>
      <c r="J33" t="s">
        <v>56</v>
      </c>
      <c r="K33" s="11" t="s">
        <v>1748</v>
      </c>
      <c r="L33" s="11" t="s">
        <v>178</v>
      </c>
      <c r="M33" s="460">
        <v>1000652</v>
      </c>
      <c r="N33" s="9">
        <v>44835</v>
      </c>
      <c r="O33" s="9">
        <v>46660</v>
      </c>
      <c r="P33" s="11"/>
      <c r="Q33" s="11"/>
      <c r="R33" s="461">
        <v>0</v>
      </c>
      <c r="S33" s="461">
        <v>0</v>
      </c>
      <c r="T33" s="462">
        <v>0</v>
      </c>
      <c r="U33" s="462">
        <v>281203</v>
      </c>
      <c r="V33" s="463">
        <v>289639</v>
      </c>
      <c r="W33" s="1">
        <v>289639.56</v>
      </c>
      <c r="X33" s="1">
        <f>Table147[[#This Row],[FY26 Budget]]-Table147[[#This Row],[FY26 Committed]]</f>
        <v>-0.55999999999767169</v>
      </c>
      <c r="Y33" s="463"/>
      <c r="Z33" s="463"/>
      <c r="AA33" s="463"/>
      <c r="AB33" s="463"/>
      <c r="AC33" s="15" t="s">
        <v>1749</v>
      </c>
      <c r="AD33" s="15" t="s">
        <v>1750</v>
      </c>
      <c r="AE33" s="9">
        <v>45839</v>
      </c>
      <c r="AF33" s="365">
        <v>46203</v>
      </c>
      <c r="AG33" s="15" t="s">
        <v>1751</v>
      </c>
      <c r="AH33" s="9">
        <v>46204</v>
      </c>
      <c r="AI33" s="455"/>
      <c r="AJ33" s="234" t="s">
        <v>178</v>
      </c>
      <c r="AK33" s="234" t="s">
        <v>174</v>
      </c>
      <c r="AL33" s="16"/>
      <c r="AM33" s="2" t="s">
        <v>421</v>
      </c>
      <c r="AN33" s="454" t="s">
        <v>1752</v>
      </c>
      <c r="AO33" s="456" t="s">
        <v>1753</v>
      </c>
      <c r="AP33" s="501" t="s">
        <v>1092</v>
      </c>
      <c r="AQ33" s="500">
        <f>289639.45/12</f>
        <v>24136.620833333334</v>
      </c>
    </row>
    <row r="34" spans="1:43" x14ac:dyDescent="0.25">
      <c r="A34" t="s">
        <v>1754</v>
      </c>
      <c r="B34" t="s">
        <v>1755</v>
      </c>
      <c r="C34" s="3" t="s">
        <v>38</v>
      </c>
      <c r="D34" s="179" t="s">
        <v>1641</v>
      </c>
      <c r="E34" s="179" t="s">
        <v>18</v>
      </c>
      <c r="F34">
        <v>37550</v>
      </c>
      <c r="G34" t="s">
        <v>87</v>
      </c>
      <c r="H34">
        <v>6405</v>
      </c>
      <c r="I34" t="s">
        <v>1642</v>
      </c>
      <c r="J34" t="s">
        <v>1643</v>
      </c>
      <c r="K34" s="11" t="s">
        <v>1748</v>
      </c>
      <c r="L34" s="11" t="s">
        <v>178</v>
      </c>
      <c r="M34" s="460">
        <v>1000652</v>
      </c>
      <c r="N34" s="9">
        <v>44835</v>
      </c>
      <c r="O34" s="9">
        <v>46660</v>
      </c>
      <c r="P34" s="11"/>
      <c r="Q34" s="11"/>
      <c r="R34" s="461">
        <v>497000</v>
      </c>
      <c r="S34" s="461">
        <v>497761</v>
      </c>
      <c r="T34" s="462">
        <v>527627</v>
      </c>
      <c r="U34" s="462">
        <v>231490</v>
      </c>
      <c r="V34" s="463">
        <v>238435</v>
      </c>
      <c r="W34" s="1">
        <v>238435.15</v>
      </c>
      <c r="X34" s="1">
        <f>Table147[[#This Row],[FY26 Budget]]-Table147[[#This Row],[FY26 Committed]]</f>
        <v>-0.14999999999417923</v>
      </c>
      <c r="Y34" s="463"/>
      <c r="Z34" s="463"/>
      <c r="AA34" s="463"/>
      <c r="AB34" s="463"/>
      <c r="AC34" s="15" t="s">
        <v>656</v>
      </c>
      <c r="AD34" s="15" t="s">
        <v>1756</v>
      </c>
      <c r="AE34" s="9">
        <v>45839</v>
      </c>
      <c r="AF34" s="365">
        <v>46203</v>
      </c>
      <c r="AG34" s="15" t="s">
        <v>1757</v>
      </c>
      <c r="AH34" s="9">
        <v>46204</v>
      </c>
      <c r="AI34" s="384"/>
      <c r="AJ34" s="234" t="s">
        <v>178</v>
      </c>
      <c r="AK34" s="234" t="s">
        <v>174</v>
      </c>
      <c r="AL34" s="16"/>
      <c r="AM34" s="2" t="s">
        <v>421</v>
      </c>
      <c r="AN34" s="454"/>
      <c r="AO34" s="381" t="s">
        <v>1753</v>
      </c>
      <c r="AP34" s="501" t="s">
        <v>1092</v>
      </c>
      <c r="AQ34" s="500">
        <f>238435.15/12</f>
        <v>19869.595833333333</v>
      </c>
    </row>
    <row r="35" spans="1:43" ht="17.25" customHeight="1" x14ac:dyDescent="0.25">
      <c r="A35" t="s">
        <v>1758</v>
      </c>
      <c r="B35" t="s">
        <v>1759</v>
      </c>
      <c r="C35" s="3" t="s">
        <v>16</v>
      </c>
      <c r="D35" s="179" t="s">
        <v>24</v>
      </c>
      <c r="E35" s="179" t="s">
        <v>25</v>
      </c>
      <c r="F35">
        <v>37510</v>
      </c>
      <c r="G35" t="s">
        <v>26</v>
      </c>
      <c r="H35">
        <v>6405</v>
      </c>
      <c r="I35" t="s">
        <v>1760</v>
      </c>
      <c r="J35" t="s">
        <v>28</v>
      </c>
      <c r="K35" s="11" t="s">
        <v>1748</v>
      </c>
      <c r="L35" s="11" t="s">
        <v>178</v>
      </c>
      <c r="M35" s="460">
        <v>1003943</v>
      </c>
      <c r="N35" s="9"/>
      <c r="O35" s="9"/>
      <c r="P35" s="11"/>
      <c r="Q35" s="11"/>
      <c r="R35" s="461"/>
      <c r="S35" s="461"/>
      <c r="T35" s="462">
        <v>98484</v>
      </c>
      <c r="U35" s="462">
        <f>43262+15447.25+14453</f>
        <v>73162.25</v>
      </c>
      <c r="V35" s="463">
        <v>73162</v>
      </c>
      <c r="W35" s="1">
        <f>43262+15447.25+14453</f>
        <v>73162.25</v>
      </c>
      <c r="X35" s="1">
        <f>Table147[[#This Row],[FY26 Budget]]-Table147[[#This Row],[FY26 Committed]]</f>
        <v>-0.25</v>
      </c>
      <c r="Y35" s="463">
        <f>43262+15447.25+14453</f>
        <v>73162.25</v>
      </c>
      <c r="Z35" s="463"/>
      <c r="AA35" s="463"/>
      <c r="AB35" s="463"/>
      <c r="AC35" s="15" t="s">
        <v>234</v>
      </c>
      <c r="AD35" s="15" t="s">
        <v>1761</v>
      </c>
      <c r="AE35" s="9">
        <v>45627</v>
      </c>
      <c r="AF35" s="365">
        <v>46721</v>
      </c>
      <c r="AG35" s="15" t="str">
        <f>Table147[[#This Row],[FY25 PO]]</f>
        <v>P25014575</v>
      </c>
      <c r="AH35" s="9">
        <v>46722</v>
      </c>
      <c r="AI35" s="455" t="s">
        <v>1743</v>
      </c>
      <c r="AJ35" s="234" t="s">
        <v>178</v>
      </c>
      <c r="AK35" s="234" t="s">
        <v>174</v>
      </c>
      <c r="AL35" s="16"/>
      <c r="AM35" s="2"/>
      <c r="AN35" s="454" t="s">
        <v>1762</v>
      </c>
      <c r="AO35" s="453" t="s">
        <v>1723</v>
      </c>
      <c r="AP35" s="501" t="s">
        <v>2235</v>
      </c>
      <c r="AQ35" s="500"/>
    </row>
    <row r="36" spans="1:43" x14ac:dyDescent="0.25">
      <c r="A36" t="s">
        <v>564</v>
      </c>
      <c r="B36" t="s">
        <v>565</v>
      </c>
      <c r="C36" s="3" t="s">
        <v>38</v>
      </c>
      <c r="D36" s="179" t="s">
        <v>408</v>
      </c>
      <c r="E36" s="179" t="s">
        <v>25</v>
      </c>
      <c r="F36">
        <v>37200</v>
      </c>
      <c r="G36" t="s">
        <v>566</v>
      </c>
      <c r="H36">
        <v>6130</v>
      </c>
      <c r="I36" t="s">
        <v>1636</v>
      </c>
      <c r="J36" t="s">
        <v>567</v>
      </c>
      <c r="K36" s="11" t="str">
        <f>IF(Table147[[#This Row],[Proprietary?
(Y/N)]]="Y","Proprietary",IF(Table147[[#This Row],[FY25 Budget]]&lt;Lookups!$F$3,"Single Quote",IF(Table147[[#This Row],[FY25 Budget]]&gt;Lookups!$G$3,"RFP","Three quotes")))</f>
        <v>Proprietary</v>
      </c>
      <c r="L36" s="11" t="s">
        <v>178</v>
      </c>
      <c r="M36" s="460">
        <v>200019</v>
      </c>
      <c r="N36" s="9">
        <v>43374</v>
      </c>
      <c r="O36" s="9">
        <v>45910</v>
      </c>
      <c r="P36" s="11"/>
      <c r="Q36" s="11"/>
      <c r="R36" s="461">
        <v>274000</v>
      </c>
      <c r="S36" s="461">
        <v>273169.26</v>
      </c>
      <c r="T36" s="462">
        <v>307000</v>
      </c>
      <c r="U36" s="462">
        <v>307820</v>
      </c>
      <c r="V36" s="463">
        <v>382515</v>
      </c>
      <c r="W36" s="1"/>
      <c r="X36" s="1">
        <f>Table147[[#This Row],[FY26 Budget]]-Table147[[#This Row],[FY26 Committed]]</f>
        <v>382515</v>
      </c>
      <c r="Y36" s="463"/>
      <c r="Z36" s="463"/>
      <c r="AA36" s="463"/>
      <c r="AB36" s="463" t="s">
        <v>1763</v>
      </c>
      <c r="AC36" s="15" t="s">
        <v>569</v>
      </c>
      <c r="AD36" s="15" t="s">
        <v>1764</v>
      </c>
      <c r="AE36" s="9">
        <v>45546</v>
      </c>
      <c r="AF36" s="365">
        <v>46640</v>
      </c>
      <c r="AG36" s="15" t="str">
        <f>Table147[[#This Row],[FY25 PO]]</f>
        <v>P25012415</v>
      </c>
      <c r="AH36" s="9">
        <v>46641</v>
      </c>
      <c r="AI36" s="384" t="s">
        <v>570</v>
      </c>
      <c r="AJ36" s="234" t="s">
        <v>174</v>
      </c>
      <c r="AK36" s="234" t="s">
        <v>174</v>
      </c>
      <c r="AL36" s="16" t="s">
        <v>186</v>
      </c>
      <c r="AM36" s="2" t="s">
        <v>1765</v>
      </c>
      <c r="AN36" s="454"/>
      <c r="AO36" s="381" t="s">
        <v>234</v>
      </c>
      <c r="AP36" s="501" t="s">
        <v>772</v>
      </c>
      <c r="AQ36" s="500">
        <v>382514.5</v>
      </c>
    </row>
    <row r="37" spans="1:43" x14ac:dyDescent="0.25">
      <c r="A37" t="s">
        <v>1766</v>
      </c>
      <c r="B37" t="s">
        <v>79</v>
      </c>
      <c r="C37" s="3" t="s">
        <v>16</v>
      </c>
      <c r="D37" s="179" t="s">
        <v>24</v>
      </c>
      <c r="E37" s="179" t="s">
        <v>25</v>
      </c>
      <c r="F37">
        <v>37516</v>
      </c>
      <c r="G37" t="s">
        <v>32</v>
      </c>
      <c r="H37">
        <v>6405</v>
      </c>
      <c r="I37" t="s">
        <v>80</v>
      </c>
      <c r="J37" t="s">
        <v>56</v>
      </c>
      <c r="K37" s="11" t="s">
        <v>173</v>
      </c>
      <c r="L37" s="11" t="s">
        <v>178</v>
      </c>
      <c r="M37" s="460">
        <v>1001272</v>
      </c>
      <c r="N37" s="9">
        <v>43952</v>
      </c>
      <c r="O37" s="9">
        <v>45413</v>
      </c>
      <c r="P37" s="11" t="s">
        <v>1666</v>
      </c>
      <c r="Q37" s="11"/>
      <c r="R37" s="461">
        <v>16140</v>
      </c>
      <c r="S37" s="461">
        <v>16140</v>
      </c>
      <c r="T37" s="462">
        <v>16624</v>
      </c>
      <c r="U37" s="462">
        <v>32007</v>
      </c>
      <c r="V37" s="463">
        <v>32967</v>
      </c>
      <c r="W37" s="1">
        <v>35387</v>
      </c>
      <c r="X37" s="1">
        <f>Table147[[#This Row],[FY26 Budget]]-Table147[[#This Row],[FY26 Committed]]</f>
        <v>-2420</v>
      </c>
      <c r="Y37" s="463"/>
      <c r="Z37" s="463"/>
      <c r="AA37" s="463"/>
      <c r="AB37" s="463"/>
      <c r="AC37" s="15" t="s">
        <v>574</v>
      </c>
      <c r="AD37" s="15" t="s">
        <v>1767</v>
      </c>
      <c r="AE37" s="9">
        <v>45962</v>
      </c>
      <c r="AF37" s="365">
        <v>46326</v>
      </c>
      <c r="AG37" s="502" t="s">
        <v>2236</v>
      </c>
      <c r="AH37" s="9">
        <v>46327</v>
      </c>
      <c r="AI37" s="455"/>
      <c r="AJ37" s="234" t="s">
        <v>178</v>
      </c>
      <c r="AK37" s="234" t="s">
        <v>174</v>
      </c>
      <c r="AL37" s="16"/>
      <c r="AM37" s="2" t="s">
        <v>421</v>
      </c>
      <c r="AN37" s="454" t="s">
        <v>1768</v>
      </c>
      <c r="AO37" s="456" t="s">
        <v>1685</v>
      </c>
      <c r="AP37" s="501" t="s">
        <v>2235</v>
      </c>
      <c r="AQ37" s="500"/>
    </row>
    <row r="38" spans="1:43" x14ac:dyDescent="0.25">
      <c r="A38" t="s">
        <v>577</v>
      </c>
      <c r="B38" t="s">
        <v>578</v>
      </c>
      <c r="C38" s="3" t="s">
        <v>16</v>
      </c>
      <c r="D38" s="179" t="s">
        <v>1641</v>
      </c>
      <c r="E38" s="179" t="s">
        <v>18</v>
      </c>
      <c r="F38">
        <v>37550</v>
      </c>
      <c r="G38" t="s">
        <v>87</v>
      </c>
      <c r="H38">
        <v>6130</v>
      </c>
      <c r="I38" t="s">
        <v>1642</v>
      </c>
      <c r="J38" t="s">
        <v>1643</v>
      </c>
      <c r="K38" s="11" t="str">
        <f>IF(Table147[[#This Row],[Proprietary?
(Y/N)]]="Y","Proprietary",IF(Table147[[#This Row],[FY25 Budget]]&lt;Lookups!$F$3,"Single Quote",IF(Table147[[#This Row],[FY25 Budget]]&gt;Lookups!$G$3,"RFP","Three quotes")))</f>
        <v>Single Quote</v>
      </c>
      <c r="L38" s="11" t="s">
        <v>178</v>
      </c>
      <c r="M38" s="460"/>
      <c r="N38" s="9"/>
      <c r="O38" s="9"/>
      <c r="P38" s="11"/>
      <c r="Q38" s="11"/>
      <c r="R38" s="461">
        <v>0</v>
      </c>
      <c r="S38" s="461">
        <v>24700</v>
      </c>
      <c r="T38" s="462">
        <v>0</v>
      </c>
      <c r="U38" s="462">
        <v>6110</v>
      </c>
      <c r="V38" s="463">
        <v>13000</v>
      </c>
      <c r="W38" s="1">
        <v>19451.96</v>
      </c>
      <c r="X38" s="1">
        <f>Table147[[#This Row],[FY26 Budget]]-Table147[[#This Row],[FY26 Committed]]</f>
        <v>-6451.9599999999991</v>
      </c>
      <c r="Y38" s="463">
        <v>6293.3</v>
      </c>
      <c r="Z38" s="463">
        <v>6482.1</v>
      </c>
      <c r="AA38" s="463">
        <v>6676.56</v>
      </c>
      <c r="AB38" s="463"/>
      <c r="AC38" s="15" t="s">
        <v>579</v>
      </c>
      <c r="AD38" s="15" t="s">
        <v>1769</v>
      </c>
      <c r="AE38" s="9">
        <v>45799</v>
      </c>
      <c r="AF38" s="365">
        <v>46894</v>
      </c>
      <c r="AG38" s="15" t="s">
        <v>1770</v>
      </c>
      <c r="AH38" s="9">
        <v>46874</v>
      </c>
      <c r="AI38" s="384"/>
      <c r="AJ38" s="234"/>
      <c r="AK38" s="234" t="s">
        <v>174</v>
      </c>
      <c r="AL38" s="16"/>
      <c r="AM38" s="2" t="s">
        <v>471</v>
      </c>
      <c r="AN38" s="454" t="s">
        <v>1771</v>
      </c>
      <c r="AO38" s="381" t="s">
        <v>234</v>
      </c>
      <c r="AP38" s="501" t="s">
        <v>772</v>
      </c>
      <c r="AQ38" s="500">
        <v>6293.3</v>
      </c>
    </row>
    <row r="39" spans="1:43" x14ac:dyDescent="0.25">
      <c r="A39" t="s">
        <v>81</v>
      </c>
      <c r="B39" t="s">
        <v>1772</v>
      </c>
      <c r="C39" s="3" t="s">
        <v>16</v>
      </c>
      <c r="D39" s="179" t="s">
        <v>24</v>
      </c>
      <c r="E39" s="179" t="s">
        <v>25</v>
      </c>
      <c r="F39">
        <v>37510</v>
      </c>
      <c r="G39" t="s">
        <v>26</v>
      </c>
      <c r="H39">
        <v>6405</v>
      </c>
      <c r="I39" t="s">
        <v>65</v>
      </c>
      <c r="K39" s="11" t="str">
        <f>IF(Table147[[#This Row],[Proprietary?
(Y/N)]]="Y","Proprietary",IF(Table147[[#This Row],[FY25 Budget]]&lt;Lookups!$F$3,"Single Quote",IF(Table147[[#This Row],[FY25 Budget]]&gt;Lookups!$G$3,"RFP","Three quotes")))</f>
        <v>Three quotes</v>
      </c>
      <c r="L39" s="11" t="s">
        <v>178</v>
      </c>
      <c r="M39" s="460">
        <v>1003891</v>
      </c>
      <c r="N39" s="9">
        <v>45474</v>
      </c>
      <c r="O39" s="9">
        <v>46568</v>
      </c>
      <c r="P39" s="11"/>
      <c r="Q39" s="11"/>
      <c r="R39" s="461">
        <v>151023.75</v>
      </c>
      <c r="S39" s="461">
        <v>172500</v>
      </c>
      <c r="T39" s="462">
        <v>177675</v>
      </c>
      <c r="U39" s="462">
        <v>222750</v>
      </c>
      <c r="V39" s="463">
        <v>222500</v>
      </c>
      <c r="W39" s="1">
        <v>222500</v>
      </c>
      <c r="X39" s="1">
        <f>Table147[[#This Row],[FY26 Budget]]-Table147[[#This Row],[FY26 Committed]]</f>
        <v>0</v>
      </c>
      <c r="Y39" s="463">
        <v>229175</v>
      </c>
      <c r="Z39" s="463"/>
      <c r="AA39" s="463"/>
      <c r="AB39" s="463"/>
      <c r="AC39" s="15" t="s">
        <v>582</v>
      </c>
      <c r="AD39" s="15" t="s">
        <v>1773</v>
      </c>
      <c r="AE39" s="9">
        <v>45474</v>
      </c>
      <c r="AF39" s="365">
        <v>46568</v>
      </c>
      <c r="AG39" s="15" t="str">
        <f>Table147[[#This Row],[FY25 PO]]</f>
        <v>P25010101</v>
      </c>
      <c r="AH39" s="9">
        <v>46569</v>
      </c>
      <c r="AI39" s="455" t="s">
        <v>1743</v>
      </c>
      <c r="AJ39" s="234" t="s">
        <v>178</v>
      </c>
      <c r="AK39" s="234" t="s">
        <v>178</v>
      </c>
      <c r="AL39" s="16"/>
      <c r="AM39" s="2" t="s">
        <v>563</v>
      </c>
      <c r="AN39" s="454" t="s">
        <v>1744</v>
      </c>
      <c r="AO39" s="456" t="s">
        <v>1774</v>
      </c>
      <c r="AP39" s="501" t="s">
        <v>2235</v>
      </c>
      <c r="AQ39" s="500"/>
    </row>
    <row r="40" spans="1:43" x14ac:dyDescent="0.25">
      <c r="A40" t="s">
        <v>85</v>
      </c>
      <c r="B40" t="s">
        <v>86</v>
      </c>
      <c r="C40" s="3" t="s">
        <v>38</v>
      </c>
      <c r="D40" s="179" t="s">
        <v>1641</v>
      </c>
      <c r="E40" s="179" t="s">
        <v>18</v>
      </c>
      <c r="F40">
        <v>37550</v>
      </c>
      <c r="G40" t="s">
        <v>87</v>
      </c>
      <c r="H40">
        <v>6405</v>
      </c>
      <c r="I40" t="s">
        <v>1642</v>
      </c>
      <c r="J40" t="s">
        <v>1643</v>
      </c>
      <c r="K40" s="11" t="str">
        <f>IF(Table147[[#This Row],[Proprietary?
(Y/N)]]="Y","Proprietary",IF(Table147[[#This Row],[FY25 Budget]]&lt;Lookups!$F$3,"Single Quote",IF(Table147[[#This Row],[FY25 Budget]]&gt;Lookups!$G$3,"RFP","Three quotes")))</f>
        <v>Proprietary</v>
      </c>
      <c r="L40" s="11" t="s">
        <v>178</v>
      </c>
      <c r="M40" s="460">
        <v>1001875</v>
      </c>
      <c r="N40" s="9">
        <v>44378</v>
      </c>
      <c r="O40" s="9">
        <v>45838</v>
      </c>
      <c r="P40" s="11"/>
      <c r="Q40" s="11"/>
      <c r="R40" s="461">
        <v>36789</v>
      </c>
      <c r="S40" s="461">
        <v>35381</v>
      </c>
      <c r="T40" s="462">
        <v>36442</v>
      </c>
      <c r="U40" s="462">
        <v>38246</v>
      </c>
      <c r="V40" s="463">
        <v>39393</v>
      </c>
      <c r="W40" s="1">
        <v>38246</v>
      </c>
      <c r="X40" s="1">
        <f>Table147[[#This Row],[FY26 Budget]]-Table147[[#This Row],[FY26 Committed]]</f>
        <v>1147</v>
      </c>
      <c r="Y40" s="463"/>
      <c r="Z40" s="463"/>
      <c r="AA40" s="463"/>
      <c r="AB40" s="463"/>
      <c r="AC40" s="15" t="s">
        <v>586</v>
      </c>
      <c r="AD40" s="15" t="s">
        <v>1775</v>
      </c>
      <c r="AE40" s="9">
        <v>45839</v>
      </c>
      <c r="AF40" s="365">
        <v>46203</v>
      </c>
      <c r="AG40" s="15" t="s">
        <v>1776</v>
      </c>
      <c r="AH40" s="9">
        <v>46204</v>
      </c>
      <c r="AI40" s="384"/>
      <c r="AJ40" s="234" t="s">
        <v>178</v>
      </c>
      <c r="AK40" s="234" t="s">
        <v>174</v>
      </c>
      <c r="AL40" s="16"/>
      <c r="AM40" s="2" t="s">
        <v>588</v>
      </c>
      <c r="AN40" s="454" t="s">
        <v>1777</v>
      </c>
      <c r="AO40" s="381" t="s">
        <v>1778</v>
      </c>
      <c r="AP40" s="501" t="s">
        <v>2235</v>
      </c>
      <c r="AQ40" s="500"/>
    </row>
    <row r="41" spans="1:43" x14ac:dyDescent="0.25">
      <c r="A41" t="s">
        <v>1779</v>
      </c>
      <c r="B41" t="s">
        <v>1780</v>
      </c>
      <c r="D41" s="179" t="s">
        <v>74</v>
      </c>
      <c r="E41" s="179" t="s">
        <v>18</v>
      </c>
      <c r="F41">
        <v>37410</v>
      </c>
      <c r="G41" t="s">
        <v>416</v>
      </c>
      <c r="H41">
        <v>6405</v>
      </c>
      <c r="I41" t="s">
        <v>1662</v>
      </c>
      <c r="J41" t="s">
        <v>1781</v>
      </c>
      <c r="K41" s="11" t="str">
        <f>IF(Table147[[#This Row],[Proprietary?
(Y/N)]]="Y","Proprietary",IF(Table147[[#This Row],[FY25 Budget]]&lt;Lookups!$F$3,"Single Quote",IF(Table147[[#This Row],[FY25 Budget]]&gt;Lookups!$G$3,"RFP","Three quotes")))</f>
        <v>Single Quote</v>
      </c>
      <c r="L41" s="11" t="s">
        <v>174</v>
      </c>
      <c r="M41" s="460"/>
      <c r="N41" s="9"/>
      <c r="O41" s="9"/>
      <c r="P41" s="11"/>
      <c r="Q41" s="11"/>
      <c r="R41" s="461">
        <v>0</v>
      </c>
      <c r="S41" s="461">
        <v>0</v>
      </c>
      <c r="T41" s="462">
        <v>0</v>
      </c>
      <c r="U41" s="462">
        <v>3798</v>
      </c>
      <c r="V41" s="463">
        <v>0</v>
      </c>
      <c r="W41" s="1"/>
      <c r="X41" s="1">
        <f>Table147[[#This Row],[FY26 Budget]]-Table147[[#This Row],[FY26 Committed]]</f>
        <v>0</v>
      </c>
      <c r="Y41" s="463"/>
      <c r="Z41" s="463"/>
      <c r="AA41" s="463"/>
      <c r="AB41" s="463"/>
      <c r="AC41" s="15" t="s">
        <v>234</v>
      </c>
      <c r="AD41" s="15" t="s">
        <v>1782</v>
      </c>
      <c r="AE41" s="9">
        <v>45664</v>
      </c>
      <c r="AF41" s="365">
        <f>Table147[[#This Row],[PO Start]]+(365*3)</f>
        <v>46759</v>
      </c>
      <c r="AG41" s="15" t="s">
        <v>1782</v>
      </c>
      <c r="AH41" s="9">
        <v>46722</v>
      </c>
      <c r="AI41" s="455"/>
      <c r="AJ41" s="234" t="s">
        <v>174</v>
      </c>
      <c r="AK41" s="234"/>
      <c r="AL41" s="16"/>
      <c r="AM41" s="2"/>
      <c r="AN41" s="454" t="s">
        <v>1783</v>
      </c>
      <c r="AO41" s="456" t="s">
        <v>234</v>
      </c>
      <c r="AP41" s="501" t="s">
        <v>772</v>
      </c>
      <c r="AQ41" s="500">
        <v>3798</v>
      </c>
    </row>
    <row r="42" spans="1:43" x14ac:dyDescent="0.25">
      <c r="A42" t="s">
        <v>1784</v>
      </c>
      <c r="B42" t="s">
        <v>1785</v>
      </c>
      <c r="D42" s="179" t="s">
        <v>1641</v>
      </c>
      <c r="E42" s="490" t="s">
        <v>18</v>
      </c>
      <c r="F42">
        <v>37562</v>
      </c>
      <c r="G42" t="s">
        <v>1786</v>
      </c>
      <c r="H42">
        <v>6405</v>
      </c>
      <c r="I42" t="s">
        <v>1704</v>
      </c>
      <c r="J42" t="s">
        <v>56</v>
      </c>
      <c r="K42" s="11"/>
      <c r="L42" s="11" t="s">
        <v>178</v>
      </c>
      <c r="M42" s="492"/>
      <c r="N42" s="9"/>
      <c r="O42" s="9"/>
      <c r="P42" s="11"/>
      <c r="Q42" s="11"/>
      <c r="R42" s="475"/>
      <c r="S42" s="476"/>
      <c r="T42" s="493"/>
      <c r="U42" s="493"/>
      <c r="V42" s="1"/>
      <c r="W42" s="1">
        <v>22650.400000000001</v>
      </c>
      <c r="X42" s="1">
        <f>Table147[[#This Row],[FY26 Budget]]-Table147[[#This Row],[FY26 Committed]]</f>
        <v>-22650.400000000001</v>
      </c>
      <c r="Y42" s="494">
        <v>23511.119999999999</v>
      </c>
      <c r="Z42" s="494">
        <v>24404.54</v>
      </c>
      <c r="AA42" s="494"/>
      <c r="AB42" s="494"/>
      <c r="AC42" s="15" t="s">
        <v>234</v>
      </c>
      <c r="AD42" s="15" t="s">
        <v>234</v>
      </c>
      <c r="AE42" s="9">
        <v>45839</v>
      </c>
      <c r="AF42" s="489">
        <v>46934</v>
      </c>
      <c r="AG42" s="443"/>
      <c r="AH42" s="9">
        <v>46935</v>
      </c>
      <c r="AI42" s="495"/>
      <c r="AJ42" s="496" t="s">
        <v>174</v>
      </c>
      <c r="AK42" s="496"/>
      <c r="AL42" s="497"/>
      <c r="AM42" s="498"/>
      <c r="AN42" s="498"/>
      <c r="AO42" s="498"/>
      <c r="AP42" s="501"/>
      <c r="AQ42" s="500"/>
    </row>
    <row r="43" spans="1:43" x14ac:dyDescent="0.25">
      <c r="A43" t="s">
        <v>1787</v>
      </c>
      <c r="B43" t="s">
        <v>1788</v>
      </c>
      <c r="C43" s="3" t="s">
        <v>16</v>
      </c>
      <c r="D43" s="179" t="s">
        <v>74</v>
      </c>
      <c r="E43" s="179" t="s">
        <v>25</v>
      </c>
      <c r="F43">
        <v>37200</v>
      </c>
      <c r="G43" t="s">
        <v>1648</v>
      </c>
      <c r="H43">
        <v>6130</v>
      </c>
      <c r="I43" t="s">
        <v>1789</v>
      </c>
      <c r="J43" t="s">
        <v>1636</v>
      </c>
      <c r="K43" s="11" t="str">
        <f>IF(Table147[[#This Row],[Proprietary?
(Y/N)]]="Y","Proprietary",IF(Table147[[#This Row],[FY25 Budget]]&lt;Lookups!$F$3,"Single Quote",IF(Table147[[#This Row],[FY25 Budget]]&gt;Lookups!$G$3,"RFP","Three quotes")))</f>
        <v>Single Quote</v>
      </c>
      <c r="L43" s="11" t="s">
        <v>174</v>
      </c>
      <c r="M43" s="460"/>
      <c r="N43" s="9"/>
      <c r="O43" s="9"/>
      <c r="P43" s="11"/>
      <c r="Q43" s="11"/>
      <c r="R43" s="461">
        <v>0</v>
      </c>
      <c r="S43" s="461">
        <v>0</v>
      </c>
      <c r="T43" s="462">
        <v>0</v>
      </c>
      <c r="U43" s="462">
        <v>3263.98</v>
      </c>
      <c r="V43" s="463">
        <v>0</v>
      </c>
      <c r="W43" s="1"/>
      <c r="X43" s="1">
        <f>Table147[[#This Row],[FY26 Budget]]-Table147[[#This Row],[FY26 Committed]]</f>
        <v>0</v>
      </c>
      <c r="Y43" s="463"/>
      <c r="Z43" s="463"/>
      <c r="AA43" s="463"/>
      <c r="AB43" s="463"/>
      <c r="AC43" s="15" t="s">
        <v>234</v>
      </c>
      <c r="AD43" s="15" t="s">
        <v>1790</v>
      </c>
      <c r="AE43" s="9">
        <v>45618</v>
      </c>
      <c r="AF43" s="365">
        <v>45982</v>
      </c>
      <c r="AG43" s="15"/>
      <c r="AH43" s="9">
        <v>45962</v>
      </c>
      <c r="AI43" s="384"/>
      <c r="AJ43" s="234" t="s">
        <v>174</v>
      </c>
      <c r="AK43" s="234" t="s">
        <v>234</v>
      </c>
      <c r="AL43" s="16"/>
      <c r="AM43" s="2"/>
      <c r="AN43" s="454"/>
      <c r="AO43" s="381" t="s">
        <v>234</v>
      </c>
      <c r="AP43" s="501" t="s">
        <v>772</v>
      </c>
      <c r="AQ43" s="500">
        <v>3263.98</v>
      </c>
    </row>
    <row r="44" spans="1:43" x14ac:dyDescent="0.25">
      <c r="A44" t="s">
        <v>597</v>
      </c>
      <c r="B44" t="s">
        <v>598</v>
      </c>
      <c r="C44" s="3" t="s">
        <v>16</v>
      </c>
      <c r="D44" s="179" t="s">
        <v>408</v>
      </c>
      <c r="E44" s="179" t="s">
        <v>25</v>
      </c>
      <c r="F44">
        <v>37522</v>
      </c>
      <c r="G44" t="s">
        <v>44</v>
      </c>
      <c r="H44">
        <v>6405</v>
      </c>
      <c r="I44" t="s">
        <v>1686</v>
      </c>
      <c r="J44" t="s">
        <v>1629</v>
      </c>
      <c r="K44" s="11" t="str">
        <f>IF(Table147[[#This Row],[Proprietary?
(Y/N)]]="Y","Proprietary",IF(Table147[[#This Row],[FY25 Budget]]&lt;Lookups!$F$3,"Single Quote",IF(Table147[[#This Row],[FY25 Budget]]&gt;Lookups!$G$3,"RFP","Three quotes")))</f>
        <v>Single Quote</v>
      </c>
      <c r="L44" s="11" t="s">
        <v>174</v>
      </c>
      <c r="M44" s="460" t="s">
        <v>29</v>
      </c>
      <c r="N44" s="9"/>
      <c r="O44" s="9"/>
      <c r="P44" s="11"/>
      <c r="Q44" s="11"/>
      <c r="R44" s="461">
        <v>0</v>
      </c>
      <c r="S44" s="461">
        <v>22800</v>
      </c>
      <c r="T44" s="462">
        <v>0</v>
      </c>
      <c r="U44" s="462"/>
      <c r="V44" s="463">
        <v>23940</v>
      </c>
      <c r="W44" s="1"/>
      <c r="X44" s="1">
        <f>Table147[[#This Row],[FY26 Budget]]-Table147[[#This Row],[FY26 Committed]]</f>
        <v>23940</v>
      </c>
      <c r="Y44" s="463"/>
      <c r="Z44" s="463"/>
      <c r="AA44" s="463"/>
      <c r="AB44" s="463"/>
      <c r="AC44" s="15" t="s">
        <v>599</v>
      </c>
      <c r="AD44" s="15" t="s">
        <v>599</v>
      </c>
      <c r="AE44" s="9">
        <v>45108</v>
      </c>
      <c r="AF44" s="365">
        <v>45991</v>
      </c>
      <c r="AG44" s="15"/>
      <c r="AH44" s="9">
        <v>45992</v>
      </c>
      <c r="AI44" s="455" t="s">
        <v>1791</v>
      </c>
      <c r="AJ44" s="234" t="s">
        <v>178</v>
      </c>
      <c r="AK44" s="234" t="s">
        <v>174</v>
      </c>
      <c r="AL44" s="16"/>
      <c r="AM44" s="2" t="s">
        <v>421</v>
      </c>
      <c r="AN44" s="454"/>
      <c r="AO44" s="456" t="s">
        <v>234</v>
      </c>
      <c r="AP44" s="501" t="s">
        <v>2235</v>
      </c>
      <c r="AQ44" s="500"/>
    </row>
    <row r="45" spans="1:43" x14ac:dyDescent="0.25">
      <c r="A45" t="s">
        <v>606</v>
      </c>
      <c r="B45" t="s">
        <v>95</v>
      </c>
      <c r="C45" s="3" t="s">
        <v>16</v>
      </c>
      <c r="D45" s="179" t="s">
        <v>1641</v>
      </c>
      <c r="E45" s="179" t="s">
        <v>2231</v>
      </c>
      <c r="F45">
        <v>37562</v>
      </c>
      <c r="G45" t="s">
        <v>1786</v>
      </c>
      <c r="H45">
        <v>6405</v>
      </c>
      <c r="I45" t="s">
        <v>1704</v>
      </c>
      <c r="J45" t="s">
        <v>56</v>
      </c>
      <c r="K45" s="11" t="s">
        <v>1792</v>
      </c>
      <c r="L45" s="11" t="s">
        <v>178</v>
      </c>
      <c r="M45" s="460">
        <v>1001930</v>
      </c>
      <c r="N45" s="9">
        <v>45108</v>
      </c>
      <c r="O45" s="9">
        <v>46203</v>
      </c>
      <c r="P45" s="11"/>
      <c r="Q45" s="11"/>
      <c r="R45" s="461">
        <v>336705</v>
      </c>
      <c r="S45" s="461">
        <v>293950</v>
      </c>
      <c r="T45" s="462">
        <v>302769</v>
      </c>
      <c r="U45" s="462">
        <v>299750</v>
      </c>
      <c r="V45" s="463">
        <v>317735</v>
      </c>
      <c r="W45" s="1">
        <v>299061</v>
      </c>
      <c r="X45" s="1">
        <f>Table147[[#This Row],[FY26 Budget]]-Table147[[#This Row],[FY26 Committed]]</f>
        <v>18674</v>
      </c>
      <c r="Y45" s="463"/>
      <c r="Z45" s="463"/>
      <c r="AA45" s="463"/>
      <c r="AB45" s="463"/>
      <c r="AC45" s="15" t="s">
        <v>608</v>
      </c>
      <c r="AD45" s="15" t="s">
        <v>1793</v>
      </c>
      <c r="AE45" s="9">
        <v>45839</v>
      </c>
      <c r="AF45" s="365">
        <v>46203</v>
      </c>
      <c r="AG45" s="15" t="s">
        <v>1794</v>
      </c>
      <c r="AH45" s="9">
        <v>46204</v>
      </c>
      <c r="AI45" s="455"/>
      <c r="AJ45" s="234" t="s">
        <v>178</v>
      </c>
      <c r="AK45" s="234" t="s">
        <v>174</v>
      </c>
      <c r="AL45" s="16"/>
      <c r="AM45" s="2" t="s">
        <v>611</v>
      </c>
      <c r="AN45" s="454"/>
      <c r="AO45" s="456" t="s">
        <v>1795</v>
      </c>
      <c r="AP45" s="501" t="s">
        <v>2235</v>
      </c>
      <c r="AQ45" s="500"/>
    </row>
    <row r="46" spans="1:43" x14ac:dyDescent="0.25">
      <c r="A46" t="s">
        <v>612</v>
      </c>
      <c r="B46" t="s">
        <v>96</v>
      </c>
      <c r="C46" s="3" t="s">
        <v>16</v>
      </c>
      <c r="D46" s="179" t="s">
        <v>1641</v>
      </c>
      <c r="E46" s="179" t="s">
        <v>2231</v>
      </c>
      <c r="F46">
        <v>37562</v>
      </c>
      <c r="G46" t="s">
        <v>1786</v>
      </c>
      <c r="H46">
        <v>6405</v>
      </c>
      <c r="I46" t="s">
        <v>1704</v>
      </c>
      <c r="J46" t="s">
        <v>56</v>
      </c>
      <c r="K46" s="11" t="str">
        <f>IF(Table147[[#This Row],[Proprietary?
(Y/N)]]="Y","Proprietary",IF(Table147[[#This Row],[FY25 Budget]]&lt;Lookups!$F$3,"Single Quote",IF(Table147[[#This Row],[FY25 Budget]]&gt;Lookups!$G$3,"RFP","Three quotes")))</f>
        <v>Three quotes</v>
      </c>
      <c r="L46" s="11" t="s">
        <v>178</v>
      </c>
      <c r="M46" s="460">
        <v>1001930</v>
      </c>
      <c r="N46" s="9">
        <v>45108</v>
      </c>
      <c r="O46" s="9">
        <v>46203</v>
      </c>
      <c r="P46" s="11"/>
      <c r="Q46" s="11"/>
      <c r="R46" s="461">
        <v>53500</v>
      </c>
      <c r="S46" s="461">
        <v>50000</v>
      </c>
      <c r="T46" s="462">
        <v>50000</v>
      </c>
      <c r="U46" s="462">
        <v>53500</v>
      </c>
      <c r="V46" s="463">
        <v>56710</v>
      </c>
      <c r="W46" s="1">
        <v>53500</v>
      </c>
      <c r="X46" s="1">
        <f>Table147[[#This Row],[FY26 Budget]]-Table147[[#This Row],[FY26 Committed]]</f>
        <v>3210</v>
      </c>
      <c r="Y46" s="463"/>
      <c r="Z46" s="463"/>
      <c r="AA46" s="463"/>
      <c r="AB46" s="463"/>
      <c r="AC46" s="15" t="s">
        <v>614</v>
      </c>
      <c r="AD46" s="15" t="s">
        <v>1796</v>
      </c>
      <c r="AE46" s="9">
        <v>45839</v>
      </c>
      <c r="AF46" s="365">
        <v>46203</v>
      </c>
      <c r="AG46" s="15" t="s">
        <v>1797</v>
      </c>
      <c r="AH46" s="9">
        <v>46204</v>
      </c>
      <c r="AI46" s="384"/>
      <c r="AJ46" s="234" t="s">
        <v>178</v>
      </c>
      <c r="AK46" s="234" t="s">
        <v>174</v>
      </c>
      <c r="AL46" s="16"/>
      <c r="AM46" s="2" t="s">
        <v>611</v>
      </c>
      <c r="AN46" s="454"/>
      <c r="AO46" s="381" t="s">
        <v>1798</v>
      </c>
      <c r="AP46" s="501" t="s">
        <v>2235</v>
      </c>
      <c r="AQ46" s="500"/>
    </row>
    <row r="47" spans="1:43" x14ac:dyDescent="0.25">
      <c r="A47" t="s">
        <v>616</v>
      </c>
      <c r="B47" t="s">
        <v>263</v>
      </c>
      <c r="C47" s="3" t="s">
        <v>38</v>
      </c>
      <c r="D47" s="179" t="s">
        <v>1641</v>
      </c>
      <c r="E47" s="179" t="s">
        <v>18</v>
      </c>
      <c r="F47">
        <v>37563</v>
      </c>
      <c r="G47" t="s">
        <v>1708</v>
      </c>
      <c r="H47">
        <v>6405</v>
      </c>
      <c r="I47" t="s">
        <v>1704</v>
      </c>
      <c r="J47" t="s">
        <v>56</v>
      </c>
      <c r="K47" s="11" t="str">
        <f>IF(Table147[[#This Row],[Proprietary?
(Y/N)]]="Y","Proprietary",IF(Table147[[#This Row],[FY25 Budget]]&lt;Lookups!$F$3,"Single Quote",IF(Table147[[#This Row],[FY25 Budget]]&gt;Lookups!$G$3,"RFP","Three quotes")))</f>
        <v>Proprietary</v>
      </c>
      <c r="L47" s="11" t="s">
        <v>178</v>
      </c>
      <c r="M47" s="460" t="s">
        <v>29</v>
      </c>
      <c r="N47" s="9"/>
      <c r="O47" s="9"/>
      <c r="P47" s="11"/>
      <c r="Q47" s="11"/>
      <c r="R47" s="461">
        <v>44931</v>
      </c>
      <c r="S47" s="461">
        <v>48077</v>
      </c>
      <c r="T47" s="462">
        <v>39962</v>
      </c>
      <c r="U47" s="462">
        <v>56998</v>
      </c>
      <c r="V47" s="463">
        <v>66341</v>
      </c>
      <c r="W47" s="1">
        <v>66341</v>
      </c>
      <c r="X47" s="1">
        <f>Table147[[#This Row],[FY26 Budget]]-Table147[[#This Row],[FY26 Committed]]</f>
        <v>0</v>
      </c>
      <c r="Y47" s="463">
        <v>75693</v>
      </c>
      <c r="Z47" s="463"/>
      <c r="AA47" s="463"/>
      <c r="AB47" s="463"/>
      <c r="AC47" s="15" t="s">
        <v>617</v>
      </c>
      <c r="AD47" s="15" t="s">
        <v>1799</v>
      </c>
      <c r="AE47" s="9">
        <v>45474</v>
      </c>
      <c r="AF47" s="365">
        <v>46568</v>
      </c>
      <c r="AG47" s="15" t="str">
        <f>Table147[[#This Row],[FY25 PO]]</f>
        <v>P25004593</v>
      </c>
      <c r="AH47" s="9">
        <v>46569</v>
      </c>
      <c r="AI47" s="455"/>
      <c r="AJ47" s="234" t="s">
        <v>178</v>
      </c>
      <c r="AK47" s="234" t="s">
        <v>174</v>
      </c>
      <c r="AL47" s="16"/>
      <c r="AM47" s="2" t="s">
        <v>495</v>
      </c>
      <c r="AN47" s="454"/>
      <c r="AO47" s="456" t="s">
        <v>1800</v>
      </c>
      <c r="AP47" s="501" t="s">
        <v>772</v>
      </c>
      <c r="AQ47" s="500">
        <v>66341</v>
      </c>
    </row>
    <row r="48" spans="1:43" x14ac:dyDescent="0.25">
      <c r="A48" t="s">
        <v>265</v>
      </c>
      <c r="B48" t="s">
        <v>266</v>
      </c>
      <c r="C48" s="3" t="s">
        <v>38</v>
      </c>
      <c r="D48" s="179" t="s">
        <v>1641</v>
      </c>
      <c r="E48" s="179" t="s">
        <v>18</v>
      </c>
      <c r="F48">
        <v>37561</v>
      </c>
      <c r="G48" t="s">
        <v>1703</v>
      </c>
      <c r="H48">
        <v>6405</v>
      </c>
      <c r="I48" t="s">
        <v>1704</v>
      </c>
      <c r="J48" t="s">
        <v>56</v>
      </c>
      <c r="K48" s="11" t="str">
        <f>IF(Table147[[#This Row],[Proprietary?
(Y/N)]]="Y","Proprietary",IF(Table147[[#This Row],[FY25 Budget]]&lt;Lookups!$F$3,"Single Quote",IF(Table147[[#This Row],[FY25 Budget]]&gt;Lookups!$G$3,"RFP","Three quotes")))</f>
        <v>Proprietary</v>
      </c>
      <c r="L48" s="11" t="s">
        <v>178</v>
      </c>
      <c r="M48" s="460" t="s">
        <v>29</v>
      </c>
      <c r="N48" s="9"/>
      <c r="O48" s="9"/>
      <c r="P48" s="11"/>
      <c r="Q48" s="11"/>
      <c r="R48" s="461">
        <v>104382</v>
      </c>
      <c r="S48" s="461">
        <v>104382</v>
      </c>
      <c r="T48" s="462">
        <v>104382</v>
      </c>
      <c r="U48" s="462">
        <v>80902</v>
      </c>
      <c r="V48" s="463">
        <v>87367</v>
      </c>
      <c r="W48" s="1">
        <f>87367+29550</f>
        <v>116917</v>
      </c>
      <c r="X48" s="1">
        <f>Table147[[#This Row],[FY26 Budget]]-Table147[[#This Row],[FY26 Committed]]</f>
        <v>-29550</v>
      </c>
      <c r="Y48" s="463">
        <v>94357</v>
      </c>
      <c r="Z48" s="463"/>
      <c r="AA48" s="463"/>
      <c r="AB48" s="463"/>
      <c r="AC48" s="15" t="s">
        <v>620</v>
      </c>
      <c r="AD48" s="15" t="s">
        <v>1801</v>
      </c>
      <c r="AE48" s="9">
        <v>45474</v>
      </c>
      <c r="AF48" s="365">
        <v>46568</v>
      </c>
      <c r="AG48" s="15" t="str">
        <f>Table147[[#This Row],[FY25 PO]]</f>
        <v>P25004592</v>
      </c>
      <c r="AH48" s="9">
        <v>46569</v>
      </c>
      <c r="AI48" s="384"/>
      <c r="AJ48" s="234" t="s">
        <v>178</v>
      </c>
      <c r="AK48" s="234" t="s">
        <v>174</v>
      </c>
      <c r="AL48" s="16"/>
      <c r="AM48" s="2" t="s">
        <v>495</v>
      </c>
      <c r="AN48" s="454" t="s">
        <v>1802</v>
      </c>
      <c r="AO48" s="381" t="s">
        <v>1803</v>
      </c>
      <c r="AP48" s="501" t="s">
        <v>1086</v>
      </c>
      <c r="AQ48" s="500">
        <v>21841.75</v>
      </c>
    </row>
    <row r="49" spans="1:43" ht="13.5" customHeight="1" x14ac:dyDescent="0.25">
      <c r="A49" t="s">
        <v>97</v>
      </c>
      <c r="B49" t="s">
        <v>98</v>
      </c>
      <c r="C49" s="3" t="s">
        <v>16</v>
      </c>
      <c r="D49" s="179" t="s">
        <v>24</v>
      </c>
      <c r="E49" s="179" t="s">
        <v>18</v>
      </c>
      <c r="F49">
        <v>37540</v>
      </c>
      <c r="G49" t="s">
        <v>32</v>
      </c>
      <c r="H49">
        <v>6405</v>
      </c>
      <c r="I49" t="s">
        <v>1628</v>
      </c>
      <c r="J49" t="s">
        <v>1629</v>
      </c>
      <c r="K49" s="11" t="s">
        <v>173</v>
      </c>
      <c r="L49" s="11" t="s">
        <v>174</v>
      </c>
      <c r="M49" s="460" t="s">
        <v>29</v>
      </c>
      <c r="N49" s="9"/>
      <c r="O49" s="9"/>
      <c r="P49" s="11"/>
      <c r="Q49" s="11"/>
      <c r="R49" s="461">
        <v>11742</v>
      </c>
      <c r="S49" s="461">
        <v>13110</v>
      </c>
      <c r="T49" s="462">
        <v>13503</v>
      </c>
      <c r="U49" s="462">
        <v>15078</v>
      </c>
      <c r="V49" s="463">
        <v>15530</v>
      </c>
      <c r="W49" s="1">
        <v>16133.52</v>
      </c>
      <c r="X49" s="1">
        <f>Table147[[#This Row],[FY26 Budget]]-Table147[[#This Row],[FY26 Committed]]</f>
        <v>-603.52000000000044</v>
      </c>
      <c r="Y49" s="463"/>
      <c r="Z49" s="463"/>
      <c r="AA49" s="463"/>
      <c r="AB49" s="463"/>
      <c r="AC49" s="15" t="s">
        <v>623</v>
      </c>
      <c r="AD49" s="15" t="s">
        <v>1804</v>
      </c>
      <c r="AE49" s="9">
        <v>45839</v>
      </c>
      <c r="AF49" s="365">
        <v>46203</v>
      </c>
      <c r="AG49" s="15" t="s">
        <v>1805</v>
      </c>
      <c r="AH49" s="9">
        <v>46204</v>
      </c>
      <c r="AI49" s="455"/>
      <c r="AJ49" s="234" t="s">
        <v>178</v>
      </c>
      <c r="AK49" s="234" t="s">
        <v>174</v>
      </c>
      <c r="AL49" s="16"/>
      <c r="AM49" s="2" t="s">
        <v>421</v>
      </c>
      <c r="AN49" s="2" t="s">
        <v>2232</v>
      </c>
      <c r="AO49" s="456" t="s">
        <v>1806</v>
      </c>
      <c r="AP49" s="501" t="s">
        <v>2235</v>
      </c>
      <c r="AQ49" s="500"/>
    </row>
    <row r="50" spans="1:43" x14ac:dyDescent="0.25">
      <c r="A50" t="s">
        <v>894</v>
      </c>
      <c r="B50" t="s">
        <v>626</v>
      </c>
      <c r="C50" s="3" t="s">
        <v>38</v>
      </c>
      <c r="D50" s="179" t="s">
        <v>1641</v>
      </c>
      <c r="E50" s="179" t="s">
        <v>2231</v>
      </c>
      <c r="F50">
        <v>37564</v>
      </c>
      <c r="G50" t="s">
        <v>1807</v>
      </c>
      <c r="H50">
        <v>6235</v>
      </c>
      <c r="I50" t="s">
        <v>1704</v>
      </c>
      <c r="J50" t="s">
        <v>56</v>
      </c>
      <c r="K50" s="11" t="str">
        <f>IF(Table147[[#This Row],[Proprietary?
(Y/N)]]="Y","Proprietary",IF(Table147[[#This Row],[FY25 Budget]]&lt;Lookups!$F$3,"Single Quote",IF(Table147[[#This Row],[FY25 Budget]]&gt;Lookups!$G$3,"RFP","Three quotes")))</f>
        <v>Proprietary</v>
      </c>
      <c r="L50" s="11" t="s">
        <v>178</v>
      </c>
      <c r="M50" s="460">
        <v>1000292</v>
      </c>
      <c r="N50" s="9">
        <v>45108</v>
      </c>
      <c r="O50" s="9">
        <v>45473</v>
      </c>
      <c r="P50" s="11"/>
      <c r="Q50" s="11"/>
      <c r="R50" s="461">
        <v>0</v>
      </c>
      <c r="S50" s="461">
        <v>91000</v>
      </c>
      <c r="T50" s="462">
        <v>85000</v>
      </c>
      <c r="U50" s="462">
        <v>111384</v>
      </c>
      <c r="V50" s="463">
        <v>115000</v>
      </c>
      <c r="W50" s="1">
        <v>117000</v>
      </c>
      <c r="X50" s="1">
        <f>Table147[[#This Row],[FY26 Budget]]-Table147[[#This Row],[FY26 Committed]]</f>
        <v>-2000</v>
      </c>
      <c r="Y50" s="463"/>
      <c r="Z50" s="463"/>
      <c r="AA50" s="463"/>
      <c r="AB50" s="463"/>
      <c r="AC50" s="15" t="s">
        <v>627</v>
      </c>
      <c r="AD50" s="15" t="s">
        <v>1808</v>
      </c>
      <c r="AE50" s="9">
        <v>45839</v>
      </c>
      <c r="AF50" s="365">
        <v>46203</v>
      </c>
      <c r="AG50" s="15" t="s">
        <v>1809</v>
      </c>
      <c r="AH50" s="9">
        <v>45839</v>
      </c>
      <c r="AI50" s="384" t="s">
        <v>1810</v>
      </c>
      <c r="AJ50" s="234" t="s">
        <v>178</v>
      </c>
      <c r="AK50" s="234" t="s">
        <v>174</v>
      </c>
      <c r="AL50" s="16" t="s">
        <v>186</v>
      </c>
      <c r="AM50" s="2" t="s">
        <v>1811</v>
      </c>
      <c r="AN50" s="454"/>
      <c r="AO50" s="456" t="s">
        <v>1812</v>
      </c>
      <c r="AP50" s="501" t="s">
        <v>1092</v>
      </c>
      <c r="AQ50" s="500">
        <v>10247</v>
      </c>
    </row>
    <row r="51" spans="1:43" x14ac:dyDescent="0.25">
      <c r="A51" t="s">
        <v>1813</v>
      </c>
      <c r="B51" t="s">
        <v>1814</v>
      </c>
      <c r="C51" s="3" t="s">
        <v>38</v>
      </c>
      <c r="D51" s="179" t="s">
        <v>1641</v>
      </c>
      <c r="E51" s="179" t="s">
        <v>2231</v>
      </c>
      <c r="F51">
        <v>37564</v>
      </c>
      <c r="G51" t="s">
        <v>1807</v>
      </c>
      <c r="H51">
        <v>6235</v>
      </c>
      <c r="I51" t="s">
        <v>1704</v>
      </c>
      <c r="J51" t="s">
        <v>56</v>
      </c>
      <c r="K51" s="11" t="str">
        <f>IF(Table147[[#This Row],[Proprietary?
(Y/N)]]="Y","Proprietary",IF(Table147[[#This Row],[FY25 Budget]]&lt;Lookups!$F$3,"Single Quote",IF(Table147[[#This Row],[FY25 Budget]]&gt;Lookups!$G$3,"RFP","Three quotes")))</f>
        <v>Proprietary</v>
      </c>
      <c r="L51" s="11" t="s">
        <v>174</v>
      </c>
      <c r="M51" s="460">
        <v>1000292</v>
      </c>
      <c r="N51" s="9">
        <v>45108</v>
      </c>
      <c r="O51" s="9">
        <v>45473</v>
      </c>
      <c r="P51" s="11"/>
      <c r="Q51" s="11"/>
      <c r="R51" s="461">
        <v>0</v>
      </c>
      <c r="S51" s="461">
        <v>0</v>
      </c>
      <c r="T51" s="462">
        <v>0</v>
      </c>
      <c r="U51" s="462">
        <v>5000</v>
      </c>
      <c r="V51" s="463">
        <v>0</v>
      </c>
      <c r="W51" s="1">
        <v>5000</v>
      </c>
      <c r="X51" s="1">
        <f>Table147[[#This Row],[FY26 Budget]]-Table147[[#This Row],[FY26 Committed]]</f>
        <v>-5000</v>
      </c>
      <c r="Y51" s="463"/>
      <c r="Z51" s="463"/>
      <c r="AA51" s="463"/>
      <c r="AB51" s="463"/>
      <c r="AC51" s="15" t="s">
        <v>234</v>
      </c>
      <c r="AD51" s="15" t="s">
        <v>1815</v>
      </c>
      <c r="AE51" s="9">
        <v>45474</v>
      </c>
      <c r="AF51" s="365">
        <v>46203</v>
      </c>
      <c r="AG51" s="15" t="str">
        <f>Table147[[#This Row],[FY25 PO]]</f>
        <v>P25026236</v>
      </c>
      <c r="AH51" s="9">
        <v>45839</v>
      </c>
      <c r="AI51" s="455"/>
      <c r="AJ51" s="234" t="s">
        <v>174</v>
      </c>
      <c r="AK51" s="234" t="s">
        <v>174</v>
      </c>
      <c r="AL51" s="16" t="s">
        <v>186</v>
      </c>
      <c r="AM51" s="2"/>
      <c r="AN51" s="454" t="s">
        <v>1816</v>
      </c>
      <c r="AO51" s="456" t="s">
        <v>234</v>
      </c>
      <c r="AP51" s="501" t="s">
        <v>2235</v>
      </c>
      <c r="AQ51" s="500"/>
    </row>
    <row r="52" spans="1:43" x14ac:dyDescent="0.25">
      <c r="A52" t="s">
        <v>637</v>
      </c>
      <c r="B52" t="s">
        <v>125</v>
      </c>
      <c r="C52" s="3" t="s">
        <v>16</v>
      </c>
      <c r="D52" s="179" t="s">
        <v>24</v>
      </c>
      <c r="E52" s="179" t="s">
        <v>25</v>
      </c>
      <c r="F52">
        <v>37540</v>
      </c>
      <c r="G52" t="s">
        <v>32</v>
      </c>
      <c r="H52">
        <v>6405</v>
      </c>
      <c r="I52" t="s">
        <v>80</v>
      </c>
      <c r="J52" t="s">
        <v>56</v>
      </c>
      <c r="K52" s="11" t="s">
        <v>173</v>
      </c>
      <c r="L52" s="11" t="s">
        <v>178</v>
      </c>
      <c r="M52" s="460"/>
      <c r="N52" s="9"/>
      <c r="O52" s="9"/>
      <c r="P52" s="11"/>
      <c r="Q52" s="11"/>
      <c r="R52" s="461">
        <v>34236</v>
      </c>
      <c r="S52" s="461">
        <v>29170</v>
      </c>
      <c r="T52" s="462">
        <v>30045</v>
      </c>
      <c r="U52" s="462">
        <v>25825</v>
      </c>
      <c r="V52" s="463">
        <v>26600</v>
      </c>
      <c r="W52" s="1">
        <v>19875</v>
      </c>
      <c r="X52" s="1">
        <f>Table147[[#This Row],[FY26 Budget]]-Table147[[#This Row],[FY26 Committed]]</f>
        <v>6725</v>
      </c>
      <c r="Y52" s="463"/>
      <c r="Z52" s="463"/>
      <c r="AA52" s="463"/>
      <c r="AB52" s="463"/>
      <c r="AC52" s="15" t="s">
        <v>640</v>
      </c>
      <c r="AD52" s="15" t="s">
        <v>1817</v>
      </c>
      <c r="AE52" s="9">
        <v>45839</v>
      </c>
      <c r="AF52" s="365">
        <v>46203</v>
      </c>
      <c r="AG52" s="15" t="s">
        <v>1818</v>
      </c>
      <c r="AH52" s="9">
        <v>46204</v>
      </c>
      <c r="AI52" s="455"/>
      <c r="AJ52" s="234" t="s">
        <v>178</v>
      </c>
      <c r="AK52" s="234" t="s">
        <v>174</v>
      </c>
      <c r="AL52" s="16"/>
      <c r="AM52" s="2" t="s">
        <v>467</v>
      </c>
      <c r="AN52" s="454" t="s">
        <v>1819</v>
      </c>
      <c r="AO52" s="456" t="s">
        <v>1820</v>
      </c>
      <c r="AP52" s="501" t="s">
        <v>2235</v>
      </c>
      <c r="AQ52" s="500"/>
    </row>
    <row r="53" spans="1:43" s="385" customFormat="1" x14ac:dyDescent="0.25">
      <c r="A53" t="s">
        <v>99</v>
      </c>
      <c r="B53" t="s">
        <v>100</v>
      </c>
      <c r="C53" s="3" t="s">
        <v>16</v>
      </c>
      <c r="D53" s="179" t="s">
        <v>24</v>
      </c>
      <c r="E53" s="179" t="s">
        <v>25</v>
      </c>
      <c r="F53">
        <v>37510</v>
      </c>
      <c r="G53" t="s">
        <v>26</v>
      </c>
      <c r="H53">
        <v>6405</v>
      </c>
      <c r="I53" t="s">
        <v>28</v>
      </c>
      <c r="J53" t="s">
        <v>28</v>
      </c>
      <c r="K53" s="11" t="str">
        <f>IF(Table147[[#This Row],[Proprietary?
(Y/N)]]="Y","Proprietary",IF(Table147[[#This Row],[FY25 Budget]]&lt;Lookups!$F$3,"Single Quote",IF(Table147[[#This Row],[FY25 Budget]]&gt;Lookups!$G$3,"RFP","Three quotes")))</f>
        <v>Three quotes</v>
      </c>
      <c r="L53" s="11" t="s">
        <v>178</v>
      </c>
      <c r="M53" s="460">
        <v>200093</v>
      </c>
      <c r="N53" s="9">
        <v>43617</v>
      </c>
      <c r="O53" s="9">
        <v>45838</v>
      </c>
      <c r="P53" s="11"/>
      <c r="Q53" s="11"/>
      <c r="R53" s="461">
        <v>171731.9</v>
      </c>
      <c r="S53" s="461">
        <v>173111.72</v>
      </c>
      <c r="T53" s="462">
        <v>178305</v>
      </c>
      <c r="U53" s="462">
        <v>185051</v>
      </c>
      <c r="V53" s="463">
        <v>190603</v>
      </c>
      <c r="W53" s="1">
        <v>199842.5</v>
      </c>
      <c r="X53" s="1">
        <f>Table147[[#This Row],[FY26 Budget]]-Table147[[#This Row],[FY26 Committed]]</f>
        <v>-9239.5</v>
      </c>
      <c r="Y53" s="463"/>
      <c r="Z53" s="463"/>
      <c r="AA53" s="463"/>
      <c r="AB53" s="463"/>
      <c r="AC53" s="15" t="s">
        <v>1821</v>
      </c>
      <c r="AD53" s="15" t="s">
        <v>1822</v>
      </c>
      <c r="AE53" s="9">
        <v>45809</v>
      </c>
      <c r="AF53" s="365">
        <v>46173</v>
      </c>
      <c r="AG53" s="15" t="s">
        <v>1822</v>
      </c>
      <c r="AH53" s="9">
        <v>46204</v>
      </c>
      <c r="AI53" s="384"/>
      <c r="AJ53" s="234" t="s">
        <v>174</v>
      </c>
      <c r="AK53" s="234" t="s">
        <v>174</v>
      </c>
      <c r="AL53" s="16" t="s">
        <v>186</v>
      </c>
      <c r="AM53" s="2" t="s">
        <v>1823</v>
      </c>
      <c r="AN53" s="454"/>
      <c r="AO53" s="381" t="s">
        <v>234</v>
      </c>
      <c r="AP53" s="501" t="s">
        <v>2235</v>
      </c>
      <c r="AQ53" s="500"/>
    </row>
    <row r="54" spans="1:43" x14ac:dyDescent="0.25">
      <c r="A54" t="s">
        <v>103</v>
      </c>
      <c r="B54" t="s">
        <v>104</v>
      </c>
      <c r="C54" s="3" t="s">
        <v>38</v>
      </c>
      <c r="D54" s="179" t="s">
        <v>1641</v>
      </c>
      <c r="E54" s="179" t="s">
        <v>18</v>
      </c>
      <c r="F54">
        <v>37560</v>
      </c>
      <c r="G54" t="s">
        <v>50</v>
      </c>
      <c r="H54">
        <v>6405</v>
      </c>
      <c r="I54" t="s">
        <v>1704</v>
      </c>
      <c r="J54" t="s">
        <v>56</v>
      </c>
      <c r="K54" s="11" t="str">
        <f>IF(Table147[[#This Row],[Proprietary?
(Y/N)]]="Y","Proprietary",IF(Table147[[#This Row],[FY25 Budget]]&lt;Lookups!$F$3,"Single Quote",IF(Table147[[#This Row],[FY25 Budget]]&gt;Lookups!$G$3,"RFP","Three quotes")))</f>
        <v>Proprietary</v>
      </c>
      <c r="L54" s="11" t="s">
        <v>178</v>
      </c>
      <c r="M54" s="460">
        <v>200112</v>
      </c>
      <c r="N54" s="9">
        <v>43709</v>
      </c>
      <c r="O54" s="9">
        <v>44805</v>
      </c>
      <c r="P54" s="11"/>
      <c r="Q54" s="11"/>
      <c r="R54" s="461">
        <v>18501</v>
      </c>
      <c r="S54" s="461">
        <v>31800</v>
      </c>
      <c r="T54" s="462">
        <v>32760</v>
      </c>
      <c r="U54" s="462">
        <v>32760</v>
      </c>
      <c r="V54" s="463">
        <v>33744</v>
      </c>
      <c r="W54" s="1">
        <v>33744</v>
      </c>
      <c r="X54" s="1">
        <f>Table147[[#This Row],[FY26 Budget]]-Table147[[#This Row],[FY26 Committed]]</f>
        <v>0</v>
      </c>
      <c r="Y54" s="463"/>
      <c r="Z54" s="463"/>
      <c r="AA54" s="463"/>
      <c r="AB54" s="463"/>
      <c r="AC54" s="15" t="s">
        <v>646</v>
      </c>
      <c r="AD54" s="15" t="s">
        <v>646</v>
      </c>
      <c r="AE54" s="9">
        <v>45108</v>
      </c>
      <c r="AF54" s="365">
        <v>46203</v>
      </c>
      <c r="AG54" s="15" t="str">
        <f>Table147[[#This Row],[FY25 PO]]</f>
        <v>P24001627</v>
      </c>
      <c r="AH54" s="9">
        <v>46204</v>
      </c>
      <c r="AI54" s="384" t="s">
        <v>1824</v>
      </c>
      <c r="AJ54" s="234" t="s">
        <v>178</v>
      </c>
      <c r="AK54" s="234" t="s">
        <v>174</v>
      </c>
      <c r="AL54" s="16"/>
      <c r="AM54" s="2" t="s">
        <v>455</v>
      </c>
      <c r="AN54" s="454"/>
      <c r="AO54" s="381" t="s">
        <v>1825</v>
      </c>
      <c r="AP54" s="501" t="s">
        <v>1092</v>
      </c>
      <c r="AQ54" s="500">
        <v>2812</v>
      </c>
    </row>
    <row r="55" spans="1:43" x14ac:dyDescent="0.25">
      <c r="A55" t="s">
        <v>107</v>
      </c>
      <c r="B55" t="s">
        <v>108</v>
      </c>
      <c r="C55" s="3" t="s">
        <v>16</v>
      </c>
      <c r="D55" s="179" t="s">
        <v>1641</v>
      </c>
      <c r="E55" s="179" t="s">
        <v>18</v>
      </c>
      <c r="F55">
        <v>37550</v>
      </c>
      <c r="G55" t="s">
        <v>87</v>
      </c>
      <c r="H55">
        <v>6405</v>
      </c>
      <c r="I55" t="s">
        <v>1642</v>
      </c>
      <c r="J55" t="s">
        <v>1643</v>
      </c>
      <c r="K55" s="11" t="str">
        <f>IF(Table147[[#This Row],[Proprietary?
(Y/N)]]="Y","Proprietary",IF(Table147[[#This Row],[FY25 Budget]]&lt;Lookups!$F$3,"Single Quote",IF(Table147[[#This Row],[FY25 Budget]]&gt;Lookups!$G$3,"RFP","Three quotes")))</f>
        <v>RFP</v>
      </c>
      <c r="L55" s="11" t="s">
        <v>178</v>
      </c>
      <c r="M55" s="460">
        <v>1000000</v>
      </c>
      <c r="N55" s="9">
        <v>44562</v>
      </c>
      <c r="O55" s="9">
        <v>46387</v>
      </c>
      <c r="P55" s="11"/>
      <c r="Q55" s="11"/>
      <c r="R55" s="461">
        <v>544371</v>
      </c>
      <c r="S55" s="461">
        <v>561813</v>
      </c>
      <c r="T55" s="462">
        <v>578667</v>
      </c>
      <c r="U55" s="462">
        <v>571380</v>
      </c>
      <c r="V55" s="463">
        <v>588521</v>
      </c>
      <c r="W55" s="1">
        <v>584454.65</v>
      </c>
      <c r="X55" s="1">
        <f>Table147[[#This Row],[FY26 Budget]]-Table147[[#This Row],[FY26 Committed]]</f>
        <v>4066.3499999999767</v>
      </c>
      <c r="Y55" s="463"/>
      <c r="Z55" s="463"/>
      <c r="AA55" s="463"/>
      <c r="AB55" s="463"/>
      <c r="AC55" s="15" t="s">
        <v>652</v>
      </c>
      <c r="AD55" s="15" t="s">
        <v>1826</v>
      </c>
      <c r="AE55" s="9">
        <v>45839</v>
      </c>
      <c r="AF55" s="365">
        <v>46203</v>
      </c>
      <c r="AG55" s="15" t="s">
        <v>1827</v>
      </c>
      <c r="AH55" s="9">
        <v>46204</v>
      </c>
      <c r="AI55" s="455" t="s">
        <v>1828</v>
      </c>
      <c r="AJ55" s="234" t="s">
        <v>178</v>
      </c>
      <c r="AK55" s="234" t="s">
        <v>174</v>
      </c>
      <c r="AL55" s="16"/>
      <c r="AM55" s="2" t="s">
        <v>421</v>
      </c>
      <c r="AN55" s="454"/>
      <c r="AO55" s="456" t="s">
        <v>1829</v>
      </c>
      <c r="AP55" s="501" t="s">
        <v>2238</v>
      </c>
      <c r="AQ55" s="2">
        <v>10924.2</v>
      </c>
    </row>
    <row r="56" spans="1:43" x14ac:dyDescent="0.25">
      <c r="A56" t="s">
        <v>111</v>
      </c>
      <c r="B56" t="s">
        <v>112</v>
      </c>
      <c r="C56" s="3" t="s">
        <v>16</v>
      </c>
      <c r="D56" s="179" t="s">
        <v>408</v>
      </c>
      <c r="E56" s="179" t="s">
        <v>18</v>
      </c>
      <c r="F56">
        <v>37521</v>
      </c>
      <c r="G56" t="s">
        <v>1652</v>
      </c>
      <c r="H56">
        <v>6405</v>
      </c>
      <c r="I56" t="s">
        <v>1653</v>
      </c>
      <c r="J56" t="s">
        <v>1629</v>
      </c>
      <c r="K56" s="11" t="str">
        <f>IF(Table147[[#This Row],[Proprietary?
(Y/N)]]="Y","Proprietary",IF(Table147[[#This Row],[FY25 Budget]]&lt;Lookups!$F$3,"Single Quote",IF(Table147[[#This Row],[FY25 Budget]]&gt;Lookups!$G$3,"RFP","Three quotes")))</f>
        <v>Single Quote</v>
      </c>
      <c r="L56" s="11" t="s">
        <v>174</v>
      </c>
      <c r="M56" s="460" t="s">
        <v>29</v>
      </c>
      <c r="N56" s="9"/>
      <c r="O56" s="9"/>
      <c r="P56" s="11"/>
      <c r="Q56" s="11"/>
      <c r="R56" s="461">
        <v>15450</v>
      </c>
      <c r="S56" s="461">
        <v>15000</v>
      </c>
      <c r="T56" s="462">
        <v>0</v>
      </c>
      <c r="U56" s="462">
        <v>15000</v>
      </c>
      <c r="V56" s="463">
        <v>15000</v>
      </c>
      <c r="W56" s="1"/>
      <c r="X56" s="1">
        <f>Table147[[#This Row],[FY26 Budget]]-Table147[[#This Row],[FY26 Committed]]</f>
        <v>15000</v>
      </c>
      <c r="Y56" s="463"/>
      <c r="Z56" s="463"/>
      <c r="AA56" s="463"/>
      <c r="AB56" s="463"/>
      <c r="AC56" s="15" t="s">
        <v>660</v>
      </c>
      <c r="AD56" s="15" t="s">
        <v>660</v>
      </c>
      <c r="AE56" s="9">
        <v>45108</v>
      </c>
      <c r="AF56" s="365">
        <v>46203</v>
      </c>
      <c r="AG56" s="15" t="s">
        <v>660</v>
      </c>
      <c r="AH56" s="9">
        <v>46204</v>
      </c>
      <c r="AI56" s="384" t="s">
        <v>1830</v>
      </c>
      <c r="AJ56" s="234" t="s">
        <v>178</v>
      </c>
      <c r="AK56" s="234" t="s">
        <v>174</v>
      </c>
      <c r="AL56" s="16"/>
      <c r="AM56" s="2" t="s">
        <v>421</v>
      </c>
      <c r="AN56" s="454" t="s">
        <v>1831</v>
      </c>
      <c r="AO56" s="381" t="s">
        <v>1657</v>
      </c>
      <c r="AP56" s="501" t="s">
        <v>2235</v>
      </c>
      <c r="AQ56" s="500"/>
    </row>
    <row r="57" spans="1:43" x14ac:dyDescent="0.25">
      <c r="A57" t="s">
        <v>661</v>
      </c>
      <c r="B57" t="s">
        <v>662</v>
      </c>
      <c r="C57" s="3" t="s">
        <v>16</v>
      </c>
      <c r="D57" s="179" t="s">
        <v>74</v>
      </c>
      <c r="E57" s="179" t="s">
        <v>18</v>
      </c>
      <c r="F57">
        <v>37410</v>
      </c>
      <c r="G57" t="s">
        <v>416</v>
      </c>
      <c r="H57">
        <v>6130</v>
      </c>
      <c r="I57" t="s">
        <v>1832</v>
      </c>
      <c r="J57" t="s">
        <v>418</v>
      </c>
      <c r="K57" s="11" t="str">
        <f>IF(Table147[[#This Row],[Proprietary?
(Y/N)]]="Y","Proprietary",IF(Table147[[#This Row],[FY25 Budget]]&lt;Lookups!$F$3,"Single Quote",IF(Table147[[#This Row],[FY25 Budget]]&gt;Lookups!$G$3,"RFP","Three quotes")))</f>
        <v>Single Quote</v>
      </c>
      <c r="L57" s="11" t="s">
        <v>174</v>
      </c>
      <c r="M57" s="460">
        <v>1000156</v>
      </c>
      <c r="N57" s="9"/>
      <c r="O57" s="9"/>
      <c r="P57" s="11"/>
      <c r="Q57" s="11"/>
      <c r="R57" s="461">
        <v>22000</v>
      </c>
      <c r="S57" s="461">
        <v>21540</v>
      </c>
      <c r="T57" s="462">
        <v>22000</v>
      </c>
      <c r="U57" s="462">
        <v>21540</v>
      </c>
      <c r="V57" s="463">
        <v>21540</v>
      </c>
      <c r="W57" s="1"/>
      <c r="X57" s="1">
        <f>Table147[[#This Row],[FY26 Budget]]-Table147[[#This Row],[FY26 Committed]]</f>
        <v>21540</v>
      </c>
      <c r="Y57" s="463"/>
      <c r="Z57" s="463"/>
      <c r="AA57" s="463"/>
      <c r="AB57" s="463"/>
      <c r="AC57" s="15" t="s">
        <v>664</v>
      </c>
      <c r="AD57" s="15" t="s">
        <v>1833</v>
      </c>
      <c r="AE57" s="9">
        <v>45658</v>
      </c>
      <c r="AF57" s="365">
        <v>46022</v>
      </c>
      <c r="AG57" s="15"/>
      <c r="AH57" s="9">
        <v>45962</v>
      </c>
      <c r="AI57" s="455"/>
      <c r="AJ57" s="234" t="s">
        <v>174</v>
      </c>
      <c r="AK57" s="234" t="s">
        <v>174</v>
      </c>
      <c r="AL57" s="16" t="s">
        <v>186</v>
      </c>
      <c r="AM57" s="2"/>
      <c r="AN57" s="454"/>
      <c r="AO57" s="456" t="s">
        <v>234</v>
      </c>
      <c r="AP57" s="501" t="s">
        <v>772</v>
      </c>
      <c r="AQ57" s="500">
        <v>21540</v>
      </c>
    </row>
    <row r="58" spans="1:43" x14ac:dyDescent="0.25">
      <c r="A58" t="s">
        <v>1834</v>
      </c>
      <c r="B58" t="s">
        <v>134</v>
      </c>
      <c r="C58" s="3" t="s">
        <v>16</v>
      </c>
      <c r="D58" s="179" t="s">
        <v>24</v>
      </c>
      <c r="E58" s="179" t="s">
        <v>18</v>
      </c>
      <c r="F58">
        <v>37510</v>
      </c>
      <c r="G58" t="s">
        <v>26</v>
      </c>
      <c r="H58">
        <v>6405</v>
      </c>
      <c r="I58" t="s">
        <v>28</v>
      </c>
      <c r="J58" t="s">
        <v>56</v>
      </c>
      <c r="K58" s="11" t="str">
        <f>IF(Table147[[#This Row],[Proprietary?
(Y/N)]]="Y","Proprietary",IF(Table147[[#This Row],[FY25 Budget]]&lt;Lookups!$F$3,"Single Quote",IF(Table147[[#This Row],[FY25 Budget]]&gt;Lookups!$G$3,"RFP","Three quotes")))</f>
        <v>RFP</v>
      </c>
      <c r="L58" s="11" t="s">
        <v>178</v>
      </c>
      <c r="M58" s="460">
        <v>1000002</v>
      </c>
      <c r="N58" s="9">
        <v>44593</v>
      </c>
      <c r="O58" s="9">
        <v>46053</v>
      </c>
      <c r="P58" s="11"/>
      <c r="Q58" s="11"/>
      <c r="R58" s="461">
        <v>604169.16</v>
      </c>
      <c r="S58" s="461">
        <v>622294</v>
      </c>
      <c r="T58" s="462">
        <v>622294</v>
      </c>
      <c r="U58" s="462">
        <v>730293.78</v>
      </c>
      <c r="V58" s="463">
        <v>660192</v>
      </c>
      <c r="W58" s="1"/>
      <c r="X58" s="1">
        <f>Table147[[#This Row],[FY26 Budget]]-Table147[[#This Row],[FY26 Committed]]</f>
        <v>660192</v>
      </c>
      <c r="Y58" s="463"/>
      <c r="Z58" s="463"/>
      <c r="AA58" s="463"/>
      <c r="AB58" s="463"/>
      <c r="AC58" s="15" t="s">
        <v>743</v>
      </c>
      <c r="AD58" s="15" t="s">
        <v>1835</v>
      </c>
      <c r="AE58" s="9">
        <v>45689</v>
      </c>
      <c r="AF58" s="365">
        <v>46053</v>
      </c>
      <c r="AG58" s="15"/>
      <c r="AH58" s="9">
        <v>46054</v>
      </c>
      <c r="AI58" s="384"/>
      <c r="AJ58" s="234" t="s">
        <v>178</v>
      </c>
      <c r="AK58" s="234" t="s">
        <v>174</v>
      </c>
      <c r="AL58" s="16"/>
      <c r="AM58" s="2" t="s">
        <v>471</v>
      </c>
      <c r="AN58" s="454" t="s">
        <v>1836</v>
      </c>
      <c r="AO58" s="381" t="s">
        <v>1837</v>
      </c>
      <c r="AP58" s="501" t="s">
        <v>1092</v>
      </c>
      <c r="AQ58" s="500">
        <v>56381</v>
      </c>
    </row>
    <row r="59" spans="1:43" x14ac:dyDescent="0.25">
      <c r="A59" t="s">
        <v>113</v>
      </c>
      <c r="B59" t="s">
        <v>114</v>
      </c>
      <c r="C59" s="3" t="s">
        <v>16</v>
      </c>
      <c r="D59" s="179" t="s">
        <v>1641</v>
      </c>
      <c r="E59" s="179" t="s">
        <v>18</v>
      </c>
      <c r="F59">
        <v>37550</v>
      </c>
      <c r="G59" t="s">
        <v>87</v>
      </c>
      <c r="H59">
        <v>6405</v>
      </c>
      <c r="I59" t="s">
        <v>1642</v>
      </c>
      <c r="J59" t="s">
        <v>1643</v>
      </c>
      <c r="K59" s="11" t="str">
        <f>IF(Table147[[#This Row],[Proprietary?
(Y/N)]]="Y","Proprietary",IF(Table147[[#This Row],[FY25 Budget]]&lt;Lookups!$F$3,"Single Quote",IF(Table147[[#This Row],[FY25 Budget]]&gt;Lookups!$G$3,"RFP","Three quotes")))</f>
        <v>Three quotes</v>
      </c>
      <c r="L59" s="11" t="s">
        <v>178</v>
      </c>
      <c r="M59" s="460" t="s">
        <v>29</v>
      </c>
      <c r="N59" s="9"/>
      <c r="O59" s="9"/>
      <c r="P59" s="11"/>
      <c r="Q59" s="11"/>
      <c r="R59" s="461">
        <v>66950</v>
      </c>
      <c r="S59" s="461">
        <v>65000</v>
      </c>
      <c r="T59" s="462">
        <v>66950</v>
      </c>
      <c r="U59" s="462">
        <v>65000</v>
      </c>
      <c r="V59" s="463">
        <v>66950</v>
      </c>
      <c r="W59" s="1">
        <v>60000</v>
      </c>
      <c r="X59" s="1">
        <f>Table147[[#This Row],[FY26 Budget]]-Table147[[#This Row],[FY26 Committed]]</f>
        <v>6950</v>
      </c>
      <c r="Y59" s="463"/>
      <c r="Z59" s="463"/>
      <c r="AA59" s="463"/>
      <c r="AB59" s="463"/>
      <c r="AC59" s="15" t="s">
        <v>667</v>
      </c>
      <c r="AD59" s="15" t="s">
        <v>1838</v>
      </c>
      <c r="AE59" s="9">
        <v>45839</v>
      </c>
      <c r="AF59" s="365">
        <v>46203</v>
      </c>
      <c r="AG59" s="15" t="s">
        <v>1839</v>
      </c>
      <c r="AH59" s="9">
        <v>46204</v>
      </c>
      <c r="AI59" s="384"/>
      <c r="AJ59" s="234" t="s">
        <v>178</v>
      </c>
      <c r="AK59" s="234" t="s">
        <v>174</v>
      </c>
      <c r="AL59" s="16"/>
      <c r="AM59" s="2" t="s">
        <v>421</v>
      </c>
      <c r="AN59" s="454"/>
      <c r="AO59" s="381" t="s">
        <v>1840</v>
      </c>
      <c r="AP59" s="501" t="s">
        <v>2235</v>
      </c>
      <c r="AQ59" s="500"/>
    </row>
    <row r="60" spans="1:43" x14ac:dyDescent="0.25">
      <c r="A60" t="s">
        <v>1841</v>
      </c>
      <c r="B60" t="s">
        <v>1842</v>
      </c>
      <c r="C60" s="3" t="s">
        <v>16</v>
      </c>
      <c r="D60" s="179" t="s">
        <v>1641</v>
      </c>
      <c r="E60" s="179" t="s">
        <v>18</v>
      </c>
      <c r="F60">
        <v>37560</v>
      </c>
      <c r="G60" t="s">
        <v>50</v>
      </c>
      <c r="H60">
        <v>6130</v>
      </c>
      <c r="I60" t="s">
        <v>1843</v>
      </c>
      <c r="K60" s="11" t="str">
        <f>IF(Table147[[#This Row],[Proprietary?
(Y/N)]]="Y","Proprietary",IF(Table147[[#This Row],[FY25 Budget]]&lt;Lookups!$F$3,"Single Quote",IF(Table147[[#This Row],[FY25 Budget]]&gt;Lookups!$G$3,"RFP","Three quotes")))</f>
        <v>Single Quote</v>
      </c>
      <c r="L60" s="11" t="s">
        <v>174</v>
      </c>
      <c r="M60" s="460" t="s">
        <v>29</v>
      </c>
      <c r="N60" s="9"/>
      <c r="O60" s="9"/>
      <c r="P60" s="11"/>
      <c r="Q60" s="11"/>
      <c r="R60" s="475">
        <v>0</v>
      </c>
      <c r="S60" s="476">
        <v>0</v>
      </c>
      <c r="T60" s="493">
        <v>0</v>
      </c>
      <c r="U60" s="493">
        <v>0</v>
      </c>
      <c r="V60" s="1">
        <v>0</v>
      </c>
      <c r="W60" s="1">
        <v>2699</v>
      </c>
      <c r="X60" s="1">
        <f>Table147[[#This Row],[FY26 Budget]]-Table147[[#This Row],[FY26 Committed]]</f>
        <v>-2699</v>
      </c>
      <c r="Y60" s="494"/>
      <c r="Z60" s="494"/>
      <c r="AA60" s="494"/>
      <c r="AB60" s="494"/>
      <c r="AC60" s="15" t="s">
        <v>234</v>
      </c>
      <c r="AD60" s="15" t="s">
        <v>234</v>
      </c>
      <c r="AE60" s="9">
        <v>45901</v>
      </c>
      <c r="AF60" s="9">
        <v>46265</v>
      </c>
      <c r="AG60" s="9"/>
      <c r="AH60" s="9">
        <v>46266</v>
      </c>
      <c r="AI60" s="495"/>
      <c r="AJ60" s="496"/>
      <c r="AK60" s="496"/>
      <c r="AL60" s="497"/>
      <c r="AM60" s="498"/>
      <c r="AN60" s="498" t="s">
        <v>1844</v>
      </c>
      <c r="AO60" s="498"/>
      <c r="AP60" s="501" t="s">
        <v>2235</v>
      </c>
      <c r="AQ60" s="500"/>
    </row>
    <row r="61" spans="1:43" x14ac:dyDescent="0.25">
      <c r="A61" t="s">
        <v>670</v>
      </c>
      <c r="B61" t="s">
        <v>117</v>
      </c>
      <c r="C61" s="3" t="s">
        <v>16</v>
      </c>
      <c r="D61" s="179" t="s">
        <v>1641</v>
      </c>
      <c r="E61" s="179" t="s">
        <v>18</v>
      </c>
      <c r="F61">
        <v>37562</v>
      </c>
      <c r="G61" t="s">
        <v>1786</v>
      </c>
      <c r="H61">
        <v>6405</v>
      </c>
      <c r="I61" t="s">
        <v>1704</v>
      </c>
      <c r="J61" t="s">
        <v>56</v>
      </c>
      <c r="K61" s="11" t="str">
        <f>IF(Table147[[#This Row],[Proprietary?
(Y/N)]]="Y","Proprietary",IF(Table147[[#This Row],[FY25 Budget]]&lt;Lookups!$F$3,"Single Quote",IF(Table147[[#This Row],[FY25 Budget]]&gt;Lookups!$G$3,"RFP","Three quotes")))</f>
        <v>Three quotes</v>
      </c>
      <c r="L61" s="11" t="s">
        <v>178</v>
      </c>
      <c r="M61" s="460">
        <v>1001929</v>
      </c>
      <c r="N61" s="9">
        <v>45108</v>
      </c>
      <c r="O61" s="9">
        <v>46203</v>
      </c>
      <c r="P61" s="11"/>
      <c r="Q61" s="11"/>
      <c r="R61" s="461">
        <v>107000</v>
      </c>
      <c r="S61" s="461">
        <v>68500</v>
      </c>
      <c r="T61" s="462">
        <v>58088</v>
      </c>
      <c r="U61" s="462">
        <v>224540</v>
      </c>
      <c r="V61" s="463">
        <v>238012</v>
      </c>
      <c r="W61" s="1">
        <v>200000</v>
      </c>
      <c r="X61" s="1">
        <f>Table147[[#This Row],[FY26 Budget]]-Table147[[#This Row],[FY26 Committed]]</f>
        <v>38012</v>
      </c>
      <c r="Y61" s="463"/>
      <c r="Z61" s="463"/>
      <c r="AA61" s="463"/>
      <c r="AB61" s="463"/>
      <c r="AC61" s="15" t="s">
        <v>672</v>
      </c>
      <c r="AD61" s="15" t="s">
        <v>1845</v>
      </c>
      <c r="AE61" s="9">
        <v>45839</v>
      </c>
      <c r="AF61" s="365">
        <v>46203</v>
      </c>
      <c r="AG61" s="15" t="s">
        <v>1846</v>
      </c>
      <c r="AH61" s="9">
        <v>46204</v>
      </c>
      <c r="AI61" s="455"/>
      <c r="AJ61" s="234" t="s">
        <v>178</v>
      </c>
      <c r="AK61" s="234" t="s">
        <v>174</v>
      </c>
      <c r="AL61" s="16"/>
      <c r="AM61" s="2" t="s">
        <v>611</v>
      </c>
      <c r="AN61" s="454"/>
      <c r="AO61" s="456" t="s">
        <v>1847</v>
      </c>
      <c r="AP61" s="501" t="s">
        <v>2235</v>
      </c>
      <c r="AQ61" s="500"/>
    </row>
    <row r="62" spans="1:43" ht="17.25" customHeight="1" x14ac:dyDescent="0.25">
      <c r="A62" t="s">
        <v>679</v>
      </c>
      <c r="B62" t="s">
        <v>680</v>
      </c>
      <c r="C62" s="3" t="s">
        <v>16</v>
      </c>
      <c r="D62" s="179" t="s">
        <v>1641</v>
      </c>
      <c r="E62" s="179" t="s">
        <v>18</v>
      </c>
      <c r="F62">
        <v>37550</v>
      </c>
      <c r="G62" t="s">
        <v>87</v>
      </c>
      <c r="H62">
        <v>6205</v>
      </c>
      <c r="I62" t="s">
        <v>1642</v>
      </c>
      <c r="J62" t="s">
        <v>1643</v>
      </c>
      <c r="K62" s="11" t="s">
        <v>194</v>
      </c>
      <c r="L62" s="11" t="s">
        <v>178</v>
      </c>
      <c r="M62" s="460">
        <v>1000923</v>
      </c>
      <c r="N62" s="9">
        <v>44936</v>
      </c>
      <c r="O62" s="9">
        <v>46396</v>
      </c>
      <c r="P62" s="11" t="s">
        <v>1848</v>
      </c>
      <c r="Q62" s="11"/>
      <c r="R62" s="461">
        <v>60000</v>
      </c>
      <c r="S62" s="461">
        <v>60000</v>
      </c>
      <c r="T62" s="462">
        <v>60000</v>
      </c>
      <c r="U62" s="462">
        <v>60000</v>
      </c>
      <c r="V62" s="463">
        <v>60000</v>
      </c>
      <c r="W62" s="1"/>
      <c r="X62" s="1">
        <f>Table147[[#This Row],[FY26 Budget]]-Table147[[#This Row],[FY26 Committed]]</f>
        <v>60000</v>
      </c>
      <c r="Y62" s="463"/>
      <c r="Z62" s="463"/>
      <c r="AA62" s="463"/>
      <c r="AB62" s="463"/>
      <c r="AC62" s="15" t="s">
        <v>683</v>
      </c>
      <c r="AD62" s="15" t="s">
        <v>1849</v>
      </c>
      <c r="AE62" s="9">
        <v>45658</v>
      </c>
      <c r="AF62" s="365">
        <v>46022</v>
      </c>
      <c r="AG62" s="15"/>
      <c r="AH62" s="9">
        <v>45962</v>
      </c>
      <c r="AI62" s="384" t="s">
        <v>1850</v>
      </c>
      <c r="AJ62" s="234" t="s">
        <v>174</v>
      </c>
      <c r="AK62" s="234" t="s">
        <v>174</v>
      </c>
      <c r="AL62" s="16" t="s">
        <v>186</v>
      </c>
      <c r="AM62" s="2" t="s">
        <v>443</v>
      </c>
      <c r="AN62" s="454"/>
      <c r="AO62" s="381" t="s">
        <v>234</v>
      </c>
      <c r="AP62" s="501" t="s">
        <v>1092</v>
      </c>
      <c r="AQ62" s="500">
        <f>60000/12</f>
        <v>5000</v>
      </c>
    </row>
    <row r="63" spans="1:43" ht="20.25" customHeight="1" x14ac:dyDescent="0.25">
      <c r="A63" t="s">
        <v>1851</v>
      </c>
      <c r="B63" t="s">
        <v>1852</v>
      </c>
      <c r="C63" s="3" t="s">
        <v>16</v>
      </c>
      <c r="D63" s="179" t="s">
        <v>408</v>
      </c>
      <c r="E63" s="179" t="s">
        <v>18</v>
      </c>
      <c r="F63">
        <v>37100</v>
      </c>
      <c r="G63" t="s">
        <v>324</v>
      </c>
      <c r="H63">
        <v>6130</v>
      </c>
      <c r="I63" t="s">
        <v>451</v>
      </c>
      <c r="J63" t="s">
        <v>452</v>
      </c>
      <c r="K63" s="11" t="str">
        <f>IF(Table147[[#This Row],[Proprietary?
(Y/N)]]="Y","Proprietary",IF(Table147[[#This Row],[FY25 Budget]]&lt;Lookups!$F$3,"Single Quote",IF(Table147[[#This Row],[FY25 Budget]]&gt;Lookups!$G$3,"RFP","Three quotes")))</f>
        <v>Single Quote</v>
      </c>
      <c r="L63" s="11" t="s">
        <v>174</v>
      </c>
      <c r="M63" s="460"/>
      <c r="N63" s="9"/>
      <c r="O63" s="9"/>
      <c r="P63" s="11"/>
      <c r="Q63" s="11"/>
      <c r="R63" s="461">
        <v>0</v>
      </c>
      <c r="S63" s="461">
        <v>0</v>
      </c>
      <c r="T63" s="462">
        <v>0</v>
      </c>
      <c r="U63" s="462">
        <v>9936</v>
      </c>
      <c r="V63" s="463">
        <v>10000</v>
      </c>
      <c r="W63" s="1">
        <v>9936</v>
      </c>
      <c r="X63" s="1">
        <f>Table147[[#This Row],[FY26 Budget]]-Table147[[#This Row],[FY26 Committed]]</f>
        <v>64</v>
      </c>
      <c r="Y63" s="463">
        <v>9936</v>
      </c>
      <c r="Z63" s="463">
        <v>9936</v>
      </c>
      <c r="AA63" s="463">
        <v>9936</v>
      </c>
      <c r="AB63" s="463"/>
      <c r="AC63" s="15" t="s">
        <v>234</v>
      </c>
      <c r="AD63" s="15" t="s">
        <v>1853</v>
      </c>
      <c r="AE63" s="9">
        <v>45566</v>
      </c>
      <c r="AF63" s="365">
        <v>47391</v>
      </c>
      <c r="AG63" s="15" t="str">
        <f>Table147[[#This Row],[FY25 PO]]</f>
        <v xml:space="preserve">P25018084 </v>
      </c>
      <c r="AH63" s="9">
        <v>47392</v>
      </c>
      <c r="AI63" s="455"/>
      <c r="AJ63" s="234" t="s">
        <v>174</v>
      </c>
      <c r="AK63" s="234" t="s">
        <v>174</v>
      </c>
      <c r="AL63" s="16"/>
      <c r="AM63" s="2"/>
      <c r="AN63" s="454"/>
      <c r="AO63" s="456" t="s">
        <v>234</v>
      </c>
      <c r="AP63" s="501" t="s">
        <v>772</v>
      </c>
      <c r="AQ63" s="500">
        <v>9936</v>
      </c>
    </row>
    <row r="64" spans="1:43" ht="16.5" customHeight="1" x14ac:dyDescent="0.25">
      <c r="A64" t="s">
        <v>1854</v>
      </c>
      <c r="B64" t="s">
        <v>15</v>
      </c>
      <c r="C64" s="3" t="s">
        <v>16</v>
      </c>
      <c r="D64" s="179" t="s">
        <v>408</v>
      </c>
      <c r="E64" s="179" t="s">
        <v>18</v>
      </c>
      <c r="F64">
        <v>37521</v>
      </c>
      <c r="G64" t="s">
        <v>1652</v>
      </c>
      <c r="H64">
        <v>6405</v>
      </c>
      <c r="I64" t="s">
        <v>20</v>
      </c>
      <c r="J64" t="s">
        <v>1629</v>
      </c>
      <c r="K64" s="11" t="str">
        <f>IF(Table147[[#This Row],[Proprietary?
(Y/N)]]="Y","Proprietary",IF(Table147[[#This Row],[FY25 Budget]]&lt;Lookups!$F$3,"Single Quote",IF(Table147[[#This Row],[FY25 Budget]]&gt;Lookups!$G$3,"RFP","Three quotes")))</f>
        <v>Single Quote</v>
      </c>
      <c r="L64" s="11" t="s">
        <v>178</v>
      </c>
      <c r="M64" s="460"/>
      <c r="N64" s="9">
        <v>44168</v>
      </c>
      <c r="O64" s="9">
        <v>46358</v>
      </c>
      <c r="P64" s="11"/>
      <c r="Q64" s="11"/>
      <c r="R64" s="461">
        <v>33912.75</v>
      </c>
      <c r="S64" s="461">
        <v>29849</v>
      </c>
      <c r="T64" s="462"/>
      <c r="U64" s="462"/>
      <c r="V64" s="463">
        <v>100000</v>
      </c>
      <c r="W64" s="1">
        <v>98265</v>
      </c>
      <c r="X64" s="1">
        <f>Table147[[#This Row],[FY26 Budget]]-Table147[[#This Row],[FY26 Committed]]</f>
        <v>1735</v>
      </c>
      <c r="Y64" s="463"/>
      <c r="Z64" s="463"/>
      <c r="AA64" s="463"/>
      <c r="AB64" s="463"/>
      <c r="AC64" s="15"/>
      <c r="AD64" s="15"/>
      <c r="AE64" s="9">
        <v>45870</v>
      </c>
      <c r="AF64" s="365">
        <v>46234</v>
      </c>
      <c r="AG64" s="15" t="s">
        <v>1855</v>
      </c>
      <c r="AH64" s="9">
        <v>45870</v>
      </c>
      <c r="AI64" s="415" t="s">
        <v>1856</v>
      </c>
      <c r="AJ64" s="234" t="s">
        <v>178</v>
      </c>
      <c r="AK64" s="234" t="s">
        <v>174</v>
      </c>
      <c r="AL64" s="16"/>
      <c r="AM64" s="2" t="s">
        <v>413</v>
      </c>
      <c r="AN64" s="454"/>
      <c r="AO64" s="454" t="s">
        <v>1857</v>
      </c>
      <c r="AP64" s="501" t="s">
        <v>2235</v>
      </c>
      <c r="AQ64" s="500"/>
    </row>
    <row r="65" spans="1:43" ht="15.75" customHeight="1" x14ac:dyDescent="0.25">
      <c r="A65" t="s">
        <v>121</v>
      </c>
      <c r="B65" t="s">
        <v>122</v>
      </c>
      <c r="C65" s="3" t="s">
        <v>16</v>
      </c>
      <c r="D65" s="179" t="s">
        <v>24</v>
      </c>
      <c r="E65" s="179" t="s">
        <v>25</v>
      </c>
      <c r="F65">
        <v>37510</v>
      </c>
      <c r="G65" t="s">
        <v>26</v>
      </c>
      <c r="H65">
        <v>6405</v>
      </c>
      <c r="I65" t="s">
        <v>123</v>
      </c>
      <c r="J65" t="s">
        <v>28</v>
      </c>
      <c r="K65" s="11" t="str">
        <f>IF(Table147[[#This Row],[Proprietary?
(Y/N)]]="Y","Proprietary",IF(Table147[[#This Row],[FY25 Budget]]&lt;Lookups!$F$3,"Single Quote",IF(Table147[[#This Row],[FY25 Budget]]&gt;Lookups!$G$3,"RFP","Three quotes")))</f>
        <v>Single Quote</v>
      </c>
      <c r="L65" s="11" t="s">
        <v>174</v>
      </c>
      <c r="M65" s="460" t="s">
        <v>29</v>
      </c>
      <c r="N65" s="9"/>
      <c r="O65" s="9"/>
      <c r="P65" s="11"/>
      <c r="Q65" s="11"/>
      <c r="R65" s="461">
        <v>6180</v>
      </c>
      <c r="S65" s="461">
        <v>12000</v>
      </c>
      <c r="T65" s="462">
        <v>12360</v>
      </c>
      <c r="U65" s="462">
        <v>10000</v>
      </c>
      <c r="V65" s="463">
        <v>10300</v>
      </c>
      <c r="W65" s="1">
        <v>24000</v>
      </c>
      <c r="X65" s="1">
        <f>Table147[[#This Row],[FY26 Budget]]-Table147[[#This Row],[FY26 Committed]]</f>
        <v>-13700</v>
      </c>
      <c r="Y65" s="463"/>
      <c r="Z65" s="463"/>
      <c r="AA65" s="463"/>
      <c r="AB65" s="463"/>
      <c r="AC65" s="15" t="s">
        <v>686</v>
      </c>
      <c r="AD65" s="15" t="s">
        <v>1858</v>
      </c>
      <c r="AE65" s="9">
        <v>45839</v>
      </c>
      <c r="AF65" s="365">
        <v>46203</v>
      </c>
      <c r="AG65" s="15" t="s">
        <v>1859</v>
      </c>
      <c r="AH65" s="9">
        <v>46204</v>
      </c>
      <c r="AI65" s="384"/>
      <c r="AJ65" s="234" t="s">
        <v>178</v>
      </c>
      <c r="AK65" s="234" t="s">
        <v>174</v>
      </c>
      <c r="AL65" s="16"/>
      <c r="AM65" s="2" t="s">
        <v>421</v>
      </c>
      <c r="AN65" s="454"/>
      <c r="AO65" s="381" t="s">
        <v>1657</v>
      </c>
      <c r="AP65" s="501" t="s">
        <v>2235</v>
      </c>
      <c r="AQ65" s="500"/>
    </row>
    <row r="66" spans="1:43" x14ac:dyDescent="0.25">
      <c r="A66" t="s">
        <v>688</v>
      </c>
      <c r="B66" t="s">
        <v>1860</v>
      </c>
      <c r="C66" s="3" t="s">
        <v>16</v>
      </c>
      <c r="D66" s="179" t="s">
        <v>24</v>
      </c>
      <c r="E66" s="179" t="s">
        <v>25</v>
      </c>
      <c r="F66">
        <v>37510</v>
      </c>
      <c r="G66" t="s">
        <v>26</v>
      </c>
      <c r="H66">
        <v>6405</v>
      </c>
      <c r="I66" t="s">
        <v>123</v>
      </c>
      <c r="J66" t="s">
        <v>28</v>
      </c>
      <c r="K66" s="11" t="str">
        <f>IF(Table147[[#This Row],[Proprietary?
(Y/N)]]="Y","Proprietary",IF(Table147[[#This Row],[FY25 Budget]]&lt;Lookups!$F$3,"Single Quote",IF(Table147[[#This Row],[FY25 Budget]]&gt;Lookups!$G$3,"RFP","Three quotes")))</f>
        <v>Single Quote</v>
      </c>
      <c r="L66" s="11" t="s">
        <v>178</v>
      </c>
      <c r="M66" s="460">
        <v>1001205</v>
      </c>
      <c r="N66" s="9"/>
      <c r="O66" s="9"/>
      <c r="P66" s="11"/>
      <c r="Q66" s="11"/>
      <c r="R66" s="461"/>
      <c r="S66" s="461">
        <v>15000</v>
      </c>
      <c r="T66" s="462">
        <v>15450</v>
      </c>
      <c r="U66" s="462">
        <v>27000</v>
      </c>
      <c r="V66" s="463">
        <v>27810</v>
      </c>
      <c r="W66" s="1">
        <v>27000</v>
      </c>
      <c r="X66" s="1">
        <f>Table147[[#This Row],[FY26 Budget]]-Table147[[#This Row],[FY26 Committed]]</f>
        <v>810</v>
      </c>
      <c r="Y66" s="463"/>
      <c r="Z66" s="463"/>
      <c r="AA66" s="463"/>
      <c r="AB66" s="463"/>
      <c r="AC66" s="15" t="s">
        <v>690</v>
      </c>
      <c r="AD66" s="15" t="s">
        <v>1861</v>
      </c>
      <c r="AE66" s="9">
        <v>45839</v>
      </c>
      <c r="AF66" s="365">
        <v>46203</v>
      </c>
      <c r="AG66" s="15" t="s">
        <v>1862</v>
      </c>
      <c r="AH66" s="9">
        <v>46204</v>
      </c>
      <c r="AI66" s="455"/>
      <c r="AJ66" s="234" t="s">
        <v>178</v>
      </c>
      <c r="AK66" s="234" t="s">
        <v>174</v>
      </c>
      <c r="AL66" s="16"/>
      <c r="AM66" s="2" t="s">
        <v>421</v>
      </c>
      <c r="AN66" s="454"/>
      <c r="AO66" s="456" t="s">
        <v>1657</v>
      </c>
      <c r="AP66" s="501" t="s">
        <v>2235</v>
      </c>
      <c r="AQ66" s="500"/>
    </row>
    <row r="67" spans="1:43" x14ac:dyDescent="0.25">
      <c r="A67" t="s">
        <v>126</v>
      </c>
      <c r="B67" t="s">
        <v>127</v>
      </c>
      <c r="C67" s="3" t="s">
        <v>38</v>
      </c>
      <c r="D67" s="179" t="s">
        <v>1641</v>
      </c>
      <c r="E67" s="179" t="s">
        <v>18</v>
      </c>
      <c r="F67">
        <v>37550</v>
      </c>
      <c r="G67" t="s">
        <v>87</v>
      </c>
      <c r="H67">
        <v>6405</v>
      </c>
      <c r="I67" t="s">
        <v>1642</v>
      </c>
      <c r="J67" t="s">
        <v>1643</v>
      </c>
      <c r="K67" s="11" t="str">
        <f>IF(Table147[[#This Row],[Proprietary?
(Y/N)]]="Y","Proprietary",IF(Table147[[#This Row],[FY25 Budget]]&lt;Lookups!$F$3,"Single Quote",IF(Table147[[#This Row],[FY25 Budget]]&gt;Lookups!$G$3,"RFP","Three quotes")))</f>
        <v>Proprietary</v>
      </c>
      <c r="L67" s="11" t="s">
        <v>178</v>
      </c>
      <c r="M67" s="460">
        <v>1003734</v>
      </c>
      <c r="N67" s="9">
        <v>44652</v>
      </c>
      <c r="O67" s="9">
        <v>46568</v>
      </c>
      <c r="P67" s="11"/>
      <c r="Q67" s="11"/>
      <c r="R67" s="461">
        <v>1405115</v>
      </c>
      <c r="S67" s="461">
        <v>1489353</v>
      </c>
      <c r="T67" s="462">
        <v>1489422</v>
      </c>
      <c r="U67" s="462">
        <v>1489353.24</v>
      </c>
      <c r="V67" s="463">
        <v>1578714</v>
      </c>
      <c r="W67" s="1">
        <v>1578714.48</v>
      </c>
      <c r="X67" s="1">
        <f>Table147[[#This Row],[FY26 Budget]]-Table147[[#This Row],[FY26 Committed]]</f>
        <v>-0.47999999998137355</v>
      </c>
      <c r="Y67" s="463"/>
      <c r="Z67" s="463"/>
      <c r="AA67" s="463"/>
      <c r="AB67" s="463"/>
      <c r="AC67" s="15" t="s">
        <v>698</v>
      </c>
      <c r="AD67" s="15" t="s">
        <v>1863</v>
      </c>
      <c r="AE67" s="9">
        <v>45839</v>
      </c>
      <c r="AF67" s="365">
        <v>46203</v>
      </c>
      <c r="AG67" s="15" t="s">
        <v>1864</v>
      </c>
      <c r="AH67" s="9">
        <v>46204</v>
      </c>
      <c r="AI67" s="384"/>
      <c r="AJ67" s="234" t="s">
        <v>178</v>
      </c>
      <c r="AK67" s="234" t="s">
        <v>174</v>
      </c>
      <c r="AL67" s="16"/>
      <c r="AM67" s="2" t="s">
        <v>421</v>
      </c>
      <c r="AN67" s="454"/>
      <c r="AO67" s="381" t="s">
        <v>1865</v>
      </c>
      <c r="AP67" s="501" t="s">
        <v>1092</v>
      </c>
      <c r="AQ67" s="500">
        <v>131559.54</v>
      </c>
    </row>
    <row r="68" spans="1:43" x14ac:dyDescent="0.25">
      <c r="A68" t="s">
        <v>1866</v>
      </c>
      <c r="B68" t="s">
        <v>1867</v>
      </c>
      <c r="C68" s="3" t="s">
        <v>16</v>
      </c>
      <c r="D68" s="179" t="s">
        <v>24</v>
      </c>
      <c r="E68" s="179" t="s">
        <v>18</v>
      </c>
      <c r="F68">
        <v>37100</v>
      </c>
      <c r="G68" t="s">
        <v>324</v>
      </c>
      <c r="H68">
        <v>6130</v>
      </c>
      <c r="I68" t="s">
        <v>1868</v>
      </c>
      <c r="J68" t="s">
        <v>1636</v>
      </c>
      <c r="K68" s="11" t="str">
        <f>IF(Table147[[#This Row],[Proprietary?
(Y/N)]]="Y","Proprietary",IF(Table147[[#This Row],[FY25 Budget]]&lt;Lookups!$F$3,"Single Quote",IF(Table147[[#This Row],[FY25 Budget]]&gt;Lookups!$G$3,"RFP","Three quotes")))</f>
        <v>Single Quote</v>
      </c>
      <c r="L68" s="11" t="s">
        <v>174</v>
      </c>
      <c r="M68" s="460"/>
      <c r="N68" s="9"/>
      <c r="O68" s="9"/>
      <c r="P68" s="11"/>
      <c r="Q68" s="11"/>
      <c r="R68" s="461">
        <v>0</v>
      </c>
      <c r="S68" s="461">
        <v>0</v>
      </c>
      <c r="T68" s="462">
        <v>0</v>
      </c>
      <c r="U68" s="462">
        <v>0</v>
      </c>
      <c r="V68" s="463">
        <v>2000</v>
      </c>
      <c r="W68" s="1">
        <v>2380.3200000000002</v>
      </c>
      <c r="X68" s="1">
        <f>Table147[[#This Row],[FY26 Budget]]-Table147[[#This Row],[FY26 Committed]]</f>
        <v>-380.32000000000016</v>
      </c>
      <c r="Y68" s="463"/>
      <c r="Z68" s="463"/>
      <c r="AA68" s="463"/>
      <c r="AB68" s="463"/>
      <c r="AC68" s="15" t="s">
        <v>234</v>
      </c>
      <c r="AD68" s="15" t="s">
        <v>234</v>
      </c>
      <c r="AE68" s="9">
        <v>45839</v>
      </c>
      <c r="AF68" s="365">
        <v>46203</v>
      </c>
      <c r="AG68" s="15" t="s">
        <v>1869</v>
      </c>
      <c r="AH68" s="9">
        <v>46204</v>
      </c>
      <c r="AI68" s="455"/>
      <c r="AJ68" s="234" t="s">
        <v>174</v>
      </c>
      <c r="AK68" s="234" t="s">
        <v>174</v>
      </c>
      <c r="AL68" s="16"/>
      <c r="AM68" s="2"/>
      <c r="AN68" s="454"/>
      <c r="AO68" s="456" t="s">
        <v>234</v>
      </c>
      <c r="AP68" s="501" t="s">
        <v>772</v>
      </c>
      <c r="AQ68" s="500">
        <v>2380.3200000000002</v>
      </c>
    </row>
    <row r="69" spans="1:43" x14ac:dyDescent="0.25">
      <c r="A69" t="s">
        <v>703</v>
      </c>
      <c r="B69" t="s">
        <v>415</v>
      </c>
      <c r="C69" s="3" t="s">
        <v>16</v>
      </c>
      <c r="D69" s="179" t="s">
        <v>74</v>
      </c>
      <c r="E69" s="179" t="s">
        <v>18</v>
      </c>
      <c r="F69">
        <v>37410</v>
      </c>
      <c r="G69" t="s">
        <v>416</v>
      </c>
      <c r="H69">
        <v>6405</v>
      </c>
      <c r="I69" t="s">
        <v>417</v>
      </c>
      <c r="J69" t="s">
        <v>418</v>
      </c>
      <c r="K69" s="11" t="str">
        <f>IF(Table147[[#This Row],[Proprietary?
(Y/N)]]="Y","Proprietary",IF(Table147[[#This Row],[FY25 Budget]]&lt;Lookups!$F$3,"Single Quote",IF(Table147[[#This Row],[FY25 Budget]]&gt;Lookups!$G$3,"RFP","Three quotes")))</f>
        <v>Single Quote</v>
      </c>
      <c r="L69" s="11" t="s">
        <v>174</v>
      </c>
      <c r="M69" s="460"/>
      <c r="N69" s="9"/>
      <c r="O69" s="9"/>
      <c r="P69" s="11"/>
      <c r="Q69" s="11"/>
      <c r="R69" s="461">
        <v>0</v>
      </c>
      <c r="S69" s="461">
        <v>10000</v>
      </c>
      <c r="T69" s="462">
        <v>0</v>
      </c>
      <c r="U69" s="462"/>
      <c r="V69" s="463">
        <v>0</v>
      </c>
      <c r="W69" s="1"/>
      <c r="X69" s="1">
        <f>Table147[[#This Row],[FY26 Budget]]-Table147[[#This Row],[FY26 Committed]]</f>
        <v>0</v>
      </c>
      <c r="Y69" s="463"/>
      <c r="Z69" s="463"/>
      <c r="AA69" s="463"/>
      <c r="AB69" s="463"/>
      <c r="AC69" s="15" t="s">
        <v>704</v>
      </c>
      <c r="AD69" s="15"/>
      <c r="AE69" s="9">
        <v>45047</v>
      </c>
      <c r="AF69" s="365">
        <v>46023</v>
      </c>
      <c r="AG69" s="15"/>
      <c r="AH69" s="9">
        <v>46022</v>
      </c>
      <c r="AI69" s="384"/>
      <c r="AJ69" s="234" t="s">
        <v>174</v>
      </c>
      <c r="AK69" s="234" t="s">
        <v>174</v>
      </c>
      <c r="AL69" s="16"/>
      <c r="AM69" s="2"/>
      <c r="AN69" s="454"/>
      <c r="AO69" s="381" t="s">
        <v>234</v>
      </c>
      <c r="AP69" s="501" t="s">
        <v>2235</v>
      </c>
      <c r="AQ69" s="500"/>
    </row>
    <row r="70" spans="1:43" x14ac:dyDescent="0.25">
      <c r="A70" t="s">
        <v>1870</v>
      </c>
      <c r="B70" t="s">
        <v>693</v>
      </c>
      <c r="C70" s="3" t="s">
        <v>16</v>
      </c>
      <c r="D70" s="179" t="s">
        <v>24</v>
      </c>
      <c r="E70" s="179" t="s">
        <v>25</v>
      </c>
      <c r="F70">
        <v>37540</v>
      </c>
      <c r="G70" t="s">
        <v>32</v>
      </c>
      <c r="H70">
        <v>6405</v>
      </c>
      <c r="I70" t="s">
        <v>1628</v>
      </c>
      <c r="J70" t="s">
        <v>1629</v>
      </c>
      <c r="K70" s="11" t="str">
        <f>IF(Table147[[#This Row],[Proprietary?
(Y/N)]]="Y","Proprietary",IF(Table147[[#This Row],[FY25 Budget]]&lt;Lookups!$F$3,"Single Quote",IF(Table147[[#This Row],[FY25 Budget]]&gt;Lookups!$G$3,"RFP","Three quotes")))</f>
        <v>Single Quote</v>
      </c>
      <c r="L70" s="11" t="s">
        <v>174</v>
      </c>
      <c r="M70" s="460" t="s">
        <v>29</v>
      </c>
      <c r="N70" s="9"/>
      <c r="O70" s="9"/>
      <c r="P70" s="11"/>
      <c r="Q70" s="11"/>
      <c r="R70" s="461"/>
      <c r="S70" s="461">
        <v>4767.8</v>
      </c>
      <c r="T70" s="462">
        <v>4768</v>
      </c>
      <c r="U70" s="462">
        <v>4767.8</v>
      </c>
      <c r="V70" s="463">
        <v>4768</v>
      </c>
      <c r="W70" s="1">
        <v>4767.8</v>
      </c>
      <c r="X70" s="1">
        <f>Table147[[#This Row],[FY26 Budget]]-Table147[[#This Row],[FY26 Committed]]</f>
        <v>0.1999999999998181</v>
      </c>
      <c r="Y70" s="463"/>
      <c r="Z70" s="463"/>
      <c r="AA70" s="463"/>
      <c r="AB70" s="463"/>
      <c r="AC70" s="15" t="s">
        <v>694</v>
      </c>
      <c r="AD70" s="15" t="s">
        <v>694</v>
      </c>
      <c r="AE70" s="9">
        <v>44378</v>
      </c>
      <c r="AF70" s="365">
        <v>46203</v>
      </c>
      <c r="AG70" s="15" t="str">
        <f>AD70</f>
        <v>P21044995</v>
      </c>
      <c r="AH70" s="9">
        <v>46174</v>
      </c>
      <c r="AI70" s="455"/>
      <c r="AJ70" s="234" t="s">
        <v>178</v>
      </c>
      <c r="AK70" s="234" t="s">
        <v>174</v>
      </c>
      <c r="AL70" s="16"/>
      <c r="AM70" s="2" t="s">
        <v>455</v>
      </c>
      <c r="AN70" s="454" t="s">
        <v>1871</v>
      </c>
      <c r="AO70" s="456" t="s">
        <v>1872</v>
      </c>
      <c r="AP70" s="501" t="s">
        <v>2235</v>
      </c>
      <c r="AQ70" s="500"/>
    </row>
    <row r="71" spans="1:43" x14ac:dyDescent="0.25">
      <c r="A71" t="s">
        <v>1873</v>
      </c>
      <c r="B71" t="s">
        <v>119</v>
      </c>
      <c r="C71" s="3" t="s">
        <v>16</v>
      </c>
      <c r="D71" s="179" t="s">
        <v>408</v>
      </c>
      <c r="E71" s="179" t="s">
        <v>18</v>
      </c>
      <c r="F71">
        <v>37520</v>
      </c>
      <c r="G71" t="s">
        <v>19</v>
      </c>
      <c r="H71">
        <v>6405</v>
      </c>
      <c r="I71" t="s">
        <v>20</v>
      </c>
      <c r="J71" t="s">
        <v>1629</v>
      </c>
      <c r="K71" s="11" t="str">
        <f>IF(Table147[[#This Row],[Proprietary?
(Y/N)]]="Y","Proprietary",IF(Table147[[#This Row],[FY25 Budget]]&lt;Lookups!$F$3,"Single Quote",IF(Table147[[#This Row],[FY25 Budget]]&gt;Lookups!$G$3,"RFP","Three quotes")))</f>
        <v>RFP</v>
      </c>
      <c r="L71" s="11" t="s">
        <v>178</v>
      </c>
      <c r="M71" s="460">
        <v>1000570</v>
      </c>
      <c r="N71" s="9">
        <v>44774</v>
      </c>
      <c r="O71" s="9">
        <v>46599</v>
      </c>
      <c r="P71" s="11"/>
      <c r="Q71" s="11"/>
      <c r="R71" s="461">
        <v>428000</v>
      </c>
      <c r="S71" s="461">
        <v>260000</v>
      </c>
      <c r="T71" s="462">
        <v>267800</v>
      </c>
      <c r="U71" s="462">
        <v>250000</v>
      </c>
      <c r="V71" s="463">
        <v>257500</v>
      </c>
      <c r="W71" s="1">
        <v>250000</v>
      </c>
      <c r="X71" s="1">
        <f>Table147[[#This Row],[FY26 Budget]]-Table147[[#This Row],[FY26 Committed]]</f>
        <v>7500</v>
      </c>
      <c r="Y71" s="463"/>
      <c r="Z71" s="463"/>
      <c r="AA71" s="463"/>
      <c r="AB71" s="463"/>
      <c r="AC71" s="15" t="s">
        <v>677</v>
      </c>
      <c r="AD71" s="15" t="s">
        <v>1874</v>
      </c>
      <c r="AE71" s="9">
        <v>45839</v>
      </c>
      <c r="AF71" s="365">
        <v>46203</v>
      </c>
      <c r="AG71" s="15" t="s">
        <v>1875</v>
      </c>
      <c r="AH71" s="9">
        <v>46204</v>
      </c>
      <c r="AI71" s="384" t="s">
        <v>1656</v>
      </c>
      <c r="AJ71" s="234" t="s">
        <v>174</v>
      </c>
      <c r="AK71" s="234" t="s">
        <v>174</v>
      </c>
      <c r="AL71" s="16" t="s">
        <v>186</v>
      </c>
      <c r="AM71" s="2" t="s">
        <v>1656</v>
      </c>
      <c r="AN71" s="454"/>
      <c r="AO71" s="381" t="s">
        <v>234</v>
      </c>
      <c r="AP71" s="501" t="s">
        <v>2235</v>
      </c>
      <c r="AQ71" s="500"/>
    </row>
    <row r="72" spans="1:43" x14ac:dyDescent="0.25">
      <c r="A72" t="s">
        <v>128</v>
      </c>
      <c r="B72" t="s">
        <v>709</v>
      </c>
      <c r="C72" s="3" t="s">
        <v>16</v>
      </c>
      <c r="D72" s="179" t="s">
        <v>408</v>
      </c>
      <c r="E72" s="179" t="s">
        <v>25</v>
      </c>
      <c r="F72">
        <v>37530</v>
      </c>
      <c r="G72" t="s">
        <v>44</v>
      </c>
      <c r="H72">
        <v>6405</v>
      </c>
      <c r="I72" t="s">
        <v>1686</v>
      </c>
      <c r="J72" t="s">
        <v>1629</v>
      </c>
      <c r="K72" s="11" t="str">
        <f>IF(Table147[[#This Row],[Proprietary?
(Y/N)]]="Y","Proprietary",IF(Table147[[#This Row],[FY25 Budget]]&lt;Lookups!$F$3,"Single Quote",IF(Table147[[#This Row],[FY25 Budget]]&gt;Lookups!$G$3,"RFP","Three quotes")))</f>
        <v>RFP</v>
      </c>
      <c r="L72" s="11" t="s">
        <v>178</v>
      </c>
      <c r="M72" s="460">
        <v>1000287</v>
      </c>
      <c r="N72" s="9">
        <v>44743</v>
      </c>
      <c r="O72" s="9">
        <v>46203</v>
      </c>
      <c r="P72" s="11"/>
      <c r="Q72" s="11"/>
      <c r="R72" s="461">
        <v>2889000</v>
      </c>
      <c r="S72" s="461">
        <v>2468979</v>
      </c>
      <c r="T72" s="462">
        <v>2996270</v>
      </c>
      <c r="U72" s="462">
        <v>2949006</v>
      </c>
      <c r="V72" s="463">
        <v>3350000</v>
      </c>
      <c r="W72" s="1">
        <v>2927642</v>
      </c>
      <c r="X72" s="1">
        <f>Table147[[#This Row],[FY26 Budget]]-Table147[[#This Row],[FY26 Committed]]</f>
        <v>422358</v>
      </c>
      <c r="Y72" s="463"/>
      <c r="Z72" s="463"/>
      <c r="AA72" s="463"/>
      <c r="AB72" s="463"/>
      <c r="AC72" s="15" t="s">
        <v>711</v>
      </c>
      <c r="AD72" s="15" t="s">
        <v>1876</v>
      </c>
      <c r="AE72" s="9">
        <v>45839</v>
      </c>
      <c r="AF72" s="365">
        <v>46203</v>
      </c>
      <c r="AG72" s="443" t="s">
        <v>1877</v>
      </c>
      <c r="AH72" s="9">
        <v>46204</v>
      </c>
      <c r="AI72" s="455" t="s">
        <v>1878</v>
      </c>
      <c r="AJ72" s="234" t="s">
        <v>178</v>
      </c>
      <c r="AK72" s="234" t="s">
        <v>174</v>
      </c>
      <c r="AL72" s="16"/>
      <c r="AM72" s="2" t="s">
        <v>1879</v>
      </c>
      <c r="AN72" s="454"/>
      <c r="AO72" s="456" t="s">
        <v>1880</v>
      </c>
      <c r="AP72" s="501" t="s">
        <v>1092</v>
      </c>
      <c r="AQ72" s="500">
        <v>203203.68</v>
      </c>
    </row>
    <row r="73" spans="1:43" x14ac:dyDescent="0.25">
      <c r="A73" t="s">
        <v>301</v>
      </c>
      <c r="B73" t="s">
        <v>302</v>
      </c>
      <c r="C73" s="3" t="s">
        <v>38</v>
      </c>
      <c r="D73" s="179" t="s">
        <v>1641</v>
      </c>
      <c r="E73" s="179" t="s">
        <v>18</v>
      </c>
      <c r="F73">
        <v>37563</v>
      </c>
      <c r="G73" t="s">
        <v>1708</v>
      </c>
      <c r="H73">
        <v>6405</v>
      </c>
      <c r="I73" t="s">
        <v>1704</v>
      </c>
      <c r="J73" t="s">
        <v>56</v>
      </c>
      <c r="K73" s="11" t="str">
        <f>IF(Table147[[#This Row],[Proprietary?
(Y/N)]]="Y","Proprietary",IF(Table147[[#This Row],[FY25 Budget]]&lt;Lookups!$F$3,"Single Quote",IF(Table147[[#This Row],[FY25 Budget]]&gt;Lookups!$G$3,"RFP","Three quotes")))</f>
        <v>Proprietary</v>
      </c>
      <c r="L73" s="11" t="s">
        <v>178</v>
      </c>
      <c r="M73" s="460" t="s">
        <v>29</v>
      </c>
      <c r="N73" s="9"/>
      <c r="O73" s="9"/>
      <c r="P73" s="11"/>
      <c r="Q73" s="11"/>
      <c r="R73" s="461">
        <v>47488</v>
      </c>
      <c r="S73" s="461">
        <v>47488</v>
      </c>
      <c r="T73" s="462">
        <v>47488</v>
      </c>
      <c r="U73" s="462">
        <v>49088</v>
      </c>
      <c r="V73" s="463">
        <v>51542</v>
      </c>
      <c r="W73" s="1">
        <v>51542</v>
      </c>
      <c r="X73" s="1">
        <f>Table147[[#This Row],[FY26 Budget]]-Table147[[#This Row],[FY26 Committed]]</f>
        <v>0</v>
      </c>
      <c r="Y73" s="463">
        <v>54188</v>
      </c>
      <c r="Z73" s="463"/>
      <c r="AA73" s="463"/>
      <c r="AB73" s="463"/>
      <c r="AC73" s="15" t="s">
        <v>722</v>
      </c>
      <c r="AD73" s="15" t="s">
        <v>1881</v>
      </c>
      <c r="AE73" s="9">
        <v>45474</v>
      </c>
      <c r="AF73" s="365">
        <v>46568</v>
      </c>
      <c r="AG73" s="15" t="str">
        <f>Table147[[#This Row],[FY25 PO]]</f>
        <v>P25008733</v>
      </c>
      <c r="AH73" s="9">
        <v>46569</v>
      </c>
      <c r="AI73" s="384" t="s">
        <v>596</v>
      </c>
      <c r="AJ73" s="234" t="s">
        <v>178</v>
      </c>
      <c r="AK73" s="234" t="s">
        <v>174</v>
      </c>
      <c r="AL73" s="16"/>
      <c r="AM73" s="2" t="s">
        <v>725</v>
      </c>
      <c r="AN73" s="454"/>
      <c r="AO73" s="381" t="s">
        <v>1882</v>
      </c>
      <c r="AP73" s="501" t="s">
        <v>772</v>
      </c>
      <c r="AQ73" s="500">
        <v>51542</v>
      </c>
    </row>
    <row r="74" spans="1:43" x14ac:dyDescent="0.25">
      <c r="A74" t="s">
        <v>726</v>
      </c>
      <c r="B74" t="s">
        <v>727</v>
      </c>
      <c r="C74" s="3" t="s">
        <v>16</v>
      </c>
      <c r="D74" s="179" t="s">
        <v>24</v>
      </c>
      <c r="E74" s="179" t="s">
        <v>25</v>
      </c>
      <c r="F74">
        <v>37100</v>
      </c>
      <c r="G74" t="s">
        <v>324</v>
      </c>
      <c r="H74">
        <v>6110</v>
      </c>
      <c r="I74" t="s">
        <v>728</v>
      </c>
      <c r="K74" s="11" t="str">
        <f>IF(Table147[[#This Row],[Proprietary?
(Y/N)]]="Y","Proprietary",IF(Table147[[#This Row],[FY25 Budget]]&lt;Lookups!$F$3,"Single Quote",IF(Table147[[#This Row],[FY25 Budget]]&gt;Lookups!$G$3,"RFP","Three quotes")))</f>
        <v>Single Quote</v>
      </c>
      <c r="L74" s="11" t="s">
        <v>174</v>
      </c>
      <c r="M74" s="460" t="s">
        <v>29</v>
      </c>
      <c r="N74" s="9"/>
      <c r="O74" s="9"/>
      <c r="P74" s="11"/>
      <c r="Q74" s="11"/>
      <c r="R74" s="461">
        <v>0</v>
      </c>
      <c r="S74" s="461">
        <v>1956</v>
      </c>
      <c r="T74" s="462">
        <v>0</v>
      </c>
      <c r="U74" s="462">
        <f>5868/3</f>
        <v>1956</v>
      </c>
      <c r="V74" s="463">
        <f>5868/3</f>
        <v>1956</v>
      </c>
      <c r="W74" s="1">
        <v>1956</v>
      </c>
      <c r="X74" s="1">
        <f>Table147[[#This Row],[FY26 Budget]]-Table147[[#This Row],[FY26 Committed]]</f>
        <v>0</v>
      </c>
      <c r="Y74" s="463">
        <v>1956</v>
      </c>
      <c r="Z74" s="463"/>
      <c r="AA74" s="463"/>
      <c r="AB74" s="463"/>
      <c r="AC74" s="15" t="s">
        <v>730</v>
      </c>
      <c r="AD74" s="15" t="s">
        <v>1883</v>
      </c>
      <c r="AE74" s="9">
        <v>45474</v>
      </c>
      <c r="AF74" s="365">
        <v>46568</v>
      </c>
      <c r="AG74" s="15" t="str">
        <f>AD74</f>
        <v>P24057416</v>
      </c>
      <c r="AH74" s="9">
        <v>46539</v>
      </c>
      <c r="AI74" s="455" t="s">
        <v>1884</v>
      </c>
      <c r="AJ74" s="234" t="s">
        <v>174</v>
      </c>
      <c r="AK74" s="234" t="s">
        <v>174</v>
      </c>
      <c r="AL74" s="16" t="s">
        <v>186</v>
      </c>
      <c r="AM74" s="2" t="s">
        <v>421</v>
      </c>
      <c r="AN74" s="454" t="s">
        <v>1885</v>
      </c>
      <c r="AO74" s="456" t="s">
        <v>234</v>
      </c>
      <c r="AP74" s="501" t="s">
        <v>1092</v>
      </c>
      <c r="AQ74" s="500"/>
    </row>
    <row r="75" spans="1:43" x14ac:dyDescent="0.25">
      <c r="A75" t="s">
        <v>731</v>
      </c>
      <c r="B75" t="s">
        <v>732</v>
      </c>
      <c r="C75" s="3" t="s">
        <v>16</v>
      </c>
      <c r="D75" s="179" t="s">
        <v>24</v>
      </c>
      <c r="E75" s="179" t="s">
        <v>25</v>
      </c>
      <c r="F75">
        <v>37545</v>
      </c>
      <c r="G75" t="s">
        <v>32</v>
      </c>
      <c r="H75">
        <v>6605</v>
      </c>
      <c r="I75" t="s">
        <v>1628</v>
      </c>
      <c r="J75" t="s">
        <v>1629</v>
      </c>
      <c r="K75" s="11" t="s">
        <v>173</v>
      </c>
      <c r="L75" s="11" t="s">
        <v>178</v>
      </c>
      <c r="M75" s="460" t="s">
        <v>29</v>
      </c>
      <c r="N75" s="9"/>
      <c r="O75" s="9"/>
      <c r="P75" s="11"/>
      <c r="Q75" s="11"/>
      <c r="R75" s="461">
        <v>0</v>
      </c>
      <c r="S75" s="461">
        <v>10000</v>
      </c>
      <c r="T75" s="462">
        <v>10000</v>
      </c>
      <c r="U75" s="462">
        <v>10000</v>
      </c>
      <c r="V75" s="463">
        <v>10000</v>
      </c>
      <c r="W75" s="1">
        <v>10000</v>
      </c>
      <c r="X75" s="1">
        <f>Table147[[#This Row],[FY26 Budget]]-Table147[[#This Row],[FY26 Committed]]</f>
        <v>0</v>
      </c>
      <c r="Y75" s="463">
        <v>10000</v>
      </c>
      <c r="Z75" s="463"/>
      <c r="AA75" s="463"/>
      <c r="AB75" s="463"/>
      <c r="AC75" s="15" t="s">
        <v>734</v>
      </c>
      <c r="AD75" s="15" t="s">
        <v>1886</v>
      </c>
      <c r="AE75" s="9">
        <v>45717</v>
      </c>
      <c r="AF75" s="365">
        <v>46081</v>
      </c>
      <c r="AG75" s="15" t="s">
        <v>1887</v>
      </c>
      <c r="AH75" s="9">
        <v>46082</v>
      </c>
      <c r="AI75" s="384" t="s">
        <v>1888</v>
      </c>
      <c r="AJ75" s="234" t="s">
        <v>178</v>
      </c>
      <c r="AK75" s="234" t="s">
        <v>174</v>
      </c>
      <c r="AL75" s="16"/>
      <c r="AM75" s="2" t="s">
        <v>455</v>
      </c>
      <c r="AN75" s="454" t="s">
        <v>1889</v>
      </c>
      <c r="AO75" s="381" t="s">
        <v>1890</v>
      </c>
      <c r="AP75" s="501" t="s">
        <v>772</v>
      </c>
      <c r="AQ75" s="500"/>
    </row>
    <row r="76" spans="1:43" x14ac:dyDescent="0.25">
      <c r="A76" t="s">
        <v>1891</v>
      </c>
      <c r="B76" t="s">
        <v>132</v>
      </c>
      <c r="C76" s="3" t="s">
        <v>16</v>
      </c>
      <c r="D76" s="179" t="s">
        <v>1641</v>
      </c>
      <c r="E76" s="179" t="s">
        <v>18</v>
      </c>
      <c r="F76">
        <v>37564</v>
      </c>
      <c r="G76" t="s">
        <v>1807</v>
      </c>
      <c r="H76">
        <v>6405</v>
      </c>
      <c r="I76" t="s">
        <v>1704</v>
      </c>
      <c r="J76" t="s">
        <v>56</v>
      </c>
      <c r="K76" s="11" t="str">
        <f>IF(Table147[[#This Row],[Proprietary?
(Y/N)]]="Y","Proprietary",IF(Table147[[#This Row],[FY25 Budget]]&lt;Lookups!$F$3,"Single Quote",IF(Table147[[#This Row],[FY25 Budget]]&gt;Lookups!$G$3,"RFP","Three quotes")))</f>
        <v>Three quotes</v>
      </c>
      <c r="L76" s="11" t="s">
        <v>178</v>
      </c>
      <c r="M76" s="460">
        <v>1001028</v>
      </c>
      <c r="N76" s="9">
        <v>45013</v>
      </c>
      <c r="O76" s="9">
        <v>46108</v>
      </c>
      <c r="P76" s="11"/>
      <c r="Q76" s="11"/>
      <c r="R76" s="461">
        <v>69550</v>
      </c>
      <c r="S76" s="461">
        <v>100000</v>
      </c>
      <c r="T76" s="462">
        <v>61800</v>
      </c>
      <c r="U76" s="462">
        <v>115000</v>
      </c>
      <c r="V76" s="463">
        <v>80000</v>
      </c>
      <c r="W76" s="1"/>
      <c r="X76" s="1">
        <f>Table147[[#This Row],[FY26 Budget]]-Table147[[#This Row],[FY26 Committed]]</f>
        <v>80000</v>
      </c>
      <c r="Y76" s="463"/>
      <c r="Z76" s="463"/>
      <c r="AA76" s="463"/>
      <c r="AB76" s="463"/>
      <c r="AC76" s="15" t="s">
        <v>738</v>
      </c>
      <c r="AD76" s="15" t="s">
        <v>1892</v>
      </c>
      <c r="AE76" s="9">
        <v>45658</v>
      </c>
      <c r="AF76" s="365">
        <v>46022</v>
      </c>
      <c r="AG76" s="15"/>
      <c r="AH76" s="9">
        <v>45992</v>
      </c>
      <c r="AI76" s="455"/>
      <c r="AJ76" s="234" t="s">
        <v>178</v>
      </c>
      <c r="AK76" s="234" t="s">
        <v>174</v>
      </c>
      <c r="AL76" s="16"/>
      <c r="AM76" s="2" t="s">
        <v>443</v>
      </c>
      <c r="AN76" s="454"/>
      <c r="AO76" s="456" t="s">
        <v>1893</v>
      </c>
      <c r="AP76" s="501" t="s">
        <v>2235</v>
      </c>
      <c r="AQ76" s="500"/>
    </row>
    <row r="77" spans="1:43" x14ac:dyDescent="0.25">
      <c r="A77" t="s">
        <v>746</v>
      </c>
      <c r="B77" t="s">
        <v>747</v>
      </c>
      <c r="C77" s="3" t="s">
        <v>16</v>
      </c>
      <c r="D77" s="179" t="s">
        <v>24</v>
      </c>
      <c r="E77" s="179" t="s">
        <v>18</v>
      </c>
      <c r="F77">
        <v>37100</v>
      </c>
      <c r="G77" t="s">
        <v>324</v>
      </c>
      <c r="H77">
        <v>6235</v>
      </c>
      <c r="I77" t="s">
        <v>1636</v>
      </c>
      <c r="K77" s="11" t="s">
        <v>192</v>
      </c>
      <c r="L77" s="11" t="s">
        <v>178</v>
      </c>
      <c r="M77" s="460">
        <v>1000710</v>
      </c>
      <c r="N77" s="9"/>
      <c r="O77" s="9"/>
      <c r="P77" s="11"/>
      <c r="Q77" s="11"/>
      <c r="R77" s="461">
        <v>60000</v>
      </c>
      <c r="S77" s="461">
        <v>50000</v>
      </c>
      <c r="T77" s="462">
        <v>60000</v>
      </c>
      <c r="U77" s="462">
        <v>50000</v>
      </c>
      <c r="V77" s="463">
        <v>81600</v>
      </c>
      <c r="W77" s="1">
        <v>75000</v>
      </c>
      <c r="X77" s="1">
        <f>Table147[[#This Row],[FY26 Budget]]-Table147[[#This Row],[FY26 Committed]]</f>
        <v>6600</v>
      </c>
      <c r="Y77" s="463"/>
      <c r="Z77" s="463"/>
      <c r="AA77" s="463"/>
      <c r="AB77" s="463"/>
      <c r="AC77" s="15" t="s">
        <v>749</v>
      </c>
      <c r="AD77" s="15" t="s">
        <v>1894</v>
      </c>
      <c r="AE77" s="9">
        <v>45839</v>
      </c>
      <c r="AF77" s="365">
        <v>46203</v>
      </c>
      <c r="AG77" s="15" t="s">
        <v>1895</v>
      </c>
      <c r="AH77" s="9">
        <v>46174</v>
      </c>
      <c r="AI77" s="455"/>
      <c r="AJ77" s="234" t="s">
        <v>174</v>
      </c>
      <c r="AK77" s="234" t="s">
        <v>174</v>
      </c>
      <c r="AL77" s="16" t="s">
        <v>186</v>
      </c>
      <c r="AM77" s="2" t="s">
        <v>421</v>
      </c>
      <c r="AN77" s="454"/>
      <c r="AO77" s="456" t="s">
        <v>234</v>
      </c>
      <c r="AP77" s="501" t="s">
        <v>2235</v>
      </c>
      <c r="AQ77" s="500"/>
    </row>
    <row r="78" spans="1:43" x14ac:dyDescent="0.25">
      <c r="A78" t="s">
        <v>751</v>
      </c>
      <c r="B78" t="s">
        <v>752</v>
      </c>
      <c r="C78" s="3" t="s">
        <v>38</v>
      </c>
      <c r="D78" s="179" t="s">
        <v>24</v>
      </c>
      <c r="E78" s="179" t="s">
        <v>25</v>
      </c>
      <c r="F78">
        <v>37100</v>
      </c>
      <c r="G78" t="s">
        <v>324</v>
      </c>
      <c r="H78">
        <v>6205</v>
      </c>
      <c r="I78" t="s">
        <v>1868</v>
      </c>
      <c r="J78" t="s">
        <v>1636</v>
      </c>
      <c r="K78" s="11" t="str">
        <f>IF(Table147[[#This Row],[Proprietary?
(Y/N)]]="Y","Proprietary",IF(Table147[[#This Row],[FY25 Budget]]&lt;Lookups!$F$3,"Single Quote",IF(Table147[[#This Row],[FY25 Budget]]&gt;Lookups!$G$3,"RFP","Three quotes")))</f>
        <v>Proprietary</v>
      </c>
      <c r="L78" s="11" t="s">
        <v>174</v>
      </c>
      <c r="M78" s="460" t="s">
        <v>753</v>
      </c>
      <c r="N78" s="9"/>
      <c r="O78" s="9"/>
      <c r="P78" s="11"/>
      <c r="Q78" s="11"/>
      <c r="R78" s="461">
        <v>3000</v>
      </c>
      <c r="S78" s="461">
        <v>3000</v>
      </c>
      <c r="T78" s="462">
        <v>3000</v>
      </c>
      <c r="U78" s="462">
        <v>3990</v>
      </c>
      <c r="V78" s="463">
        <v>0</v>
      </c>
      <c r="W78" s="1"/>
      <c r="X78" s="1">
        <f>Table147[[#This Row],[FY26 Budget]]-Table147[[#This Row],[FY26 Committed]]</f>
        <v>0</v>
      </c>
      <c r="Y78" s="463"/>
      <c r="Z78" s="463"/>
      <c r="AA78" s="463"/>
      <c r="AB78" s="463"/>
      <c r="AC78" s="15" t="s">
        <v>754</v>
      </c>
      <c r="AD78" s="15" t="s">
        <v>1896</v>
      </c>
      <c r="AE78" s="9">
        <v>45839</v>
      </c>
      <c r="AF78" s="365">
        <v>46203</v>
      </c>
      <c r="AG78" s="15" t="s">
        <v>1897</v>
      </c>
      <c r="AH78" s="9">
        <v>46174</v>
      </c>
      <c r="AI78" s="384"/>
      <c r="AJ78" s="234" t="s">
        <v>174</v>
      </c>
      <c r="AK78" s="234" t="s">
        <v>174</v>
      </c>
      <c r="AL78" s="16" t="s">
        <v>186</v>
      </c>
      <c r="AM78" s="2" t="s">
        <v>421</v>
      </c>
      <c r="AN78" s="454"/>
      <c r="AO78" s="381" t="s">
        <v>234</v>
      </c>
      <c r="AP78" s="501" t="s">
        <v>2235</v>
      </c>
      <c r="AQ78" s="500"/>
    </row>
    <row r="79" spans="1:43" x14ac:dyDescent="0.25">
      <c r="A79" t="s">
        <v>1898</v>
      </c>
      <c r="B79" t="s">
        <v>1899</v>
      </c>
      <c r="C79" s="3" t="s">
        <v>16</v>
      </c>
      <c r="D79" s="179" t="s">
        <v>24</v>
      </c>
      <c r="E79" s="179" t="s">
        <v>18</v>
      </c>
      <c r="F79">
        <v>37512</v>
      </c>
      <c r="G79" t="s">
        <v>26</v>
      </c>
      <c r="H79">
        <v>6405</v>
      </c>
      <c r="I79" t="s">
        <v>1900</v>
      </c>
      <c r="J79" t="s">
        <v>56</v>
      </c>
      <c r="K79" s="11" t="s">
        <v>192</v>
      </c>
      <c r="L79" s="11" t="s">
        <v>174</v>
      </c>
      <c r="M79" s="460"/>
      <c r="N79" s="9"/>
      <c r="O79" s="9"/>
      <c r="P79" s="11"/>
      <c r="Q79" s="11"/>
      <c r="R79" s="461">
        <v>0</v>
      </c>
      <c r="S79" s="461">
        <v>0</v>
      </c>
      <c r="T79" s="462">
        <v>0</v>
      </c>
      <c r="U79" s="462">
        <v>18500</v>
      </c>
      <c r="V79" s="463">
        <v>0</v>
      </c>
      <c r="W79" s="1">
        <v>18500</v>
      </c>
      <c r="X79" s="1">
        <f>Table147[[#This Row],[FY26 Budget]]-Table147[[#This Row],[FY26 Committed]]</f>
        <v>-18500</v>
      </c>
      <c r="Y79" s="463"/>
      <c r="Z79" s="463"/>
      <c r="AA79" s="463"/>
      <c r="AB79" s="463"/>
      <c r="AC79" s="15" t="s">
        <v>234</v>
      </c>
      <c r="AD79" s="15" t="s">
        <v>1901</v>
      </c>
      <c r="AE79" s="9">
        <v>45778</v>
      </c>
      <c r="AF79" s="365">
        <v>46203</v>
      </c>
      <c r="AG79" s="15" t="str">
        <f>Table147[[#This Row],[FY25 PO]]</f>
        <v>P25059658</v>
      </c>
      <c r="AH79" s="9">
        <v>46204</v>
      </c>
      <c r="AI79" s="455"/>
      <c r="AJ79" s="234" t="s">
        <v>178</v>
      </c>
      <c r="AK79" s="234"/>
      <c r="AL79" s="16"/>
      <c r="AM79" s="2"/>
      <c r="AN79" s="454" t="s">
        <v>1819</v>
      </c>
      <c r="AO79" s="456" t="s">
        <v>1872</v>
      </c>
      <c r="AP79" s="501" t="s">
        <v>2235</v>
      </c>
      <c r="AQ79" s="500"/>
    </row>
    <row r="80" spans="1:43" x14ac:dyDescent="0.25">
      <c r="A80" t="s">
        <v>137</v>
      </c>
      <c r="B80" t="s">
        <v>138</v>
      </c>
      <c r="C80" s="3" t="s">
        <v>16</v>
      </c>
      <c r="D80" s="179" t="s">
        <v>1641</v>
      </c>
      <c r="E80" s="179" t="s">
        <v>18</v>
      </c>
      <c r="F80">
        <v>37563</v>
      </c>
      <c r="G80" t="s">
        <v>1708</v>
      </c>
      <c r="H80">
        <v>6405</v>
      </c>
      <c r="I80" t="s">
        <v>1704</v>
      </c>
      <c r="J80" t="s">
        <v>56</v>
      </c>
      <c r="K80" s="11" t="str">
        <f>IF(Table147[[#This Row],[Proprietary?
(Y/N)]]="Y","Proprietary",IF(Table147[[#This Row],[FY25 Budget]]&lt;Lookups!$F$3,"Single Quote",IF(Table147[[#This Row],[FY25 Budget]]&gt;Lookups!$G$3,"RFP","Three quotes")))</f>
        <v>Single Quote</v>
      </c>
      <c r="L80" s="11" t="s">
        <v>178</v>
      </c>
      <c r="M80" s="460" t="s">
        <v>29</v>
      </c>
      <c r="N80" s="9"/>
      <c r="O80" s="9"/>
      <c r="P80" s="11"/>
      <c r="Q80" s="11"/>
      <c r="R80" s="461">
        <v>10700</v>
      </c>
      <c r="S80" s="461">
        <v>49999</v>
      </c>
      <c r="T80" s="462">
        <v>15449</v>
      </c>
      <c r="U80" s="462">
        <v>24999</v>
      </c>
      <c r="V80" s="463">
        <v>24999</v>
      </c>
      <c r="W80" s="1">
        <v>24999</v>
      </c>
      <c r="X80" s="1">
        <f>Table147[[#This Row],[FY26 Budget]]-Table147[[#This Row],[FY26 Committed]]</f>
        <v>0</v>
      </c>
      <c r="Y80" s="463"/>
      <c r="Z80" s="463"/>
      <c r="AA80" s="463"/>
      <c r="AB80" s="463"/>
      <c r="AC80" s="15" t="s">
        <v>757</v>
      </c>
      <c r="AD80" s="15" t="s">
        <v>1902</v>
      </c>
      <c r="AE80" s="9">
        <v>45839</v>
      </c>
      <c r="AF80" s="365">
        <v>46203</v>
      </c>
      <c r="AG80" s="15" t="s">
        <v>1903</v>
      </c>
      <c r="AH80" s="9">
        <v>46204</v>
      </c>
      <c r="AI80" s="384" t="s">
        <v>1656</v>
      </c>
      <c r="AJ80" s="234" t="s">
        <v>178</v>
      </c>
      <c r="AK80" s="234" t="s">
        <v>174</v>
      </c>
      <c r="AL80" s="16"/>
      <c r="AM80" s="2" t="s">
        <v>759</v>
      </c>
      <c r="AN80" s="454"/>
      <c r="AO80" s="381" t="s">
        <v>1657</v>
      </c>
      <c r="AP80" s="501" t="s">
        <v>2235</v>
      </c>
      <c r="AQ80" s="500"/>
    </row>
    <row r="81" spans="1:43" x14ac:dyDescent="0.25">
      <c r="A81" t="s">
        <v>139</v>
      </c>
      <c r="B81" t="s">
        <v>140</v>
      </c>
      <c r="C81" s="3" t="s">
        <v>16</v>
      </c>
      <c r="D81" s="179" t="s">
        <v>408</v>
      </c>
      <c r="E81" s="179" t="s">
        <v>25</v>
      </c>
      <c r="F81">
        <v>37522</v>
      </c>
      <c r="G81" t="s">
        <v>1664</v>
      </c>
      <c r="H81">
        <v>6405</v>
      </c>
      <c r="I81" t="s">
        <v>1712</v>
      </c>
      <c r="J81" t="s">
        <v>1629</v>
      </c>
      <c r="K81" s="11" t="str">
        <f>IF(Table147[[#This Row],[Proprietary?
(Y/N)]]="Y","Proprietary",IF(Table147[[#This Row],[FY25 Budget]]&lt;Lookups!$F$3,"Single Quote",IF(Table147[[#This Row],[FY25 Budget]]&gt;Lookups!$G$3,"RFP","Three quotes")))</f>
        <v>RFP</v>
      </c>
      <c r="L81" s="11" t="s">
        <v>178</v>
      </c>
      <c r="M81" s="460">
        <v>1000064</v>
      </c>
      <c r="N81" s="9">
        <v>44593</v>
      </c>
      <c r="O81" s="9">
        <v>46053</v>
      </c>
      <c r="P81" s="11" t="s">
        <v>1273</v>
      </c>
      <c r="Q81" s="11"/>
      <c r="R81" s="461">
        <v>622606</v>
      </c>
      <c r="S81" s="461">
        <v>701080.66</v>
      </c>
      <c r="T81" s="462">
        <v>736135</v>
      </c>
      <c r="U81" s="462">
        <v>747000</v>
      </c>
      <c r="V81" s="463">
        <v>790000</v>
      </c>
      <c r="W81" s="1">
        <v>744000</v>
      </c>
      <c r="X81" s="1">
        <f>Table147[[#This Row],[FY26 Budget]]-Table147[[#This Row],[FY26 Committed]]</f>
        <v>46000</v>
      </c>
      <c r="Y81" s="463"/>
      <c r="Z81" s="463"/>
      <c r="AA81" s="463"/>
      <c r="AB81" s="463"/>
      <c r="AC81" s="15" t="s">
        <v>761</v>
      </c>
      <c r="AD81" s="15" t="s">
        <v>1904</v>
      </c>
      <c r="AE81" s="9">
        <v>45839</v>
      </c>
      <c r="AF81" s="365">
        <v>46203</v>
      </c>
      <c r="AG81" s="15" t="s">
        <v>1905</v>
      </c>
      <c r="AH81" s="9">
        <v>46204</v>
      </c>
      <c r="AI81" s="455" t="s">
        <v>1878</v>
      </c>
      <c r="AJ81" s="234" t="s">
        <v>174</v>
      </c>
      <c r="AK81" s="234" t="s">
        <v>174</v>
      </c>
      <c r="AL81" s="16" t="s">
        <v>186</v>
      </c>
      <c r="AM81" s="2" t="s">
        <v>763</v>
      </c>
      <c r="AN81" s="454"/>
      <c r="AO81" s="456" t="s">
        <v>234</v>
      </c>
      <c r="AP81" s="501" t="s">
        <v>2235</v>
      </c>
      <c r="AQ81" s="500"/>
    </row>
    <row r="82" spans="1:43" x14ac:dyDescent="0.25">
      <c r="A82" s="59" t="s">
        <v>1906</v>
      </c>
      <c r="B82" s="60" t="s">
        <v>1907</v>
      </c>
      <c r="C82" s="95" t="s">
        <v>16</v>
      </c>
      <c r="D82" s="315" t="s">
        <v>408</v>
      </c>
      <c r="E82" s="315" t="s">
        <v>18</v>
      </c>
      <c r="F82" s="60">
        <v>37521</v>
      </c>
      <c r="G82" s="60" t="s">
        <v>1652</v>
      </c>
      <c r="H82" s="60">
        <v>6405</v>
      </c>
      <c r="I82" s="60" t="s">
        <v>1653</v>
      </c>
      <c r="J82" s="60" t="s">
        <v>1629</v>
      </c>
      <c r="K82" s="373"/>
      <c r="L82" s="373" t="s">
        <v>174</v>
      </c>
      <c r="M82" s="95" t="s">
        <v>29</v>
      </c>
      <c r="N82" s="64"/>
      <c r="O82" s="64"/>
      <c r="P82" s="373"/>
      <c r="Q82" s="373"/>
      <c r="R82" s="417"/>
      <c r="S82" s="417">
        <v>0</v>
      </c>
      <c r="T82" s="417">
        <v>0</v>
      </c>
      <c r="U82" s="417">
        <v>15000</v>
      </c>
      <c r="V82" s="417">
        <v>0</v>
      </c>
      <c r="W82" s="417">
        <v>10000</v>
      </c>
      <c r="X82" s="417">
        <f>Table147[[#This Row],[FY26 Budget]]-Table147[[#This Row],[FY26 Committed]]</f>
        <v>-10000</v>
      </c>
      <c r="Y82" s="417"/>
      <c r="Z82" s="417"/>
      <c r="AA82" s="417"/>
      <c r="AB82" s="417"/>
      <c r="AC82" s="367"/>
      <c r="AD82" s="367" t="s">
        <v>1908</v>
      </c>
      <c r="AE82" s="64">
        <v>45931</v>
      </c>
      <c r="AF82" s="477">
        <v>46203</v>
      </c>
      <c r="AG82" s="367" t="s">
        <v>1909</v>
      </c>
      <c r="AH82" s="64">
        <v>46204</v>
      </c>
      <c r="AI82" s="418" t="s">
        <v>1910</v>
      </c>
      <c r="AJ82" s="419" t="s">
        <v>174</v>
      </c>
      <c r="AK82" s="419" t="s">
        <v>174</v>
      </c>
      <c r="AL82" s="421"/>
      <c r="AM82" s="422"/>
      <c r="AN82" s="422"/>
      <c r="AO82" s="423"/>
      <c r="AP82" s="501" t="s">
        <v>2235</v>
      </c>
      <c r="AQ82" s="500"/>
    </row>
    <row r="83" spans="1:43" x14ac:dyDescent="0.25">
      <c r="A83" t="s">
        <v>1911</v>
      </c>
      <c r="B83" t="s">
        <v>1912</v>
      </c>
      <c r="C83" s="3" t="s">
        <v>16</v>
      </c>
      <c r="D83" s="179" t="s">
        <v>1641</v>
      </c>
      <c r="E83" s="179" t="s">
        <v>18</v>
      </c>
      <c r="F83">
        <v>37550</v>
      </c>
      <c r="G83" t="s">
        <v>87</v>
      </c>
      <c r="H83">
        <v>6405</v>
      </c>
      <c r="I83" t="s">
        <v>1643</v>
      </c>
      <c r="K83" s="11" t="str">
        <f>IF(Table147[[#This Row],[Proprietary?
(Y/N)]]="Y","Proprietary",IF(Table147[[#This Row],[FY25 Budget]]&lt;Lookups!$F$3,"Single Quote",IF(Table147[[#This Row],[FY25 Budget]]&gt;Lookups!$G$3,"RFP","Three quotes")))</f>
        <v>Single Quote</v>
      </c>
      <c r="L83" s="11" t="s">
        <v>178</v>
      </c>
      <c r="M83" s="460" t="s">
        <v>1913</v>
      </c>
      <c r="N83" s="9"/>
      <c r="O83" s="9"/>
      <c r="P83" s="11"/>
      <c r="Q83" s="11"/>
      <c r="R83" s="461">
        <v>0</v>
      </c>
      <c r="S83" s="461">
        <v>0</v>
      </c>
      <c r="T83" s="462">
        <v>0</v>
      </c>
      <c r="U83" s="462">
        <v>13918</v>
      </c>
      <c r="V83" s="463">
        <v>0</v>
      </c>
      <c r="W83" s="1">
        <v>14319</v>
      </c>
      <c r="X83" s="1">
        <f>Table147[[#This Row],[FY26 Budget]]-Table147[[#This Row],[FY26 Committed]]</f>
        <v>-14319</v>
      </c>
      <c r="Y83" s="463">
        <v>14732</v>
      </c>
      <c r="Z83" s="463">
        <v>12611</v>
      </c>
      <c r="AA83" s="463">
        <v>13241</v>
      </c>
      <c r="AB83" s="463"/>
      <c r="AC83" s="15" t="s">
        <v>234</v>
      </c>
      <c r="AD83" s="15"/>
      <c r="AE83" s="9">
        <v>45658</v>
      </c>
      <c r="AF83" s="365">
        <v>47483</v>
      </c>
      <c r="AG83" s="15" t="s">
        <v>1914</v>
      </c>
      <c r="AH83" s="9">
        <v>47423</v>
      </c>
      <c r="AI83" s="455"/>
      <c r="AJ83" s="234"/>
      <c r="AK83" s="234"/>
      <c r="AL83" s="16"/>
      <c r="AM83" s="2"/>
      <c r="AN83" s="454" t="s">
        <v>1915</v>
      </c>
      <c r="AO83" s="456" t="s">
        <v>1916</v>
      </c>
      <c r="AP83" s="501" t="s">
        <v>2235</v>
      </c>
      <c r="AQ83" s="500"/>
    </row>
    <row r="84" spans="1:43" x14ac:dyDescent="0.25">
      <c r="A84" t="s">
        <v>1917</v>
      </c>
      <c r="B84" t="s">
        <v>1918</v>
      </c>
      <c r="C84" s="3" t="s">
        <v>16</v>
      </c>
      <c r="D84" s="179" t="s">
        <v>24</v>
      </c>
      <c r="E84" s="179" t="s">
        <v>18</v>
      </c>
      <c r="F84">
        <v>37100</v>
      </c>
      <c r="H84">
        <v>6405</v>
      </c>
      <c r="I84" t="s">
        <v>1919</v>
      </c>
      <c r="K84" s="11" t="str">
        <f>IF(Table147[[#This Row],[Proprietary?
(Y/N)]]="Y","Proprietary",IF(Table147[[#This Row],[FY25 Budget]]&lt;Lookups!$F$3,"Single Quote",IF(Table147[[#This Row],[FY25 Budget]]&gt;Lookups!$G$3,"RFP","Three quotes")))</f>
        <v>Single Quote</v>
      </c>
      <c r="L84" s="11"/>
      <c r="M84" s="492">
        <v>1004598</v>
      </c>
      <c r="N84" s="9"/>
      <c r="O84" s="9"/>
      <c r="P84" s="11"/>
      <c r="Q84" s="11"/>
      <c r="R84" s="475"/>
      <c r="S84" s="476"/>
      <c r="T84" s="493">
        <v>0</v>
      </c>
      <c r="U84" s="493">
        <v>0</v>
      </c>
      <c r="V84" s="1">
        <v>50000</v>
      </c>
      <c r="W84" s="1">
        <v>50000</v>
      </c>
      <c r="X84" s="1">
        <f>Table147[[#This Row],[FY26 Budget]]-Table147[[#This Row],[FY26 Committed]]</f>
        <v>0</v>
      </c>
      <c r="Y84" s="494"/>
      <c r="Z84" s="494"/>
      <c r="AA84" s="494"/>
      <c r="AB84" s="494"/>
      <c r="AC84" s="15" t="s">
        <v>234</v>
      </c>
      <c r="AD84" s="15" t="s">
        <v>1920</v>
      </c>
      <c r="AE84" s="9">
        <v>45839</v>
      </c>
      <c r="AF84" s="478">
        <v>46203</v>
      </c>
      <c r="AG84" s="479" t="str">
        <f>Table147[[#This Row],[FY25 PO]]</f>
        <v>P26001861</v>
      </c>
      <c r="AH84" s="9">
        <v>46204</v>
      </c>
      <c r="AI84" s="495"/>
      <c r="AJ84" s="496" t="s">
        <v>174</v>
      </c>
      <c r="AK84" s="496"/>
      <c r="AL84" s="497"/>
      <c r="AM84" s="498"/>
      <c r="AN84" s="498"/>
      <c r="AO84" s="498"/>
      <c r="AP84" s="501" t="s">
        <v>2235</v>
      </c>
      <c r="AQ84" s="500"/>
    </row>
    <row r="85" spans="1:43" x14ac:dyDescent="0.25">
      <c r="A85" t="s">
        <v>141</v>
      </c>
      <c r="B85" t="s">
        <v>142</v>
      </c>
      <c r="C85" s="3" t="s">
        <v>16</v>
      </c>
      <c r="D85" s="179" t="s">
        <v>24</v>
      </c>
      <c r="E85" s="179" t="s">
        <v>25</v>
      </c>
      <c r="F85">
        <v>37510</v>
      </c>
      <c r="G85" t="s">
        <v>26</v>
      </c>
      <c r="H85">
        <v>6405</v>
      </c>
      <c r="I85" t="s">
        <v>1760</v>
      </c>
      <c r="J85" t="s">
        <v>1921</v>
      </c>
      <c r="K85" s="11" t="str">
        <f>IF(Table147[[#This Row],[Proprietary?
(Y/N)]]="Y","Proprietary",IF(Table147[[#This Row],[FY25 Budget]]&lt;Lookups!$F$3,"Single Quote",IF(Table147[[#This Row],[FY25 Budget]]&gt;Lookups!$G$3,"RFP","Three quotes")))</f>
        <v>Three quotes</v>
      </c>
      <c r="L85" s="11" t="s">
        <v>178</v>
      </c>
      <c r="M85" s="460" t="s">
        <v>1922</v>
      </c>
      <c r="N85" s="9"/>
      <c r="O85" s="9"/>
      <c r="P85" s="11"/>
      <c r="Q85" s="11"/>
      <c r="R85" s="461">
        <v>29872.06</v>
      </c>
      <c r="S85" s="461">
        <v>38754</v>
      </c>
      <c r="T85" s="462">
        <v>39917</v>
      </c>
      <c r="U85" s="462">
        <v>41104</v>
      </c>
      <c r="V85" s="463">
        <v>42337</v>
      </c>
      <c r="W85" s="1">
        <v>45549</v>
      </c>
      <c r="X85" s="1">
        <f>Table147[[#This Row],[FY26 Budget]]-Table147[[#This Row],[FY26 Committed]]</f>
        <v>-3212</v>
      </c>
      <c r="Y85" s="463"/>
      <c r="Z85" s="463"/>
      <c r="AA85" s="463"/>
      <c r="AB85" s="463"/>
      <c r="AC85" s="15" t="s">
        <v>765</v>
      </c>
      <c r="AD85" s="15" t="s">
        <v>1923</v>
      </c>
      <c r="AE85" s="9">
        <v>45839</v>
      </c>
      <c r="AF85" s="365">
        <v>46203</v>
      </c>
      <c r="AG85" s="15" t="s">
        <v>1924</v>
      </c>
      <c r="AH85" s="9">
        <v>46204</v>
      </c>
      <c r="AI85" s="384"/>
      <c r="AJ85" s="234" t="s">
        <v>178</v>
      </c>
      <c r="AK85" s="234" t="s">
        <v>174</v>
      </c>
      <c r="AL85" s="16"/>
      <c r="AM85" s="2" t="s">
        <v>421</v>
      </c>
      <c r="AN85" s="454"/>
      <c r="AO85" s="381" t="s">
        <v>1925</v>
      </c>
      <c r="AP85" s="501" t="s">
        <v>2235</v>
      </c>
      <c r="AQ85" s="500"/>
    </row>
    <row r="86" spans="1:43" x14ac:dyDescent="0.25">
      <c r="A86" t="s">
        <v>1247</v>
      </c>
      <c r="B86" t="s">
        <v>1926</v>
      </c>
      <c r="C86" s="3" t="s">
        <v>38</v>
      </c>
      <c r="D86" s="179" t="s">
        <v>1641</v>
      </c>
      <c r="E86" s="179" t="s">
        <v>18</v>
      </c>
      <c r="F86">
        <v>37562</v>
      </c>
      <c r="G86" t="s">
        <v>1786</v>
      </c>
      <c r="H86">
        <v>6405</v>
      </c>
      <c r="I86" t="s">
        <v>1704</v>
      </c>
      <c r="J86" t="s">
        <v>56</v>
      </c>
      <c r="K86" s="11" t="str">
        <f>IF(Table147[[#This Row],[Proprietary?
(Y/N)]]="Y","Proprietary",IF(Table147[[#This Row],[FY25 Budget]]&lt;Lookups!$F$3,"Single Quote",IF(Table147[[#This Row],[FY25 Budget]]&gt;Lookups!$G$3,"RFP","Three quotes")))</f>
        <v>Proprietary</v>
      </c>
      <c r="L86" s="11" t="s">
        <v>174</v>
      </c>
      <c r="M86" s="460"/>
      <c r="N86" s="9"/>
      <c r="O86" s="9"/>
      <c r="P86" s="11"/>
      <c r="Q86" s="11"/>
      <c r="R86" s="461">
        <v>0</v>
      </c>
      <c r="S86" s="461">
        <v>3228</v>
      </c>
      <c r="T86" s="462">
        <v>0</v>
      </c>
      <c r="U86" s="462">
        <v>3845</v>
      </c>
      <c r="V86" s="463">
        <v>4076</v>
      </c>
      <c r="W86" s="1">
        <v>3962</v>
      </c>
      <c r="X86" s="1">
        <f>Table147[[#This Row],[FY26 Budget]]-Table147[[#This Row],[FY26 Committed]]</f>
        <v>114</v>
      </c>
      <c r="Y86" s="1">
        <v>3962</v>
      </c>
      <c r="Z86" s="1">
        <v>3962</v>
      </c>
      <c r="AA86" s="1">
        <v>3962</v>
      </c>
      <c r="AB86" s="1">
        <v>3962</v>
      </c>
      <c r="AC86" s="15" t="s">
        <v>1927</v>
      </c>
      <c r="AD86" s="15" t="s">
        <v>1928</v>
      </c>
      <c r="AE86" s="9">
        <v>45778</v>
      </c>
      <c r="AF86" s="365">
        <v>47238</v>
      </c>
      <c r="AG86" s="15" t="s">
        <v>1929</v>
      </c>
      <c r="AH86" s="9">
        <v>47239</v>
      </c>
      <c r="AI86" s="455"/>
      <c r="AJ86" s="234" t="s">
        <v>178</v>
      </c>
      <c r="AK86" s="234"/>
      <c r="AL86" s="16"/>
      <c r="AM86" s="2" t="s">
        <v>1930</v>
      </c>
      <c r="AN86" s="454"/>
      <c r="AO86" s="381" t="s">
        <v>1657</v>
      </c>
      <c r="AP86" s="501" t="s">
        <v>772</v>
      </c>
      <c r="AQ86" s="500"/>
    </row>
    <row r="87" spans="1:43" x14ac:dyDescent="0.25">
      <c r="A87" s="24"/>
    </row>
    <row r="88" spans="1:43" x14ac:dyDescent="0.25">
      <c r="AG88" s="464"/>
    </row>
    <row r="89" spans="1:43" x14ac:dyDescent="0.25">
      <c r="C89" s="88"/>
      <c r="D89" s="235"/>
      <c r="E89" s="235"/>
      <c r="AG89" s="464"/>
    </row>
    <row r="90" spans="1:43" x14ac:dyDescent="0.25">
      <c r="AG90" s="464"/>
    </row>
    <row r="93" spans="1:43" x14ac:dyDescent="0.25">
      <c r="A93" s="54"/>
    </row>
    <row r="111" spans="19:19" x14ac:dyDescent="0.25">
      <c r="S111" s="463"/>
    </row>
    <row r="112" spans="19:19" x14ac:dyDescent="0.25">
      <c r="S112" s="463"/>
    </row>
    <row r="113" spans="19:19" x14ac:dyDescent="0.25">
      <c r="S113" s="463"/>
    </row>
    <row r="114" spans="19:19" x14ac:dyDescent="0.25">
      <c r="S114" s="463"/>
    </row>
    <row r="115" spans="19:19" x14ac:dyDescent="0.25">
      <c r="S115" s="463"/>
    </row>
    <row r="116" spans="19:19" x14ac:dyDescent="0.25">
      <c r="S116" s="463"/>
    </row>
    <row r="117" spans="19:19" x14ac:dyDescent="0.25">
      <c r="S117" s="463"/>
    </row>
    <row r="118" spans="19:19" x14ac:dyDescent="0.25">
      <c r="S118" s="463"/>
    </row>
    <row r="119" spans="19:19" x14ac:dyDescent="0.25">
      <c r="S119" s="463"/>
    </row>
  </sheetData>
  <autoFilter ref="V89" xr:uid="{D99B0E02-5074-492A-BC0A-EE85E4B39F37}"/>
  <pageMargins left="0" right="0" top="0" bottom="0" header="0" footer="0"/>
  <pageSetup paperSize="17" scale="72" orientation="landscape"/>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2F3EF69-6778-438C-9BDC-B14D88F2C8C0}">
          <x14:formula1>
            <xm:f>Lookups!$B$2:$B$5</xm:f>
          </x14:formula1>
          <xm:sqref>AJ2:AK86</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B0E02-5074-492A-BC0A-EE85E4B39F37}">
  <dimension ref="A1:AQ119"/>
  <sheetViews>
    <sheetView zoomScaleNormal="100" workbookViewId="0">
      <pane xSplit="1" topLeftCell="AJ1" activePane="topRight" state="frozen"/>
      <selection pane="topRight" activeCell="A2" sqref="A2"/>
    </sheetView>
  </sheetViews>
  <sheetFormatPr defaultColWidth="9.140625" defaultRowHeight="15" outlineLevelCol="1" x14ac:dyDescent="0.25"/>
  <cols>
    <col min="1" max="1" width="40.5703125" customWidth="1"/>
    <col min="2" max="2" width="44.85546875" customWidth="1"/>
    <col min="3" max="3" width="12" style="3" customWidth="1" outlineLevel="1"/>
    <col min="4" max="4" width="16" style="179" customWidth="1" outlineLevel="1"/>
    <col min="5" max="5" width="13.28515625" style="179" customWidth="1" outlineLevel="1"/>
    <col min="6" max="6" width="8.42578125" customWidth="1"/>
    <col min="7" max="7" width="34.28515625" customWidth="1" outlineLevel="1"/>
    <col min="8" max="8" width="10.5703125" customWidth="1"/>
    <col min="9" max="9" width="24" customWidth="1"/>
    <col min="10" max="10" width="16" customWidth="1"/>
    <col min="11" max="11" width="19.5703125" customWidth="1" outlineLevel="1"/>
    <col min="12" max="12" width="13.7109375" customWidth="1" outlineLevel="1"/>
    <col min="13" max="13" width="17.7109375" style="3" customWidth="1"/>
    <col min="14" max="14" width="15.42578125" customWidth="1" outlineLevel="1"/>
    <col min="15" max="15" width="14.85546875" customWidth="1" outlineLevel="1"/>
    <col min="16" max="16" width="13" style="3" customWidth="1" outlineLevel="1"/>
    <col min="17" max="17" width="16.140625" style="9" customWidth="1" outlineLevel="1"/>
    <col min="18" max="18" width="11.85546875" style="11" customWidth="1" outlineLevel="1"/>
    <col min="19" max="19" width="11.85546875" style="9" customWidth="1" outlineLevel="1"/>
    <col min="20" max="20" width="13.7109375" style="9" customWidth="1"/>
    <col min="21" max="21" width="13" style="50" customWidth="1"/>
    <col min="22" max="22" width="12.5703125" style="50" customWidth="1"/>
    <col min="23" max="23" width="13" style="9" customWidth="1"/>
    <col min="24" max="24" width="15.5703125" style="9" customWidth="1"/>
    <col min="25" max="25" width="11.85546875" style="1" customWidth="1" outlineLevel="1" collapsed="1"/>
    <col min="26" max="26" width="10.28515625" style="1" customWidth="1" outlineLevel="1"/>
    <col min="27" max="27" width="10.140625" style="1" customWidth="1" outlineLevel="1"/>
    <col min="28" max="28" width="10.7109375" style="1" customWidth="1" outlineLevel="1"/>
    <col min="29" max="30" width="11.42578125" style="1" customWidth="1"/>
    <col min="31" max="31" width="11.85546875" style="1" customWidth="1"/>
    <col min="32" max="32" width="15.5703125" style="2" customWidth="1"/>
    <col min="33" max="33" width="14" style="3" customWidth="1"/>
    <col min="34" max="34" width="16.28515625" style="1" customWidth="1"/>
    <col min="35" max="35" width="92.85546875" style="320" customWidth="1" outlineLevel="1"/>
    <col min="36" max="36" width="15" style="47" customWidth="1"/>
    <col min="37" max="37" width="14" style="3" customWidth="1" outlineLevel="1"/>
    <col min="38" max="38" width="24.140625" style="3" customWidth="1" outlineLevel="1"/>
    <col min="39" max="39" width="63.140625" hidden="1" customWidth="1"/>
    <col min="40" max="40" width="64.5703125" customWidth="1"/>
    <col min="41" max="41" width="48.7109375" style="381" customWidth="1"/>
    <col min="43" max="43" width="52.85546875" bestFit="1" customWidth="1"/>
  </cols>
  <sheetData>
    <row r="1" spans="1:43" s="46" customFormat="1" ht="45" x14ac:dyDescent="0.25">
      <c r="A1" s="42" t="s">
        <v>1268</v>
      </c>
      <c r="B1" s="42" t="s">
        <v>1</v>
      </c>
      <c r="C1" s="42" t="s">
        <v>2</v>
      </c>
      <c r="D1" s="42" t="s">
        <v>3</v>
      </c>
      <c r="E1" s="42" t="s">
        <v>4</v>
      </c>
      <c r="F1" s="42" t="s">
        <v>5</v>
      </c>
      <c r="G1" s="42" t="s">
        <v>6</v>
      </c>
      <c r="H1" s="42" t="s">
        <v>7</v>
      </c>
      <c r="I1" s="42" t="s">
        <v>8</v>
      </c>
      <c r="J1" s="42" t="s">
        <v>144</v>
      </c>
      <c r="K1" s="308" t="s">
        <v>395</v>
      </c>
      <c r="L1" s="308" t="s">
        <v>396</v>
      </c>
      <c r="M1" s="42" t="s">
        <v>10</v>
      </c>
      <c r="N1" s="43" t="s">
        <v>148</v>
      </c>
      <c r="O1" s="43" t="s">
        <v>149</v>
      </c>
      <c r="P1" s="43" t="s">
        <v>397</v>
      </c>
      <c r="Q1" s="43" t="s">
        <v>398</v>
      </c>
      <c r="R1" s="413" t="s">
        <v>1614</v>
      </c>
      <c r="S1" s="413" t="s">
        <v>13</v>
      </c>
      <c r="T1" s="412" t="s">
        <v>1615</v>
      </c>
      <c r="U1" s="412" t="s">
        <v>1616</v>
      </c>
      <c r="V1" s="49" t="s">
        <v>1617</v>
      </c>
      <c r="W1" s="49" t="s">
        <v>1618</v>
      </c>
      <c r="X1" s="48" t="s">
        <v>1619</v>
      </c>
      <c r="Y1" s="49" t="s">
        <v>399</v>
      </c>
      <c r="Z1" s="49" t="s">
        <v>400</v>
      </c>
      <c r="AA1" s="49" t="s">
        <v>1620</v>
      </c>
      <c r="AB1" s="49" t="s">
        <v>1621</v>
      </c>
      <c r="AC1" s="42" t="s">
        <v>1622</v>
      </c>
      <c r="AD1" s="42" t="s">
        <v>1623</v>
      </c>
      <c r="AE1" s="42" t="s">
        <v>160</v>
      </c>
      <c r="AF1" s="43" t="s">
        <v>161</v>
      </c>
      <c r="AG1" s="42" t="s">
        <v>1624</v>
      </c>
      <c r="AH1" s="43" t="s">
        <v>163</v>
      </c>
      <c r="AI1" s="129" t="s">
        <v>403</v>
      </c>
      <c r="AJ1" s="45" t="s">
        <v>404</v>
      </c>
      <c r="AK1" s="45" t="s">
        <v>405</v>
      </c>
      <c r="AL1" s="45" t="s">
        <v>169</v>
      </c>
      <c r="AM1" s="45" t="s">
        <v>1625</v>
      </c>
      <c r="AN1" s="45" t="s">
        <v>407</v>
      </c>
      <c r="AO1" s="380" t="s">
        <v>1626</v>
      </c>
      <c r="AQ1" s="46" t="s">
        <v>1627</v>
      </c>
    </row>
    <row r="2" spans="1:43" x14ac:dyDescent="0.25">
      <c r="A2" t="s">
        <v>30</v>
      </c>
      <c r="B2" t="s">
        <v>31</v>
      </c>
      <c r="C2" s="3" t="s">
        <v>16</v>
      </c>
      <c r="D2" s="179" t="s">
        <v>24</v>
      </c>
      <c r="E2" s="179" t="s">
        <v>25</v>
      </c>
      <c r="F2">
        <v>37540</v>
      </c>
      <c r="G2" t="s">
        <v>32</v>
      </c>
      <c r="H2">
        <v>6405</v>
      </c>
      <c r="I2" t="s">
        <v>1628</v>
      </c>
      <c r="J2" t="s">
        <v>1629</v>
      </c>
      <c r="K2" s="11" t="s">
        <v>192</v>
      </c>
      <c r="L2" s="11" t="s">
        <v>174</v>
      </c>
      <c r="M2" s="460" t="s">
        <v>29</v>
      </c>
      <c r="N2" s="9"/>
      <c r="O2" s="9"/>
      <c r="P2" s="11"/>
      <c r="Q2" s="11"/>
      <c r="R2" s="461">
        <v>124</v>
      </c>
      <c r="S2" s="461">
        <v>120</v>
      </c>
      <c r="T2" s="462">
        <v>120</v>
      </c>
      <c r="U2" s="462">
        <v>120</v>
      </c>
      <c r="V2" s="463">
        <v>120</v>
      </c>
      <c r="W2" s="1">
        <v>120</v>
      </c>
      <c r="X2" s="1">
        <f>Table14[[#This Row],[FY26 Budget]]-Table14[[#This Row],[FY26 Committed]]</f>
        <v>0</v>
      </c>
      <c r="Y2" s="463"/>
      <c r="Z2" s="463"/>
      <c r="AA2" s="463"/>
      <c r="AB2" s="463"/>
      <c r="AC2" s="15" t="s">
        <v>433</v>
      </c>
      <c r="AD2" s="15" t="s">
        <v>1630</v>
      </c>
      <c r="AE2" s="9">
        <v>45839</v>
      </c>
      <c r="AF2" s="365">
        <v>46203</v>
      </c>
      <c r="AG2" s="15" t="s">
        <v>1631</v>
      </c>
      <c r="AH2" s="9">
        <v>46204</v>
      </c>
      <c r="AI2" s="455"/>
      <c r="AJ2" s="234" t="s">
        <v>174</v>
      </c>
      <c r="AK2" s="234" t="s">
        <v>174</v>
      </c>
      <c r="AL2" s="16" t="s">
        <v>186</v>
      </c>
      <c r="AM2" s="2" t="s">
        <v>421</v>
      </c>
      <c r="AN2" s="454"/>
      <c r="AO2" s="456" t="s">
        <v>234</v>
      </c>
    </row>
    <row r="3" spans="1:43" x14ac:dyDescent="0.25">
      <c r="A3" t="s">
        <v>1632</v>
      </c>
      <c r="B3" t="s">
        <v>422</v>
      </c>
      <c r="C3" s="3" t="s">
        <v>16</v>
      </c>
      <c r="D3" s="179" t="s">
        <v>24</v>
      </c>
      <c r="E3" s="179" t="s">
        <v>25</v>
      </c>
      <c r="F3">
        <v>37510</v>
      </c>
      <c r="G3" t="s">
        <v>26</v>
      </c>
      <c r="H3">
        <v>6405</v>
      </c>
      <c r="I3" t="s">
        <v>65</v>
      </c>
      <c r="K3" s="11" t="s">
        <v>173</v>
      </c>
      <c r="L3" s="11" t="s">
        <v>174</v>
      </c>
      <c r="M3" s="460" t="s">
        <v>29</v>
      </c>
      <c r="N3" s="9"/>
      <c r="O3" s="9"/>
      <c r="P3" s="11"/>
      <c r="Q3" s="11"/>
      <c r="R3" s="461">
        <v>0</v>
      </c>
      <c r="S3" s="461">
        <v>0</v>
      </c>
      <c r="T3" s="462">
        <f>4804.16*3</f>
        <v>14412.48</v>
      </c>
      <c r="U3" s="462">
        <v>14412</v>
      </c>
      <c r="V3" s="463">
        <v>14844</v>
      </c>
      <c r="W3" s="1">
        <v>16723.68</v>
      </c>
      <c r="X3" s="1">
        <f>Table14[[#This Row],[FY26 Budget]]-Table14[[#This Row],[FY26 Committed]]</f>
        <v>-1879.6800000000003</v>
      </c>
      <c r="Y3" s="463"/>
      <c r="Z3" s="463"/>
      <c r="AA3" s="463"/>
      <c r="AB3" s="463"/>
      <c r="AC3" s="15" t="s">
        <v>234</v>
      </c>
      <c r="AD3" s="15" t="s">
        <v>1633</v>
      </c>
      <c r="AE3" s="9">
        <v>45839</v>
      </c>
      <c r="AF3" s="365">
        <v>46203</v>
      </c>
      <c r="AG3" s="15" t="s">
        <v>1634</v>
      </c>
      <c r="AH3" s="9">
        <v>46204</v>
      </c>
      <c r="AI3" s="384"/>
      <c r="AJ3" s="234" t="s">
        <v>174</v>
      </c>
      <c r="AK3" s="234" t="s">
        <v>174</v>
      </c>
      <c r="AL3" s="16"/>
      <c r="AM3" s="2"/>
      <c r="AN3" s="454"/>
      <c r="AO3" s="381" t="s">
        <v>234</v>
      </c>
    </row>
    <row r="4" spans="1:43" x14ac:dyDescent="0.25">
      <c r="A4" t="s">
        <v>435</v>
      </c>
      <c r="B4" t="s">
        <v>436</v>
      </c>
      <c r="C4" s="3" t="s">
        <v>38</v>
      </c>
      <c r="D4" s="179" t="s">
        <v>24</v>
      </c>
      <c r="E4" s="179" t="s">
        <v>18</v>
      </c>
      <c r="F4">
        <v>37100</v>
      </c>
      <c r="G4" t="s">
        <v>324</v>
      </c>
      <c r="H4">
        <v>6130</v>
      </c>
      <c r="I4" t="s">
        <v>1635</v>
      </c>
      <c r="J4" t="s">
        <v>1636</v>
      </c>
      <c r="K4" s="11" t="s">
        <v>173</v>
      </c>
      <c r="L4" s="11" t="s">
        <v>174</v>
      </c>
      <c r="M4" s="460">
        <v>1002248</v>
      </c>
      <c r="N4" s="9">
        <v>45597</v>
      </c>
      <c r="O4" s="9">
        <v>45961</v>
      </c>
      <c r="P4" s="11"/>
      <c r="Q4" s="11"/>
      <c r="R4" s="461">
        <v>0</v>
      </c>
      <c r="S4" s="461">
        <v>2581.6799999999998</v>
      </c>
      <c r="T4" s="462">
        <v>3000</v>
      </c>
      <c r="U4" s="462">
        <v>2839.85</v>
      </c>
      <c r="V4" s="463">
        <v>3000</v>
      </c>
      <c r="W4" s="1"/>
      <c r="X4" s="1">
        <f>Table14[[#This Row],[FY26 Budget]]-Table14[[#This Row],[FY26 Committed]]</f>
        <v>3000</v>
      </c>
      <c r="Y4" s="463"/>
      <c r="Z4" s="463"/>
      <c r="AA4" s="463"/>
      <c r="AB4" s="463"/>
      <c r="AC4" s="15" t="s">
        <v>441</v>
      </c>
      <c r="AD4" s="15" t="s">
        <v>1637</v>
      </c>
      <c r="AE4" s="9">
        <v>45597</v>
      </c>
      <c r="AF4" s="365">
        <v>45961</v>
      </c>
      <c r="AG4" s="15"/>
      <c r="AH4" s="9">
        <v>45931</v>
      </c>
      <c r="AI4" s="384"/>
      <c r="AJ4" s="234" t="s">
        <v>174</v>
      </c>
      <c r="AK4" s="234" t="s">
        <v>174</v>
      </c>
      <c r="AL4" s="16" t="s">
        <v>186</v>
      </c>
      <c r="AM4" s="2" t="s">
        <v>443</v>
      </c>
      <c r="AN4" s="454" t="s">
        <v>1638</v>
      </c>
      <c r="AO4" s="381" t="s">
        <v>234</v>
      </c>
    </row>
    <row r="5" spans="1:43" x14ac:dyDescent="0.25">
      <c r="A5" t="s">
        <v>444</v>
      </c>
      <c r="B5" t="s">
        <v>445</v>
      </c>
      <c r="C5" s="3" t="s">
        <v>38</v>
      </c>
      <c r="D5" s="179" t="s">
        <v>24</v>
      </c>
      <c r="E5" s="179" t="s">
        <v>18</v>
      </c>
      <c r="F5">
        <v>37100</v>
      </c>
      <c r="G5" t="s">
        <v>324</v>
      </c>
      <c r="H5">
        <v>6130</v>
      </c>
      <c r="I5" t="s">
        <v>1635</v>
      </c>
      <c r="J5" t="s">
        <v>1636</v>
      </c>
      <c r="K5" s="11" t="s">
        <v>173</v>
      </c>
      <c r="L5" s="11" t="s">
        <v>178</v>
      </c>
      <c r="M5" s="460">
        <v>1003714</v>
      </c>
      <c r="N5" s="9">
        <v>45474</v>
      </c>
      <c r="O5" s="9">
        <v>45838</v>
      </c>
      <c r="P5" s="11"/>
      <c r="Q5" s="11"/>
      <c r="R5" s="461">
        <v>225750</v>
      </c>
      <c r="S5" s="461">
        <v>206261</v>
      </c>
      <c r="T5" s="462">
        <v>217000</v>
      </c>
      <c r="U5" s="462">
        <v>227762.32</v>
      </c>
      <c r="V5" s="463">
        <v>250000</v>
      </c>
      <c r="W5" s="1">
        <v>247292.38</v>
      </c>
      <c r="X5" s="1">
        <f>Table14[[#This Row],[FY26 Budget]]-Table14[[#This Row],[FY26 Committed]]</f>
        <v>2707.6199999999953</v>
      </c>
      <c r="Y5" s="463"/>
      <c r="Z5" s="463"/>
      <c r="AA5" s="463"/>
      <c r="AB5" s="463"/>
      <c r="AC5" s="15" t="s">
        <v>447</v>
      </c>
      <c r="AD5" s="15" t="s">
        <v>1639</v>
      </c>
      <c r="AE5" s="9">
        <v>45839</v>
      </c>
      <c r="AF5" s="365">
        <v>46203</v>
      </c>
      <c r="AG5" s="15" t="s">
        <v>1640</v>
      </c>
      <c r="AH5" s="9">
        <v>46204</v>
      </c>
      <c r="AI5" s="455"/>
      <c r="AJ5" s="234" t="s">
        <v>174</v>
      </c>
      <c r="AK5" s="234" t="s">
        <v>174</v>
      </c>
      <c r="AL5" s="16" t="s">
        <v>186</v>
      </c>
      <c r="AM5" s="2"/>
      <c r="AN5" s="454"/>
      <c r="AO5" s="456" t="s">
        <v>234</v>
      </c>
    </row>
    <row r="6" spans="1:43" x14ac:dyDescent="0.25">
      <c r="A6" t="s">
        <v>456</v>
      </c>
      <c r="B6" t="s">
        <v>214</v>
      </c>
      <c r="C6" s="3" t="s">
        <v>38</v>
      </c>
      <c r="D6" s="179" t="s">
        <v>1641</v>
      </c>
      <c r="E6" s="179" t="s">
        <v>18</v>
      </c>
      <c r="F6">
        <v>37550</v>
      </c>
      <c r="G6" t="s">
        <v>87</v>
      </c>
      <c r="H6">
        <v>6405</v>
      </c>
      <c r="I6" t="s">
        <v>1642</v>
      </c>
      <c r="J6" t="s">
        <v>1643</v>
      </c>
      <c r="K6" s="11" t="s">
        <v>173</v>
      </c>
      <c r="L6" s="11" t="s">
        <v>178</v>
      </c>
      <c r="M6" s="460">
        <v>1000315</v>
      </c>
      <c r="N6" s="9"/>
      <c r="O6" s="9"/>
      <c r="P6" s="11"/>
      <c r="Q6" s="11"/>
      <c r="R6" s="461">
        <v>23160</v>
      </c>
      <c r="S6" s="461">
        <v>23160</v>
      </c>
      <c r="T6" s="462">
        <v>23160</v>
      </c>
      <c r="U6" s="462">
        <v>24760.400000000001</v>
      </c>
      <c r="V6" s="463">
        <v>24760</v>
      </c>
      <c r="W6" s="1">
        <v>24760.400000000001</v>
      </c>
      <c r="X6" s="1">
        <f>Table14[[#This Row],[FY26 Budget]]-Table14[[#This Row],[FY26 Committed]]</f>
        <v>-0.40000000000145519</v>
      </c>
      <c r="Y6" s="463">
        <v>24760.400000000001</v>
      </c>
      <c r="Z6" s="463"/>
      <c r="AA6" s="463"/>
      <c r="AB6" s="463"/>
      <c r="AC6" s="15" t="s">
        <v>457</v>
      </c>
      <c r="AD6" s="15" t="s">
        <v>457</v>
      </c>
      <c r="AE6" s="9">
        <v>44652</v>
      </c>
      <c r="AF6" s="365">
        <v>46477</v>
      </c>
      <c r="AG6" s="15" t="str">
        <f>Table14[[#This Row],[FY25 PO]]</f>
        <v>P22052202</v>
      </c>
      <c r="AH6" s="9">
        <v>46478</v>
      </c>
      <c r="AI6" s="455" t="s">
        <v>458</v>
      </c>
      <c r="AJ6" s="234" t="s">
        <v>178</v>
      </c>
      <c r="AK6" s="234" t="s">
        <v>174</v>
      </c>
      <c r="AL6" s="16"/>
      <c r="AM6" s="2" t="s">
        <v>461</v>
      </c>
      <c r="AN6" s="454" t="s">
        <v>1644</v>
      </c>
      <c r="AO6" s="456" t="s">
        <v>1645</v>
      </c>
    </row>
    <row r="7" spans="1:43" x14ac:dyDescent="0.25">
      <c r="A7" t="s">
        <v>1646</v>
      </c>
      <c r="B7" t="s">
        <v>1647</v>
      </c>
      <c r="C7" s="3" t="s">
        <v>16</v>
      </c>
      <c r="D7" s="179" t="s">
        <v>24</v>
      </c>
      <c r="E7" s="179" t="s">
        <v>18</v>
      </c>
      <c r="F7">
        <v>37200</v>
      </c>
      <c r="G7" t="s">
        <v>1648</v>
      </c>
      <c r="H7">
        <v>6130</v>
      </c>
      <c r="I7" t="s">
        <v>1636</v>
      </c>
      <c r="K7" s="11" t="s">
        <v>173</v>
      </c>
      <c r="L7" s="11" t="s">
        <v>178</v>
      </c>
      <c r="M7" s="460" t="s">
        <v>29</v>
      </c>
      <c r="N7" s="9"/>
      <c r="O7" s="9"/>
      <c r="P7" s="11"/>
      <c r="Q7" s="11"/>
      <c r="R7" s="461">
        <v>0</v>
      </c>
      <c r="S7" s="461">
        <v>0</v>
      </c>
      <c r="T7" s="462">
        <v>14000</v>
      </c>
      <c r="U7" s="462">
        <v>40996.5</v>
      </c>
      <c r="V7" s="463">
        <v>14000</v>
      </c>
      <c r="W7" s="1">
        <v>13665.5</v>
      </c>
      <c r="X7" s="1">
        <f>Table14[[#This Row],[FY26 Budget]]-Table14[[#This Row],[FY26 Committed]]</f>
        <v>334.5</v>
      </c>
      <c r="Y7" s="463">
        <v>13665.5</v>
      </c>
      <c r="Z7" s="463"/>
      <c r="AA7" s="463"/>
      <c r="AB7" s="463"/>
      <c r="AC7" s="15" t="s">
        <v>234</v>
      </c>
      <c r="AD7" s="15" t="s">
        <v>1649</v>
      </c>
      <c r="AE7" s="9">
        <v>45505</v>
      </c>
      <c r="AF7" s="365">
        <v>46599</v>
      </c>
      <c r="AG7" s="15" t="str">
        <f>Table14[[#This Row],[FY25 PO]]</f>
        <v>P25008734</v>
      </c>
      <c r="AH7" s="9">
        <v>46600</v>
      </c>
      <c r="AI7" s="384" t="s">
        <v>1650</v>
      </c>
      <c r="AJ7" s="234" t="s">
        <v>174</v>
      </c>
      <c r="AK7" s="234" t="s">
        <v>174</v>
      </c>
      <c r="AL7" s="16"/>
      <c r="AM7" s="2"/>
      <c r="AN7" s="454" t="s">
        <v>1651</v>
      </c>
      <c r="AO7" s="381" t="s">
        <v>234</v>
      </c>
    </row>
    <row r="8" spans="1:43" x14ac:dyDescent="0.25">
      <c r="A8" t="s">
        <v>36</v>
      </c>
      <c r="B8" t="s">
        <v>37</v>
      </c>
      <c r="C8" s="3" t="s">
        <v>38</v>
      </c>
      <c r="D8" s="179" t="s">
        <v>408</v>
      </c>
      <c r="E8" s="179" t="s">
        <v>18</v>
      </c>
      <c r="F8">
        <v>37521</v>
      </c>
      <c r="G8" t="s">
        <v>1652</v>
      </c>
      <c r="H8">
        <v>6405</v>
      </c>
      <c r="I8" t="s">
        <v>1653</v>
      </c>
      <c r="J8" t="s">
        <v>1629</v>
      </c>
      <c r="K8" s="11" t="str">
        <f>IF(Table14[[#This Row],[Proprietary?
(Y/N)]]="Y","Proprietary",IF(Table14[[#This Row],[FY25 Budget]]&lt;Lookups!$F$3,"Single Quote",IF(Table14[[#This Row],[FY25 Budget]]&gt;Lookups!$G$3,"RFP","Three quotes")))</f>
        <v>Proprietary</v>
      </c>
      <c r="L8" s="11" t="s">
        <v>174</v>
      </c>
      <c r="M8" s="460">
        <v>200250</v>
      </c>
      <c r="N8" s="9">
        <v>44117</v>
      </c>
      <c r="O8" s="9">
        <v>46673</v>
      </c>
      <c r="P8" s="11" t="s">
        <v>1274</v>
      </c>
      <c r="Q8" s="11"/>
      <c r="R8" s="461">
        <v>15450</v>
      </c>
      <c r="S8" s="461">
        <v>13000</v>
      </c>
      <c r="T8" s="462">
        <v>0</v>
      </c>
      <c r="U8" s="462">
        <v>13000</v>
      </c>
      <c r="V8" s="463">
        <v>13000</v>
      </c>
      <c r="W8" s="1">
        <v>15000</v>
      </c>
      <c r="X8" s="1">
        <f>Table14[[#This Row],[FY26 Budget]]-Table14[[#This Row],[FY26 Committed]]</f>
        <v>-2000</v>
      </c>
      <c r="Y8" s="463"/>
      <c r="Z8" s="463"/>
      <c r="AA8" s="463"/>
      <c r="AB8" s="463"/>
      <c r="AC8" s="15" t="s">
        <v>463</v>
      </c>
      <c r="AD8" s="15" t="s">
        <v>1654</v>
      </c>
      <c r="AE8" s="9">
        <v>45901</v>
      </c>
      <c r="AF8" s="365">
        <v>46265</v>
      </c>
      <c r="AG8" s="15" t="s">
        <v>1655</v>
      </c>
      <c r="AH8" s="9">
        <v>46266</v>
      </c>
      <c r="AI8" s="455" t="s">
        <v>1656</v>
      </c>
      <c r="AJ8" s="234" t="s">
        <v>178</v>
      </c>
      <c r="AK8" s="234" t="s">
        <v>174</v>
      </c>
      <c r="AL8" s="16"/>
      <c r="AM8" s="2"/>
      <c r="AN8" s="454"/>
      <c r="AO8" s="456" t="s">
        <v>1657</v>
      </c>
    </row>
    <row r="9" spans="1:43" x14ac:dyDescent="0.25">
      <c r="A9" t="s">
        <v>1658</v>
      </c>
      <c r="B9" t="s">
        <v>469</v>
      </c>
      <c r="C9" s="3" t="s">
        <v>16</v>
      </c>
      <c r="D9" s="179" t="s">
        <v>24</v>
      </c>
      <c r="E9" s="179" t="s">
        <v>25</v>
      </c>
      <c r="F9">
        <v>37510</v>
      </c>
      <c r="G9" t="s">
        <v>26</v>
      </c>
      <c r="H9">
        <v>6405</v>
      </c>
      <c r="I9" t="s">
        <v>65</v>
      </c>
      <c r="K9" s="11" t="s">
        <v>173</v>
      </c>
      <c r="L9" s="11" t="s">
        <v>174</v>
      </c>
      <c r="M9" s="460"/>
      <c r="N9" s="9"/>
      <c r="O9" s="9"/>
      <c r="P9" s="11"/>
      <c r="Q9" s="11"/>
      <c r="R9" s="461">
        <v>0</v>
      </c>
      <c r="S9" s="461">
        <v>749.36</v>
      </c>
      <c r="T9" s="462">
        <v>0</v>
      </c>
      <c r="U9" s="462">
        <v>749</v>
      </c>
      <c r="V9" s="463">
        <v>1000</v>
      </c>
      <c r="W9" s="1">
        <v>3182.13</v>
      </c>
      <c r="X9" s="1">
        <f>Table14[[#This Row],[FY26 Budget]]-Table14[[#This Row],[FY26 Committed]]</f>
        <v>-2182.13</v>
      </c>
      <c r="Y9" s="463"/>
      <c r="Z9" s="463"/>
      <c r="AA9" s="463"/>
      <c r="AB9" s="463"/>
      <c r="AC9" s="15" t="s">
        <v>470</v>
      </c>
      <c r="AD9" s="15" t="s">
        <v>470</v>
      </c>
      <c r="AE9" s="9">
        <v>45792</v>
      </c>
      <c r="AF9" s="365">
        <v>46857</v>
      </c>
      <c r="AG9" s="15" t="s">
        <v>1659</v>
      </c>
      <c r="AH9" s="9">
        <v>46874</v>
      </c>
      <c r="AI9" s="384" t="s">
        <v>1660</v>
      </c>
      <c r="AJ9" s="234" t="s">
        <v>174</v>
      </c>
      <c r="AK9" s="234" t="s">
        <v>174</v>
      </c>
      <c r="AL9" s="16" t="s">
        <v>186</v>
      </c>
      <c r="AM9" s="2" t="s">
        <v>471</v>
      </c>
      <c r="AN9" s="454" t="s">
        <v>1661</v>
      </c>
      <c r="AO9" s="381" t="s">
        <v>234</v>
      </c>
    </row>
    <row r="10" spans="1:43" x14ac:dyDescent="0.25">
      <c r="A10" t="s">
        <v>472</v>
      </c>
      <c r="B10" t="s">
        <v>473</v>
      </c>
      <c r="C10" s="3" t="s">
        <v>16</v>
      </c>
      <c r="D10" s="179" t="s">
        <v>74</v>
      </c>
      <c r="E10" s="179" t="s">
        <v>18</v>
      </c>
      <c r="F10">
        <v>37410</v>
      </c>
      <c r="G10" t="s">
        <v>416</v>
      </c>
      <c r="H10">
        <v>6405</v>
      </c>
      <c r="I10" t="s">
        <v>1662</v>
      </c>
      <c r="J10" t="s">
        <v>418</v>
      </c>
      <c r="K10" s="11" t="str">
        <f>IF(Table14[[#This Row],[Proprietary?
(Y/N)]]="Y","Proprietary",IF(Table14[[#This Row],[FY25 Budget]]&lt;Lookups!$F$3,"Single Quote",IF(Table14[[#This Row],[FY25 Budget]]&gt;Lookups!$G$3,"RFP","Three quotes")))</f>
        <v>Single Quote</v>
      </c>
      <c r="L10" s="11" t="s">
        <v>174</v>
      </c>
      <c r="M10" s="460"/>
      <c r="N10" s="9"/>
      <c r="O10" s="9"/>
      <c r="P10" s="11"/>
      <c r="Q10" s="11"/>
      <c r="R10" s="461">
        <v>0</v>
      </c>
      <c r="S10" s="461">
        <v>10000</v>
      </c>
      <c r="T10" s="462">
        <v>10000</v>
      </c>
      <c r="U10" s="462"/>
      <c r="V10" s="463">
        <v>10000</v>
      </c>
      <c r="W10" s="1"/>
      <c r="X10" s="1">
        <f>Table14[[#This Row],[FY26 Budget]]-Table14[[#This Row],[FY26 Committed]]</f>
        <v>10000</v>
      </c>
      <c r="Y10" s="463"/>
      <c r="Z10" s="463"/>
      <c r="AA10" s="463"/>
      <c r="AB10" s="463"/>
      <c r="AC10" s="15" t="s">
        <v>475</v>
      </c>
      <c r="AD10" s="15" t="s">
        <v>475</v>
      </c>
      <c r="AE10" s="9">
        <v>45108</v>
      </c>
      <c r="AF10" s="365">
        <v>46203</v>
      </c>
      <c r="AG10" s="15"/>
      <c r="AH10" s="9">
        <v>46203</v>
      </c>
      <c r="AI10" s="455"/>
      <c r="AJ10" s="234" t="s">
        <v>174</v>
      </c>
      <c r="AK10" s="234" t="s">
        <v>174</v>
      </c>
      <c r="AL10" s="16"/>
      <c r="AM10" s="2"/>
      <c r="AN10" s="454" t="s">
        <v>1663</v>
      </c>
      <c r="AO10" s="456" t="s">
        <v>234</v>
      </c>
    </row>
    <row r="11" spans="1:43" x14ac:dyDescent="0.25">
      <c r="A11" t="s">
        <v>42</v>
      </c>
      <c r="B11" t="s">
        <v>43</v>
      </c>
      <c r="C11" s="3" t="s">
        <v>16</v>
      </c>
      <c r="D11" s="179" t="s">
        <v>408</v>
      </c>
      <c r="E11" s="179" t="s">
        <v>25</v>
      </c>
      <c r="F11">
        <v>37410</v>
      </c>
      <c r="G11" t="s">
        <v>1664</v>
      </c>
      <c r="H11">
        <v>6405</v>
      </c>
      <c r="I11" t="s">
        <v>1665</v>
      </c>
      <c r="J11" t="s">
        <v>418</v>
      </c>
      <c r="K11" s="11" t="str">
        <f>IF(Table14[[#This Row],[Proprietary?
(Y/N)]]="Y","Proprietary",IF(Table14[[#This Row],[FY25 Budget]]&lt;Lookups!$F$3,"Single Quote",IF(Table14[[#This Row],[FY25 Budget]]&gt;Lookups!$G$3,"RFP","Three quotes")))</f>
        <v>Three quotes</v>
      </c>
      <c r="L11" s="11" t="s">
        <v>178</v>
      </c>
      <c r="M11" s="460">
        <v>1000079</v>
      </c>
      <c r="N11" s="9">
        <v>44595</v>
      </c>
      <c r="O11" s="9">
        <v>45838</v>
      </c>
      <c r="P11" s="11" t="s">
        <v>1666</v>
      </c>
      <c r="Q11" s="11"/>
      <c r="R11" s="461">
        <v>175671.1</v>
      </c>
      <c r="S11" s="461">
        <v>130757.4</v>
      </c>
      <c r="T11" s="462">
        <v>134680</v>
      </c>
      <c r="U11" s="462"/>
      <c r="V11" s="463">
        <v>138720</v>
      </c>
      <c r="W11" s="1">
        <v>152208</v>
      </c>
      <c r="X11" s="1">
        <f>Table14[[#This Row],[FY26 Budget]]-Table14[[#This Row],[FY26 Committed]]</f>
        <v>-13488</v>
      </c>
      <c r="Y11" s="463"/>
      <c r="Z11" s="463"/>
      <c r="AA11" s="463"/>
      <c r="AB11" s="463"/>
      <c r="AC11" s="15" t="s">
        <v>478</v>
      </c>
      <c r="AD11" s="15" t="s">
        <v>478</v>
      </c>
      <c r="AE11" s="9">
        <v>45839</v>
      </c>
      <c r="AF11" s="365">
        <v>46203</v>
      </c>
      <c r="AG11" s="15" t="s">
        <v>1667</v>
      </c>
      <c r="AH11" s="9">
        <v>46204</v>
      </c>
      <c r="AI11" s="384" t="s">
        <v>1656</v>
      </c>
      <c r="AJ11" s="234" t="s">
        <v>178</v>
      </c>
      <c r="AK11" s="234" t="s">
        <v>174</v>
      </c>
      <c r="AL11" s="16"/>
      <c r="AM11" s="2" t="s">
        <v>1656</v>
      </c>
      <c r="AN11" s="454"/>
      <c r="AO11" s="381" t="s">
        <v>234</v>
      </c>
    </row>
    <row r="12" spans="1:43" ht="18.75" customHeight="1" x14ac:dyDescent="0.25">
      <c r="A12" t="s">
        <v>1668</v>
      </c>
      <c r="B12" t="s">
        <v>1669</v>
      </c>
      <c r="C12" s="3" t="s">
        <v>38</v>
      </c>
      <c r="D12" s="179" t="s">
        <v>1641</v>
      </c>
      <c r="E12" s="179" t="s">
        <v>18</v>
      </c>
      <c r="F12">
        <v>37550</v>
      </c>
      <c r="G12" t="s">
        <v>87</v>
      </c>
      <c r="H12" s="416" t="s">
        <v>1670</v>
      </c>
      <c r="I12" t="s">
        <v>1643</v>
      </c>
      <c r="K12" s="11" t="str">
        <f>IF(Table14[[#This Row],[Proprietary?
(Y/N)]]="Y","Proprietary",IF(Table14[[#This Row],[FY25 Budget]]&lt;Lookups!$F$3,"Single Quote",IF(Table14[[#This Row],[FY25 Budget]]&gt;Lookups!$G$3,"RFP","Three quotes")))</f>
        <v>Proprietary</v>
      </c>
      <c r="L12" s="11" t="s">
        <v>178</v>
      </c>
      <c r="M12" s="460"/>
      <c r="N12" s="9"/>
      <c r="O12" s="9"/>
      <c r="P12" s="11"/>
      <c r="Q12" s="11"/>
      <c r="R12" s="461">
        <v>0</v>
      </c>
      <c r="S12" s="461">
        <v>0</v>
      </c>
      <c r="T12" s="462">
        <v>0</v>
      </c>
      <c r="U12" s="462">
        <v>0</v>
      </c>
      <c r="V12" s="463">
        <v>0</v>
      </c>
      <c r="W12" s="1">
        <v>64937.07</v>
      </c>
      <c r="X12" s="1">
        <f>Table14[[#This Row],[FY26 Budget]]-Table14[[#This Row],[FY26 Committed]]</f>
        <v>-64937.07</v>
      </c>
      <c r="Y12" s="463">
        <v>64937.07</v>
      </c>
      <c r="Z12" s="463"/>
      <c r="AA12" s="463"/>
      <c r="AB12" s="463"/>
      <c r="AC12" s="15" t="s">
        <v>234</v>
      </c>
      <c r="AD12" s="15" t="s">
        <v>234</v>
      </c>
      <c r="AE12" s="9">
        <v>45778</v>
      </c>
      <c r="AF12" s="365">
        <v>46904</v>
      </c>
      <c r="AG12" s="15" t="s">
        <v>1671</v>
      </c>
      <c r="AH12" s="9">
        <v>46844</v>
      </c>
      <c r="AI12" s="455" t="s">
        <v>1672</v>
      </c>
      <c r="AJ12" s="234"/>
      <c r="AK12" s="234"/>
      <c r="AL12" s="16"/>
      <c r="AM12" s="2"/>
      <c r="AN12" s="454" t="s">
        <v>1673</v>
      </c>
      <c r="AO12" s="456" t="s">
        <v>234</v>
      </c>
    </row>
    <row r="13" spans="1:43" x14ac:dyDescent="0.25">
      <c r="A13" t="s">
        <v>1674</v>
      </c>
      <c r="B13" t="s">
        <v>1675</v>
      </c>
      <c r="C13" s="3" t="s">
        <v>38</v>
      </c>
      <c r="D13" s="179" t="s">
        <v>1641</v>
      </c>
      <c r="E13" s="179" t="s">
        <v>18</v>
      </c>
      <c r="F13">
        <v>37560</v>
      </c>
      <c r="G13" t="s">
        <v>1676</v>
      </c>
      <c r="H13">
        <v>6405</v>
      </c>
      <c r="I13" t="s">
        <v>1677</v>
      </c>
      <c r="J13" t="s">
        <v>56</v>
      </c>
      <c r="K13" s="11" t="str">
        <f>IF(Table14[[#This Row],[Proprietary?
(Y/N)]]="Y","Proprietary",IF(Table14[[#This Row],[FY25 Budget]]&lt;Lookups!$F$3,"Single Quote",IF(Table14[[#This Row],[FY25 Budget]]&gt;Lookups!$G$3,"RFP","Three quotes")))</f>
        <v>Proprietary</v>
      </c>
      <c r="L13" s="11"/>
      <c r="M13" s="460">
        <v>1003785</v>
      </c>
      <c r="N13" s="9">
        <v>42794</v>
      </c>
      <c r="O13" s="9">
        <v>46568</v>
      </c>
      <c r="P13" s="11"/>
      <c r="Q13" s="11"/>
      <c r="R13" s="461"/>
      <c r="S13" s="461">
        <v>45100</v>
      </c>
      <c r="T13" s="462"/>
      <c r="U13" s="462">
        <v>12000</v>
      </c>
      <c r="V13" s="463">
        <v>0</v>
      </c>
      <c r="W13" s="1">
        <v>45000</v>
      </c>
      <c r="X13" s="1">
        <f>Table14[[#This Row],[FY26 Budget]]-Table14[[#This Row],[FY26 Committed]]</f>
        <v>-45000</v>
      </c>
      <c r="Y13" s="463">
        <v>45000</v>
      </c>
      <c r="Z13" s="463"/>
      <c r="AA13" s="463"/>
      <c r="AB13" s="463"/>
      <c r="AC13" s="15" t="s">
        <v>497</v>
      </c>
      <c r="AD13" s="15" t="s">
        <v>1678</v>
      </c>
      <c r="AE13" s="9">
        <v>45839</v>
      </c>
      <c r="AF13" s="365">
        <v>46203</v>
      </c>
      <c r="AG13" s="15" t="s">
        <v>1679</v>
      </c>
      <c r="AH13" s="9">
        <v>46204</v>
      </c>
      <c r="AI13" s="384"/>
      <c r="AJ13" s="234"/>
      <c r="AK13" s="234"/>
      <c r="AL13" s="16"/>
      <c r="AM13" s="2" t="s">
        <v>495</v>
      </c>
      <c r="AN13" s="454"/>
      <c r="AO13" s="381" t="s">
        <v>234</v>
      </c>
    </row>
    <row r="14" spans="1:43" x14ac:dyDescent="0.25">
      <c r="A14" t="s">
        <v>1680</v>
      </c>
      <c r="B14" t="s">
        <v>49</v>
      </c>
      <c r="C14" s="3" t="s">
        <v>38</v>
      </c>
      <c r="D14" s="179" t="s">
        <v>1641</v>
      </c>
      <c r="E14" s="179" t="s">
        <v>18</v>
      </c>
      <c r="F14">
        <v>37560</v>
      </c>
      <c r="G14" t="s">
        <v>1676</v>
      </c>
      <c r="H14">
        <v>6405</v>
      </c>
      <c r="I14" t="s">
        <v>56</v>
      </c>
      <c r="J14" t="s">
        <v>56</v>
      </c>
      <c r="K14" s="11" t="str">
        <f>IF(Table14[[#This Row],[Proprietary?
(Y/N)]]="Y","Proprietary",IF(Table14[[#This Row],[FY25 Budget]]&lt;Lookups!$F$3,"Single Quote",IF(Table14[[#This Row],[FY25 Budget]]&gt;Lookups!$G$3,"RFP","Three quotes")))</f>
        <v>Proprietary</v>
      </c>
      <c r="L14" s="11" t="s">
        <v>178</v>
      </c>
      <c r="M14" s="460">
        <v>1003785</v>
      </c>
      <c r="N14" s="9">
        <v>42794</v>
      </c>
      <c r="O14" s="9">
        <v>45838</v>
      </c>
      <c r="P14" s="11"/>
      <c r="Q14" s="11"/>
      <c r="R14" s="461">
        <v>139959.49</v>
      </c>
      <c r="S14" s="461">
        <v>139883</v>
      </c>
      <c r="T14" s="462">
        <v>144079</v>
      </c>
      <c r="U14" s="462">
        <v>167235</v>
      </c>
      <c r="V14" s="463">
        <v>177835</v>
      </c>
      <c r="W14" s="1">
        <v>171835</v>
      </c>
      <c r="X14" s="1">
        <f>Table14[[#This Row],[FY26 Budget]]-Table14[[#This Row],[FY26 Committed]]</f>
        <v>6000</v>
      </c>
      <c r="Y14" s="463">
        <v>166835</v>
      </c>
      <c r="Z14" s="463"/>
      <c r="AA14" s="463"/>
      <c r="AB14" s="463"/>
      <c r="AC14" s="15" t="s">
        <v>492</v>
      </c>
      <c r="AD14" s="15" t="s">
        <v>1681</v>
      </c>
      <c r="AE14" s="9">
        <v>45474</v>
      </c>
      <c r="AF14" s="365">
        <v>46568</v>
      </c>
      <c r="AG14" s="15" t="str">
        <f>Table14[[#This Row],[FY25 PO]]</f>
        <v>P25006264</v>
      </c>
      <c r="AH14" s="9">
        <v>46569</v>
      </c>
      <c r="AI14" s="455"/>
      <c r="AJ14" s="234" t="s">
        <v>178</v>
      </c>
      <c r="AK14" s="234" t="s">
        <v>174</v>
      </c>
      <c r="AL14" s="16"/>
      <c r="AM14" s="2" t="s">
        <v>495</v>
      </c>
      <c r="AN14" s="454"/>
      <c r="AO14" s="456" t="s">
        <v>1682</v>
      </c>
    </row>
    <row r="15" spans="1:43" x14ac:dyDescent="0.25">
      <c r="A15" t="s">
        <v>170</v>
      </c>
      <c r="B15" t="s">
        <v>171</v>
      </c>
      <c r="C15" s="3" t="s">
        <v>16</v>
      </c>
      <c r="D15" s="179" t="s">
        <v>24</v>
      </c>
      <c r="E15" s="179" t="s">
        <v>25</v>
      </c>
      <c r="F15">
        <v>37510</v>
      </c>
      <c r="G15" t="s">
        <v>26</v>
      </c>
      <c r="H15">
        <v>6405</v>
      </c>
      <c r="I15" t="s">
        <v>28</v>
      </c>
      <c r="J15" t="s">
        <v>56</v>
      </c>
      <c r="K15" s="11" t="str">
        <f>IF(Table14[[#This Row],[Proprietary?
(Y/N)]]="Y","Proprietary",IF(Table14[[#This Row],[FY25 Budget]]&lt;Lookups!$F$3,"Single Quote",IF(Table14[[#This Row],[FY25 Budget]]&gt;Lookups!$G$3,"RFP","Three quotes")))</f>
        <v>Single Quote</v>
      </c>
      <c r="L15" s="11" t="s">
        <v>174</v>
      </c>
      <c r="M15" s="460"/>
      <c r="N15" s="9"/>
      <c r="O15" s="9"/>
      <c r="P15" s="11"/>
      <c r="Q15" s="11"/>
      <c r="R15" s="461">
        <v>11457.720000000001</v>
      </c>
      <c r="S15" s="461">
        <v>11700</v>
      </c>
      <c r="T15" s="462">
        <v>12051</v>
      </c>
      <c r="U15" s="462">
        <v>14400</v>
      </c>
      <c r="V15" s="463">
        <v>13349</v>
      </c>
      <c r="W15" s="1"/>
      <c r="X15" s="1">
        <f>Table14[[#This Row],[FY26 Budget]]-Table14[[#This Row],[FY26 Committed]]</f>
        <v>13349</v>
      </c>
      <c r="Y15" s="463"/>
      <c r="Z15" s="463"/>
      <c r="AA15" s="463"/>
      <c r="AB15" s="463"/>
      <c r="AC15" s="15" t="s">
        <v>1683</v>
      </c>
      <c r="AD15" s="15" t="s">
        <v>1684</v>
      </c>
      <c r="AE15" s="9">
        <v>45682</v>
      </c>
      <c r="AF15" s="365">
        <v>46046</v>
      </c>
      <c r="AG15" s="15" t="str">
        <f>Table14[[#This Row],[FY25 PO]]</f>
        <v>P25032834</v>
      </c>
      <c r="AH15" s="9">
        <v>46054</v>
      </c>
      <c r="AI15" s="384"/>
      <c r="AJ15" s="234" t="s">
        <v>178</v>
      </c>
      <c r="AK15" s="234" t="s">
        <v>174</v>
      </c>
      <c r="AL15" s="16"/>
      <c r="AM15" s="2" t="s">
        <v>421</v>
      </c>
      <c r="AN15" s="454"/>
      <c r="AO15" s="381" t="s">
        <v>1685</v>
      </c>
    </row>
    <row r="16" spans="1:43" x14ac:dyDescent="0.25">
      <c r="A16" t="s">
        <v>52</v>
      </c>
      <c r="B16" t="s">
        <v>53</v>
      </c>
      <c r="C16" s="3" t="s">
        <v>16</v>
      </c>
      <c r="D16" s="179" t="s">
        <v>408</v>
      </c>
      <c r="E16" s="179" t="s">
        <v>25</v>
      </c>
      <c r="F16">
        <v>37530</v>
      </c>
      <c r="G16" t="s">
        <v>44</v>
      </c>
      <c r="H16">
        <v>6405</v>
      </c>
      <c r="I16" t="s">
        <v>1686</v>
      </c>
      <c r="J16" t="s">
        <v>1629</v>
      </c>
      <c r="K16" s="11" t="str">
        <f>IF(Table14[[#This Row],[Proprietary?
(Y/N)]]="Y","Proprietary",IF(Table14[[#This Row],[FY25 Budget]]&lt;Lookups!$F$3,"Single Quote",IF(Table14[[#This Row],[FY25 Budget]]&gt;Lookups!$G$3,"RFP","Three quotes")))</f>
        <v>Three quotes</v>
      </c>
      <c r="L16" s="11" t="s">
        <v>178</v>
      </c>
      <c r="M16" s="460">
        <v>107533</v>
      </c>
      <c r="N16" s="9">
        <v>42856</v>
      </c>
      <c r="O16" s="9">
        <v>45838</v>
      </c>
      <c r="P16" s="11" t="s">
        <v>1273</v>
      </c>
      <c r="Q16" s="11"/>
      <c r="R16" s="461">
        <v>37080</v>
      </c>
      <c r="S16" s="461">
        <v>40001.279999999999</v>
      </c>
      <c r="T16" s="462">
        <v>41201</v>
      </c>
      <c r="U16" s="462">
        <v>43812</v>
      </c>
      <c r="V16" s="463">
        <v>43710</v>
      </c>
      <c r="W16" s="1">
        <v>49000</v>
      </c>
      <c r="X16" s="1">
        <f>Table14[[#This Row],[FY26 Budget]]-Table14[[#This Row],[FY26 Committed]]</f>
        <v>-5290</v>
      </c>
      <c r="Y16" s="463"/>
      <c r="Z16" s="463"/>
      <c r="AA16" s="463"/>
      <c r="AB16" s="463"/>
      <c r="AC16" s="15" t="s">
        <v>506</v>
      </c>
      <c r="AD16" s="15" t="s">
        <v>1687</v>
      </c>
      <c r="AE16" s="9">
        <v>45931</v>
      </c>
      <c r="AF16" s="365">
        <v>46295</v>
      </c>
      <c r="AG16" s="15" t="s">
        <v>1688</v>
      </c>
      <c r="AH16" s="9">
        <v>46296</v>
      </c>
      <c r="AI16" s="455" t="s">
        <v>1656</v>
      </c>
      <c r="AJ16" s="234" t="s">
        <v>174</v>
      </c>
      <c r="AK16" s="234" t="s">
        <v>174</v>
      </c>
      <c r="AL16" s="16" t="s">
        <v>186</v>
      </c>
      <c r="AM16" s="2" t="s">
        <v>508</v>
      </c>
      <c r="AN16" s="454"/>
      <c r="AO16" s="456" t="s">
        <v>234</v>
      </c>
    </row>
    <row r="17" spans="1:41" x14ac:dyDescent="0.25">
      <c r="A17" t="s">
        <v>1689</v>
      </c>
      <c r="B17" t="s">
        <v>1690</v>
      </c>
      <c r="C17" s="3" t="s">
        <v>16</v>
      </c>
      <c r="D17" s="179" t="s">
        <v>408</v>
      </c>
      <c r="E17" s="179" t="s">
        <v>18</v>
      </c>
      <c r="F17">
        <v>37530</v>
      </c>
      <c r="G17" t="s">
        <v>44</v>
      </c>
      <c r="H17">
        <v>6405</v>
      </c>
      <c r="I17" t="s">
        <v>1686</v>
      </c>
      <c r="J17" t="s">
        <v>1629</v>
      </c>
      <c r="K17" s="11" t="s">
        <v>192</v>
      </c>
      <c r="L17" s="11"/>
      <c r="M17" s="460">
        <v>107533</v>
      </c>
      <c r="N17" s="9">
        <v>42856</v>
      </c>
      <c r="O17" s="9">
        <v>45838</v>
      </c>
      <c r="P17" s="11" t="s">
        <v>1273</v>
      </c>
      <c r="Q17" s="11"/>
      <c r="R17" s="461">
        <v>0</v>
      </c>
      <c r="S17" s="461">
        <v>0</v>
      </c>
      <c r="T17" s="462">
        <v>0</v>
      </c>
      <c r="U17" s="462">
        <v>26710</v>
      </c>
      <c r="V17" s="463">
        <v>0</v>
      </c>
      <c r="W17" s="1"/>
      <c r="X17" s="1">
        <f>Table14[[#This Row],[FY26 Budget]]-Table14[[#This Row],[FY26 Committed]]</f>
        <v>0</v>
      </c>
      <c r="Y17" s="463"/>
      <c r="Z17" s="463"/>
      <c r="AA17" s="463"/>
      <c r="AB17" s="463"/>
      <c r="AC17" s="15" t="s">
        <v>234</v>
      </c>
      <c r="AD17" s="15" t="s">
        <v>1691</v>
      </c>
      <c r="AE17" s="9">
        <v>45566</v>
      </c>
      <c r="AF17" s="365">
        <v>45930</v>
      </c>
      <c r="AG17" s="15"/>
      <c r="AH17" s="9">
        <v>45931</v>
      </c>
      <c r="AI17" s="455"/>
      <c r="AJ17" s="234" t="s">
        <v>174</v>
      </c>
      <c r="AK17" s="234" t="s">
        <v>174</v>
      </c>
      <c r="AL17" s="16" t="s">
        <v>186</v>
      </c>
      <c r="AM17" s="2" t="s">
        <v>1692</v>
      </c>
      <c r="AN17" s="454" t="s">
        <v>1693</v>
      </c>
      <c r="AO17" s="456" t="s">
        <v>234</v>
      </c>
    </row>
    <row r="18" spans="1:41" x14ac:dyDescent="0.25">
      <c r="A18" t="s">
        <v>509</v>
      </c>
      <c r="B18" t="s">
        <v>230</v>
      </c>
      <c r="C18" s="3" t="s">
        <v>16</v>
      </c>
      <c r="D18" s="179" t="s">
        <v>408</v>
      </c>
      <c r="E18" s="179" t="s">
        <v>18</v>
      </c>
      <c r="F18">
        <v>37100</v>
      </c>
      <c r="G18" t="s">
        <v>324</v>
      </c>
      <c r="H18">
        <v>6405</v>
      </c>
      <c r="I18" t="s">
        <v>452</v>
      </c>
      <c r="K18" s="11" t="str">
        <f>IF(Table14[[#This Row],[Proprietary?
(Y/N)]]="Y","Proprietary",IF(Table14[[#This Row],[FY25 Budget]]&lt;Lookups!$F$3,"Single Quote",IF(Table14[[#This Row],[FY25 Budget]]&gt;Lookups!$G$3,"RFP","Three quotes")))</f>
        <v>Three quotes</v>
      </c>
      <c r="L18" s="11" t="s">
        <v>178</v>
      </c>
      <c r="M18" s="460">
        <v>105064</v>
      </c>
      <c r="N18" s="9">
        <v>41351</v>
      </c>
      <c r="O18" s="414">
        <v>46203</v>
      </c>
      <c r="P18" s="11" t="s">
        <v>1273</v>
      </c>
      <c r="Q18" s="11"/>
      <c r="R18" s="461">
        <v>118450</v>
      </c>
      <c r="S18" s="461">
        <v>130000</v>
      </c>
      <c r="T18" s="462">
        <v>122004</v>
      </c>
      <c r="U18" s="462">
        <v>160000</v>
      </c>
      <c r="V18" s="463">
        <v>164800</v>
      </c>
      <c r="W18" s="1">
        <v>225000</v>
      </c>
      <c r="X18" s="1">
        <f>Table14[[#This Row],[FY26 Budget]]-Table14[[#This Row],[FY26 Committed]]</f>
        <v>-60200</v>
      </c>
      <c r="Y18" s="463"/>
      <c r="Z18" s="463"/>
      <c r="AA18" s="463"/>
      <c r="AB18" s="463"/>
      <c r="AC18" s="15" t="s">
        <v>511</v>
      </c>
      <c r="AD18" s="15" t="s">
        <v>1694</v>
      </c>
      <c r="AE18" s="9">
        <v>45839</v>
      </c>
      <c r="AF18" s="365">
        <v>46203</v>
      </c>
      <c r="AG18" s="15" t="s">
        <v>1695</v>
      </c>
      <c r="AH18" s="9">
        <v>46174</v>
      </c>
      <c r="AI18" s="491"/>
      <c r="AJ18" s="234" t="s">
        <v>174</v>
      </c>
      <c r="AK18" s="234" t="s">
        <v>174</v>
      </c>
      <c r="AL18" s="16" t="s">
        <v>186</v>
      </c>
      <c r="AM18" s="2" t="s">
        <v>513</v>
      </c>
      <c r="AN18" s="454"/>
      <c r="AO18" s="381" t="s">
        <v>234</v>
      </c>
    </row>
    <row r="19" spans="1:41" x14ac:dyDescent="0.25">
      <c r="A19" t="s">
        <v>1696</v>
      </c>
      <c r="B19" t="s">
        <v>519</v>
      </c>
      <c r="C19" s="3" t="s">
        <v>16</v>
      </c>
      <c r="D19" s="179" t="s">
        <v>74</v>
      </c>
      <c r="E19" s="179" t="s">
        <v>18</v>
      </c>
      <c r="F19">
        <v>37410</v>
      </c>
      <c r="G19" t="s">
        <v>416</v>
      </c>
      <c r="H19">
        <v>6405</v>
      </c>
      <c r="I19" t="s">
        <v>1662</v>
      </c>
      <c r="J19" t="s">
        <v>418</v>
      </c>
      <c r="K19" s="11" t="s">
        <v>515</v>
      </c>
      <c r="L19" s="11" t="s">
        <v>178</v>
      </c>
      <c r="M19" s="460">
        <v>1002116</v>
      </c>
      <c r="N19" s="9">
        <v>45092</v>
      </c>
      <c r="O19" s="9">
        <v>46187</v>
      </c>
      <c r="P19" s="11"/>
      <c r="Q19" s="11"/>
      <c r="R19" s="461">
        <v>130000</v>
      </c>
      <c r="S19" s="461">
        <v>130000</v>
      </c>
      <c r="T19" s="462">
        <v>200000</v>
      </c>
      <c r="U19" s="462"/>
      <c r="V19" s="463">
        <v>200000</v>
      </c>
      <c r="W19" s="1"/>
      <c r="X19" s="1">
        <f>Table14[[#This Row],[FY26 Budget]]-Table14[[#This Row],[FY26 Committed]]</f>
        <v>200000</v>
      </c>
      <c r="Y19" s="463"/>
      <c r="Z19" s="463"/>
      <c r="AA19" s="463"/>
      <c r="AB19" s="463"/>
      <c r="AC19" s="15" t="s">
        <v>520</v>
      </c>
      <c r="AD19" s="15" t="s">
        <v>520</v>
      </c>
      <c r="AE19" s="9">
        <v>45200</v>
      </c>
      <c r="AF19" s="365">
        <v>46023</v>
      </c>
      <c r="AG19" s="15"/>
      <c r="AH19" s="9">
        <v>46022</v>
      </c>
      <c r="AI19" s="455" t="s">
        <v>1697</v>
      </c>
      <c r="AJ19" s="234" t="s">
        <v>174</v>
      </c>
      <c r="AK19" s="234" t="s">
        <v>174</v>
      </c>
      <c r="AL19" s="16"/>
      <c r="AM19" s="2"/>
      <c r="AN19" s="454" t="s">
        <v>1698</v>
      </c>
      <c r="AO19" s="456" t="s">
        <v>234</v>
      </c>
    </row>
    <row r="20" spans="1:41" x14ac:dyDescent="0.25">
      <c r="A20" t="s">
        <v>1699</v>
      </c>
      <c r="B20" t="s">
        <v>522</v>
      </c>
      <c r="C20" s="3" t="s">
        <v>16</v>
      </c>
      <c r="D20" s="179" t="s">
        <v>408</v>
      </c>
      <c r="E20" s="179" t="s">
        <v>25</v>
      </c>
      <c r="F20">
        <v>37522</v>
      </c>
      <c r="G20" t="s">
        <v>1664</v>
      </c>
      <c r="H20">
        <v>6405</v>
      </c>
      <c r="I20" t="s">
        <v>1629</v>
      </c>
      <c r="K20" s="11" t="s">
        <v>515</v>
      </c>
      <c r="L20" s="11" t="s">
        <v>178</v>
      </c>
      <c r="M20" s="460">
        <v>1002116</v>
      </c>
      <c r="N20" s="9">
        <v>45092</v>
      </c>
      <c r="O20" s="9">
        <v>46187</v>
      </c>
      <c r="P20" s="11"/>
      <c r="Q20" s="11"/>
      <c r="R20" s="461">
        <v>28953.75</v>
      </c>
      <c r="S20" s="461">
        <v>40592</v>
      </c>
      <c r="T20" s="462">
        <v>40000</v>
      </c>
      <c r="U20" s="462">
        <v>40000</v>
      </c>
      <c r="V20" s="463">
        <v>40000</v>
      </c>
      <c r="W20" s="1">
        <v>47496</v>
      </c>
      <c r="X20" s="1">
        <f>Table14[[#This Row],[FY26 Budget]]-Table14[[#This Row],[FY26 Committed]]</f>
        <v>-7496</v>
      </c>
      <c r="Y20" s="463"/>
      <c r="Z20" s="463"/>
      <c r="AA20" s="463"/>
      <c r="AB20" s="463"/>
      <c r="AC20" s="15" t="s">
        <v>523</v>
      </c>
      <c r="AD20" s="15" t="s">
        <v>523</v>
      </c>
      <c r="AE20" s="9">
        <v>45839</v>
      </c>
      <c r="AF20" s="365">
        <v>46265</v>
      </c>
      <c r="AG20" s="15" t="s">
        <v>1700</v>
      </c>
      <c r="AH20" s="9">
        <v>46266</v>
      </c>
      <c r="AI20" s="384" t="s">
        <v>1656</v>
      </c>
      <c r="AJ20" s="234" t="s">
        <v>178</v>
      </c>
      <c r="AK20" s="234" t="s">
        <v>174</v>
      </c>
      <c r="AL20" s="16"/>
      <c r="AM20" s="2" t="s">
        <v>421</v>
      </c>
      <c r="AN20" s="454" t="s">
        <v>1701</v>
      </c>
      <c r="AO20" s="381" t="s">
        <v>1702</v>
      </c>
    </row>
    <row r="21" spans="1:41" x14ac:dyDescent="0.25">
      <c r="A21" t="s">
        <v>54</v>
      </c>
      <c r="B21" t="s">
        <v>55</v>
      </c>
      <c r="C21" s="3" t="s">
        <v>38</v>
      </c>
      <c r="D21" s="179" t="s">
        <v>1641</v>
      </c>
      <c r="E21" s="179" t="s">
        <v>18</v>
      </c>
      <c r="F21">
        <v>37561</v>
      </c>
      <c r="G21" t="s">
        <v>1703</v>
      </c>
      <c r="H21">
        <v>6405</v>
      </c>
      <c r="I21" t="s">
        <v>1704</v>
      </c>
      <c r="J21" t="s">
        <v>56</v>
      </c>
      <c r="K21" s="11" t="str">
        <f>IF(Table14[[#This Row],[Proprietary?
(Y/N)]]="Y","Proprietary",IF(Table14[[#This Row],[FY25 Budget]]&lt;Lookups!$F$3,"Single Quote",IF(Table14[[#This Row],[FY25 Budget]]&gt;Lookups!$G$3,"RFP","Three quotes")))</f>
        <v>Proprietary</v>
      </c>
      <c r="L21" s="11" t="s">
        <v>178</v>
      </c>
      <c r="M21" s="460">
        <v>1004908</v>
      </c>
      <c r="N21" s="9">
        <v>45839</v>
      </c>
      <c r="O21" s="9">
        <v>46569</v>
      </c>
      <c r="P21" s="11" t="s">
        <v>476</v>
      </c>
      <c r="Q21" s="11"/>
      <c r="R21" s="461">
        <v>42082</v>
      </c>
      <c r="S21" s="461">
        <v>28464</v>
      </c>
      <c r="T21" s="462">
        <v>58636</v>
      </c>
      <c r="U21" s="462">
        <v>23100</v>
      </c>
      <c r="V21" s="463">
        <v>24486</v>
      </c>
      <c r="W21" s="1">
        <v>23100</v>
      </c>
      <c r="X21" s="1">
        <f>Table14[[#This Row],[FY26 Budget]]-Table14[[#This Row],[FY26 Committed]]</f>
        <v>1386</v>
      </c>
      <c r="Y21" s="463"/>
      <c r="Z21" s="463"/>
      <c r="AA21" s="463"/>
      <c r="AB21" s="463"/>
      <c r="AC21" s="15" t="s">
        <v>525</v>
      </c>
      <c r="AD21" s="15" t="s">
        <v>1705</v>
      </c>
      <c r="AE21" s="9">
        <v>45839</v>
      </c>
      <c r="AF21" s="365">
        <v>46203</v>
      </c>
      <c r="AG21" s="15" t="s">
        <v>1706</v>
      </c>
      <c r="AH21" s="9">
        <v>46204</v>
      </c>
      <c r="AI21" s="455" t="s">
        <v>1707</v>
      </c>
      <c r="AJ21" s="234" t="s">
        <v>178</v>
      </c>
      <c r="AK21" s="234" t="s">
        <v>174</v>
      </c>
      <c r="AL21" s="16"/>
      <c r="AM21" s="2" t="s">
        <v>467</v>
      </c>
      <c r="AN21" s="454"/>
      <c r="AO21" s="456" t="s">
        <v>1657</v>
      </c>
    </row>
    <row r="22" spans="1:41" x14ac:dyDescent="0.25">
      <c r="A22" t="s">
        <v>57</v>
      </c>
      <c r="B22" t="s">
        <v>58</v>
      </c>
      <c r="C22" s="3" t="s">
        <v>38</v>
      </c>
      <c r="D22" s="179" t="s">
        <v>1641</v>
      </c>
      <c r="E22" s="179" t="s">
        <v>18</v>
      </c>
      <c r="F22">
        <v>37563</v>
      </c>
      <c r="G22" t="s">
        <v>1708</v>
      </c>
      <c r="H22">
        <v>6405</v>
      </c>
      <c r="I22" t="s">
        <v>1704</v>
      </c>
      <c r="J22" t="s">
        <v>56</v>
      </c>
      <c r="K22" s="11" t="str">
        <f>IF(Table14[[#This Row],[Proprietary?
(Y/N)]]="Y","Proprietary",IF(Table14[[#This Row],[FY25 Budget]]&lt;Lookups!$F$3,"Single Quote",IF(Table14[[#This Row],[FY25 Budget]]&gt;Lookups!$G$3,"RFP","Three quotes")))</f>
        <v>Proprietary</v>
      </c>
      <c r="L22" s="11" t="s">
        <v>174</v>
      </c>
      <c r="M22" s="460" t="s">
        <v>29</v>
      </c>
      <c r="N22" s="9"/>
      <c r="O22" s="9"/>
      <c r="P22" s="11"/>
      <c r="Q22" s="11"/>
      <c r="R22" s="461">
        <v>10090.1</v>
      </c>
      <c r="S22" s="461">
        <v>9430</v>
      </c>
      <c r="T22" s="462">
        <v>9713</v>
      </c>
      <c r="U22" s="462">
        <v>9820</v>
      </c>
      <c r="V22" s="463">
        <v>9820</v>
      </c>
      <c r="W22" s="1">
        <v>9820</v>
      </c>
      <c r="X22" s="1">
        <f>Table14[[#This Row],[FY26 Budget]]-Table14[[#This Row],[FY26 Committed]]</f>
        <v>0</v>
      </c>
      <c r="Y22" s="463">
        <v>9820</v>
      </c>
      <c r="Z22" s="463"/>
      <c r="AA22" s="463"/>
      <c r="AB22" s="463"/>
      <c r="AC22" s="15" t="s">
        <v>530</v>
      </c>
      <c r="AD22" s="15" t="s">
        <v>1709</v>
      </c>
      <c r="AE22" s="9">
        <v>45413</v>
      </c>
      <c r="AF22" s="365">
        <v>46507</v>
      </c>
      <c r="AG22" s="15" t="str">
        <f>Table14[[#This Row],[FY25 PO]]</f>
        <v>P24057936</v>
      </c>
      <c r="AH22" s="9">
        <v>46508</v>
      </c>
      <c r="AI22" s="384" t="s">
        <v>1710</v>
      </c>
      <c r="AJ22" s="234" t="s">
        <v>178</v>
      </c>
      <c r="AK22" s="234" t="s">
        <v>174</v>
      </c>
      <c r="AL22" s="16"/>
      <c r="AM22" s="2" t="s">
        <v>421</v>
      </c>
      <c r="AN22" s="454"/>
      <c r="AO22" s="381" t="s">
        <v>1711</v>
      </c>
    </row>
    <row r="23" spans="1:41" x14ac:dyDescent="0.25">
      <c r="A23" t="s">
        <v>59</v>
      </c>
      <c r="B23" t="s">
        <v>60</v>
      </c>
      <c r="C23" s="3" t="s">
        <v>16</v>
      </c>
      <c r="D23" s="179" t="s">
        <v>408</v>
      </c>
      <c r="E23" s="179" t="s">
        <v>25</v>
      </c>
      <c r="F23">
        <v>37522</v>
      </c>
      <c r="G23" t="s">
        <v>1664</v>
      </c>
      <c r="H23">
        <v>6405</v>
      </c>
      <c r="I23" t="s">
        <v>1712</v>
      </c>
      <c r="J23" t="s">
        <v>1629</v>
      </c>
      <c r="K23" s="11" t="str">
        <f>IF(Table14[[#This Row],[Proprietary?
(Y/N)]]="Y","Proprietary",IF(Table14[[#This Row],[FY25 Budget]]&lt;Lookups!$F$3,"Single Quote",IF(Table14[[#This Row],[FY25 Budget]]&gt;Lookups!$G$3,"RFP","Three quotes")))</f>
        <v>Three quotes</v>
      </c>
      <c r="L23" s="11" t="s">
        <v>178</v>
      </c>
      <c r="M23" s="460">
        <v>1003214</v>
      </c>
      <c r="N23" s="9">
        <v>45352</v>
      </c>
      <c r="O23" s="9">
        <v>46446</v>
      </c>
      <c r="P23" s="11"/>
      <c r="Q23" s="11"/>
      <c r="R23" s="461">
        <v>321111.7</v>
      </c>
      <c r="S23" s="461">
        <v>230242.88</v>
      </c>
      <c r="T23" s="462">
        <v>237150</v>
      </c>
      <c r="U23" s="462">
        <v>381524.25</v>
      </c>
      <c r="V23" s="463">
        <v>414874</v>
      </c>
      <c r="W23" s="1">
        <v>414874.25</v>
      </c>
      <c r="X23" s="1">
        <f>Table14[[#This Row],[FY26 Budget]]-Table14[[#This Row],[FY26 Committed]]</f>
        <v>-0.25</v>
      </c>
      <c r="Y23" s="463"/>
      <c r="Z23" s="463"/>
      <c r="AA23" s="463"/>
      <c r="AB23" s="463"/>
      <c r="AC23" s="15"/>
      <c r="AD23" s="15" t="s">
        <v>1713</v>
      </c>
      <c r="AE23" s="9">
        <v>45383</v>
      </c>
      <c r="AF23" s="365">
        <v>46203</v>
      </c>
      <c r="AG23" s="15" t="s">
        <v>1713</v>
      </c>
      <c r="AH23" s="9">
        <v>46204</v>
      </c>
      <c r="AI23" s="455" t="s">
        <v>1714</v>
      </c>
      <c r="AJ23" s="234" t="s">
        <v>174</v>
      </c>
      <c r="AK23" s="234" t="s">
        <v>174</v>
      </c>
      <c r="AL23" s="16" t="s">
        <v>186</v>
      </c>
      <c r="AM23" s="2"/>
      <c r="AN23" s="454"/>
      <c r="AO23" s="456" t="s">
        <v>234</v>
      </c>
    </row>
    <row r="24" spans="1:41" x14ac:dyDescent="0.25">
      <c r="A24" t="s">
        <v>61</v>
      </c>
      <c r="B24" t="s">
        <v>62</v>
      </c>
      <c r="C24" s="3" t="s">
        <v>16</v>
      </c>
      <c r="D24" s="179" t="s">
        <v>24</v>
      </c>
      <c r="E24" s="179" t="s">
        <v>18</v>
      </c>
      <c r="F24">
        <v>37510</v>
      </c>
      <c r="G24" t="s">
        <v>26</v>
      </c>
      <c r="H24">
        <v>6405</v>
      </c>
      <c r="I24" t="s">
        <v>65</v>
      </c>
      <c r="K24" s="11" t="str">
        <f>IF(Table14[[#This Row],[Proprietary?
(Y/N)]]="Y","Proprietary",IF(Table14[[#This Row],[FY25 Budget]]&lt;Lookups!$F$3,"Single Quote",IF(Table14[[#This Row],[FY25 Budget]]&gt;Lookups!$G$3,"RFP","Three quotes")))</f>
        <v>Single Quote</v>
      </c>
      <c r="L24" s="11" t="s">
        <v>174</v>
      </c>
      <c r="M24" s="460" t="s">
        <v>29</v>
      </c>
      <c r="N24" s="9"/>
      <c r="O24" s="9"/>
      <c r="P24" s="11"/>
      <c r="Q24" s="11"/>
      <c r="R24" s="461">
        <v>0</v>
      </c>
      <c r="S24" s="461">
        <v>8474</v>
      </c>
      <c r="T24" s="462">
        <v>0</v>
      </c>
      <c r="U24" s="462">
        <v>13631</v>
      </c>
      <c r="V24" s="463">
        <v>14449</v>
      </c>
      <c r="W24" s="1">
        <v>12034.47</v>
      </c>
      <c r="X24" s="1">
        <f>Table14[[#This Row],[FY26 Budget]]-Table14[[#This Row],[FY26 Committed]]</f>
        <v>2414.5300000000007</v>
      </c>
      <c r="Y24" s="463"/>
      <c r="Z24" s="463"/>
      <c r="AA24" s="463"/>
      <c r="AB24" s="463"/>
      <c r="AC24" s="15" t="s">
        <v>536</v>
      </c>
      <c r="AD24" s="15" t="s">
        <v>1715</v>
      </c>
      <c r="AE24" s="9">
        <v>45870</v>
      </c>
      <c r="AF24" s="365">
        <v>46235</v>
      </c>
      <c r="AG24" s="15" t="s">
        <v>1716</v>
      </c>
      <c r="AH24" s="9">
        <v>46266</v>
      </c>
      <c r="AI24" s="384"/>
      <c r="AJ24" s="234" t="s">
        <v>178</v>
      </c>
      <c r="AK24" s="234" t="s">
        <v>174</v>
      </c>
      <c r="AL24" s="16"/>
      <c r="AM24" s="2" t="s">
        <v>421</v>
      </c>
      <c r="AN24" s="454"/>
      <c r="AO24" s="381" t="s">
        <v>1717</v>
      </c>
    </row>
    <row r="25" spans="1:41" x14ac:dyDescent="0.25">
      <c r="A25" t="s">
        <v>1718</v>
      </c>
      <c r="B25" t="s">
        <v>1719</v>
      </c>
      <c r="C25" s="3" t="s">
        <v>16</v>
      </c>
      <c r="D25" s="179" t="s">
        <v>1641</v>
      </c>
      <c r="E25" s="179" t="s">
        <v>18</v>
      </c>
      <c r="F25">
        <v>37550</v>
      </c>
      <c r="G25" t="s">
        <v>87</v>
      </c>
      <c r="H25">
        <v>6130</v>
      </c>
      <c r="I25" t="s">
        <v>1642</v>
      </c>
      <c r="J25" t="s">
        <v>1643</v>
      </c>
      <c r="K25" s="11" t="s">
        <v>173</v>
      </c>
      <c r="L25" s="11" t="s">
        <v>174</v>
      </c>
      <c r="M25" s="460" t="s">
        <v>29</v>
      </c>
      <c r="N25" s="9"/>
      <c r="O25" s="9"/>
      <c r="P25" s="11"/>
      <c r="Q25" s="11"/>
      <c r="R25" s="461">
        <v>0</v>
      </c>
      <c r="S25" s="461">
        <v>0</v>
      </c>
      <c r="T25" s="462">
        <v>0</v>
      </c>
      <c r="U25" s="462">
        <v>10935.08</v>
      </c>
      <c r="V25" s="463">
        <v>0</v>
      </c>
      <c r="W25" s="1"/>
      <c r="X25" s="1">
        <f>Table14[[#This Row],[FY26 Budget]]-Table14[[#This Row],[FY26 Committed]]</f>
        <v>0</v>
      </c>
      <c r="Y25" s="463"/>
      <c r="Z25" s="463"/>
      <c r="AA25" s="463"/>
      <c r="AB25" s="463"/>
      <c r="AC25" s="15" t="s">
        <v>234</v>
      </c>
      <c r="AD25" s="15" t="s">
        <v>1720</v>
      </c>
      <c r="AE25" s="9">
        <v>45474</v>
      </c>
      <c r="AF25" s="365">
        <v>45838</v>
      </c>
      <c r="AG25" s="15"/>
      <c r="AH25" s="9">
        <v>45839</v>
      </c>
      <c r="AI25" s="455" t="s">
        <v>1721</v>
      </c>
      <c r="AJ25" s="234"/>
      <c r="AK25" s="234"/>
      <c r="AL25" s="16"/>
      <c r="AM25" s="2"/>
      <c r="AN25" s="454" t="s">
        <v>1722</v>
      </c>
      <c r="AO25" s="453" t="s">
        <v>1723</v>
      </c>
    </row>
    <row r="26" spans="1:41" x14ac:dyDescent="0.25">
      <c r="A26" t="s">
        <v>1724</v>
      </c>
      <c r="B26" t="s">
        <v>706</v>
      </c>
      <c r="C26" s="3" t="s">
        <v>16</v>
      </c>
      <c r="D26" s="179" t="s">
        <v>1641</v>
      </c>
      <c r="E26" s="179" t="s">
        <v>18</v>
      </c>
      <c r="F26">
        <v>37550</v>
      </c>
      <c r="G26" t="s">
        <v>87</v>
      </c>
      <c r="H26">
        <v>6405</v>
      </c>
      <c r="I26" t="s">
        <v>1642</v>
      </c>
      <c r="J26" t="s">
        <v>1643</v>
      </c>
      <c r="K26" s="11" t="s">
        <v>173</v>
      </c>
      <c r="L26" s="11" t="s">
        <v>178</v>
      </c>
      <c r="M26" s="460"/>
      <c r="N26" s="9"/>
      <c r="O26" s="9"/>
      <c r="P26" s="11"/>
      <c r="Q26" s="11"/>
      <c r="R26" s="461">
        <v>0</v>
      </c>
      <c r="S26" s="461">
        <v>11145</v>
      </c>
      <c r="T26" s="462">
        <v>11145</v>
      </c>
      <c r="U26" s="462">
        <v>11145</v>
      </c>
      <c r="V26" s="463">
        <v>11145</v>
      </c>
      <c r="W26" s="1">
        <v>11145</v>
      </c>
      <c r="X26" s="1">
        <f>Table14[[#This Row],[FY26 Budget]]-Table14[[#This Row],[FY26 Committed]]</f>
        <v>0</v>
      </c>
      <c r="Y26" s="463">
        <v>11145</v>
      </c>
      <c r="Z26" s="463"/>
      <c r="AA26" s="463"/>
      <c r="AB26" s="463"/>
      <c r="AC26" s="15" t="s">
        <v>707</v>
      </c>
      <c r="AD26" s="15" t="s">
        <v>1725</v>
      </c>
      <c r="AE26" s="9">
        <v>44743</v>
      </c>
      <c r="AF26" s="365">
        <v>46568</v>
      </c>
      <c r="AG26" s="15" t="str">
        <f>Table14[[#This Row],[FY25 PO]]</f>
        <v>P25047659</v>
      </c>
      <c r="AH26" s="9">
        <v>46539</v>
      </c>
      <c r="AI26" s="384" t="s">
        <v>708</v>
      </c>
      <c r="AJ26" s="234" t="s">
        <v>178</v>
      </c>
      <c r="AK26" s="234" t="s">
        <v>174</v>
      </c>
      <c r="AL26" s="16"/>
      <c r="AM26" s="2" t="s">
        <v>461</v>
      </c>
      <c r="AN26" s="454" t="s">
        <v>1726</v>
      </c>
      <c r="AO26" s="381" t="s">
        <v>1727</v>
      </c>
    </row>
    <row r="27" spans="1:41" x14ac:dyDescent="0.25">
      <c r="A27" t="s">
        <v>66</v>
      </c>
      <c r="B27" t="s">
        <v>67</v>
      </c>
      <c r="C27" s="3" t="s">
        <v>38</v>
      </c>
      <c r="D27" s="179" t="s">
        <v>24</v>
      </c>
      <c r="E27" s="179" t="s">
        <v>18</v>
      </c>
      <c r="F27">
        <v>37510</v>
      </c>
      <c r="G27" t="s">
        <v>68</v>
      </c>
      <c r="H27">
        <v>6405</v>
      </c>
      <c r="I27" t="s">
        <v>65</v>
      </c>
      <c r="K27" s="11" t="str">
        <f>IF(Table14[[#This Row],[Proprietary?
(Y/N)]]="Y","Proprietary",IF(Table14[[#This Row],[FY25 Budget]]&lt;Lookups!$F$3,"Single Quote",IF(Table14[[#This Row],[FY25 Budget]]&gt;Lookups!$G$3,"RFP","Three quotes")))</f>
        <v>Proprietary</v>
      </c>
      <c r="L27" s="11" t="s">
        <v>174</v>
      </c>
      <c r="M27" s="460" t="s">
        <v>29</v>
      </c>
      <c r="N27" s="9"/>
      <c r="O27" s="9"/>
      <c r="P27" s="11"/>
      <c r="Q27" s="11"/>
      <c r="R27" s="461">
        <v>20229.2</v>
      </c>
      <c r="S27" s="461">
        <v>24640</v>
      </c>
      <c r="T27" s="462">
        <v>25379</v>
      </c>
      <c r="U27" s="462">
        <v>24640</v>
      </c>
      <c r="V27" s="463">
        <v>26925</v>
      </c>
      <c r="W27" s="1"/>
      <c r="X27" s="1">
        <f>Table14[[#This Row],[FY26 Budget]]-Table14[[#This Row],[FY26 Committed]]</f>
        <v>26925</v>
      </c>
      <c r="Y27" s="463"/>
      <c r="Z27" s="463"/>
      <c r="AA27" s="463"/>
      <c r="AB27" s="463"/>
      <c r="AC27" s="15" t="s">
        <v>544</v>
      </c>
      <c r="AD27" s="15" t="s">
        <v>1728</v>
      </c>
      <c r="AE27" s="9">
        <v>45597</v>
      </c>
      <c r="AF27" s="365">
        <v>45961</v>
      </c>
      <c r="AG27" s="15"/>
      <c r="AH27" s="9">
        <v>45961</v>
      </c>
      <c r="AI27" s="455"/>
      <c r="AJ27" s="234" t="s">
        <v>178</v>
      </c>
      <c r="AK27" s="234" t="s">
        <v>174</v>
      </c>
      <c r="AL27" s="16"/>
      <c r="AM27" s="2" t="s">
        <v>421</v>
      </c>
      <c r="AN27" s="16" t="s">
        <v>1729</v>
      </c>
      <c r="AO27" s="456" t="s">
        <v>1730</v>
      </c>
    </row>
    <row r="28" spans="1:41" x14ac:dyDescent="0.25">
      <c r="A28" t="s">
        <v>1731</v>
      </c>
      <c r="B28" t="s">
        <v>242</v>
      </c>
      <c r="C28" s="3" t="s">
        <v>38</v>
      </c>
      <c r="D28" s="179" t="s">
        <v>1641</v>
      </c>
      <c r="E28" s="179" t="s">
        <v>18</v>
      </c>
      <c r="F28">
        <v>37550</v>
      </c>
      <c r="G28" t="s">
        <v>87</v>
      </c>
      <c r="H28">
        <v>6405</v>
      </c>
      <c r="I28" t="s">
        <v>1642</v>
      </c>
      <c r="J28" t="s">
        <v>1643</v>
      </c>
      <c r="K28" s="11" t="str">
        <f>IF(Table14[[#This Row],[Proprietary?
(Y/N)]]="Y","Proprietary",IF(Table14[[#This Row],[FY25 Budget]]&lt;Lookups!$F$3,"Single Quote",IF(Table14[[#This Row],[FY25 Budget]]&gt;Lookups!$G$3,"RFP","Three quotes")))</f>
        <v>Proprietary</v>
      </c>
      <c r="L28" s="11" t="s">
        <v>178</v>
      </c>
      <c r="M28" s="460" t="s">
        <v>29</v>
      </c>
      <c r="N28" s="9"/>
      <c r="O28" s="9"/>
      <c r="P28" s="11"/>
      <c r="Q28" s="11"/>
      <c r="R28" s="461">
        <v>9201</v>
      </c>
      <c r="S28" s="461">
        <v>9200.98</v>
      </c>
      <c r="T28" s="462">
        <v>11554</v>
      </c>
      <c r="U28" s="462">
        <v>9432.56</v>
      </c>
      <c r="V28" s="463">
        <v>11554</v>
      </c>
      <c r="W28" s="1">
        <v>11553.85</v>
      </c>
      <c r="X28" s="1">
        <f>Table14[[#This Row],[FY26 Budget]]-Table14[[#This Row],[FY26 Committed]]</f>
        <v>0.1499999999996362</v>
      </c>
      <c r="Y28" s="463">
        <v>9916.75</v>
      </c>
      <c r="Z28" s="463"/>
      <c r="AA28" s="463"/>
      <c r="AB28" s="463"/>
      <c r="AC28" s="15" t="s">
        <v>548</v>
      </c>
      <c r="AD28" s="15" t="s">
        <v>548</v>
      </c>
      <c r="AE28" s="9">
        <v>44743</v>
      </c>
      <c r="AF28" s="365">
        <v>46568</v>
      </c>
      <c r="AG28" s="15" t="str">
        <f>Table14[[#This Row],[FY25 PO]]</f>
        <v>P22057796</v>
      </c>
      <c r="AH28" s="9">
        <v>46569</v>
      </c>
      <c r="AI28" s="384" t="s">
        <v>549</v>
      </c>
      <c r="AJ28" s="234" t="s">
        <v>178</v>
      </c>
      <c r="AK28" s="234" t="s">
        <v>174</v>
      </c>
      <c r="AL28" s="16"/>
      <c r="AM28" s="2" t="s">
        <v>461</v>
      </c>
      <c r="AN28" s="454"/>
      <c r="AO28" s="381" t="s">
        <v>1732</v>
      </c>
    </row>
    <row r="29" spans="1:41" x14ac:dyDescent="0.25">
      <c r="A29" t="s">
        <v>69</v>
      </c>
      <c r="B29" t="s">
        <v>70</v>
      </c>
      <c r="C29" s="3" t="s">
        <v>38</v>
      </c>
      <c r="D29" s="179" t="s">
        <v>1641</v>
      </c>
      <c r="E29" s="179" t="s">
        <v>18</v>
      </c>
      <c r="F29">
        <v>37563</v>
      </c>
      <c r="G29" t="s">
        <v>1708</v>
      </c>
      <c r="H29">
        <v>6405</v>
      </c>
      <c r="I29" t="s">
        <v>1704</v>
      </c>
      <c r="J29" t="s">
        <v>56</v>
      </c>
      <c r="K29" s="11" t="str">
        <f>IF(Table14[[#This Row],[Proprietary?
(Y/N)]]="Y","Proprietary",IF(Table14[[#This Row],[FY25 Budget]]&lt;Lookups!$F$3,"Single Quote",IF(Table14[[#This Row],[FY25 Budget]]&gt;Lookups!$G$3,"RFP","Three quotes")))</f>
        <v>Proprietary</v>
      </c>
      <c r="L29" s="11" t="s">
        <v>178</v>
      </c>
      <c r="M29" s="460" t="s">
        <v>29</v>
      </c>
      <c r="N29" s="9">
        <v>45108</v>
      </c>
      <c r="O29" s="9">
        <v>46568</v>
      </c>
      <c r="P29" s="11"/>
      <c r="Q29" s="11"/>
      <c r="R29" s="461">
        <v>30306</v>
      </c>
      <c r="S29" s="461">
        <v>28323</v>
      </c>
      <c r="T29" s="462">
        <v>28323</v>
      </c>
      <c r="U29" s="462">
        <v>28323</v>
      </c>
      <c r="V29" s="463">
        <v>28323</v>
      </c>
      <c r="W29" s="1">
        <v>28323</v>
      </c>
      <c r="X29" s="1">
        <f>Table14[[#This Row],[FY26 Budget]]-Table14[[#This Row],[FY26 Committed]]</f>
        <v>0</v>
      </c>
      <c r="Y29" s="463">
        <v>28323</v>
      </c>
      <c r="Z29" s="463"/>
      <c r="AA29" s="463"/>
      <c r="AB29" s="463"/>
      <c r="AC29" s="15" t="s">
        <v>553</v>
      </c>
      <c r="AD29" s="15" t="s">
        <v>553</v>
      </c>
      <c r="AE29" s="9">
        <v>45108</v>
      </c>
      <c r="AF29" s="365">
        <v>46568</v>
      </c>
      <c r="AG29" s="15" t="str">
        <f>Table14[[#This Row],[FY25 PO]]</f>
        <v>P23062079</v>
      </c>
      <c r="AH29" s="9">
        <v>46569</v>
      </c>
      <c r="AI29" s="455"/>
      <c r="AJ29" s="234" t="s">
        <v>178</v>
      </c>
      <c r="AK29" s="234" t="s">
        <v>174</v>
      </c>
      <c r="AL29" s="16"/>
      <c r="AM29" s="2" t="s">
        <v>461</v>
      </c>
      <c r="AN29" s="454"/>
      <c r="AO29" s="456" t="s">
        <v>1733</v>
      </c>
    </row>
    <row r="30" spans="1:41" x14ac:dyDescent="0.25">
      <c r="A30" t="s">
        <v>1734</v>
      </c>
      <c r="B30" t="s">
        <v>1735</v>
      </c>
      <c r="C30" s="3" t="s">
        <v>16</v>
      </c>
      <c r="D30" s="179" t="s">
        <v>24</v>
      </c>
      <c r="E30" s="179" t="s">
        <v>25</v>
      </c>
      <c r="F30">
        <v>37540</v>
      </c>
      <c r="G30" t="s">
        <v>32</v>
      </c>
      <c r="H30">
        <v>6405</v>
      </c>
      <c r="I30" t="s">
        <v>1628</v>
      </c>
      <c r="J30" t="s">
        <v>1629</v>
      </c>
      <c r="K30" s="11" t="str">
        <f>IF(Table14[[#This Row],[Proprietary?
(Y/N)]]="Y","Proprietary",IF(Table14[[#This Row],[FY25 Budget]]&lt;Lookups!$F$3,"Single Quote",IF(Table14[[#This Row],[FY25 Budget]]&gt;Lookups!$G$3,"RFP","Three quotes")))</f>
        <v>Single Quote</v>
      </c>
      <c r="L30" s="11" t="s">
        <v>174</v>
      </c>
      <c r="M30" s="460" t="s">
        <v>29</v>
      </c>
      <c r="N30" s="9"/>
      <c r="O30" s="9"/>
      <c r="P30" s="11"/>
      <c r="Q30" s="11"/>
      <c r="R30" s="461">
        <v>0</v>
      </c>
      <c r="S30" s="461">
        <v>0</v>
      </c>
      <c r="T30" s="462">
        <v>10300</v>
      </c>
      <c r="U30" s="462">
        <v>15000</v>
      </c>
      <c r="V30" s="463">
        <v>15450</v>
      </c>
      <c r="W30" s="1">
        <v>15000</v>
      </c>
      <c r="X30" s="1">
        <f>Table14[[#This Row],[FY26 Budget]]-Table14[[#This Row],[FY26 Committed]]</f>
        <v>450</v>
      </c>
      <c r="Y30" s="463"/>
      <c r="Z30" s="463"/>
      <c r="AA30" s="463"/>
      <c r="AB30" s="463"/>
      <c r="AC30" s="15" t="s">
        <v>234</v>
      </c>
      <c r="AD30" s="15" t="s">
        <v>1736</v>
      </c>
      <c r="AE30" s="9">
        <v>45931</v>
      </c>
      <c r="AF30" s="365">
        <v>46295</v>
      </c>
      <c r="AG30" s="15"/>
      <c r="AH30" s="9">
        <v>46296</v>
      </c>
      <c r="AI30" s="384"/>
      <c r="AJ30" s="234" t="s">
        <v>178</v>
      </c>
      <c r="AK30" s="234" t="s">
        <v>174</v>
      </c>
      <c r="AL30" s="16"/>
      <c r="AM30" s="2"/>
      <c r="AN30" s="454" t="s">
        <v>1737</v>
      </c>
      <c r="AO30" s="381" t="s">
        <v>234</v>
      </c>
    </row>
    <row r="31" spans="1:41" x14ac:dyDescent="0.25">
      <c r="A31" t="s">
        <v>71</v>
      </c>
      <c r="B31" t="s">
        <v>72</v>
      </c>
      <c r="C31" s="3" t="s">
        <v>16</v>
      </c>
      <c r="D31" s="179" t="s">
        <v>408</v>
      </c>
      <c r="E31" s="179" t="s">
        <v>18</v>
      </c>
      <c r="F31">
        <v>37530</v>
      </c>
      <c r="G31" t="s">
        <v>44</v>
      </c>
      <c r="H31">
        <v>6405</v>
      </c>
      <c r="I31" s="499" t="s">
        <v>1738</v>
      </c>
      <c r="K31" s="11" t="str">
        <f>IF(Table14[[#This Row],[Proprietary?
(Y/N)]]="Y","Proprietary",IF(Table14[[#This Row],[FY25 Budget]]&lt;Lookups!$F$3,"Single Quote",IF(Table14[[#This Row],[FY25 Budget]]&gt;Lookups!$G$3,"RFP","Three quotes")))</f>
        <v>Single Quote</v>
      </c>
      <c r="L31" s="11" t="s">
        <v>174</v>
      </c>
      <c r="M31" s="460" t="s">
        <v>29</v>
      </c>
      <c r="N31" s="9"/>
      <c r="O31" s="9"/>
      <c r="P31" s="11"/>
      <c r="Q31" s="11"/>
      <c r="R31" s="461">
        <v>10300</v>
      </c>
      <c r="S31" s="461">
        <v>17350</v>
      </c>
      <c r="T31" s="462">
        <v>10609</v>
      </c>
      <c r="U31" s="462">
        <v>18460</v>
      </c>
      <c r="V31" s="463">
        <v>17871</v>
      </c>
      <c r="W31" s="1"/>
      <c r="X31" s="1">
        <f>Table14[[#This Row],[FY26 Budget]]-Table14[[#This Row],[FY26 Committed]]</f>
        <v>17871</v>
      </c>
      <c r="Y31" s="463"/>
      <c r="Z31" s="463"/>
      <c r="AA31" s="463"/>
      <c r="AB31" s="463"/>
      <c r="AC31" s="15" t="s">
        <v>557</v>
      </c>
      <c r="AD31" s="15" t="s">
        <v>1739</v>
      </c>
      <c r="AE31" s="9">
        <v>45292</v>
      </c>
      <c r="AF31" s="365">
        <v>46022</v>
      </c>
      <c r="AG31" s="15"/>
      <c r="AH31" s="9">
        <v>46023</v>
      </c>
      <c r="AI31" s="455"/>
      <c r="AJ31" s="234" t="s">
        <v>174</v>
      </c>
      <c r="AK31" s="234" t="s">
        <v>174</v>
      </c>
      <c r="AL31" s="16"/>
      <c r="AM31" s="2" t="s">
        <v>443</v>
      </c>
      <c r="AN31" s="454"/>
      <c r="AO31" s="456" t="s">
        <v>1740</v>
      </c>
    </row>
    <row r="32" spans="1:41" x14ac:dyDescent="0.25">
      <c r="A32" t="s">
        <v>75</v>
      </c>
      <c r="B32" t="s">
        <v>1741</v>
      </c>
      <c r="C32" s="3" t="s">
        <v>16</v>
      </c>
      <c r="D32" s="179" t="s">
        <v>24</v>
      </c>
      <c r="E32" s="179" t="s">
        <v>25</v>
      </c>
      <c r="F32">
        <v>37510</v>
      </c>
      <c r="G32" t="s">
        <v>26</v>
      </c>
      <c r="H32">
        <v>6405</v>
      </c>
      <c r="I32" t="s">
        <v>65</v>
      </c>
      <c r="K32" s="11" t="str">
        <f>IF(Table14[[#This Row],[Proprietary?
(Y/N)]]="Y","Proprietary",IF(Table14[[#This Row],[FY25 Budget]]&lt;Lookups!$F$3,"Single Quote",IF(Table14[[#This Row],[FY25 Budget]]&gt;Lookups!$G$3,"RFP","Three quotes")))</f>
        <v>Three quotes</v>
      </c>
      <c r="L32" s="11" t="s">
        <v>178</v>
      </c>
      <c r="M32" s="460">
        <v>1003890</v>
      </c>
      <c r="N32" s="9">
        <v>45474</v>
      </c>
      <c r="O32" s="9">
        <v>46568</v>
      </c>
      <c r="P32" s="11"/>
      <c r="Q32" s="11"/>
      <c r="R32" s="461">
        <v>90431.94</v>
      </c>
      <c r="S32" s="461">
        <v>98098</v>
      </c>
      <c r="T32" s="462">
        <v>101041</v>
      </c>
      <c r="U32" s="462">
        <v>119256</v>
      </c>
      <c r="V32" s="463">
        <v>39733</v>
      </c>
      <c r="W32" s="1">
        <v>39733</v>
      </c>
      <c r="X32" s="1">
        <f>Table14[[#This Row],[FY26 Budget]]-Table14[[#This Row],[FY26 Committed]]</f>
        <v>0</v>
      </c>
      <c r="Y32" s="463">
        <v>41203</v>
      </c>
      <c r="Z32" s="463"/>
      <c r="AA32" s="463"/>
      <c r="AB32" s="463"/>
      <c r="AC32" s="15" t="s">
        <v>559</v>
      </c>
      <c r="AD32" s="15" t="s">
        <v>1742</v>
      </c>
      <c r="AE32" s="9">
        <v>45474</v>
      </c>
      <c r="AF32" s="365">
        <v>46568</v>
      </c>
      <c r="AG32" s="15" t="str">
        <f>Table14[[#This Row],[FY25 PO]]</f>
        <v>P25011879</v>
      </c>
      <c r="AH32" s="9">
        <v>46569</v>
      </c>
      <c r="AI32" s="384" t="s">
        <v>1743</v>
      </c>
      <c r="AJ32" s="234" t="s">
        <v>178</v>
      </c>
      <c r="AK32" s="234" t="s">
        <v>178</v>
      </c>
      <c r="AL32" s="16"/>
      <c r="AM32" s="2" t="s">
        <v>563</v>
      </c>
      <c r="AN32" s="454" t="s">
        <v>1744</v>
      </c>
      <c r="AO32" s="381" t="s">
        <v>1745</v>
      </c>
    </row>
    <row r="33" spans="1:41" x14ac:dyDescent="0.25">
      <c r="A33" t="s">
        <v>1746</v>
      </c>
      <c r="B33" t="s">
        <v>1747</v>
      </c>
      <c r="C33" s="3" t="s">
        <v>38</v>
      </c>
      <c r="D33" s="179" t="s">
        <v>1641</v>
      </c>
      <c r="E33" s="179" t="s">
        <v>18</v>
      </c>
      <c r="F33">
        <v>37563</v>
      </c>
      <c r="G33" t="s">
        <v>1708</v>
      </c>
      <c r="H33">
        <v>6405</v>
      </c>
      <c r="I33" t="s">
        <v>1704</v>
      </c>
      <c r="J33" t="s">
        <v>56</v>
      </c>
      <c r="K33" s="11" t="s">
        <v>1748</v>
      </c>
      <c r="L33" s="11" t="s">
        <v>178</v>
      </c>
      <c r="M33" s="460">
        <v>1000652</v>
      </c>
      <c r="N33" s="9">
        <v>44835</v>
      </c>
      <c r="O33" s="9">
        <v>46660</v>
      </c>
      <c r="P33" s="11"/>
      <c r="Q33" s="11"/>
      <c r="R33" s="461">
        <v>0</v>
      </c>
      <c r="S33" s="461">
        <v>0</v>
      </c>
      <c r="T33" s="462">
        <v>0</v>
      </c>
      <c r="U33" s="462">
        <v>281203</v>
      </c>
      <c r="V33" s="463">
        <v>289639</v>
      </c>
      <c r="W33" s="1">
        <v>289639.56</v>
      </c>
      <c r="X33" s="1">
        <f>Table14[[#This Row],[FY26 Budget]]-Table14[[#This Row],[FY26 Committed]]</f>
        <v>-0.55999999999767169</v>
      </c>
      <c r="Y33" s="463"/>
      <c r="Z33" s="463"/>
      <c r="AA33" s="463"/>
      <c r="AB33" s="463"/>
      <c r="AC33" s="15" t="s">
        <v>1749</v>
      </c>
      <c r="AD33" s="15" t="s">
        <v>1750</v>
      </c>
      <c r="AE33" s="9">
        <v>45839</v>
      </c>
      <c r="AF33" s="365">
        <v>46203</v>
      </c>
      <c r="AG33" s="15" t="s">
        <v>1751</v>
      </c>
      <c r="AH33" s="9">
        <v>46204</v>
      </c>
      <c r="AI33" s="455"/>
      <c r="AJ33" s="234" t="s">
        <v>178</v>
      </c>
      <c r="AK33" s="234" t="s">
        <v>174</v>
      </c>
      <c r="AL33" s="16"/>
      <c r="AM33" s="2" t="s">
        <v>421</v>
      </c>
      <c r="AN33" s="454" t="s">
        <v>1752</v>
      </c>
      <c r="AO33" s="456" t="s">
        <v>1753</v>
      </c>
    </row>
    <row r="34" spans="1:41" x14ac:dyDescent="0.25">
      <c r="A34" t="s">
        <v>1754</v>
      </c>
      <c r="B34" t="s">
        <v>1755</v>
      </c>
      <c r="C34" s="3" t="s">
        <v>38</v>
      </c>
      <c r="D34" s="179" t="s">
        <v>1641</v>
      </c>
      <c r="E34" s="179" t="s">
        <v>18</v>
      </c>
      <c r="F34">
        <v>37550</v>
      </c>
      <c r="G34" t="s">
        <v>87</v>
      </c>
      <c r="H34">
        <v>6405</v>
      </c>
      <c r="I34" t="s">
        <v>1642</v>
      </c>
      <c r="J34" t="s">
        <v>1643</v>
      </c>
      <c r="K34" s="11" t="s">
        <v>1748</v>
      </c>
      <c r="L34" s="11" t="s">
        <v>178</v>
      </c>
      <c r="M34" s="460">
        <v>1000652</v>
      </c>
      <c r="N34" s="9">
        <v>44835</v>
      </c>
      <c r="O34" s="9">
        <v>46660</v>
      </c>
      <c r="P34" s="11"/>
      <c r="Q34" s="11"/>
      <c r="R34" s="461">
        <v>497000</v>
      </c>
      <c r="S34" s="461">
        <v>497761</v>
      </c>
      <c r="T34" s="462">
        <v>527627</v>
      </c>
      <c r="U34" s="462">
        <v>231490</v>
      </c>
      <c r="V34" s="463">
        <v>238435</v>
      </c>
      <c r="W34" s="1">
        <v>238435.15</v>
      </c>
      <c r="X34" s="1">
        <f>Table14[[#This Row],[FY26 Budget]]-Table14[[#This Row],[FY26 Committed]]</f>
        <v>-0.14999999999417923</v>
      </c>
      <c r="Y34" s="463"/>
      <c r="Z34" s="463"/>
      <c r="AA34" s="463"/>
      <c r="AB34" s="463"/>
      <c r="AC34" s="15" t="s">
        <v>656</v>
      </c>
      <c r="AD34" s="15" t="s">
        <v>1756</v>
      </c>
      <c r="AE34" s="9">
        <v>45839</v>
      </c>
      <c r="AF34" s="365">
        <v>46203</v>
      </c>
      <c r="AG34" s="15" t="s">
        <v>1757</v>
      </c>
      <c r="AH34" s="9">
        <v>46204</v>
      </c>
      <c r="AI34" s="384"/>
      <c r="AJ34" s="234" t="s">
        <v>178</v>
      </c>
      <c r="AK34" s="234" t="s">
        <v>174</v>
      </c>
      <c r="AL34" s="16"/>
      <c r="AM34" s="2" t="s">
        <v>421</v>
      </c>
      <c r="AN34" s="454"/>
      <c r="AO34" s="381" t="s">
        <v>1753</v>
      </c>
    </row>
    <row r="35" spans="1:41" ht="17.25" customHeight="1" x14ac:dyDescent="0.25">
      <c r="A35" t="s">
        <v>1758</v>
      </c>
      <c r="B35" t="s">
        <v>1759</v>
      </c>
      <c r="C35" s="3" t="s">
        <v>16</v>
      </c>
      <c r="D35" s="179" t="s">
        <v>24</v>
      </c>
      <c r="E35" s="179" t="s">
        <v>25</v>
      </c>
      <c r="F35">
        <v>37510</v>
      </c>
      <c r="G35" t="s">
        <v>26</v>
      </c>
      <c r="H35">
        <v>6405</v>
      </c>
      <c r="I35" t="s">
        <v>1760</v>
      </c>
      <c r="J35" t="s">
        <v>28</v>
      </c>
      <c r="K35" s="11" t="s">
        <v>1748</v>
      </c>
      <c r="L35" s="11" t="s">
        <v>178</v>
      </c>
      <c r="M35" s="460">
        <v>1003943</v>
      </c>
      <c r="N35" s="9"/>
      <c r="O35" s="9"/>
      <c r="P35" s="11"/>
      <c r="Q35" s="11"/>
      <c r="R35" s="461"/>
      <c r="S35" s="461"/>
      <c r="T35" s="462">
        <v>98484</v>
      </c>
      <c r="U35" s="462">
        <f>43262+15447.25+14453</f>
        <v>73162.25</v>
      </c>
      <c r="V35" s="463">
        <v>73162</v>
      </c>
      <c r="W35" s="1">
        <f>43262+15447.25+14453</f>
        <v>73162.25</v>
      </c>
      <c r="X35" s="1">
        <f>Table14[[#This Row],[FY26 Budget]]-Table14[[#This Row],[FY26 Committed]]</f>
        <v>-0.25</v>
      </c>
      <c r="Y35" s="463">
        <f>43262+15447.25+14453</f>
        <v>73162.25</v>
      </c>
      <c r="Z35" s="463"/>
      <c r="AA35" s="463"/>
      <c r="AB35" s="463"/>
      <c r="AC35" s="15" t="s">
        <v>234</v>
      </c>
      <c r="AD35" s="15" t="s">
        <v>1761</v>
      </c>
      <c r="AE35" s="9">
        <v>45627</v>
      </c>
      <c r="AF35" s="365">
        <v>46721</v>
      </c>
      <c r="AG35" s="15" t="str">
        <f>Table14[[#This Row],[FY25 PO]]</f>
        <v>P25014575</v>
      </c>
      <c r="AH35" s="9">
        <v>46722</v>
      </c>
      <c r="AI35" s="455" t="s">
        <v>1743</v>
      </c>
      <c r="AJ35" s="234" t="s">
        <v>178</v>
      </c>
      <c r="AK35" s="234" t="s">
        <v>174</v>
      </c>
      <c r="AL35" s="16"/>
      <c r="AM35" s="2"/>
      <c r="AN35" s="454" t="s">
        <v>1762</v>
      </c>
      <c r="AO35" s="453" t="s">
        <v>1723</v>
      </c>
    </row>
    <row r="36" spans="1:41" x14ac:dyDescent="0.25">
      <c r="A36" t="s">
        <v>564</v>
      </c>
      <c r="B36" t="s">
        <v>565</v>
      </c>
      <c r="C36" s="3" t="s">
        <v>38</v>
      </c>
      <c r="D36" s="179" t="s">
        <v>408</v>
      </c>
      <c r="E36" s="179" t="s">
        <v>25</v>
      </c>
      <c r="F36">
        <v>37200</v>
      </c>
      <c r="G36" t="s">
        <v>566</v>
      </c>
      <c r="H36">
        <v>6130</v>
      </c>
      <c r="I36" t="s">
        <v>1636</v>
      </c>
      <c r="J36" t="s">
        <v>567</v>
      </c>
      <c r="K36" s="11" t="str">
        <f>IF(Table14[[#This Row],[Proprietary?
(Y/N)]]="Y","Proprietary",IF(Table14[[#This Row],[FY25 Budget]]&lt;Lookups!$F$3,"Single Quote",IF(Table14[[#This Row],[FY25 Budget]]&gt;Lookups!$G$3,"RFP","Three quotes")))</f>
        <v>Proprietary</v>
      </c>
      <c r="L36" s="11" t="s">
        <v>178</v>
      </c>
      <c r="M36" s="460">
        <v>200019</v>
      </c>
      <c r="N36" s="9">
        <v>43374</v>
      </c>
      <c r="O36" s="9">
        <v>45910</v>
      </c>
      <c r="P36" s="11"/>
      <c r="Q36" s="11"/>
      <c r="R36" s="461">
        <v>274000</v>
      </c>
      <c r="S36" s="461">
        <v>273169.26</v>
      </c>
      <c r="T36" s="462">
        <v>307000</v>
      </c>
      <c r="U36" s="462">
        <v>307820</v>
      </c>
      <c r="V36" s="463">
        <v>382515</v>
      </c>
      <c r="W36" s="1"/>
      <c r="X36" s="1">
        <f>Table14[[#This Row],[FY26 Budget]]-Table14[[#This Row],[FY26 Committed]]</f>
        <v>382515</v>
      </c>
      <c r="Y36" s="463"/>
      <c r="Z36" s="463"/>
      <c r="AA36" s="463"/>
      <c r="AB36" s="463" t="s">
        <v>1763</v>
      </c>
      <c r="AC36" s="15" t="s">
        <v>569</v>
      </c>
      <c r="AD36" s="15" t="s">
        <v>1764</v>
      </c>
      <c r="AE36" s="9">
        <v>45546</v>
      </c>
      <c r="AF36" s="365">
        <v>46640</v>
      </c>
      <c r="AG36" s="15" t="str">
        <f>Table14[[#This Row],[FY25 PO]]</f>
        <v>P25012415</v>
      </c>
      <c r="AH36" s="9">
        <v>46641</v>
      </c>
      <c r="AI36" s="384" t="s">
        <v>570</v>
      </c>
      <c r="AJ36" s="234" t="s">
        <v>174</v>
      </c>
      <c r="AK36" s="234" t="s">
        <v>174</v>
      </c>
      <c r="AL36" s="16" t="s">
        <v>186</v>
      </c>
      <c r="AM36" s="2" t="s">
        <v>1765</v>
      </c>
      <c r="AN36" s="454"/>
      <c r="AO36" s="381" t="s">
        <v>234</v>
      </c>
    </row>
    <row r="37" spans="1:41" x14ac:dyDescent="0.25">
      <c r="A37" t="s">
        <v>1766</v>
      </c>
      <c r="B37" t="s">
        <v>79</v>
      </c>
      <c r="C37" s="3" t="s">
        <v>16</v>
      </c>
      <c r="D37" s="179" t="s">
        <v>24</v>
      </c>
      <c r="E37" s="179" t="s">
        <v>25</v>
      </c>
      <c r="F37">
        <v>37516</v>
      </c>
      <c r="G37" t="s">
        <v>32</v>
      </c>
      <c r="H37">
        <v>6405</v>
      </c>
      <c r="I37" t="s">
        <v>80</v>
      </c>
      <c r="J37" t="s">
        <v>56</v>
      </c>
      <c r="K37" s="11" t="s">
        <v>173</v>
      </c>
      <c r="L37" s="11" t="s">
        <v>178</v>
      </c>
      <c r="M37" s="460">
        <v>1001272</v>
      </c>
      <c r="N37" s="9">
        <v>43952</v>
      </c>
      <c r="O37" s="9">
        <v>45413</v>
      </c>
      <c r="P37" s="11" t="s">
        <v>1666</v>
      </c>
      <c r="Q37" s="11"/>
      <c r="R37" s="461">
        <v>16140</v>
      </c>
      <c r="S37" s="461">
        <v>16140</v>
      </c>
      <c r="T37" s="462">
        <v>16624</v>
      </c>
      <c r="U37" s="462">
        <v>32007</v>
      </c>
      <c r="V37" s="463">
        <v>32967</v>
      </c>
      <c r="W37" s="1">
        <v>35387</v>
      </c>
      <c r="X37" s="1">
        <f>Table14[[#This Row],[FY26 Budget]]-Table14[[#This Row],[FY26 Committed]]</f>
        <v>-2420</v>
      </c>
      <c r="Y37" s="463"/>
      <c r="Z37" s="463"/>
      <c r="AA37" s="463"/>
      <c r="AB37" s="463"/>
      <c r="AC37" s="15" t="s">
        <v>574</v>
      </c>
      <c r="AD37" s="15" t="s">
        <v>1767</v>
      </c>
      <c r="AE37" s="9">
        <v>45962</v>
      </c>
      <c r="AF37" s="365">
        <v>46326</v>
      </c>
      <c r="AG37" s="15"/>
      <c r="AH37" s="9">
        <v>46327</v>
      </c>
      <c r="AI37" s="455"/>
      <c r="AJ37" s="234" t="s">
        <v>178</v>
      </c>
      <c r="AK37" s="234" t="s">
        <v>174</v>
      </c>
      <c r="AL37" s="16"/>
      <c r="AM37" s="2" t="s">
        <v>421</v>
      </c>
      <c r="AN37" s="454" t="s">
        <v>1768</v>
      </c>
      <c r="AO37" s="456" t="s">
        <v>1685</v>
      </c>
    </row>
    <row r="38" spans="1:41" x14ac:dyDescent="0.25">
      <c r="A38" t="s">
        <v>577</v>
      </c>
      <c r="B38" t="s">
        <v>578</v>
      </c>
      <c r="C38" s="3" t="s">
        <v>16</v>
      </c>
      <c r="D38" s="179" t="s">
        <v>1641</v>
      </c>
      <c r="E38" s="179" t="s">
        <v>18</v>
      </c>
      <c r="F38">
        <v>37550</v>
      </c>
      <c r="G38" t="s">
        <v>87</v>
      </c>
      <c r="H38">
        <v>6130</v>
      </c>
      <c r="I38" t="s">
        <v>1642</v>
      </c>
      <c r="J38" t="s">
        <v>1643</v>
      </c>
      <c r="K38" s="11" t="str">
        <f>IF(Table14[[#This Row],[Proprietary?
(Y/N)]]="Y","Proprietary",IF(Table14[[#This Row],[FY25 Budget]]&lt;Lookups!$F$3,"Single Quote",IF(Table14[[#This Row],[FY25 Budget]]&gt;Lookups!$G$3,"RFP","Three quotes")))</f>
        <v>Single Quote</v>
      </c>
      <c r="L38" s="11" t="s">
        <v>178</v>
      </c>
      <c r="M38" s="460"/>
      <c r="N38" s="9"/>
      <c r="O38" s="9"/>
      <c r="P38" s="11"/>
      <c r="Q38" s="11"/>
      <c r="R38" s="461">
        <v>0</v>
      </c>
      <c r="S38" s="461">
        <v>24700</v>
      </c>
      <c r="T38" s="462">
        <v>0</v>
      </c>
      <c r="U38" s="462">
        <v>6110</v>
      </c>
      <c r="V38" s="463">
        <v>13000</v>
      </c>
      <c r="W38" s="1">
        <v>19451.96</v>
      </c>
      <c r="X38" s="1">
        <f>Table14[[#This Row],[FY26 Budget]]-Table14[[#This Row],[FY26 Committed]]</f>
        <v>-6451.9599999999991</v>
      </c>
      <c r="Y38" s="463">
        <v>6293.3</v>
      </c>
      <c r="Z38" s="463">
        <v>6482.1</v>
      </c>
      <c r="AA38" s="463">
        <v>6676.56</v>
      </c>
      <c r="AB38" s="463"/>
      <c r="AC38" s="15" t="s">
        <v>579</v>
      </c>
      <c r="AD38" s="15" t="s">
        <v>1769</v>
      </c>
      <c r="AE38" s="9">
        <v>45799</v>
      </c>
      <c r="AF38" s="365">
        <v>46894</v>
      </c>
      <c r="AG38" s="15" t="s">
        <v>1770</v>
      </c>
      <c r="AH38" s="9">
        <v>46874</v>
      </c>
      <c r="AI38" s="384"/>
      <c r="AJ38" s="234"/>
      <c r="AK38" s="234" t="s">
        <v>174</v>
      </c>
      <c r="AL38" s="16"/>
      <c r="AM38" s="2" t="s">
        <v>471</v>
      </c>
      <c r="AN38" s="454" t="s">
        <v>1771</v>
      </c>
      <c r="AO38" s="381" t="s">
        <v>234</v>
      </c>
    </row>
    <row r="39" spans="1:41" x14ac:dyDescent="0.25">
      <c r="A39" t="s">
        <v>81</v>
      </c>
      <c r="B39" t="s">
        <v>1772</v>
      </c>
      <c r="C39" s="3" t="s">
        <v>16</v>
      </c>
      <c r="D39" s="179" t="s">
        <v>24</v>
      </c>
      <c r="E39" s="179" t="s">
        <v>25</v>
      </c>
      <c r="F39">
        <v>37510</v>
      </c>
      <c r="G39" t="s">
        <v>26</v>
      </c>
      <c r="H39">
        <v>6405</v>
      </c>
      <c r="I39" t="s">
        <v>65</v>
      </c>
      <c r="K39" s="11" t="str">
        <f>IF(Table14[[#This Row],[Proprietary?
(Y/N)]]="Y","Proprietary",IF(Table14[[#This Row],[FY25 Budget]]&lt;Lookups!$F$3,"Single Quote",IF(Table14[[#This Row],[FY25 Budget]]&gt;Lookups!$G$3,"RFP","Three quotes")))</f>
        <v>Three quotes</v>
      </c>
      <c r="L39" s="11" t="s">
        <v>178</v>
      </c>
      <c r="M39" s="460">
        <v>1003891</v>
      </c>
      <c r="N39" s="9">
        <v>45474</v>
      </c>
      <c r="O39" s="9">
        <v>46568</v>
      </c>
      <c r="P39" s="11"/>
      <c r="Q39" s="11"/>
      <c r="R39" s="461">
        <v>151023.75</v>
      </c>
      <c r="S39" s="461">
        <v>172500</v>
      </c>
      <c r="T39" s="462">
        <v>177675</v>
      </c>
      <c r="U39" s="462">
        <v>222750</v>
      </c>
      <c r="V39" s="463">
        <v>222500</v>
      </c>
      <c r="W39" s="1">
        <v>222500</v>
      </c>
      <c r="X39" s="1">
        <f>Table14[[#This Row],[FY26 Budget]]-Table14[[#This Row],[FY26 Committed]]</f>
        <v>0</v>
      </c>
      <c r="Y39" s="463">
        <v>229175</v>
      </c>
      <c r="Z39" s="463"/>
      <c r="AA39" s="463"/>
      <c r="AB39" s="463"/>
      <c r="AC39" s="15" t="s">
        <v>582</v>
      </c>
      <c r="AD39" s="15" t="s">
        <v>1773</v>
      </c>
      <c r="AE39" s="9">
        <v>45474</v>
      </c>
      <c r="AF39" s="365">
        <v>46568</v>
      </c>
      <c r="AG39" s="15" t="str">
        <f>Table14[[#This Row],[FY25 PO]]</f>
        <v>P25010101</v>
      </c>
      <c r="AH39" s="9">
        <v>46569</v>
      </c>
      <c r="AI39" s="455" t="s">
        <v>1743</v>
      </c>
      <c r="AJ39" s="234" t="s">
        <v>178</v>
      </c>
      <c r="AK39" s="234" t="s">
        <v>178</v>
      </c>
      <c r="AL39" s="16"/>
      <c r="AM39" s="2" t="s">
        <v>563</v>
      </c>
      <c r="AN39" s="454" t="s">
        <v>1744</v>
      </c>
      <c r="AO39" s="456" t="s">
        <v>1774</v>
      </c>
    </row>
    <row r="40" spans="1:41" x14ac:dyDescent="0.25">
      <c r="A40" t="s">
        <v>85</v>
      </c>
      <c r="B40" t="s">
        <v>86</v>
      </c>
      <c r="C40" s="3" t="s">
        <v>38</v>
      </c>
      <c r="D40" s="179" t="s">
        <v>1641</v>
      </c>
      <c r="E40" s="179" t="s">
        <v>18</v>
      </c>
      <c r="F40">
        <v>37550</v>
      </c>
      <c r="G40" t="s">
        <v>87</v>
      </c>
      <c r="H40">
        <v>6405</v>
      </c>
      <c r="I40" t="s">
        <v>1642</v>
      </c>
      <c r="J40" t="s">
        <v>1643</v>
      </c>
      <c r="K40" s="11" t="str">
        <f>IF(Table14[[#This Row],[Proprietary?
(Y/N)]]="Y","Proprietary",IF(Table14[[#This Row],[FY25 Budget]]&lt;Lookups!$F$3,"Single Quote",IF(Table14[[#This Row],[FY25 Budget]]&gt;Lookups!$G$3,"RFP","Three quotes")))</f>
        <v>Proprietary</v>
      </c>
      <c r="L40" s="11" t="s">
        <v>178</v>
      </c>
      <c r="M40" s="460">
        <v>1001875</v>
      </c>
      <c r="N40" s="9">
        <v>44378</v>
      </c>
      <c r="O40" s="9">
        <v>45838</v>
      </c>
      <c r="P40" s="11"/>
      <c r="Q40" s="11"/>
      <c r="R40" s="461">
        <v>36789</v>
      </c>
      <c r="S40" s="461">
        <v>35381</v>
      </c>
      <c r="T40" s="462">
        <v>36442</v>
      </c>
      <c r="U40" s="462">
        <v>38246</v>
      </c>
      <c r="V40" s="463">
        <v>39393</v>
      </c>
      <c r="W40" s="1">
        <v>38246</v>
      </c>
      <c r="X40" s="1">
        <f>Table14[[#This Row],[FY26 Budget]]-Table14[[#This Row],[FY26 Committed]]</f>
        <v>1147</v>
      </c>
      <c r="Y40" s="463"/>
      <c r="Z40" s="463"/>
      <c r="AA40" s="463"/>
      <c r="AB40" s="463"/>
      <c r="AC40" s="15" t="s">
        <v>586</v>
      </c>
      <c r="AD40" s="15" t="s">
        <v>1775</v>
      </c>
      <c r="AE40" s="9">
        <v>45839</v>
      </c>
      <c r="AF40" s="365">
        <v>46203</v>
      </c>
      <c r="AG40" s="15" t="s">
        <v>1776</v>
      </c>
      <c r="AH40" s="9">
        <v>46204</v>
      </c>
      <c r="AI40" s="384"/>
      <c r="AJ40" s="234" t="s">
        <v>178</v>
      </c>
      <c r="AK40" s="234" t="s">
        <v>174</v>
      </c>
      <c r="AL40" s="16"/>
      <c r="AM40" s="2" t="s">
        <v>588</v>
      </c>
      <c r="AN40" s="454" t="s">
        <v>1777</v>
      </c>
      <c r="AO40" s="381" t="s">
        <v>1778</v>
      </c>
    </row>
    <row r="41" spans="1:41" x14ac:dyDescent="0.25">
      <c r="A41" t="s">
        <v>1779</v>
      </c>
      <c r="B41" t="s">
        <v>1780</v>
      </c>
      <c r="D41" s="179" t="s">
        <v>74</v>
      </c>
      <c r="E41" s="179" t="s">
        <v>18</v>
      </c>
      <c r="F41">
        <v>37410</v>
      </c>
      <c r="G41" t="s">
        <v>416</v>
      </c>
      <c r="H41">
        <v>6405</v>
      </c>
      <c r="I41" t="s">
        <v>1662</v>
      </c>
      <c r="J41" t="s">
        <v>1781</v>
      </c>
      <c r="K41" s="11" t="str">
        <f>IF(Table14[[#This Row],[Proprietary?
(Y/N)]]="Y","Proprietary",IF(Table14[[#This Row],[FY25 Budget]]&lt;Lookups!$F$3,"Single Quote",IF(Table14[[#This Row],[FY25 Budget]]&gt;Lookups!$G$3,"RFP","Three quotes")))</f>
        <v>Single Quote</v>
      </c>
      <c r="L41" s="11" t="s">
        <v>174</v>
      </c>
      <c r="M41" s="460"/>
      <c r="N41" s="9"/>
      <c r="O41" s="9"/>
      <c r="P41" s="11"/>
      <c r="Q41" s="11"/>
      <c r="R41" s="461">
        <v>0</v>
      </c>
      <c r="S41" s="461">
        <v>0</v>
      </c>
      <c r="T41" s="462">
        <v>0</v>
      </c>
      <c r="U41" s="462">
        <v>3798</v>
      </c>
      <c r="V41" s="463">
        <v>0</v>
      </c>
      <c r="W41" s="1"/>
      <c r="X41" s="1">
        <f>Table14[[#This Row],[FY26 Budget]]-Table14[[#This Row],[FY26 Committed]]</f>
        <v>0</v>
      </c>
      <c r="Y41" s="463"/>
      <c r="Z41" s="463"/>
      <c r="AA41" s="463"/>
      <c r="AB41" s="463"/>
      <c r="AC41" s="15" t="s">
        <v>234</v>
      </c>
      <c r="AD41" s="15" t="s">
        <v>1782</v>
      </c>
      <c r="AE41" s="9">
        <v>45664</v>
      </c>
      <c r="AF41" s="365">
        <f>Table14[[#This Row],[PO Start]]+(365*3)</f>
        <v>46759</v>
      </c>
      <c r="AG41" s="15"/>
      <c r="AH41" s="9">
        <v>46722</v>
      </c>
      <c r="AI41" s="455"/>
      <c r="AJ41" s="234" t="s">
        <v>174</v>
      </c>
      <c r="AK41" s="234"/>
      <c r="AL41" s="16"/>
      <c r="AM41" s="2"/>
      <c r="AN41" s="454" t="s">
        <v>1783</v>
      </c>
      <c r="AO41" s="456" t="s">
        <v>234</v>
      </c>
    </row>
    <row r="42" spans="1:41" x14ac:dyDescent="0.25">
      <c r="A42" t="s">
        <v>1784</v>
      </c>
      <c r="B42" t="s">
        <v>1785</v>
      </c>
      <c r="D42" s="179" t="s">
        <v>1641</v>
      </c>
      <c r="E42" s="490" t="s">
        <v>18</v>
      </c>
      <c r="F42">
        <v>37562</v>
      </c>
      <c r="G42" t="s">
        <v>1786</v>
      </c>
      <c r="H42">
        <v>6405</v>
      </c>
      <c r="I42" t="s">
        <v>1704</v>
      </c>
      <c r="J42" t="s">
        <v>56</v>
      </c>
      <c r="K42" s="11"/>
      <c r="L42" s="11" t="s">
        <v>178</v>
      </c>
      <c r="M42" s="492"/>
      <c r="N42" s="9"/>
      <c r="O42" s="9"/>
      <c r="P42" s="11"/>
      <c r="Q42" s="11"/>
      <c r="R42" s="475"/>
      <c r="S42" s="476"/>
      <c r="T42" s="493"/>
      <c r="U42" s="493"/>
      <c r="V42" s="1"/>
      <c r="W42" s="1">
        <v>22650.400000000001</v>
      </c>
      <c r="X42" s="1">
        <f>Table14[[#This Row],[FY26 Budget]]-Table14[[#This Row],[FY26 Committed]]</f>
        <v>-22650.400000000001</v>
      </c>
      <c r="Y42" s="494">
        <v>23511.119999999999</v>
      </c>
      <c r="Z42" s="494">
        <v>24404.54</v>
      </c>
      <c r="AA42" s="494"/>
      <c r="AB42" s="494"/>
      <c r="AC42" s="15" t="s">
        <v>234</v>
      </c>
      <c r="AD42" s="15" t="s">
        <v>234</v>
      </c>
      <c r="AE42" s="9">
        <v>45839</v>
      </c>
      <c r="AF42" s="489">
        <v>46934</v>
      </c>
      <c r="AG42" s="443"/>
      <c r="AH42" s="9">
        <v>46935</v>
      </c>
      <c r="AI42" s="495"/>
      <c r="AJ42" s="496" t="s">
        <v>174</v>
      </c>
      <c r="AK42" s="496"/>
      <c r="AL42" s="497"/>
      <c r="AM42" s="498"/>
      <c r="AN42" s="498"/>
      <c r="AO42" s="498"/>
    </row>
    <row r="43" spans="1:41" x14ac:dyDescent="0.25">
      <c r="A43" t="s">
        <v>1787</v>
      </c>
      <c r="B43" t="s">
        <v>1788</v>
      </c>
      <c r="C43" s="3" t="s">
        <v>16</v>
      </c>
      <c r="D43" s="179" t="s">
        <v>74</v>
      </c>
      <c r="E43" s="179" t="s">
        <v>25</v>
      </c>
      <c r="F43">
        <v>37200</v>
      </c>
      <c r="G43" t="s">
        <v>1648</v>
      </c>
      <c r="H43">
        <v>6130</v>
      </c>
      <c r="I43" t="s">
        <v>1789</v>
      </c>
      <c r="J43" t="s">
        <v>1636</v>
      </c>
      <c r="K43" s="11" t="str">
        <f>IF(Table14[[#This Row],[Proprietary?
(Y/N)]]="Y","Proprietary",IF(Table14[[#This Row],[FY25 Budget]]&lt;Lookups!$F$3,"Single Quote",IF(Table14[[#This Row],[FY25 Budget]]&gt;Lookups!$G$3,"RFP","Three quotes")))</f>
        <v>Single Quote</v>
      </c>
      <c r="L43" s="11" t="s">
        <v>174</v>
      </c>
      <c r="M43" s="460"/>
      <c r="N43" s="9"/>
      <c r="O43" s="9"/>
      <c r="P43" s="11"/>
      <c r="Q43" s="11"/>
      <c r="R43" s="461">
        <v>0</v>
      </c>
      <c r="S43" s="461">
        <v>0</v>
      </c>
      <c r="T43" s="462">
        <v>0</v>
      </c>
      <c r="U43" s="462">
        <v>3263.98</v>
      </c>
      <c r="V43" s="463">
        <v>0</v>
      </c>
      <c r="W43" s="1"/>
      <c r="X43" s="1">
        <f>Table14[[#This Row],[FY26 Budget]]-Table14[[#This Row],[FY26 Committed]]</f>
        <v>0</v>
      </c>
      <c r="Y43" s="463"/>
      <c r="Z43" s="463"/>
      <c r="AA43" s="463"/>
      <c r="AB43" s="463"/>
      <c r="AC43" s="15" t="s">
        <v>234</v>
      </c>
      <c r="AD43" s="15" t="s">
        <v>1790</v>
      </c>
      <c r="AE43" s="9">
        <v>45618</v>
      </c>
      <c r="AF43" s="365">
        <v>45982</v>
      </c>
      <c r="AG43" s="15"/>
      <c r="AH43" s="9">
        <v>45962</v>
      </c>
      <c r="AI43" s="384"/>
      <c r="AJ43" s="234" t="s">
        <v>174</v>
      </c>
      <c r="AK43" s="234" t="s">
        <v>234</v>
      </c>
      <c r="AL43" s="16"/>
      <c r="AM43" s="2"/>
      <c r="AN43" s="454"/>
      <c r="AO43" s="381" t="s">
        <v>234</v>
      </c>
    </row>
    <row r="44" spans="1:41" x14ac:dyDescent="0.25">
      <c r="A44" t="s">
        <v>597</v>
      </c>
      <c r="B44" t="s">
        <v>598</v>
      </c>
      <c r="C44" s="3" t="s">
        <v>16</v>
      </c>
      <c r="D44" s="179" t="s">
        <v>408</v>
      </c>
      <c r="E44" s="179" t="s">
        <v>25</v>
      </c>
      <c r="F44">
        <v>37522</v>
      </c>
      <c r="G44" t="s">
        <v>44</v>
      </c>
      <c r="H44">
        <v>6405</v>
      </c>
      <c r="I44" t="s">
        <v>1686</v>
      </c>
      <c r="J44" t="s">
        <v>1629</v>
      </c>
      <c r="K44" s="11" t="str">
        <f>IF(Table14[[#This Row],[Proprietary?
(Y/N)]]="Y","Proprietary",IF(Table14[[#This Row],[FY25 Budget]]&lt;Lookups!$F$3,"Single Quote",IF(Table14[[#This Row],[FY25 Budget]]&gt;Lookups!$G$3,"RFP","Three quotes")))</f>
        <v>Single Quote</v>
      </c>
      <c r="L44" s="11" t="s">
        <v>174</v>
      </c>
      <c r="M44" s="460" t="s">
        <v>29</v>
      </c>
      <c r="N44" s="9"/>
      <c r="O44" s="9"/>
      <c r="P44" s="11"/>
      <c r="Q44" s="11"/>
      <c r="R44" s="461">
        <v>0</v>
      </c>
      <c r="S44" s="461">
        <v>22800</v>
      </c>
      <c r="T44" s="462">
        <v>0</v>
      </c>
      <c r="U44" s="462"/>
      <c r="V44" s="463">
        <v>23940</v>
      </c>
      <c r="W44" s="1"/>
      <c r="X44" s="1">
        <f>Table14[[#This Row],[FY26 Budget]]-Table14[[#This Row],[FY26 Committed]]</f>
        <v>23940</v>
      </c>
      <c r="Y44" s="463"/>
      <c r="Z44" s="463"/>
      <c r="AA44" s="463"/>
      <c r="AB44" s="463"/>
      <c r="AC44" s="15" t="s">
        <v>599</v>
      </c>
      <c r="AD44" s="15" t="s">
        <v>599</v>
      </c>
      <c r="AE44" s="9">
        <v>45108</v>
      </c>
      <c r="AF44" s="365">
        <v>45991</v>
      </c>
      <c r="AG44" s="15"/>
      <c r="AH44" s="9">
        <v>45992</v>
      </c>
      <c r="AI44" s="455" t="s">
        <v>1791</v>
      </c>
      <c r="AJ44" s="234" t="s">
        <v>178</v>
      </c>
      <c r="AK44" s="234" t="s">
        <v>174</v>
      </c>
      <c r="AL44" s="16"/>
      <c r="AM44" s="2" t="s">
        <v>421</v>
      </c>
      <c r="AN44" s="454"/>
      <c r="AO44" s="456" t="s">
        <v>234</v>
      </c>
    </row>
    <row r="45" spans="1:41" x14ac:dyDescent="0.25">
      <c r="A45" t="s">
        <v>606</v>
      </c>
      <c r="B45" t="s">
        <v>95</v>
      </c>
      <c r="C45" s="3" t="s">
        <v>16</v>
      </c>
      <c r="D45" s="179" t="s">
        <v>1641</v>
      </c>
      <c r="E45" s="179" t="s">
        <v>18</v>
      </c>
      <c r="F45">
        <v>37562</v>
      </c>
      <c r="G45" t="s">
        <v>1786</v>
      </c>
      <c r="H45">
        <v>6405</v>
      </c>
      <c r="I45" t="s">
        <v>1704</v>
      </c>
      <c r="J45" t="s">
        <v>56</v>
      </c>
      <c r="K45" s="11" t="s">
        <v>1792</v>
      </c>
      <c r="L45" s="11" t="s">
        <v>178</v>
      </c>
      <c r="M45" s="460">
        <v>1001930</v>
      </c>
      <c r="N45" s="9">
        <v>45108</v>
      </c>
      <c r="O45" s="9">
        <v>46203</v>
      </c>
      <c r="P45" s="11"/>
      <c r="Q45" s="11"/>
      <c r="R45" s="461">
        <v>336705</v>
      </c>
      <c r="S45" s="461">
        <v>293950</v>
      </c>
      <c r="T45" s="462">
        <v>302769</v>
      </c>
      <c r="U45" s="462">
        <v>299750</v>
      </c>
      <c r="V45" s="463">
        <v>317735</v>
      </c>
      <c r="W45" s="1">
        <v>299061</v>
      </c>
      <c r="X45" s="1">
        <f>Table14[[#This Row],[FY26 Budget]]-Table14[[#This Row],[FY26 Committed]]</f>
        <v>18674</v>
      </c>
      <c r="Y45" s="463"/>
      <c r="Z45" s="463"/>
      <c r="AA45" s="463"/>
      <c r="AB45" s="463"/>
      <c r="AC45" s="15" t="s">
        <v>608</v>
      </c>
      <c r="AD45" s="15" t="s">
        <v>1793</v>
      </c>
      <c r="AE45" s="9">
        <v>45839</v>
      </c>
      <c r="AF45" s="365">
        <v>46203</v>
      </c>
      <c r="AG45" s="15" t="s">
        <v>1794</v>
      </c>
      <c r="AH45" s="9">
        <v>46204</v>
      </c>
      <c r="AI45" s="455"/>
      <c r="AJ45" s="234" t="s">
        <v>178</v>
      </c>
      <c r="AK45" s="234" t="s">
        <v>174</v>
      </c>
      <c r="AL45" s="16"/>
      <c r="AM45" s="2" t="s">
        <v>611</v>
      </c>
      <c r="AN45" s="454"/>
      <c r="AO45" s="456" t="s">
        <v>1795</v>
      </c>
    </row>
    <row r="46" spans="1:41" x14ac:dyDescent="0.25">
      <c r="A46" t="s">
        <v>612</v>
      </c>
      <c r="B46" t="s">
        <v>96</v>
      </c>
      <c r="C46" s="3" t="s">
        <v>16</v>
      </c>
      <c r="D46" s="179" t="s">
        <v>1641</v>
      </c>
      <c r="E46" s="179" t="s">
        <v>18</v>
      </c>
      <c r="F46">
        <v>37562</v>
      </c>
      <c r="G46" t="s">
        <v>1786</v>
      </c>
      <c r="H46">
        <v>6405</v>
      </c>
      <c r="I46" t="s">
        <v>1704</v>
      </c>
      <c r="J46" t="s">
        <v>56</v>
      </c>
      <c r="K46" s="11" t="str">
        <f>IF(Table14[[#This Row],[Proprietary?
(Y/N)]]="Y","Proprietary",IF(Table14[[#This Row],[FY25 Budget]]&lt;Lookups!$F$3,"Single Quote",IF(Table14[[#This Row],[FY25 Budget]]&gt;Lookups!$G$3,"RFP","Three quotes")))</f>
        <v>Three quotes</v>
      </c>
      <c r="L46" s="11" t="s">
        <v>178</v>
      </c>
      <c r="M46" s="460">
        <v>1001930</v>
      </c>
      <c r="N46" s="9">
        <v>45108</v>
      </c>
      <c r="O46" s="9">
        <v>46203</v>
      </c>
      <c r="P46" s="11"/>
      <c r="Q46" s="11"/>
      <c r="R46" s="461">
        <v>53500</v>
      </c>
      <c r="S46" s="461">
        <v>50000</v>
      </c>
      <c r="T46" s="462">
        <v>50000</v>
      </c>
      <c r="U46" s="462">
        <v>53500</v>
      </c>
      <c r="V46" s="463">
        <v>56710</v>
      </c>
      <c r="W46" s="1">
        <v>53500</v>
      </c>
      <c r="X46" s="1">
        <f>Table14[[#This Row],[FY26 Budget]]-Table14[[#This Row],[FY26 Committed]]</f>
        <v>3210</v>
      </c>
      <c r="Y46" s="463"/>
      <c r="Z46" s="463"/>
      <c r="AA46" s="463"/>
      <c r="AB46" s="463"/>
      <c r="AC46" s="15" t="s">
        <v>614</v>
      </c>
      <c r="AD46" s="15" t="s">
        <v>1796</v>
      </c>
      <c r="AE46" s="9">
        <v>45839</v>
      </c>
      <c r="AF46" s="365">
        <v>46203</v>
      </c>
      <c r="AG46" s="15" t="s">
        <v>1797</v>
      </c>
      <c r="AH46" s="9">
        <v>46204</v>
      </c>
      <c r="AI46" s="384"/>
      <c r="AJ46" s="234" t="s">
        <v>178</v>
      </c>
      <c r="AK46" s="234" t="s">
        <v>174</v>
      </c>
      <c r="AL46" s="16"/>
      <c r="AM46" s="2" t="s">
        <v>611</v>
      </c>
      <c r="AN46" s="454"/>
      <c r="AO46" s="381" t="s">
        <v>1798</v>
      </c>
    </row>
    <row r="47" spans="1:41" x14ac:dyDescent="0.25">
      <c r="A47" t="s">
        <v>616</v>
      </c>
      <c r="B47" t="s">
        <v>263</v>
      </c>
      <c r="C47" s="3" t="s">
        <v>38</v>
      </c>
      <c r="D47" s="179" t="s">
        <v>1641</v>
      </c>
      <c r="E47" s="179" t="s">
        <v>18</v>
      </c>
      <c r="F47">
        <v>37563</v>
      </c>
      <c r="G47" t="s">
        <v>1708</v>
      </c>
      <c r="H47">
        <v>6405</v>
      </c>
      <c r="I47" t="s">
        <v>1704</v>
      </c>
      <c r="J47" t="s">
        <v>56</v>
      </c>
      <c r="K47" s="11" t="str">
        <f>IF(Table14[[#This Row],[Proprietary?
(Y/N)]]="Y","Proprietary",IF(Table14[[#This Row],[FY25 Budget]]&lt;Lookups!$F$3,"Single Quote",IF(Table14[[#This Row],[FY25 Budget]]&gt;Lookups!$G$3,"RFP","Three quotes")))</f>
        <v>Proprietary</v>
      </c>
      <c r="L47" s="11" t="s">
        <v>178</v>
      </c>
      <c r="M47" s="460" t="s">
        <v>29</v>
      </c>
      <c r="N47" s="9"/>
      <c r="O47" s="9"/>
      <c r="P47" s="11"/>
      <c r="Q47" s="11"/>
      <c r="R47" s="461">
        <v>44931</v>
      </c>
      <c r="S47" s="461">
        <v>48077</v>
      </c>
      <c r="T47" s="462">
        <v>39962</v>
      </c>
      <c r="U47" s="462">
        <v>56998</v>
      </c>
      <c r="V47" s="463">
        <v>66341</v>
      </c>
      <c r="W47" s="1">
        <v>66341</v>
      </c>
      <c r="X47" s="1">
        <f>Table14[[#This Row],[FY26 Budget]]-Table14[[#This Row],[FY26 Committed]]</f>
        <v>0</v>
      </c>
      <c r="Y47" s="463">
        <v>75693</v>
      </c>
      <c r="Z47" s="463"/>
      <c r="AA47" s="463"/>
      <c r="AB47" s="463"/>
      <c r="AC47" s="15" t="s">
        <v>617</v>
      </c>
      <c r="AD47" s="15" t="s">
        <v>1799</v>
      </c>
      <c r="AE47" s="9">
        <v>45474</v>
      </c>
      <c r="AF47" s="365">
        <v>46568</v>
      </c>
      <c r="AG47" s="15" t="str">
        <f>Table14[[#This Row],[FY25 PO]]</f>
        <v>P25004593</v>
      </c>
      <c r="AH47" s="9">
        <v>46569</v>
      </c>
      <c r="AI47" s="455"/>
      <c r="AJ47" s="234" t="s">
        <v>178</v>
      </c>
      <c r="AK47" s="234" t="s">
        <v>174</v>
      </c>
      <c r="AL47" s="16"/>
      <c r="AM47" s="2" t="s">
        <v>495</v>
      </c>
      <c r="AN47" s="454"/>
      <c r="AO47" s="456" t="s">
        <v>1800</v>
      </c>
    </row>
    <row r="48" spans="1:41" x14ac:dyDescent="0.25">
      <c r="A48" t="s">
        <v>265</v>
      </c>
      <c r="B48" t="s">
        <v>266</v>
      </c>
      <c r="C48" s="3" t="s">
        <v>38</v>
      </c>
      <c r="D48" s="179" t="s">
        <v>1641</v>
      </c>
      <c r="E48" s="179" t="s">
        <v>18</v>
      </c>
      <c r="F48">
        <v>37561</v>
      </c>
      <c r="G48" t="s">
        <v>1703</v>
      </c>
      <c r="H48">
        <v>6405</v>
      </c>
      <c r="I48" t="s">
        <v>1704</v>
      </c>
      <c r="J48" t="s">
        <v>56</v>
      </c>
      <c r="K48" s="11" t="str">
        <f>IF(Table14[[#This Row],[Proprietary?
(Y/N)]]="Y","Proprietary",IF(Table14[[#This Row],[FY25 Budget]]&lt;Lookups!$F$3,"Single Quote",IF(Table14[[#This Row],[FY25 Budget]]&gt;Lookups!$G$3,"RFP","Three quotes")))</f>
        <v>Proprietary</v>
      </c>
      <c r="L48" s="11" t="s">
        <v>178</v>
      </c>
      <c r="M48" s="460" t="s">
        <v>29</v>
      </c>
      <c r="N48" s="9"/>
      <c r="O48" s="9"/>
      <c r="P48" s="11"/>
      <c r="Q48" s="11"/>
      <c r="R48" s="461">
        <v>104382</v>
      </c>
      <c r="S48" s="461">
        <v>104382</v>
      </c>
      <c r="T48" s="462">
        <v>104382</v>
      </c>
      <c r="U48" s="462">
        <v>80902</v>
      </c>
      <c r="V48" s="463">
        <v>87367</v>
      </c>
      <c r="W48" s="1">
        <f>87367+29550</f>
        <v>116917</v>
      </c>
      <c r="X48" s="1">
        <f>Table14[[#This Row],[FY26 Budget]]-Table14[[#This Row],[FY26 Committed]]</f>
        <v>-29550</v>
      </c>
      <c r="Y48" s="463">
        <v>94357</v>
      </c>
      <c r="Z48" s="463"/>
      <c r="AA48" s="463"/>
      <c r="AB48" s="463"/>
      <c r="AC48" s="15" t="s">
        <v>620</v>
      </c>
      <c r="AD48" s="15" t="s">
        <v>1801</v>
      </c>
      <c r="AE48" s="9">
        <v>45474</v>
      </c>
      <c r="AF48" s="365">
        <v>46568</v>
      </c>
      <c r="AG48" s="15" t="str">
        <f>Table14[[#This Row],[FY25 PO]]</f>
        <v>P25004592</v>
      </c>
      <c r="AH48" s="9">
        <v>46569</v>
      </c>
      <c r="AI48" s="384"/>
      <c r="AJ48" s="234" t="s">
        <v>178</v>
      </c>
      <c r="AK48" s="234" t="s">
        <v>174</v>
      </c>
      <c r="AL48" s="16"/>
      <c r="AM48" s="2" t="s">
        <v>495</v>
      </c>
      <c r="AN48" s="454" t="s">
        <v>1802</v>
      </c>
      <c r="AO48" s="381" t="s">
        <v>1803</v>
      </c>
    </row>
    <row r="49" spans="1:43" ht="13.5" customHeight="1" x14ac:dyDescent="0.25">
      <c r="A49" t="s">
        <v>97</v>
      </c>
      <c r="B49" t="s">
        <v>98</v>
      </c>
      <c r="C49" s="3" t="s">
        <v>16</v>
      </c>
      <c r="D49" s="179" t="s">
        <v>24</v>
      </c>
      <c r="E49" s="179" t="s">
        <v>18</v>
      </c>
      <c r="F49">
        <v>37540</v>
      </c>
      <c r="G49" t="s">
        <v>32</v>
      </c>
      <c r="H49">
        <v>6405</v>
      </c>
      <c r="I49" t="s">
        <v>1628</v>
      </c>
      <c r="J49" t="s">
        <v>1629</v>
      </c>
      <c r="K49" s="11" t="s">
        <v>173</v>
      </c>
      <c r="L49" s="11" t="s">
        <v>174</v>
      </c>
      <c r="M49" s="460" t="s">
        <v>29</v>
      </c>
      <c r="N49" s="9"/>
      <c r="O49" s="9"/>
      <c r="P49" s="11"/>
      <c r="Q49" s="11"/>
      <c r="R49" s="461">
        <v>11742</v>
      </c>
      <c r="S49" s="461">
        <v>13110</v>
      </c>
      <c r="T49" s="462">
        <v>13503</v>
      </c>
      <c r="U49" s="462">
        <v>15078</v>
      </c>
      <c r="V49" s="463">
        <v>15530</v>
      </c>
      <c r="W49" s="1">
        <v>16133.52</v>
      </c>
      <c r="X49" s="1">
        <f>Table14[[#This Row],[FY26 Budget]]-Table14[[#This Row],[FY26 Committed]]</f>
        <v>-603.52000000000044</v>
      </c>
      <c r="Y49" s="463"/>
      <c r="Z49" s="463"/>
      <c r="AA49" s="463"/>
      <c r="AB49" s="463"/>
      <c r="AC49" s="15" t="s">
        <v>623</v>
      </c>
      <c r="AD49" s="15" t="s">
        <v>1804</v>
      </c>
      <c r="AE49" s="9">
        <v>45839</v>
      </c>
      <c r="AF49" s="365">
        <v>46203</v>
      </c>
      <c r="AG49" s="15" t="s">
        <v>1805</v>
      </c>
      <c r="AH49" s="9">
        <v>46204</v>
      </c>
      <c r="AI49" s="455"/>
      <c r="AJ49" s="234" t="s">
        <v>178</v>
      </c>
      <c r="AK49" s="234" t="s">
        <v>174</v>
      </c>
      <c r="AL49" s="16"/>
      <c r="AM49" s="2" t="s">
        <v>421</v>
      </c>
      <c r="AN49" s="454"/>
      <c r="AO49" s="456" t="s">
        <v>1806</v>
      </c>
    </row>
    <row r="50" spans="1:43" x14ac:dyDescent="0.25">
      <c r="A50" t="s">
        <v>894</v>
      </c>
      <c r="B50" t="s">
        <v>626</v>
      </c>
      <c r="C50" s="3" t="s">
        <v>38</v>
      </c>
      <c r="D50" s="179" t="s">
        <v>1641</v>
      </c>
      <c r="E50" s="179" t="s">
        <v>18</v>
      </c>
      <c r="F50">
        <v>37564</v>
      </c>
      <c r="G50" t="s">
        <v>1807</v>
      </c>
      <c r="H50">
        <v>6235</v>
      </c>
      <c r="I50" t="s">
        <v>1704</v>
      </c>
      <c r="J50" t="s">
        <v>56</v>
      </c>
      <c r="K50" s="11" t="str">
        <f>IF(Table14[[#This Row],[Proprietary?
(Y/N)]]="Y","Proprietary",IF(Table14[[#This Row],[FY25 Budget]]&lt;Lookups!$F$3,"Single Quote",IF(Table14[[#This Row],[FY25 Budget]]&gt;Lookups!$G$3,"RFP","Three quotes")))</f>
        <v>Proprietary</v>
      </c>
      <c r="L50" s="11" t="s">
        <v>178</v>
      </c>
      <c r="M50" s="460">
        <v>1000292</v>
      </c>
      <c r="N50" s="9">
        <v>45108</v>
      </c>
      <c r="O50" s="9">
        <v>45473</v>
      </c>
      <c r="P50" s="11"/>
      <c r="Q50" s="11"/>
      <c r="R50" s="461">
        <v>0</v>
      </c>
      <c r="S50" s="461">
        <v>91000</v>
      </c>
      <c r="T50" s="462">
        <v>85000</v>
      </c>
      <c r="U50" s="462">
        <v>111384</v>
      </c>
      <c r="V50" s="463">
        <v>115000</v>
      </c>
      <c r="W50" s="1">
        <v>117000</v>
      </c>
      <c r="X50" s="1">
        <f>Table14[[#This Row],[FY26 Budget]]-Table14[[#This Row],[FY26 Committed]]</f>
        <v>-2000</v>
      </c>
      <c r="Y50" s="463"/>
      <c r="Z50" s="463"/>
      <c r="AA50" s="463"/>
      <c r="AB50" s="463"/>
      <c r="AC50" s="15" t="s">
        <v>627</v>
      </c>
      <c r="AD50" s="15" t="s">
        <v>1808</v>
      </c>
      <c r="AE50" s="9">
        <v>45839</v>
      </c>
      <c r="AF50" s="365">
        <v>46203</v>
      </c>
      <c r="AG50" s="15" t="s">
        <v>1809</v>
      </c>
      <c r="AH50" s="9">
        <v>45839</v>
      </c>
      <c r="AI50" s="384" t="s">
        <v>1810</v>
      </c>
      <c r="AJ50" s="234" t="s">
        <v>178</v>
      </c>
      <c r="AK50" s="234" t="s">
        <v>174</v>
      </c>
      <c r="AL50" s="16" t="s">
        <v>186</v>
      </c>
      <c r="AM50" s="2" t="s">
        <v>1811</v>
      </c>
      <c r="AN50" s="454"/>
      <c r="AO50" s="456" t="s">
        <v>1812</v>
      </c>
    </row>
    <row r="51" spans="1:43" x14ac:dyDescent="0.25">
      <c r="A51" t="s">
        <v>1813</v>
      </c>
      <c r="B51" t="s">
        <v>1814</v>
      </c>
      <c r="C51" s="3" t="s">
        <v>38</v>
      </c>
      <c r="D51" s="179" t="s">
        <v>1641</v>
      </c>
      <c r="E51" s="179" t="s">
        <v>18</v>
      </c>
      <c r="F51">
        <v>37564</v>
      </c>
      <c r="G51" t="s">
        <v>1807</v>
      </c>
      <c r="H51">
        <v>6235</v>
      </c>
      <c r="I51" t="s">
        <v>1704</v>
      </c>
      <c r="J51" t="s">
        <v>56</v>
      </c>
      <c r="K51" s="11" t="str">
        <f>IF(Table14[[#This Row],[Proprietary?
(Y/N)]]="Y","Proprietary",IF(Table14[[#This Row],[FY25 Budget]]&lt;Lookups!$F$3,"Single Quote",IF(Table14[[#This Row],[FY25 Budget]]&gt;Lookups!$G$3,"RFP","Three quotes")))</f>
        <v>Proprietary</v>
      </c>
      <c r="L51" s="11" t="s">
        <v>174</v>
      </c>
      <c r="M51" s="460">
        <v>1000292</v>
      </c>
      <c r="N51" s="9">
        <v>45108</v>
      </c>
      <c r="O51" s="9">
        <v>45473</v>
      </c>
      <c r="P51" s="11"/>
      <c r="Q51" s="11"/>
      <c r="R51" s="461">
        <v>0</v>
      </c>
      <c r="S51" s="461">
        <v>0</v>
      </c>
      <c r="T51" s="462">
        <v>0</v>
      </c>
      <c r="U51" s="462">
        <v>5000</v>
      </c>
      <c r="V51" s="463">
        <v>0</v>
      </c>
      <c r="W51" s="1">
        <v>5000</v>
      </c>
      <c r="X51" s="1">
        <f>Table14[[#This Row],[FY26 Budget]]-Table14[[#This Row],[FY26 Committed]]</f>
        <v>-5000</v>
      </c>
      <c r="Y51" s="463"/>
      <c r="Z51" s="463"/>
      <c r="AA51" s="463"/>
      <c r="AB51" s="463"/>
      <c r="AC51" s="15" t="s">
        <v>234</v>
      </c>
      <c r="AD51" s="15" t="s">
        <v>1815</v>
      </c>
      <c r="AE51" s="9">
        <v>45474</v>
      </c>
      <c r="AF51" s="365">
        <v>46203</v>
      </c>
      <c r="AG51" s="15" t="str">
        <f>Table14[[#This Row],[FY25 PO]]</f>
        <v>P25026236</v>
      </c>
      <c r="AH51" s="9">
        <v>45839</v>
      </c>
      <c r="AI51" s="455"/>
      <c r="AJ51" s="234" t="s">
        <v>174</v>
      </c>
      <c r="AK51" s="234" t="s">
        <v>174</v>
      </c>
      <c r="AL51" s="16" t="s">
        <v>186</v>
      </c>
      <c r="AM51" s="2"/>
      <c r="AN51" s="454" t="s">
        <v>1816</v>
      </c>
      <c r="AO51" s="456" t="s">
        <v>234</v>
      </c>
    </row>
    <row r="52" spans="1:43" x14ac:dyDescent="0.25">
      <c r="A52" t="s">
        <v>637</v>
      </c>
      <c r="B52" t="s">
        <v>125</v>
      </c>
      <c r="C52" s="3" t="s">
        <v>16</v>
      </c>
      <c r="D52" s="179" t="s">
        <v>24</v>
      </c>
      <c r="E52" s="179" t="s">
        <v>25</v>
      </c>
      <c r="F52">
        <v>37540</v>
      </c>
      <c r="G52" t="s">
        <v>32</v>
      </c>
      <c r="H52">
        <v>6405</v>
      </c>
      <c r="I52" t="s">
        <v>80</v>
      </c>
      <c r="J52" t="s">
        <v>56</v>
      </c>
      <c r="K52" s="11" t="s">
        <v>173</v>
      </c>
      <c r="L52" s="11" t="s">
        <v>178</v>
      </c>
      <c r="M52" s="460"/>
      <c r="N52" s="9"/>
      <c r="O52" s="9"/>
      <c r="P52" s="11"/>
      <c r="Q52" s="11"/>
      <c r="R52" s="461">
        <v>34236</v>
      </c>
      <c r="S52" s="461">
        <v>29170</v>
      </c>
      <c r="T52" s="462">
        <v>30045</v>
      </c>
      <c r="U52" s="462">
        <v>25825</v>
      </c>
      <c r="V52" s="463">
        <v>26600</v>
      </c>
      <c r="W52" s="1">
        <v>19875</v>
      </c>
      <c r="X52" s="1">
        <f>Table14[[#This Row],[FY26 Budget]]-Table14[[#This Row],[FY26 Committed]]</f>
        <v>6725</v>
      </c>
      <c r="Y52" s="463"/>
      <c r="Z52" s="463"/>
      <c r="AA52" s="463"/>
      <c r="AB52" s="463"/>
      <c r="AC52" s="15" t="s">
        <v>640</v>
      </c>
      <c r="AD52" s="15" t="s">
        <v>1817</v>
      </c>
      <c r="AE52" s="9">
        <v>45839</v>
      </c>
      <c r="AF52" s="365">
        <v>46203</v>
      </c>
      <c r="AG52" s="15" t="s">
        <v>1818</v>
      </c>
      <c r="AH52" s="9">
        <v>46204</v>
      </c>
      <c r="AI52" s="455"/>
      <c r="AJ52" s="234" t="s">
        <v>178</v>
      </c>
      <c r="AK52" s="234" t="s">
        <v>174</v>
      </c>
      <c r="AL52" s="16"/>
      <c r="AM52" s="2" t="s">
        <v>467</v>
      </c>
      <c r="AN52" s="454" t="s">
        <v>1819</v>
      </c>
      <c r="AO52" s="456" t="s">
        <v>1820</v>
      </c>
    </row>
    <row r="53" spans="1:43" s="385" customFormat="1" x14ac:dyDescent="0.25">
      <c r="A53" t="s">
        <v>99</v>
      </c>
      <c r="B53" t="s">
        <v>100</v>
      </c>
      <c r="C53" s="3" t="s">
        <v>16</v>
      </c>
      <c r="D53" s="179" t="s">
        <v>24</v>
      </c>
      <c r="E53" s="179" t="s">
        <v>25</v>
      </c>
      <c r="F53">
        <v>37510</v>
      </c>
      <c r="G53" t="s">
        <v>26</v>
      </c>
      <c r="H53">
        <v>6405</v>
      </c>
      <c r="I53" t="s">
        <v>28</v>
      </c>
      <c r="J53" t="s">
        <v>28</v>
      </c>
      <c r="K53" s="11" t="str">
        <f>IF(Table14[[#This Row],[Proprietary?
(Y/N)]]="Y","Proprietary",IF(Table14[[#This Row],[FY25 Budget]]&lt;Lookups!$F$3,"Single Quote",IF(Table14[[#This Row],[FY25 Budget]]&gt;Lookups!$G$3,"RFP","Three quotes")))</f>
        <v>Three quotes</v>
      </c>
      <c r="L53" s="11" t="s">
        <v>178</v>
      </c>
      <c r="M53" s="460">
        <v>200093</v>
      </c>
      <c r="N53" s="9">
        <v>43617</v>
      </c>
      <c r="O53" s="9">
        <v>45838</v>
      </c>
      <c r="P53" s="11"/>
      <c r="Q53" s="11"/>
      <c r="R53" s="461">
        <v>171731.9</v>
      </c>
      <c r="S53" s="461">
        <v>173111.72</v>
      </c>
      <c r="T53" s="462">
        <v>178305</v>
      </c>
      <c r="U53" s="462">
        <v>185051</v>
      </c>
      <c r="V53" s="463">
        <v>190603</v>
      </c>
      <c r="W53" s="1">
        <v>199842.5</v>
      </c>
      <c r="X53" s="1">
        <f>Table14[[#This Row],[FY26 Budget]]-Table14[[#This Row],[FY26 Committed]]</f>
        <v>-9239.5</v>
      </c>
      <c r="Y53" s="463"/>
      <c r="Z53" s="463"/>
      <c r="AA53" s="463"/>
      <c r="AB53" s="463"/>
      <c r="AC53" s="15" t="s">
        <v>1821</v>
      </c>
      <c r="AD53" s="15" t="s">
        <v>1822</v>
      </c>
      <c r="AE53" s="9">
        <v>45809</v>
      </c>
      <c r="AF53" s="365">
        <v>46173</v>
      </c>
      <c r="AG53" s="15" t="s">
        <v>1822</v>
      </c>
      <c r="AH53" s="9">
        <v>46204</v>
      </c>
      <c r="AI53" s="384"/>
      <c r="AJ53" s="234" t="s">
        <v>174</v>
      </c>
      <c r="AK53" s="234" t="s">
        <v>174</v>
      </c>
      <c r="AL53" s="16" t="s">
        <v>186</v>
      </c>
      <c r="AM53" s="2" t="s">
        <v>1823</v>
      </c>
      <c r="AN53" s="454"/>
      <c r="AO53" s="381" t="s">
        <v>234</v>
      </c>
      <c r="AP53"/>
      <c r="AQ53"/>
    </row>
    <row r="54" spans="1:43" x14ac:dyDescent="0.25">
      <c r="A54" t="s">
        <v>103</v>
      </c>
      <c r="B54" t="s">
        <v>104</v>
      </c>
      <c r="C54" s="3" t="s">
        <v>38</v>
      </c>
      <c r="D54" s="179" t="s">
        <v>1641</v>
      </c>
      <c r="E54" s="179" t="s">
        <v>18</v>
      </c>
      <c r="F54">
        <v>37560</v>
      </c>
      <c r="G54" t="s">
        <v>50</v>
      </c>
      <c r="H54">
        <v>6405</v>
      </c>
      <c r="I54" t="s">
        <v>1704</v>
      </c>
      <c r="J54" t="s">
        <v>56</v>
      </c>
      <c r="K54" s="11" t="str">
        <f>IF(Table14[[#This Row],[Proprietary?
(Y/N)]]="Y","Proprietary",IF(Table14[[#This Row],[FY25 Budget]]&lt;Lookups!$F$3,"Single Quote",IF(Table14[[#This Row],[FY25 Budget]]&gt;Lookups!$G$3,"RFP","Three quotes")))</f>
        <v>Proprietary</v>
      </c>
      <c r="L54" s="11" t="s">
        <v>178</v>
      </c>
      <c r="M54" s="460">
        <v>200112</v>
      </c>
      <c r="N54" s="9">
        <v>43709</v>
      </c>
      <c r="O54" s="9">
        <v>44805</v>
      </c>
      <c r="P54" s="11"/>
      <c r="Q54" s="11"/>
      <c r="R54" s="461">
        <v>18501</v>
      </c>
      <c r="S54" s="461">
        <v>31800</v>
      </c>
      <c r="T54" s="462">
        <v>32760</v>
      </c>
      <c r="U54" s="462">
        <v>32760</v>
      </c>
      <c r="V54" s="463">
        <v>33744</v>
      </c>
      <c r="W54" s="1">
        <v>33744</v>
      </c>
      <c r="X54" s="1">
        <f>Table14[[#This Row],[FY26 Budget]]-Table14[[#This Row],[FY26 Committed]]</f>
        <v>0</v>
      </c>
      <c r="Y54" s="463"/>
      <c r="Z54" s="463"/>
      <c r="AA54" s="463"/>
      <c r="AB54" s="463"/>
      <c r="AC54" s="15" t="s">
        <v>646</v>
      </c>
      <c r="AD54" s="15" t="s">
        <v>646</v>
      </c>
      <c r="AE54" s="9">
        <v>45108</v>
      </c>
      <c r="AF54" s="365">
        <v>46203</v>
      </c>
      <c r="AG54" s="15" t="str">
        <f>Table14[[#This Row],[FY25 PO]]</f>
        <v>P24001627</v>
      </c>
      <c r="AH54" s="9">
        <v>46204</v>
      </c>
      <c r="AI54" s="384" t="s">
        <v>1824</v>
      </c>
      <c r="AJ54" s="234" t="s">
        <v>178</v>
      </c>
      <c r="AK54" s="234" t="s">
        <v>174</v>
      </c>
      <c r="AL54" s="16"/>
      <c r="AM54" s="2" t="s">
        <v>455</v>
      </c>
      <c r="AN54" s="454"/>
      <c r="AO54" s="381" t="s">
        <v>1825</v>
      </c>
    </row>
    <row r="55" spans="1:43" x14ac:dyDescent="0.25">
      <c r="A55" t="s">
        <v>107</v>
      </c>
      <c r="B55" t="s">
        <v>108</v>
      </c>
      <c r="C55" s="3" t="s">
        <v>16</v>
      </c>
      <c r="D55" s="179" t="s">
        <v>1641</v>
      </c>
      <c r="E55" s="179" t="s">
        <v>18</v>
      </c>
      <c r="F55">
        <v>37550</v>
      </c>
      <c r="G55" t="s">
        <v>87</v>
      </c>
      <c r="H55">
        <v>6405</v>
      </c>
      <c r="I55" t="s">
        <v>1642</v>
      </c>
      <c r="J55" t="s">
        <v>1643</v>
      </c>
      <c r="K55" s="11" t="str">
        <f>IF(Table14[[#This Row],[Proprietary?
(Y/N)]]="Y","Proprietary",IF(Table14[[#This Row],[FY25 Budget]]&lt;Lookups!$F$3,"Single Quote",IF(Table14[[#This Row],[FY25 Budget]]&gt;Lookups!$G$3,"RFP","Three quotes")))</f>
        <v>RFP</v>
      </c>
      <c r="L55" s="11" t="s">
        <v>178</v>
      </c>
      <c r="M55" s="460">
        <v>1000000</v>
      </c>
      <c r="N55" s="9">
        <v>44562</v>
      </c>
      <c r="O55" s="9">
        <v>46387</v>
      </c>
      <c r="P55" s="11"/>
      <c r="Q55" s="11"/>
      <c r="R55" s="461">
        <v>544371</v>
      </c>
      <c r="S55" s="461">
        <v>561813</v>
      </c>
      <c r="T55" s="462">
        <v>578667</v>
      </c>
      <c r="U55" s="462">
        <v>571380</v>
      </c>
      <c r="V55" s="463">
        <v>588521</v>
      </c>
      <c r="W55" s="1">
        <v>584454.65</v>
      </c>
      <c r="X55" s="1">
        <f>Table14[[#This Row],[FY26 Budget]]-Table14[[#This Row],[FY26 Committed]]</f>
        <v>4066.3499999999767</v>
      </c>
      <c r="Y55" s="463"/>
      <c r="Z55" s="463"/>
      <c r="AA55" s="463"/>
      <c r="AB55" s="463"/>
      <c r="AC55" s="15" t="s">
        <v>652</v>
      </c>
      <c r="AD55" s="15" t="s">
        <v>1826</v>
      </c>
      <c r="AE55" s="9">
        <v>45839</v>
      </c>
      <c r="AF55" s="365">
        <v>46203</v>
      </c>
      <c r="AG55" s="15" t="s">
        <v>1827</v>
      </c>
      <c r="AH55" s="9">
        <v>46204</v>
      </c>
      <c r="AI55" s="455" t="s">
        <v>1828</v>
      </c>
      <c r="AJ55" s="234" t="s">
        <v>178</v>
      </c>
      <c r="AK55" s="234" t="s">
        <v>174</v>
      </c>
      <c r="AL55" s="16"/>
      <c r="AM55" s="2" t="s">
        <v>421</v>
      </c>
      <c r="AN55" s="454"/>
      <c r="AO55" s="456" t="s">
        <v>1829</v>
      </c>
    </row>
    <row r="56" spans="1:43" x14ac:dyDescent="0.25">
      <c r="A56" t="s">
        <v>111</v>
      </c>
      <c r="B56" t="s">
        <v>112</v>
      </c>
      <c r="C56" s="3" t="s">
        <v>16</v>
      </c>
      <c r="D56" s="179" t="s">
        <v>408</v>
      </c>
      <c r="E56" s="179" t="s">
        <v>18</v>
      </c>
      <c r="F56">
        <v>37521</v>
      </c>
      <c r="G56" t="s">
        <v>1652</v>
      </c>
      <c r="H56">
        <v>6405</v>
      </c>
      <c r="I56" t="s">
        <v>1653</v>
      </c>
      <c r="J56" t="s">
        <v>1629</v>
      </c>
      <c r="K56" s="11" t="str">
        <f>IF(Table14[[#This Row],[Proprietary?
(Y/N)]]="Y","Proprietary",IF(Table14[[#This Row],[FY25 Budget]]&lt;Lookups!$F$3,"Single Quote",IF(Table14[[#This Row],[FY25 Budget]]&gt;Lookups!$G$3,"RFP","Three quotes")))</f>
        <v>Single Quote</v>
      </c>
      <c r="L56" s="11" t="s">
        <v>174</v>
      </c>
      <c r="M56" s="460" t="s">
        <v>29</v>
      </c>
      <c r="N56" s="9"/>
      <c r="O56" s="9"/>
      <c r="P56" s="11"/>
      <c r="Q56" s="11"/>
      <c r="R56" s="461">
        <v>15450</v>
      </c>
      <c r="S56" s="461">
        <v>15000</v>
      </c>
      <c r="T56" s="462">
        <v>0</v>
      </c>
      <c r="U56" s="462">
        <v>15000</v>
      </c>
      <c r="V56" s="463">
        <v>15000</v>
      </c>
      <c r="W56" s="1"/>
      <c r="X56" s="1">
        <f>Table14[[#This Row],[FY26 Budget]]-Table14[[#This Row],[FY26 Committed]]</f>
        <v>15000</v>
      </c>
      <c r="Y56" s="463"/>
      <c r="Z56" s="463"/>
      <c r="AA56" s="463"/>
      <c r="AB56" s="463"/>
      <c r="AC56" s="15" t="s">
        <v>660</v>
      </c>
      <c r="AD56" s="15" t="s">
        <v>660</v>
      </c>
      <c r="AE56" s="9">
        <v>45108</v>
      </c>
      <c r="AF56" s="365">
        <v>46203</v>
      </c>
      <c r="AG56" s="15" t="s">
        <v>660</v>
      </c>
      <c r="AH56" s="9">
        <v>46204</v>
      </c>
      <c r="AI56" s="384" t="s">
        <v>1830</v>
      </c>
      <c r="AJ56" s="234" t="s">
        <v>178</v>
      </c>
      <c r="AK56" s="234" t="s">
        <v>174</v>
      </c>
      <c r="AL56" s="16"/>
      <c r="AM56" s="2" t="s">
        <v>421</v>
      </c>
      <c r="AN56" s="454" t="s">
        <v>1831</v>
      </c>
      <c r="AO56" s="381" t="s">
        <v>1657</v>
      </c>
    </row>
    <row r="57" spans="1:43" x14ac:dyDescent="0.25">
      <c r="A57" t="s">
        <v>661</v>
      </c>
      <c r="B57" t="s">
        <v>662</v>
      </c>
      <c r="C57" s="3" t="s">
        <v>16</v>
      </c>
      <c r="D57" s="179" t="s">
        <v>74</v>
      </c>
      <c r="E57" s="179" t="s">
        <v>18</v>
      </c>
      <c r="F57">
        <v>37410</v>
      </c>
      <c r="G57" t="s">
        <v>416</v>
      </c>
      <c r="H57">
        <v>6130</v>
      </c>
      <c r="I57" t="s">
        <v>1832</v>
      </c>
      <c r="J57" t="s">
        <v>418</v>
      </c>
      <c r="K57" s="11" t="str">
        <f>IF(Table14[[#This Row],[Proprietary?
(Y/N)]]="Y","Proprietary",IF(Table14[[#This Row],[FY25 Budget]]&lt;Lookups!$F$3,"Single Quote",IF(Table14[[#This Row],[FY25 Budget]]&gt;Lookups!$G$3,"RFP","Three quotes")))</f>
        <v>Single Quote</v>
      </c>
      <c r="L57" s="11" t="s">
        <v>174</v>
      </c>
      <c r="M57" s="460">
        <v>1000156</v>
      </c>
      <c r="N57" s="9"/>
      <c r="O57" s="9"/>
      <c r="P57" s="11"/>
      <c r="Q57" s="11"/>
      <c r="R57" s="461">
        <v>22000</v>
      </c>
      <c r="S57" s="461">
        <v>21540</v>
      </c>
      <c r="T57" s="462">
        <v>22000</v>
      </c>
      <c r="U57" s="462">
        <v>21540</v>
      </c>
      <c r="V57" s="463">
        <v>21540</v>
      </c>
      <c r="W57" s="1"/>
      <c r="X57" s="1">
        <f>Table14[[#This Row],[FY26 Budget]]-Table14[[#This Row],[FY26 Committed]]</f>
        <v>21540</v>
      </c>
      <c r="Y57" s="463"/>
      <c r="Z57" s="463"/>
      <c r="AA57" s="463"/>
      <c r="AB57" s="463"/>
      <c r="AC57" s="15" t="s">
        <v>664</v>
      </c>
      <c r="AD57" s="15" t="s">
        <v>1833</v>
      </c>
      <c r="AE57" s="9">
        <v>45658</v>
      </c>
      <c r="AF57" s="365">
        <v>46022</v>
      </c>
      <c r="AG57" s="15"/>
      <c r="AH57" s="9">
        <v>45962</v>
      </c>
      <c r="AI57" s="455"/>
      <c r="AJ57" s="234" t="s">
        <v>174</v>
      </c>
      <c r="AK57" s="234" t="s">
        <v>174</v>
      </c>
      <c r="AL57" s="16" t="s">
        <v>186</v>
      </c>
      <c r="AM57" s="2"/>
      <c r="AN57" s="454"/>
      <c r="AO57" s="456" t="s">
        <v>234</v>
      </c>
    </row>
    <row r="58" spans="1:43" x14ac:dyDescent="0.25">
      <c r="A58" t="s">
        <v>1834</v>
      </c>
      <c r="B58" t="s">
        <v>134</v>
      </c>
      <c r="C58" s="3" t="s">
        <v>16</v>
      </c>
      <c r="D58" s="179" t="s">
        <v>24</v>
      </c>
      <c r="E58" s="179" t="s">
        <v>18</v>
      </c>
      <c r="F58">
        <v>37510</v>
      </c>
      <c r="G58" t="s">
        <v>26</v>
      </c>
      <c r="H58">
        <v>6405</v>
      </c>
      <c r="I58" t="s">
        <v>28</v>
      </c>
      <c r="J58" t="s">
        <v>56</v>
      </c>
      <c r="K58" s="11" t="str">
        <f>IF(Table14[[#This Row],[Proprietary?
(Y/N)]]="Y","Proprietary",IF(Table14[[#This Row],[FY25 Budget]]&lt;Lookups!$F$3,"Single Quote",IF(Table14[[#This Row],[FY25 Budget]]&gt;Lookups!$G$3,"RFP","Three quotes")))</f>
        <v>RFP</v>
      </c>
      <c r="L58" s="11" t="s">
        <v>178</v>
      </c>
      <c r="M58" s="460">
        <v>1000002</v>
      </c>
      <c r="N58" s="9">
        <v>44593</v>
      </c>
      <c r="O58" s="9">
        <v>46053</v>
      </c>
      <c r="P58" s="11"/>
      <c r="Q58" s="11"/>
      <c r="R58" s="461">
        <v>604169.16</v>
      </c>
      <c r="S58" s="461">
        <v>622294</v>
      </c>
      <c r="T58" s="462">
        <v>622294</v>
      </c>
      <c r="U58" s="462">
        <v>730293.78</v>
      </c>
      <c r="V58" s="463">
        <v>660192</v>
      </c>
      <c r="W58" s="1"/>
      <c r="X58" s="1">
        <f>Table14[[#This Row],[FY26 Budget]]-Table14[[#This Row],[FY26 Committed]]</f>
        <v>660192</v>
      </c>
      <c r="Y58" s="463"/>
      <c r="Z58" s="463"/>
      <c r="AA58" s="463"/>
      <c r="AB58" s="463"/>
      <c r="AC58" s="15" t="s">
        <v>743</v>
      </c>
      <c r="AD58" s="15" t="s">
        <v>1835</v>
      </c>
      <c r="AE58" s="9">
        <v>45689</v>
      </c>
      <c r="AF58" s="365">
        <v>46053</v>
      </c>
      <c r="AG58" s="15"/>
      <c r="AH58" s="9">
        <v>46054</v>
      </c>
      <c r="AI58" s="384"/>
      <c r="AJ58" s="234" t="s">
        <v>178</v>
      </c>
      <c r="AK58" s="234" t="s">
        <v>174</v>
      </c>
      <c r="AL58" s="16"/>
      <c r="AM58" s="2" t="s">
        <v>471</v>
      </c>
      <c r="AN58" s="454" t="s">
        <v>1836</v>
      </c>
      <c r="AO58" s="381" t="s">
        <v>1837</v>
      </c>
    </row>
    <row r="59" spans="1:43" x14ac:dyDescent="0.25">
      <c r="A59" t="s">
        <v>113</v>
      </c>
      <c r="B59" t="s">
        <v>114</v>
      </c>
      <c r="C59" s="3" t="s">
        <v>16</v>
      </c>
      <c r="D59" s="179" t="s">
        <v>1641</v>
      </c>
      <c r="E59" s="179" t="s">
        <v>18</v>
      </c>
      <c r="F59">
        <v>37550</v>
      </c>
      <c r="G59" t="s">
        <v>87</v>
      </c>
      <c r="H59">
        <v>6405</v>
      </c>
      <c r="I59" t="s">
        <v>1642</v>
      </c>
      <c r="J59" t="s">
        <v>1643</v>
      </c>
      <c r="K59" s="11" t="str">
        <f>IF(Table14[[#This Row],[Proprietary?
(Y/N)]]="Y","Proprietary",IF(Table14[[#This Row],[FY25 Budget]]&lt;Lookups!$F$3,"Single Quote",IF(Table14[[#This Row],[FY25 Budget]]&gt;Lookups!$G$3,"RFP","Three quotes")))</f>
        <v>Three quotes</v>
      </c>
      <c r="L59" s="11" t="s">
        <v>178</v>
      </c>
      <c r="M59" s="460" t="s">
        <v>29</v>
      </c>
      <c r="N59" s="9"/>
      <c r="O59" s="9"/>
      <c r="P59" s="11"/>
      <c r="Q59" s="11"/>
      <c r="R59" s="461">
        <v>66950</v>
      </c>
      <c r="S59" s="461">
        <v>65000</v>
      </c>
      <c r="T59" s="462">
        <v>66950</v>
      </c>
      <c r="U59" s="462">
        <v>65000</v>
      </c>
      <c r="V59" s="463">
        <v>66950</v>
      </c>
      <c r="W59" s="1">
        <v>60000</v>
      </c>
      <c r="X59" s="1">
        <f>Table14[[#This Row],[FY26 Budget]]-Table14[[#This Row],[FY26 Committed]]</f>
        <v>6950</v>
      </c>
      <c r="Y59" s="463"/>
      <c r="Z59" s="463"/>
      <c r="AA59" s="463"/>
      <c r="AB59" s="463"/>
      <c r="AC59" s="15" t="s">
        <v>667</v>
      </c>
      <c r="AD59" s="15" t="s">
        <v>1838</v>
      </c>
      <c r="AE59" s="9">
        <v>45839</v>
      </c>
      <c r="AF59" s="365">
        <v>46203</v>
      </c>
      <c r="AG59" s="15" t="s">
        <v>1839</v>
      </c>
      <c r="AH59" s="9">
        <v>46204</v>
      </c>
      <c r="AI59" s="384"/>
      <c r="AJ59" s="234" t="s">
        <v>178</v>
      </c>
      <c r="AK59" s="234" t="s">
        <v>174</v>
      </c>
      <c r="AL59" s="16"/>
      <c r="AM59" s="2" t="s">
        <v>421</v>
      </c>
      <c r="AN59" s="454"/>
      <c r="AO59" s="381" t="s">
        <v>1840</v>
      </c>
    </row>
    <row r="60" spans="1:43" x14ac:dyDescent="0.25">
      <c r="A60" t="s">
        <v>1841</v>
      </c>
      <c r="B60" t="s">
        <v>1842</v>
      </c>
      <c r="C60" s="3" t="s">
        <v>16</v>
      </c>
      <c r="D60" s="179" t="s">
        <v>1641</v>
      </c>
      <c r="E60" s="179" t="s">
        <v>18</v>
      </c>
      <c r="F60">
        <v>37560</v>
      </c>
      <c r="G60" t="s">
        <v>50</v>
      </c>
      <c r="H60">
        <v>6130</v>
      </c>
      <c r="I60" t="s">
        <v>1843</v>
      </c>
      <c r="K60" s="11" t="str">
        <f>IF(Table14[[#This Row],[Proprietary?
(Y/N)]]="Y","Proprietary",IF(Table14[[#This Row],[FY25 Budget]]&lt;Lookups!$F$3,"Single Quote",IF(Table14[[#This Row],[FY25 Budget]]&gt;Lookups!$G$3,"RFP","Three quotes")))</f>
        <v>Single Quote</v>
      </c>
      <c r="L60" s="11" t="s">
        <v>174</v>
      </c>
      <c r="M60" s="460" t="s">
        <v>29</v>
      </c>
      <c r="N60" s="9"/>
      <c r="O60" s="9"/>
      <c r="P60" s="11"/>
      <c r="Q60" s="11"/>
      <c r="R60" s="475">
        <v>0</v>
      </c>
      <c r="S60" s="476">
        <v>0</v>
      </c>
      <c r="T60" s="493">
        <v>0</v>
      </c>
      <c r="U60" s="493">
        <v>0</v>
      </c>
      <c r="V60" s="1">
        <v>0</v>
      </c>
      <c r="W60" s="1">
        <v>2699</v>
      </c>
      <c r="X60" s="1">
        <f>Table14[[#This Row],[FY26 Budget]]-Table14[[#This Row],[FY26 Committed]]</f>
        <v>-2699</v>
      </c>
      <c r="Y60" s="494"/>
      <c r="Z60" s="494"/>
      <c r="AA60" s="494"/>
      <c r="AB60" s="494"/>
      <c r="AC60" s="15" t="s">
        <v>234</v>
      </c>
      <c r="AD60" s="15" t="s">
        <v>234</v>
      </c>
      <c r="AE60" s="9">
        <v>45901</v>
      </c>
      <c r="AF60" s="9">
        <v>46265</v>
      </c>
      <c r="AG60" s="9"/>
      <c r="AH60" s="9">
        <v>46266</v>
      </c>
      <c r="AI60" s="495"/>
      <c r="AJ60" s="496"/>
      <c r="AK60" s="496"/>
      <c r="AL60" s="497"/>
      <c r="AM60" s="498"/>
      <c r="AN60" s="498" t="s">
        <v>1844</v>
      </c>
      <c r="AO60" s="498"/>
    </row>
    <row r="61" spans="1:43" x14ac:dyDescent="0.25">
      <c r="A61" t="s">
        <v>670</v>
      </c>
      <c r="B61" t="s">
        <v>117</v>
      </c>
      <c r="C61" s="3" t="s">
        <v>16</v>
      </c>
      <c r="D61" s="179" t="s">
        <v>1641</v>
      </c>
      <c r="E61" s="179" t="s">
        <v>18</v>
      </c>
      <c r="F61">
        <v>37562</v>
      </c>
      <c r="G61" t="s">
        <v>1786</v>
      </c>
      <c r="H61">
        <v>6405</v>
      </c>
      <c r="I61" t="s">
        <v>1704</v>
      </c>
      <c r="J61" t="s">
        <v>56</v>
      </c>
      <c r="K61" s="11" t="str">
        <f>IF(Table14[[#This Row],[Proprietary?
(Y/N)]]="Y","Proprietary",IF(Table14[[#This Row],[FY25 Budget]]&lt;Lookups!$F$3,"Single Quote",IF(Table14[[#This Row],[FY25 Budget]]&gt;Lookups!$G$3,"RFP","Three quotes")))</f>
        <v>Three quotes</v>
      </c>
      <c r="L61" s="11" t="s">
        <v>178</v>
      </c>
      <c r="M61" s="460">
        <v>1001929</v>
      </c>
      <c r="N61" s="9">
        <v>45108</v>
      </c>
      <c r="O61" s="9">
        <v>46203</v>
      </c>
      <c r="P61" s="11"/>
      <c r="Q61" s="11"/>
      <c r="R61" s="461">
        <v>107000</v>
      </c>
      <c r="S61" s="461">
        <v>68500</v>
      </c>
      <c r="T61" s="462">
        <v>58088</v>
      </c>
      <c r="U61" s="462">
        <v>224540</v>
      </c>
      <c r="V61" s="463">
        <v>238012</v>
      </c>
      <c r="W61" s="1">
        <v>200000</v>
      </c>
      <c r="X61" s="1">
        <f>Table14[[#This Row],[FY26 Budget]]-Table14[[#This Row],[FY26 Committed]]</f>
        <v>38012</v>
      </c>
      <c r="Y61" s="463"/>
      <c r="Z61" s="463"/>
      <c r="AA61" s="463"/>
      <c r="AB61" s="463"/>
      <c r="AC61" s="15" t="s">
        <v>672</v>
      </c>
      <c r="AD61" s="15" t="s">
        <v>1845</v>
      </c>
      <c r="AE61" s="9">
        <v>45839</v>
      </c>
      <c r="AF61" s="365">
        <v>46203</v>
      </c>
      <c r="AG61" s="15" t="s">
        <v>1846</v>
      </c>
      <c r="AH61" s="9">
        <v>46204</v>
      </c>
      <c r="AI61" s="455"/>
      <c r="AJ61" s="234" t="s">
        <v>178</v>
      </c>
      <c r="AK61" s="234" t="s">
        <v>174</v>
      </c>
      <c r="AL61" s="16"/>
      <c r="AM61" s="2" t="s">
        <v>611</v>
      </c>
      <c r="AN61" s="454"/>
      <c r="AO61" s="456" t="s">
        <v>1847</v>
      </c>
    </row>
    <row r="62" spans="1:43" ht="17.25" customHeight="1" x14ac:dyDescent="0.25">
      <c r="A62" t="s">
        <v>679</v>
      </c>
      <c r="B62" t="s">
        <v>680</v>
      </c>
      <c r="C62" s="3" t="s">
        <v>16</v>
      </c>
      <c r="D62" s="179" t="s">
        <v>1641</v>
      </c>
      <c r="E62" s="179" t="s">
        <v>18</v>
      </c>
      <c r="F62">
        <v>37550</v>
      </c>
      <c r="G62" t="s">
        <v>87</v>
      </c>
      <c r="H62">
        <v>6205</v>
      </c>
      <c r="I62" t="s">
        <v>1642</v>
      </c>
      <c r="J62" t="s">
        <v>1643</v>
      </c>
      <c r="K62" s="11" t="s">
        <v>194</v>
      </c>
      <c r="L62" s="11" t="s">
        <v>178</v>
      </c>
      <c r="M62" s="460">
        <v>1000923</v>
      </c>
      <c r="N62" s="9">
        <v>44936</v>
      </c>
      <c r="O62" s="9">
        <v>46396</v>
      </c>
      <c r="P62" s="11" t="s">
        <v>1848</v>
      </c>
      <c r="Q62" s="11"/>
      <c r="R62" s="461">
        <v>60000</v>
      </c>
      <c r="S62" s="461">
        <v>60000</v>
      </c>
      <c r="T62" s="462">
        <v>60000</v>
      </c>
      <c r="U62" s="462">
        <v>60000</v>
      </c>
      <c r="V62" s="463">
        <v>60000</v>
      </c>
      <c r="W62" s="1"/>
      <c r="X62" s="1">
        <f>Table14[[#This Row],[FY26 Budget]]-Table14[[#This Row],[FY26 Committed]]</f>
        <v>60000</v>
      </c>
      <c r="Y62" s="463"/>
      <c r="Z62" s="463"/>
      <c r="AA62" s="463"/>
      <c r="AB62" s="463"/>
      <c r="AC62" s="15" t="s">
        <v>683</v>
      </c>
      <c r="AD62" s="15" t="s">
        <v>1849</v>
      </c>
      <c r="AE62" s="9">
        <v>45658</v>
      </c>
      <c r="AF62" s="365">
        <v>46022</v>
      </c>
      <c r="AG62" s="15"/>
      <c r="AH62" s="9">
        <v>45962</v>
      </c>
      <c r="AI62" s="384" t="s">
        <v>1850</v>
      </c>
      <c r="AJ62" s="234" t="s">
        <v>174</v>
      </c>
      <c r="AK62" s="234" t="s">
        <v>174</v>
      </c>
      <c r="AL62" s="16" t="s">
        <v>186</v>
      </c>
      <c r="AM62" s="2" t="s">
        <v>443</v>
      </c>
      <c r="AN62" s="454"/>
      <c r="AO62" s="381" t="s">
        <v>234</v>
      </c>
    </row>
    <row r="63" spans="1:43" ht="20.25" customHeight="1" x14ac:dyDescent="0.25">
      <c r="A63" t="s">
        <v>1851</v>
      </c>
      <c r="B63" t="s">
        <v>1852</v>
      </c>
      <c r="C63" s="3" t="s">
        <v>16</v>
      </c>
      <c r="D63" s="179" t="s">
        <v>408</v>
      </c>
      <c r="E63" s="179" t="s">
        <v>18</v>
      </c>
      <c r="F63">
        <v>37100</v>
      </c>
      <c r="G63" t="s">
        <v>324</v>
      </c>
      <c r="H63">
        <v>6130</v>
      </c>
      <c r="I63" t="s">
        <v>451</v>
      </c>
      <c r="J63" t="s">
        <v>452</v>
      </c>
      <c r="K63" s="11" t="str">
        <f>IF(Table14[[#This Row],[Proprietary?
(Y/N)]]="Y","Proprietary",IF(Table14[[#This Row],[FY25 Budget]]&lt;Lookups!$F$3,"Single Quote",IF(Table14[[#This Row],[FY25 Budget]]&gt;Lookups!$G$3,"RFP","Three quotes")))</f>
        <v>Single Quote</v>
      </c>
      <c r="L63" s="11" t="s">
        <v>174</v>
      </c>
      <c r="M63" s="460"/>
      <c r="N63" s="9"/>
      <c r="O63" s="9"/>
      <c r="P63" s="11"/>
      <c r="Q63" s="11"/>
      <c r="R63" s="461">
        <v>0</v>
      </c>
      <c r="S63" s="461">
        <v>0</v>
      </c>
      <c r="T63" s="462">
        <v>0</v>
      </c>
      <c r="U63" s="462">
        <v>9936</v>
      </c>
      <c r="V63" s="463">
        <v>10000</v>
      </c>
      <c r="W63" s="1">
        <v>9936</v>
      </c>
      <c r="X63" s="1">
        <f>Table14[[#This Row],[FY26 Budget]]-Table14[[#This Row],[FY26 Committed]]</f>
        <v>64</v>
      </c>
      <c r="Y63" s="463">
        <v>9936</v>
      </c>
      <c r="Z63" s="463">
        <v>9936</v>
      </c>
      <c r="AA63" s="463">
        <v>9936</v>
      </c>
      <c r="AB63" s="463"/>
      <c r="AC63" s="15" t="s">
        <v>234</v>
      </c>
      <c r="AD63" s="15" t="s">
        <v>1853</v>
      </c>
      <c r="AE63" s="9">
        <v>45566</v>
      </c>
      <c r="AF63" s="365">
        <v>47391</v>
      </c>
      <c r="AG63" s="15" t="str">
        <f>Table14[[#This Row],[FY25 PO]]</f>
        <v xml:space="preserve">P25018084 </v>
      </c>
      <c r="AH63" s="9">
        <v>47392</v>
      </c>
      <c r="AI63" s="455"/>
      <c r="AJ63" s="234" t="s">
        <v>174</v>
      </c>
      <c r="AK63" s="234" t="s">
        <v>174</v>
      </c>
      <c r="AL63" s="16"/>
      <c r="AM63" s="2"/>
      <c r="AN63" s="454"/>
      <c r="AO63" s="456" t="s">
        <v>234</v>
      </c>
    </row>
    <row r="64" spans="1:43" ht="16.5" customHeight="1" x14ac:dyDescent="0.25">
      <c r="A64" t="s">
        <v>1854</v>
      </c>
      <c r="B64" t="s">
        <v>15</v>
      </c>
      <c r="C64" s="3" t="s">
        <v>16</v>
      </c>
      <c r="D64" s="179" t="s">
        <v>408</v>
      </c>
      <c r="E64" s="179" t="s">
        <v>18</v>
      </c>
      <c r="F64">
        <v>37521</v>
      </c>
      <c r="G64" t="s">
        <v>1652</v>
      </c>
      <c r="H64">
        <v>6405</v>
      </c>
      <c r="I64" t="s">
        <v>20</v>
      </c>
      <c r="J64" t="s">
        <v>1629</v>
      </c>
      <c r="K64" s="11" t="str">
        <f>IF(Table14[[#This Row],[Proprietary?
(Y/N)]]="Y","Proprietary",IF(Table14[[#This Row],[FY25 Budget]]&lt;Lookups!$F$3,"Single Quote",IF(Table14[[#This Row],[FY25 Budget]]&gt;Lookups!$G$3,"RFP","Three quotes")))</f>
        <v>Single Quote</v>
      </c>
      <c r="L64" s="11" t="s">
        <v>178</v>
      </c>
      <c r="M64" s="460"/>
      <c r="N64" s="9">
        <v>44168</v>
      </c>
      <c r="O64" s="9">
        <v>46358</v>
      </c>
      <c r="P64" s="11"/>
      <c r="Q64" s="11"/>
      <c r="R64" s="461">
        <v>33912.75</v>
      </c>
      <c r="S64" s="461">
        <v>29849</v>
      </c>
      <c r="T64" s="462"/>
      <c r="U64" s="462"/>
      <c r="V64" s="463">
        <v>100000</v>
      </c>
      <c r="W64" s="1">
        <v>98265</v>
      </c>
      <c r="X64" s="1">
        <f>Table14[[#This Row],[FY26 Budget]]-Table14[[#This Row],[FY26 Committed]]</f>
        <v>1735</v>
      </c>
      <c r="Y64" s="463"/>
      <c r="Z64" s="463"/>
      <c r="AA64" s="463"/>
      <c r="AB64" s="463"/>
      <c r="AC64" s="15"/>
      <c r="AD64" s="15"/>
      <c r="AE64" s="9">
        <v>45870</v>
      </c>
      <c r="AF64" s="365">
        <v>46234</v>
      </c>
      <c r="AG64" s="15" t="s">
        <v>1855</v>
      </c>
      <c r="AH64" s="9">
        <v>45870</v>
      </c>
      <c r="AI64" s="415" t="s">
        <v>1856</v>
      </c>
      <c r="AJ64" s="234" t="s">
        <v>178</v>
      </c>
      <c r="AK64" s="234" t="s">
        <v>174</v>
      </c>
      <c r="AL64" s="16"/>
      <c r="AM64" s="2" t="s">
        <v>413</v>
      </c>
      <c r="AN64" s="454"/>
      <c r="AO64" s="454" t="s">
        <v>1857</v>
      </c>
    </row>
    <row r="65" spans="1:41" ht="15.75" customHeight="1" x14ac:dyDescent="0.25">
      <c r="A65" t="s">
        <v>121</v>
      </c>
      <c r="B65" t="s">
        <v>122</v>
      </c>
      <c r="C65" s="3" t="s">
        <v>16</v>
      </c>
      <c r="D65" s="179" t="s">
        <v>24</v>
      </c>
      <c r="E65" s="179" t="s">
        <v>25</v>
      </c>
      <c r="F65">
        <v>37510</v>
      </c>
      <c r="G65" t="s">
        <v>26</v>
      </c>
      <c r="H65">
        <v>6405</v>
      </c>
      <c r="I65" t="s">
        <v>123</v>
      </c>
      <c r="J65" t="s">
        <v>28</v>
      </c>
      <c r="K65" s="11" t="str">
        <f>IF(Table14[[#This Row],[Proprietary?
(Y/N)]]="Y","Proprietary",IF(Table14[[#This Row],[FY25 Budget]]&lt;Lookups!$F$3,"Single Quote",IF(Table14[[#This Row],[FY25 Budget]]&gt;Lookups!$G$3,"RFP","Three quotes")))</f>
        <v>Single Quote</v>
      </c>
      <c r="L65" s="11" t="s">
        <v>174</v>
      </c>
      <c r="M65" s="460" t="s">
        <v>29</v>
      </c>
      <c r="N65" s="9"/>
      <c r="O65" s="9"/>
      <c r="P65" s="11"/>
      <c r="Q65" s="11"/>
      <c r="R65" s="461">
        <v>6180</v>
      </c>
      <c r="S65" s="461">
        <v>12000</v>
      </c>
      <c r="T65" s="462">
        <v>12360</v>
      </c>
      <c r="U65" s="462">
        <v>10000</v>
      </c>
      <c r="V65" s="463">
        <v>10300</v>
      </c>
      <c r="W65" s="1">
        <v>24000</v>
      </c>
      <c r="X65" s="1">
        <f>Table14[[#This Row],[FY26 Budget]]-Table14[[#This Row],[FY26 Committed]]</f>
        <v>-13700</v>
      </c>
      <c r="Y65" s="463"/>
      <c r="Z65" s="463"/>
      <c r="AA65" s="463"/>
      <c r="AB65" s="463"/>
      <c r="AC65" s="15" t="s">
        <v>686</v>
      </c>
      <c r="AD65" s="15" t="s">
        <v>1858</v>
      </c>
      <c r="AE65" s="9">
        <v>45839</v>
      </c>
      <c r="AF65" s="365">
        <v>46203</v>
      </c>
      <c r="AG65" s="15" t="s">
        <v>1859</v>
      </c>
      <c r="AH65" s="9">
        <v>46204</v>
      </c>
      <c r="AI65" s="384"/>
      <c r="AJ65" s="234" t="s">
        <v>178</v>
      </c>
      <c r="AK65" s="234" t="s">
        <v>174</v>
      </c>
      <c r="AL65" s="16"/>
      <c r="AM65" s="2" t="s">
        <v>421</v>
      </c>
      <c r="AN65" s="454"/>
      <c r="AO65" s="381" t="s">
        <v>1657</v>
      </c>
    </row>
    <row r="66" spans="1:41" x14ac:dyDescent="0.25">
      <c r="A66" t="s">
        <v>688</v>
      </c>
      <c r="B66" t="s">
        <v>1860</v>
      </c>
      <c r="C66" s="3" t="s">
        <v>16</v>
      </c>
      <c r="D66" s="179" t="s">
        <v>24</v>
      </c>
      <c r="E66" s="179" t="s">
        <v>25</v>
      </c>
      <c r="F66">
        <v>37510</v>
      </c>
      <c r="G66" t="s">
        <v>26</v>
      </c>
      <c r="H66">
        <v>6405</v>
      </c>
      <c r="I66" t="s">
        <v>123</v>
      </c>
      <c r="J66" t="s">
        <v>28</v>
      </c>
      <c r="K66" s="11" t="str">
        <f>IF(Table14[[#This Row],[Proprietary?
(Y/N)]]="Y","Proprietary",IF(Table14[[#This Row],[FY25 Budget]]&lt;Lookups!$F$3,"Single Quote",IF(Table14[[#This Row],[FY25 Budget]]&gt;Lookups!$G$3,"RFP","Three quotes")))</f>
        <v>Single Quote</v>
      </c>
      <c r="L66" s="11" t="s">
        <v>178</v>
      </c>
      <c r="M66" s="460">
        <v>1001205</v>
      </c>
      <c r="N66" s="9"/>
      <c r="O66" s="9"/>
      <c r="P66" s="11"/>
      <c r="Q66" s="11"/>
      <c r="R66" s="461"/>
      <c r="S66" s="461">
        <v>15000</v>
      </c>
      <c r="T66" s="462">
        <v>15450</v>
      </c>
      <c r="U66" s="462">
        <v>27000</v>
      </c>
      <c r="V66" s="463">
        <v>27810</v>
      </c>
      <c r="W66" s="1">
        <v>27000</v>
      </c>
      <c r="X66" s="1">
        <f>Table14[[#This Row],[FY26 Budget]]-Table14[[#This Row],[FY26 Committed]]</f>
        <v>810</v>
      </c>
      <c r="Y66" s="463"/>
      <c r="Z66" s="463"/>
      <c r="AA66" s="463"/>
      <c r="AB66" s="463"/>
      <c r="AC66" s="15" t="s">
        <v>690</v>
      </c>
      <c r="AD66" s="15" t="s">
        <v>1861</v>
      </c>
      <c r="AE66" s="9">
        <v>45839</v>
      </c>
      <c r="AF66" s="365">
        <v>46203</v>
      </c>
      <c r="AG66" s="15" t="s">
        <v>1862</v>
      </c>
      <c r="AH66" s="9">
        <v>46204</v>
      </c>
      <c r="AI66" s="455"/>
      <c r="AJ66" s="234" t="s">
        <v>178</v>
      </c>
      <c r="AK66" s="234" t="s">
        <v>174</v>
      </c>
      <c r="AL66" s="16"/>
      <c r="AM66" s="2" t="s">
        <v>421</v>
      </c>
      <c r="AN66" s="454"/>
      <c r="AO66" s="456" t="s">
        <v>1657</v>
      </c>
    </row>
    <row r="67" spans="1:41" x14ac:dyDescent="0.25">
      <c r="A67" t="s">
        <v>126</v>
      </c>
      <c r="B67" t="s">
        <v>127</v>
      </c>
      <c r="C67" s="3" t="s">
        <v>38</v>
      </c>
      <c r="D67" s="179" t="s">
        <v>1641</v>
      </c>
      <c r="E67" s="179" t="s">
        <v>18</v>
      </c>
      <c r="F67">
        <v>37550</v>
      </c>
      <c r="G67" t="s">
        <v>87</v>
      </c>
      <c r="H67">
        <v>6405</v>
      </c>
      <c r="I67" t="s">
        <v>1642</v>
      </c>
      <c r="J67" t="s">
        <v>1643</v>
      </c>
      <c r="K67" s="11" t="str">
        <f>IF(Table14[[#This Row],[Proprietary?
(Y/N)]]="Y","Proprietary",IF(Table14[[#This Row],[FY25 Budget]]&lt;Lookups!$F$3,"Single Quote",IF(Table14[[#This Row],[FY25 Budget]]&gt;Lookups!$G$3,"RFP","Three quotes")))</f>
        <v>Proprietary</v>
      </c>
      <c r="L67" s="11" t="s">
        <v>178</v>
      </c>
      <c r="M67" s="460">
        <v>1003734</v>
      </c>
      <c r="N67" s="9">
        <v>44652</v>
      </c>
      <c r="O67" s="9">
        <v>46568</v>
      </c>
      <c r="P67" s="11"/>
      <c r="Q67" s="11"/>
      <c r="R67" s="461">
        <v>1405115</v>
      </c>
      <c r="S67" s="461">
        <v>1489353</v>
      </c>
      <c r="T67" s="462">
        <v>1489422</v>
      </c>
      <c r="U67" s="462">
        <v>1489353.24</v>
      </c>
      <c r="V67" s="463">
        <v>1578714</v>
      </c>
      <c r="W67" s="1">
        <v>1578714.48</v>
      </c>
      <c r="X67" s="1">
        <f>Table14[[#This Row],[FY26 Budget]]-Table14[[#This Row],[FY26 Committed]]</f>
        <v>-0.47999999998137355</v>
      </c>
      <c r="Y67" s="463"/>
      <c r="Z67" s="463"/>
      <c r="AA67" s="463"/>
      <c r="AB67" s="463"/>
      <c r="AC67" s="15" t="s">
        <v>698</v>
      </c>
      <c r="AD67" s="15" t="s">
        <v>1863</v>
      </c>
      <c r="AE67" s="9">
        <v>45839</v>
      </c>
      <c r="AF67" s="365">
        <v>46203</v>
      </c>
      <c r="AG67" s="15" t="s">
        <v>1864</v>
      </c>
      <c r="AH67" s="9">
        <v>46204</v>
      </c>
      <c r="AI67" s="384"/>
      <c r="AJ67" s="234" t="s">
        <v>178</v>
      </c>
      <c r="AK67" s="234" t="s">
        <v>174</v>
      </c>
      <c r="AL67" s="16"/>
      <c r="AM67" s="2" t="s">
        <v>421</v>
      </c>
      <c r="AN67" s="454"/>
      <c r="AO67" s="381" t="s">
        <v>1865</v>
      </c>
    </row>
    <row r="68" spans="1:41" x14ac:dyDescent="0.25">
      <c r="A68" t="s">
        <v>1866</v>
      </c>
      <c r="B68" t="s">
        <v>1867</v>
      </c>
      <c r="C68" s="3" t="s">
        <v>16</v>
      </c>
      <c r="D68" s="179" t="s">
        <v>24</v>
      </c>
      <c r="E68" s="179" t="s">
        <v>18</v>
      </c>
      <c r="F68">
        <v>37100</v>
      </c>
      <c r="G68" t="s">
        <v>324</v>
      </c>
      <c r="H68">
        <v>6130</v>
      </c>
      <c r="I68" t="s">
        <v>1868</v>
      </c>
      <c r="J68" t="s">
        <v>1636</v>
      </c>
      <c r="K68" s="11" t="str">
        <f>IF(Table14[[#This Row],[Proprietary?
(Y/N)]]="Y","Proprietary",IF(Table14[[#This Row],[FY25 Budget]]&lt;Lookups!$F$3,"Single Quote",IF(Table14[[#This Row],[FY25 Budget]]&gt;Lookups!$G$3,"RFP","Three quotes")))</f>
        <v>Single Quote</v>
      </c>
      <c r="L68" s="11" t="s">
        <v>174</v>
      </c>
      <c r="M68" s="460"/>
      <c r="N68" s="9"/>
      <c r="O68" s="9"/>
      <c r="P68" s="11"/>
      <c r="Q68" s="11"/>
      <c r="R68" s="461">
        <v>0</v>
      </c>
      <c r="S68" s="461">
        <v>0</v>
      </c>
      <c r="T68" s="462">
        <v>0</v>
      </c>
      <c r="U68" s="462">
        <v>0</v>
      </c>
      <c r="V68" s="463">
        <v>2000</v>
      </c>
      <c r="W68" s="1">
        <v>2380.3200000000002</v>
      </c>
      <c r="X68" s="1">
        <f>Table14[[#This Row],[FY26 Budget]]-Table14[[#This Row],[FY26 Committed]]</f>
        <v>-380.32000000000016</v>
      </c>
      <c r="Y68" s="463"/>
      <c r="Z68" s="463"/>
      <c r="AA68" s="463"/>
      <c r="AB68" s="463"/>
      <c r="AC68" s="15" t="s">
        <v>234</v>
      </c>
      <c r="AD68" s="15" t="s">
        <v>234</v>
      </c>
      <c r="AE68" s="9">
        <v>45839</v>
      </c>
      <c r="AF68" s="365">
        <v>46203</v>
      </c>
      <c r="AG68" s="15" t="s">
        <v>1869</v>
      </c>
      <c r="AH68" s="9">
        <v>46204</v>
      </c>
      <c r="AI68" s="455"/>
      <c r="AJ68" s="234" t="s">
        <v>174</v>
      </c>
      <c r="AK68" s="234" t="s">
        <v>174</v>
      </c>
      <c r="AL68" s="16"/>
      <c r="AM68" s="2"/>
      <c r="AN68" s="454"/>
      <c r="AO68" s="456" t="s">
        <v>234</v>
      </c>
    </row>
    <row r="69" spans="1:41" x14ac:dyDescent="0.25">
      <c r="A69" t="s">
        <v>703</v>
      </c>
      <c r="B69" t="s">
        <v>415</v>
      </c>
      <c r="C69" s="3" t="s">
        <v>16</v>
      </c>
      <c r="D69" s="179" t="s">
        <v>74</v>
      </c>
      <c r="E69" s="179" t="s">
        <v>18</v>
      </c>
      <c r="F69">
        <v>37410</v>
      </c>
      <c r="G69" t="s">
        <v>416</v>
      </c>
      <c r="H69">
        <v>6405</v>
      </c>
      <c r="I69" t="s">
        <v>417</v>
      </c>
      <c r="J69" t="s">
        <v>418</v>
      </c>
      <c r="K69" s="11" t="str">
        <f>IF(Table14[[#This Row],[Proprietary?
(Y/N)]]="Y","Proprietary",IF(Table14[[#This Row],[FY25 Budget]]&lt;Lookups!$F$3,"Single Quote",IF(Table14[[#This Row],[FY25 Budget]]&gt;Lookups!$G$3,"RFP","Three quotes")))</f>
        <v>Single Quote</v>
      </c>
      <c r="L69" s="11" t="s">
        <v>174</v>
      </c>
      <c r="M69" s="460"/>
      <c r="N69" s="9"/>
      <c r="O69" s="9"/>
      <c r="P69" s="11"/>
      <c r="Q69" s="11"/>
      <c r="R69" s="461">
        <v>0</v>
      </c>
      <c r="S69" s="461">
        <v>10000</v>
      </c>
      <c r="T69" s="462">
        <v>0</v>
      </c>
      <c r="U69" s="462"/>
      <c r="V69" s="463">
        <v>0</v>
      </c>
      <c r="W69" s="1"/>
      <c r="X69" s="1">
        <f>Table14[[#This Row],[FY26 Budget]]-Table14[[#This Row],[FY26 Committed]]</f>
        <v>0</v>
      </c>
      <c r="Y69" s="463"/>
      <c r="Z69" s="463"/>
      <c r="AA69" s="463"/>
      <c r="AB69" s="463"/>
      <c r="AC69" s="15" t="s">
        <v>704</v>
      </c>
      <c r="AD69" s="15"/>
      <c r="AE69" s="9">
        <v>45047</v>
      </c>
      <c r="AF69" s="365">
        <v>46023</v>
      </c>
      <c r="AG69" s="15"/>
      <c r="AH69" s="9">
        <v>46022</v>
      </c>
      <c r="AI69" s="384"/>
      <c r="AJ69" s="234" t="s">
        <v>174</v>
      </c>
      <c r="AK69" s="234" t="s">
        <v>174</v>
      </c>
      <c r="AL69" s="16"/>
      <c r="AM69" s="2"/>
      <c r="AN69" s="454"/>
      <c r="AO69" s="381" t="s">
        <v>234</v>
      </c>
    </row>
    <row r="70" spans="1:41" x14ac:dyDescent="0.25">
      <c r="A70" t="s">
        <v>1870</v>
      </c>
      <c r="B70" t="s">
        <v>693</v>
      </c>
      <c r="C70" s="3" t="s">
        <v>16</v>
      </c>
      <c r="D70" s="179" t="s">
        <v>24</v>
      </c>
      <c r="E70" s="179" t="s">
        <v>25</v>
      </c>
      <c r="F70">
        <v>37540</v>
      </c>
      <c r="G70" t="s">
        <v>32</v>
      </c>
      <c r="H70">
        <v>6405</v>
      </c>
      <c r="I70" t="s">
        <v>1628</v>
      </c>
      <c r="J70" t="s">
        <v>1629</v>
      </c>
      <c r="K70" s="11" t="str">
        <f>IF(Table14[[#This Row],[Proprietary?
(Y/N)]]="Y","Proprietary",IF(Table14[[#This Row],[FY25 Budget]]&lt;Lookups!$F$3,"Single Quote",IF(Table14[[#This Row],[FY25 Budget]]&gt;Lookups!$G$3,"RFP","Three quotes")))</f>
        <v>Single Quote</v>
      </c>
      <c r="L70" s="11" t="s">
        <v>174</v>
      </c>
      <c r="M70" s="460" t="s">
        <v>29</v>
      </c>
      <c r="N70" s="9"/>
      <c r="O70" s="9"/>
      <c r="P70" s="11"/>
      <c r="Q70" s="11"/>
      <c r="R70" s="461"/>
      <c r="S70" s="461">
        <v>4767.8</v>
      </c>
      <c r="T70" s="462">
        <v>4768</v>
      </c>
      <c r="U70" s="462">
        <v>4767.8</v>
      </c>
      <c r="V70" s="463">
        <v>4768</v>
      </c>
      <c r="W70" s="1">
        <v>4767.8</v>
      </c>
      <c r="X70" s="1">
        <f>Table14[[#This Row],[FY26 Budget]]-Table14[[#This Row],[FY26 Committed]]</f>
        <v>0.1999999999998181</v>
      </c>
      <c r="Y70" s="463"/>
      <c r="Z70" s="463"/>
      <c r="AA70" s="463"/>
      <c r="AB70" s="463"/>
      <c r="AC70" s="15" t="s">
        <v>694</v>
      </c>
      <c r="AD70" s="15" t="s">
        <v>694</v>
      </c>
      <c r="AE70" s="9">
        <v>44378</v>
      </c>
      <c r="AF70" s="365">
        <v>46203</v>
      </c>
      <c r="AG70" s="15" t="str">
        <f>AD70</f>
        <v>P21044995</v>
      </c>
      <c r="AH70" s="9">
        <v>46174</v>
      </c>
      <c r="AI70" s="455"/>
      <c r="AJ70" s="234" t="s">
        <v>178</v>
      </c>
      <c r="AK70" s="234" t="s">
        <v>174</v>
      </c>
      <c r="AL70" s="16"/>
      <c r="AM70" s="2" t="s">
        <v>455</v>
      </c>
      <c r="AN70" s="454" t="s">
        <v>1871</v>
      </c>
      <c r="AO70" s="456" t="s">
        <v>1872</v>
      </c>
    </row>
    <row r="71" spans="1:41" x14ac:dyDescent="0.25">
      <c r="A71" t="s">
        <v>1873</v>
      </c>
      <c r="B71" t="s">
        <v>119</v>
      </c>
      <c r="C71" s="3" t="s">
        <v>16</v>
      </c>
      <c r="D71" s="179" t="s">
        <v>408</v>
      </c>
      <c r="E71" s="179" t="s">
        <v>18</v>
      </c>
      <c r="F71">
        <v>37520</v>
      </c>
      <c r="G71" t="s">
        <v>19</v>
      </c>
      <c r="H71">
        <v>6405</v>
      </c>
      <c r="I71" t="s">
        <v>20</v>
      </c>
      <c r="J71" t="s">
        <v>1629</v>
      </c>
      <c r="K71" s="11" t="str">
        <f>IF(Table14[[#This Row],[Proprietary?
(Y/N)]]="Y","Proprietary",IF(Table14[[#This Row],[FY25 Budget]]&lt;Lookups!$F$3,"Single Quote",IF(Table14[[#This Row],[FY25 Budget]]&gt;Lookups!$G$3,"RFP","Three quotes")))</f>
        <v>RFP</v>
      </c>
      <c r="L71" s="11" t="s">
        <v>178</v>
      </c>
      <c r="M71" s="460">
        <v>1000570</v>
      </c>
      <c r="N71" s="9">
        <v>44774</v>
      </c>
      <c r="O71" s="9">
        <v>46599</v>
      </c>
      <c r="P71" s="11"/>
      <c r="Q71" s="11"/>
      <c r="R71" s="461">
        <v>428000</v>
      </c>
      <c r="S71" s="461">
        <v>260000</v>
      </c>
      <c r="T71" s="462">
        <v>267800</v>
      </c>
      <c r="U71" s="462">
        <v>250000</v>
      </c>
      <c r="V71" s="463">
        <v>257500</v>
      </c>
      <c r="W71" s="1">
        <v>250000</v>
      </c>
      <c r="X71" s="1">
        <f>Table14[[#This Row],[FY26 Budget]]-Table14[[#This Row],[FY26 Committed]]</f>
        <v>7500</v>
      </c>
      <c r="Y71" s="463"/>
      <c r="Z71" s="463"/>
      <c r="AA71" s="463"/>
      <c r="AB71" s="463"/>
      <c r="AC71" s="15" t="s">
        <v>677</v>
      </c>
      <c r="AD71" s="15" t="s">
        <v>1874</v>
      </c>
      <c r="AE71" s="9">
        <v>45839</v>
      </c>
      <c r="AF71" s="365">
        <v>46203</v>
      </c>
      <c r="AG71" s="15" t="s">
        <v>1875</v>
      </c>
      <c r="AH71" s="9">
        <v>46204</v>
      </c>
      <c r="AI71" s="384" t="s">
        <v>1656</v>
      </c>
      <c r="AJ71" s="234" t="s">
        <v>174</v>
      </c>
      <c r="AK71" s="234" t="s">
        <v>174</v>
      </c>
      <c r="AL71" s="16" t="s">
        <v>186</v>
      </c>
      <c r="AM71" s="2" t="s">
        <v>1656</v>
      </c>
      <c r="AN71" s="454"/>
      <c r="AO71" s="381" t="s">
        <v>234</v>
      </c>
    </row>
    <row r="72" spans="1:41" x14ac:dyDescent="0.25">
      <c r="A72" t="s">
        <v>128</v>
      </c>
      <c r="B72" t="s">
        <v>709</v>
      </c>
      <c r="C72" s="3" t="s">
        <v>16</v>
      </c>
      <c r="D72" s="179" t="s">
        <v>408</v>
      </c>
      <c r="E72" s="179" t="s">
        <v>25</v>
      </c>
      <c r="F72">
        <v>37530</v>
      </c>
      <c r="G72" t="s">
        <v>44</v>
      </c>
      <c r="H72">
        <v>6405</v>
      </c>
      <c r="I72" t="s">
        <v>1686</v>
      </c>
      <c r="J72" t="s">
        <v>1629</v>
      </c>
      <c r="K72" s="11" t="str">
        <f>IF(Table14[[#This Row],[Proprietary?
(Y/N)]]="Y","Proprietary",IF(Table14[[#This Row],[FY25 Budget]]&lt;Lookups!$F$3,"Single Quote",IF(Table14[[#This Row],[FY25 Budget]]&gt;Lookups!$G$3,"RFP","Three quotes")))</f>
        <v>RFP</v>
      </c>
      <c r="L72" s="11" t="s">
        <v>178</v>
      </c>
      <c r="M72" s="460">
        <v>1000287</v>
      </c>
      <c r="N72" s="9">
        <v>44743</v>
      </c>
      <c r="O72" s="9">
        <v>46203</v>
      </c>
      <c r="P72" s="11"/>
      <c r="Q72" s="11"/>
      <c r="R72" s="461">
        <v>2889000</v>
      </c>
      <c r="S72" s="461">
        <v>2468979</v>
      </c>
      <c r="T72" s="462">
        <v>2996270</v>
      </c>
      <c r="U72" s="462">
        <v>2949006</v>
      </c>
      <c r="V72" s="463">
        <v>3350000</v>
      </c>
      <c r="W72" s="1">
        <v>2927642</v>
      </c>
      <c r="X72" s="1">
        <f>Table14[[#This Row],[FY26 Budget]]-Table14[[#This Row],[FY26 Committed]]</f>
        <v>422358</v>
      </c>
      <c r="Y72" s="463"/>
      <c r="Z72" s="463"/>
      <c r="AA72" s="463"/>
      <c r="AB72" s="463"/>
      <c r="AC72" s="15" t="s">
        <v>711</v>
      </c>
      <c r="AD72" s="15" t="s">
        <v>1876</v>
      </c>
      <c r="AE72" s="9">
        <v>45839</v>
      </c>
      <c r="AF72" s="365">
        <v>46203</v>
      </c>
      <c r="AG72" s="443" t="s">
        <v>1877</v>
      </c>
      <c r="AH72" s="9">
        <v>46204</v>
      </c>
      <c r="AI72" s="455" t="s">
        <v>1878</v>
      </c>
      <c r="AJ72" s="234" t="s">
        <v>178</v>
      </c>
      <c r="AK72" s="234" t="s">
        <v>174</v>
      </c>
      <c r="AL72" s="16"/>
      <c r="AM72" s="2" t="s">
        <v>1879</v>
      </c>
      <c r="AN72" s="454"/>
      <c r="AO72" s="456" t="s">
        <v>1880</v>
      </c>
    </row>
    <row r="73" spans="1:41" x14ac:dyDescent="0.25">
      <c r="A73" t="s">
        <v>301</v>
      </c>
      <c r="B73" t="s">
        <v>302</v>
      </c>
      <c r="C73" s="3" t="s">
        <v>38</v>
      </c>
      <c r="D73" s="179" t="s">
        <v>1641</v>
      </c>
      <c r="E73" s="179" t="s">
        <v>18</v>
      </c>
      <c r="F73">
        <v>37563</v>
      </c>
      <c r="G73" t="s">
        <v>1708</v>
      </c>
      <c r="H73">
        <v>6405</v>
      </c>
      <c r="I73" t="s">
        <v>1704</v>
      </c>
      <c r="J73" t="s">
        <v>56</v>
      </c>
      <c r="K73" s="11" t="str">
        <f>IF(Table14[[#This Row],[Proprietary?
(Y/N)]]="Y","Proprietary",IF(Table14[[#This Row],[FY25 Budget]]&lt;Lookups!$F$3,"Single Quote",IF(Table14[[#This Row],[FY25 Budget]]&gt;Lookups!$G$3,"RFP","Three quotes")))</f>
        <v>Proprietary</v>
      </c>
      <c r="L73" s="11" t="s">
        <v>178</v>
      </c>
      <c r="M73" s="460" t="s">
        <v>29</v>
      </c>
      <c r="N73" s="9"/>
      <c r="O73" s="9"/>
      <c r="P73" s="11"/>
      <c r="Q73" s="11"/>
      <c r="R73" s="461">
        <v>47488</v>
      </c>
      <c r="S73" s="461">
        <v>47488</v>
      </c>
      <c r="T73" s="462">
        <v>47488</v>
      </c>
      <c r="U73" s="462">
        <v>49088</v>
      </c>
      <c r="V73" s="463">
        <v>51542</v>
      </c>
      <c r="W73" s="1">
        <v>51542</v>
      </c>
      <c r="X73" s="1">
        <f>Table14[[#This Row],[FY26 Budget]]-Table14[[#This Row],[FY26 Committed]]</f>
        <v>0</v>
      </c>
      <c r="Y73" s="463">
        <v>54188</v>
      </c>
      <c r="Z73" s="463"/>
      <c r="AA73" s="463"/>
      <c r="AB73" s="463"/>
      <c r="AC73" s="15" t="s">
        <v>722</v>
      </c>
      <c r="AD73" s="15" t="s">
        <v>1881</v>
      </c>
      <c r="AE73" s="9">
        <v>45474</v>
      </c>
      <c r="AF73" s="365">
        <v>46568</v>
      </c>
      <c r="AG73" s="15" t="str">
        <f>Table14[[#This Row],[FY25 PO]]</f>
        <v>P25008733</v>
      </c>
      <c r="AH73" s="9">
        <v>46569</v>
      </c>
      <c r="AI73" s="384" t="s">
        <v>596</v>
      </c>
      <c r="AJ73" s="234" t="s">
        <v>178</v>
      </c>
      <c r="AK73" s="234" t="s">
        <v>174</v>
      </c>
      <c r="AL73" s="16"/>
      <c r="AM73" s="2" t="s">
        <v>725</v>
      </c>
      <c r="AN73" s="454"/>
      <c r="AO73" s="381" t="s">
        <v>1882</v>
      </c>
    </row>
    <row r="74" spans="1:41" x14ac:dyDescent="0.25">
      <c r="A74" t="s">
        <v>726</v>
      </c>
      <c r="B74" t="s">
        <v>727</v>
      </c>
      <c r="C74" s="3" t="s">
        <v>16</v>
      </c>
      <c r="D74" s="179" t="s">
        <v>24</v>
      </c>
      <c r="E74" s="179" t="s">
        <v>25</v>
      </c>
      <c r="F74">
        <v>37100</v>
      </c>
      <c r="G74" t="s">
        <v>324</v>
      </c>
      <c r="H74">
        <v>6110</v>
      </c>
      <c r="I74" t="s">
        <v>728</v>
      </c>
      <c r="K74" s="11" t="str">
        <f>IF(Table14[[#This Row],[Proprietary?
(Y/N)]]="Y","Proprietary",IF(Table14[[#This Row],[FY25 Budget]]&lt;Lookups!$F$3,"Single Quote",IF(Table14[[#This Row],[FY25 Budget]]&gt;Lookups!$G$3,"RFP","Three quotes")))</f>
        <v>Single Quote</v>
      </c>
      <c r="L74" s="11" t="s">
        <v>174</v>
      </c>
      <c r="M74" s="460" t="s">
        <v>29</v>
      </c>
      <c r="N74" s="9"/>
      <c r="O74" s="9"/>
      <c r="P74" s="11"/>
      <c r="Q74" s="11"/>
      <c r="R74" s="461">
        <v>0</v>
      </c>
      <c r="S74" s="461">
        <v>1956</v>
      </c>
      <c r="T74" s="462">
        <v>0</v>
      </c>
      <c r="U74" s="462">
        <f>5868/3</f>
        <v>1956</v>
      </c>
      <c r="V74" s="463">
        <f>5868/3</f>
        <v>1956</v>
      </c>
      <c r="W74" s="1">
        <v>1956</v>
      </c>
      <c r="X74" s="1">
        <f>Table14[[#This Row],[FY26 Budget]]-Table14[[#This Row],[FY26 Committed]]</f>
        <v>0</v>
      </c>
      <c r="Y74" s="463">
        <v>1956</v>
      </c>
      <c r="Z74" s="463"/>
      <c r="AA74" s="463"/>
      <c r="AB74" s="463"/>
      <c r="AC74" s="15" t="s">
        <v>730</v>
      </c>
      <c r="AD74" s="15" t="s">
        <v>1883</v>
      </c>
      <c r="AE74" s="9">
        <v>45474</v>
      </c>
      <c r="AF74" s="365">
        <v>46568</v>
      </c>
      <c r="AG74" s="15" t="str">
        <f>AD74</f>
        <v>P24057416</v>
      </c>
      <c r="AH74" s="9">
        <v>46539</v>
      </c>
      <c r="AI74" s="455" t="s">
        <v>1884</v>
      </c>
      <c r="AJ74" s="234" t="s">
        <v>174</v>
      </c>
      <c r="AK74" s="234" t="s">
        <v>174</v>
      </c>
      <c r="AL74" s="16" t="s">
        <v>186</v>
      </c>
      <c r="AM74" s="2" t="s">
        <v>421</v>
      </c>
      <c r="AN74" s="454" t="s">
        <v>1885</v>
      </c>
      <c r="AO74" s="456" t="s">
        <v>234</v>
      </c>
    </row>
    <row r="75" spans="1:41" x14ac:dyDescent="0.25">
      <c r="A75" t="s">
        <v>731</v>
      </c>
      <c r="B75" t="s">
        <v>732</v>
      </c>
      <c r="C75" s="3" t="s">
        <v>16</v>
      </c>
      <c r="D75" s="179" t="s">
        <v>24</v>
      </c>
      <c r="E75" s="179" t="s">
        <v>25</v>
      </c>
      <c r="F75">
        <v>37545</v>
      </c>
      <c r="G75" t="s">
        <v>32</v>
      </c>
      <c r="H75">
        <v>6605</v>
      </c>
      <c r="I75" t="s">
        <v>1628</v>
      </c>
      <c r="J75" t="s">
        <v>1629</v>
      </c>
      <c r="K75" s="11" t="s">
        <v>173</v>
      </c>
      <c r="L75" s="11" t="s">
        <v>178</v>
      </c>
      <c r="M75" s="460" t="s">
        <v>29</v>
      </c>
      <c r="N75" s="9"/>
      <c r="O75" s="9"/>
      <c r="P75" s="11"/>
      <c r="Q75" s="11"/>
      <c r="R75" s="461">
        <v>0</v>
      </c>
      <c r="S75" s="461">
        <v>10000</v>
      </c>
      <c r="T75" s="462">
        <v>10000</v>
      </c>
      <c r="U75" s="462">
        <v>10000</v>
      </c>
      <c r="V75" s="463">
        <v>10000</v>
      </c>
      <c r="W75" s="1">
        <v>10000</v>
      </c>
      <c r="X75" s="1">
        <f>Table14[[#This Row],[FY26 Budget]]-Table14[[#This Row],[FY26 Committed]]</f>
        <v>0</v>
      </c>
      <c r="Y75" s="463">
        <v>10000</v>
      </c>
      <c r="Z75" s="463"/>
      <c r="AA75" s="463"/>
      <c r="AB75" s="463"/>
      <c r="AC75" s="15" t="s">
        <v>734</v>
      </c>
      <c r="AD75" s="15" t="s">
        <v>1886</v>
      </c>
      <c r="AE75" s="9">
        <v>45717</v>
      </c>
      <c r="AF75" s="365">
        <v>46081</v>
      </c>
      <c r="AG75" s="15" t="s">
        <v>1887</v>
      </c>
      <c r="AH75" s="9">
        <v>46082</v>
      </c>
      <c r="AI75" s="384" t="s">
        <v>1888</v>
      </c>
      <c r="AJ75" s="234" t="s">
        <v>178</v>
      </c>
      <c r="AK75" s="234" t="s">
        <v>174</v>
      </c>
      <c r="AL75" s="16"/>
      <c r="AM75" s="2" t="s">
        <v>455</v>
      </c>
      <c r="AN75" s="454" t="s">
        <v>1889</v>
      </c>
      <c r="AO75" s="381" t="s">
        <v>1890</v>
      </c>
    </row>
    <row r="76" spans="1:41" x14ac:dyDescent="0.25">
      <c r="A76" t="s">
        <v>1891</v>
      </c>
      <c r="B76" t="s">
        <v>132</v>
      </c>
      <c r="C76" s="3" t="s">
        <v>16</v>
      </c>
      <c r="D76" s="179" t="s">
        <v>1641</v>
      </c>
      <c r="E76" s="179" t="s">
        <v>18</v>
      </c>
      <c r="F76">
        <v>37564</v>
      </c>
      <c r="G76" t="s">
        <v>1807</v>
      </c>
      <c r="H76">
        <v>6405</v>
      </c>
      <c r="I76" t="s">
        <v>1704</v>
      </c>
      <c r="J76" t="s">
        <v>56</v>
      </c>
      <c r="K76" s="11" t="str">
        <f>IF(Table14[[#This Row],[Proprietary?
(Y/N)]]="Y","Proprietary",IF(Table14[[#This Row],[FY25 Budget]]&lt;Lookups!$F$3,"Single Quote",IF(Table14[[#This Row],[FY25 Budget]]&gt;Lookups!$G$3,"RFP","Three quotes")))</f>
        <v>Three quotes</v>
      </c>
      <c r="L76" s="11" t="s">
        <v>178</v>
      </c>
      <c r="M76" s="460">
        <v>1001028</v>
      </c>
      <c r="N76" s="9">
        <v>45013</v>
      </c>
      <c r="O76" s="9">
        <v>46108</v>
      </c>
      <c r="P76" s="11"/>
      <c r="Q76" s="11"/>
      <c r="R76" s="461">
        <v>69550</v>
      </c>
      <c r="S76" s="461">
        <v>100000</v>
      </c>
      <c r="T76" s="462">
        <v>61800</v>
      </c>
      <c r="U76" s="462">
        <v>115000</v>
      </c>
      <c r="V76" s="463">
        <v>80000</v>
      </c>
      <c r="W76" s="1"/>
      <c r="X76" s="1">
        <f>Table14[[#This Row],[FY26 Budget]]-Table14[[#This Row],[FY26 Committed]]</f>
        <v>80000</v>
      </c>
      <c r="Y76" s="463"/>
      <c r="Z76" s="463"/>
      <c r="AA76" s="463"/>
      <c r="AB76" s="463"/>
      <c r="AC76" s="15" t="s">
        <v>738</v>
      </c>
      <c r="AD76" s="15" t="s">
        <v>1892</v>
      </c>
      <c r="AE76" s="9">
        <v>45658</v>
      </c>
      <c r="AF76" s="365">
        <v>46022</v>
      </c>
      <c r="AG76" s="15"/>
      <c r="AH76" s="9">
        <v>45992</v>
      </c>
      <c r="AI76" s="455"/>
      <c r="AJ76" s="234" t="s">
        <v>178</v>
      </c>
      <c r="AK76" s="234" t="s">
        <v>174</v>
      </c>
      <c r="AL76" s="16"/>
      <c r="AM76" s="2" t="s">
        <v>443</v>
      </c>
      <c r="AN76" s="454"/>
      <c r="AO76" s="456" t="s">
        <v>1893</v>
      </c>
    </row>
    <row r="77" spans="1:41" x14ac:dyDescent="0.25">
      <c r="A77" t="s">
        <v>746</v>
      </c>
      <c r="B77" t="s">
        <v>747</v>
      </c>
      <c r="C77" s="3" t="s">
        <v>16</v>
      </c>
      <c r="D77" s="179" t="s">
        <v>24</v>
      </c>
      <c r="E77" s="179" t="s">
        <v>18</v>
      </c>
      <c r="F77">
        <v>37100</v>
      </c>
      <c r="G77" t="s">
        <v>324</v>
      </c>
      <c r="H77">
        <v>6235</v>
      </c>
      <c r="I77" t="s">
        <v>1636</v>
      </c>
      <c r="K77" s="11" t="s">
        <v>192</v>
      </c>
      <c r="L77" s="11" t="s">
        <v>178</v>
      </c>
      <c r="M77" s="460">
        <v>1000710</v>
      </c>
      <c r="N77" s="9"/>
      <c r="O77" s="9"/>
      <c r="P77" s="11"/>
      <c r="Q77" s="11"/>
      <c r="R77" s="461">
        <v>60000</v>
      </c>
      <c r="S77" s="461">
        <v>50000</v>
      </c>
      <c r="T77" s="462">
        <v>60000</v>
      </c>
      <c r="U77" s="462">
        <v>50000</v>
      </c>
      <c r="V77" s="463">
        <v>81600</v>
      </c>
      <c r="W77" s="1">
        <v>75000</v>
      </c>
      <c r="X77" s="1">
        <f>Table14[[#This Row],[FY26 Budget]]-Table14[[#This Row],[FY26 Committed]]</f>
        <v>6600</v>
      </c>
      <c r="Y77" s="463"/>
      <c r="Z77" s="463"/>
      <c r="AA77" s="463"/>
      <c r="AB77" s="463"/>
      <c r="AC77" s="15" t="s">
        <v>749</v>
      </c>
      <c r="AD77" s="15" t="s">
        <v>1894</v>
      </c>
      <c r="AE77" s="9">
        <v>45839</v>
      </c>
      <c r="AF77" s="365">
        <v>46203</v>
      </c>
      <c r="AG77" s="15" t="s">
        <v>1895</v>
      </c>
      <c r="AH77" s="9">
        <v>46174</v>
      </c>
      <c r="AI77" s="455"/>
      <c r="AJ77" s="234" t="s">
        <v>174</v>
      </c>
      <c r="AK77" s="234" t="s">
        <v>174</v>
      </c>
      <c r="AL77" s="16" t="s">
        <v>186</v>
      </c>
      <c r="AM77" s="2" t="s">
        <v>421</v>
      </c>
      <c r="AN77" s="454"/>
      <c r="AO77" s="456" t="s">
        <v>234</v>
      </c>
    </row>
    <row r="78" spans="1:41" x14ac:dyDescent="0.25">
      <c r="A78" t="s">
        <v>751</v>
      </c>
      <c r="B78" t="s">
        <v>752</v>
      </c>
      <c r="C78" s="3" t="s">
        <v>38</v>
      </c>
      <c r="D78" s="179" t="s">
        <v>24</v>
      </c>
      <c r="E78" s="179" t="s">
        <v>25</v>
      </c>
      <c r="F78">
        <v>37100</v>
      </c>
      <c r="G78" t="s">
        <v>324</v>
      </c>
      <c r="H78">
        <v>6205</v>
      </c>
      <c r="I78" t="s">
        <v>1868</v>
      </c>
      <c r="J78" t="s">
        <v>1636</v>
      </c>
      <c r="K78" s="11" t="str">
        <f>IF(Table14[[#This Row],[Proprietary?
(Y/N)]]="Y","Proprietary",IF(Table14[[#This Row],[FY25 Budget]]&lt;Lookups!$F$3,"Single Quote",IF(Table14[[#This Row],[FY25 Budget]]&gt;Lookups!$G$3,"RFP","Three quotes")))</f>
        <v>Proprietary</v>
      </c>
      <c r="L78" s="11" t="s">
        <v>174</v>
      </c>
      <c r="M78" s="460" t="s">
        <v>753</v>
      </c>
      <c r="N78" s="9"/>
      <c r="O78" s="9"/>
      <c r="P78" s="11"/>
      <c r="Q78" s="11"/>
      <c r="R78" s="461">
        <v>3000</v>
      </c>
      <c r="S78" s="461">
        <v>3000</v>
      </c>
      <c r="T78" s="462">
        <v>3000</v>
      </c>
      <c r="U78" s="462">
        <v>3990</v>
      </c>
      <c r="V78" s="463">
        <v>0</v>
      </c>
      <c r="W78" s="1"/>
      <c r="X78" s="1">
        <f>Table14[[#This Row],[FY26 Budget]]-Table14[[#This Row],[FY26 Committed]]</f>
        <v>0</v>
      </c>
      <c r="Y78" s="463"/>
      <c r="Z78" s="463"/>
      <c r="AA78" s="463"/>
      <c r="AB78" s="463"/>
      <c r="AC78" s="15" t="s">
        <v>754</v>
      </c>
      <c r="AD78" s="15" t="s">
        <v>1896</v>
      </c>
      <c r="AE78" s="9">
        <v>45839</v>
      </c>
      <c r="AF78" s="365">
        <v>46203</v>
      </c>
      <c r="AG78" s="15" t="s">
        <v>1897</v>
      </c>
      <c r="AH78" s="9">
        <v>46174</v>
      </c>
      <c r="AI78" s="384"/>
      <c r="AJ78" s="234" t="s">
        <v>174</v>
      </c>
      <c r="AK78" s="234" t="s">
        <v>174</v>
      </c>
      <c r="AL78" s="16" t="s">
        <v>186</v>
      </c>
      <c r="AM78" s="2" t="s">
        <v>421</v>
      </c>
      <c r="AN78" s="454"/>
      <c r="AO78" s="381" t="s">
        <v>234</v>
      </c>
    </row>
    <row r="79" spans="1:41" x14ac:dyDescent="0.25">
      <c r="A79" t="s">
        <v>1898</v>
      </c>
      <c r="B79" t="s">
        <v>1899</v>
      </c>
      <c r="C79" s="3" t="s">
        <v>16</v>
      </c>
      <c r="D79" s="179" t="s">
        <v>24</v>
      </c>
      <c r="E79" s="179" t="s">
        <v>18</v>
      </c>
      <c r="F79">
        <v>37512</v>
      </c>
      <c r="G79" t="s">
        <v>26</v>
      </c>
      <c r="H79">
        <v>6405</v>
      </c>
      <c r="I79" t="s">
        <v>1900</v>
      </c>
      <c r="J79" t="s">
        <v>56</v>
      </c>
      <c r="K79" s="11" t="s">
        <v>192</v>
      </c>
      <c r="L79" s="11" t="s">
        <v>174</v>
      </c>
      <c r="M79" s="460"/>
      <c r="N79" s="9"/>
      <c r="O79" s="9"/>
      <c r="P79" s="11"/>
      <c r="Q79" s="11"/>
      <c r="R79" s="461">
        <v>0</v>
      </c>
      <c r="S79" s="461">
        <v>0</v>
      </c>
      <c r="T79" s="462">
        <v>0</v>
      </c>
      <c r="U79" s="462">
        <v>18500</v>
      </c>
      <c r="V79" s="463">
        <v>0</v>
      </c>
      <c r="W79" s="1">
        <v>18500</v>
      </c>
      <c r="X79" s="1">
        <f>Table14[[#This Row],[FY26 Budget]]-Table14[[#This Row],[FY26 Committed]]</f>
        <v>-18500</v>
      </c>
      <c r="Y79" s="463"/>
      <c r="Z79" s="463"/>
      <c r="AA79" s="463"/>
      <c r="AB79" s="463"/>
      <c r="AC79" s="15" t="s">
        <v>234</v>
      </c>
      <c r="AD79" s="15" t="s">
        <v>1901</v>
      </c>
      <c r="AE79" s="9">
        <v>45778</v>
      </c>
      <c r="AF79" s="365">
        <v>46203</v>
      </c>
      <c r="AG79" s="15" t="str">
        <f>Table14[[#This Row],[FY25 PO]]</f>
        <v>P25059658</v>
      </c>
      <c r="AH79" s="9">
        <v>46204</v>
      </c>
      <c r="AI79" s="455"/>
      <c r="AJ79" s="234" t="s">
        <v>178</v>
      </c>
      <c r="AK79" s="234"/>
      <c r="AL79" s="16"/>
      <c r="AM79" s="2"/>
      <c r="AN79" s="454" t="s">
        <v>1819</v>
      </c>
      <c r="AO79" s="456" t="s">
        <v>1872</v>
      </c>
    </row>
    <row r="80" spans="1:41" x14ac:dyDescent="0.25">
      <c r="A80" t="s">
        <v>137</v>
      </c>
      <c r="B80" t="s">
        <v>138</v>
      </c>
      <c r="C80" s="3" t="s">
        <v>16</v>
      </c>
      <c r="D80" s="179" t="s">
        <v>1641</v>
      </c>
      <c r="E80" s="179" t="s">
        <v>18</v>
      </c>
      <c r="F80">
        <v>37563</v>
      </c>
      <c r="G80" t="s">
        <v>1708</v>
      </c>
      <c r="H80">
        <v>6405</v>
      </c>
      <c r="I80" t="s">
        <v>1704</v>
      </c>
      <c r="J80" t="s">
        <v>56</v>
      </c>
      <c r="K80" s="11" t="str">
        <f>IF(Table14[[#This Row],[Proprietary?
(Y/N)]]="Y","Proprietary",IF(Table14[[#This Row],[FY25 Budget]]&lt;Lookups!$F$3,"Single Quote",IF(Table14[[#This Row],[FY25 Budget]]&gt;Lookups!$G$3,"RFP","Three quotes")))</f>
        <v>Single Quote</v>
      </c>
      <c r="L80" s="11" t="s">
        <v>178</v>
      </c>
      <c r="M80" s="460" t="s">
        <v>29</v>
      </c>
      <c r="N80" s="9"/>
      <c r="O80" s="9"/>
      <c r="P80" s="11"/>
      <c r="Q80" s="11"/>
      <c r="R80" s="461">
        <v>10700</v>
      </c>
      <c r="S80" s="461">
        <v>49999</v>
      </c>
      <c r="T80" s="462">
        <v>15449</v>
      </c>
      <c r="U80" s="462">
        <v>24999</v>
      </c>
      <c r="V80" s="463">
        <v>24999</v>
      </c>
      <c r="W80" s="1">
        <v>24999</v>
      </c>
      <c r="X80" s="1">
        <f>Table14[[#This Row],[FY26 Budget]]-Table14[[#This Row],[FY26 Committed]]</f>
        <v>0</v>
      </c>
      <c r="Y80" s="463"/>
      <c r="Z80" s="463"/>
      <c r="AA80" s="463"/>
      <c r="AB80" s="463"/>
      <c r="AC80" s="15" t="s">
        <v>757</v>
      </c>
      <c r="AD80" s="15" t="s">
        <v>1902</v>
      </c>
      <c r="AE80" s="9">
        <v>45839</v>
      </c>
      <c r="AF80" s="365">
        <v>46203</v>
      </c>
      <c r="AG80" s="15" t="s">
        <v>1903</v>
      </c>
      <c r="AH80" s="9">
        <v>46204</v>
      </c>
      <c r="AI80" s="384" t="s">
        <v>1656</v>
      </c>
      <c r="AJ80" s="234" t="s">
        <v>178</v>
      </c>
      <c r="AK80" s="234" t="s">
        <v>174</v>
      </c>
      <c r="AL80" s="16"/>
      <c r="AM80" s="2" t="s">
        <v>759</v>
      </c>
      <c r="AN80" s="454"/>
      <c r="AO80" s="381" t="s">
        <v>1657</v>
      </c>
    </row>
    <row r="81" spans="1:41" x14ac:dyDescent="0.25">
      <c r="A81" t="s">
        <v>139</v>
      </c>
      <c r="B81" t="s">
        <v>140</v>
      </c>
      <c r="C81" s="3" t="s">
        <v>16</v>
      </c>
      <c r="D81" s="179" t="s">
        <v>408</v>
      </c>
      <c r="E81" s="179" t="s">
        <v>25</v>
      </c>
      <c r="F81">
        <v>37522</v>
      </c>
      <c r="G81" t="s">
        <v>1664</v>
      </c>
      <c r="H81">
        <v>6405</v>
      </c>
      <c r="I81" t="s">
        <v>1712</v>
      </c>
      <c r="J81" t="s">
        <v>1629</v>
      </c>
      <c r="K81" s="11" t="str">
        <f>IF(Table14[[#This Row],[Proprietary?
(Y/N)]]="Y","Proprietary",IF(Table14[[#This Row],[FY25 Budget]]&lt;Lookups!$F$3,"Single Quote",IF(Table14[[#This Row],[FY25 Budget]]&gt;Lookups!$G$3,"RFP","Three quotes")))</f>
        <v>RFP</v>
      </c>
      <c r="L81" s="11" t="s">
        <v>178</v>
      </c>
      <c r="M81" s="460">
        <v>1000064</v>
      </c>
      <c r="N81" s="9">
        <v>44593</v>
      </c>
      <c r="O81" s="9">
        <v>46053</v>
      </c>
      <c r="P81" s="11" t="s">
        <v>1273</v>
      </c>
      <c r="Q81" s="11"/>
      <c r="R81" s="461">
        <v>622606</v>
      </c>
      <c r="S81" s="461">
        <v>701080.66</v>
      </c>
      <c r="T81" s="462">
        <v>736135</v>
      </c>
      <c r="U81" s="462">
        <v>747000</v>
      </c>
      <c r="V81" s="463">
        <v>790000</v>
      </c>
      <c r="W81" s="1">
        <v>744000</v>
      </c>
      <c r="X81" s="1">
        <f>Table14[[#This Row],[FY26 Budget]]-Table14[[#This Row],[FY26 Committed]]</f>
        <v>46000</v>
      </c>
      <c r="Y81" s="463"/>
      <c r="Z81" s="463"/>
      <c r="AA81" s="463"/>
      <c r="AB81" s="463"/>
      <c r="AC81" s="15" t="s">
        <v>761</v>
      </c>
      <c r="AD81" s="15" t="s">
        <v>1904</v>
      </c>
      <c r="AE81" s="9">
        <v>45839</v>
      </c>
      <c r="AF81" s="365">
        <v>46203</v>
      </c>
      <c r="AG81" s="15" t="s">
        <v>1905</v>
      </c>
      <c r="AH81" s="9">
        <v>46204</v>
      </c>
      <c r="AI81" s="455" t="s">
        <v>1878</v>
      </c>
      <c r="AJ81" s="234" t="s">
        <v>174</v>
      </c>
      <c r="AK81" s="234" t="s">
        <v>174</v>
      </c>
      <c r="AL81" s="16" t="s">
        <v>186</v>
      </c>
      <c r="AM81" s="2" t="s">
        <v>763</v>
      </c>
      <c r="AN81" s="454"/>
      <c r="AO81" s="456" t="s">
        <v>234</v>
      </c>
    </row>
    <row r="82" spans="1:41" x14ac:dyDescent="0.25">
      <c r="A82" s="59" t="s">
        <v>1906</v>
      </c>
      <c r="B82" s="60" t="s">
        <v>1907</v>
      </c>
      <c r="C82" s="95" t="s">
        <v>16</v>
      </c>
      <c r="D82" s="315" t="s">
        <v>408</v>
      </c>
      <c r="E82" s="315" t="s">
        <v>18</v>
      </c>
      <c r="F82" s="60">
        <v>37521</v>
      </c>
      <c r="G82" s="60" t="s">
        <v>1652</v>
      </c>
      <c r="H82" s="60">
        <v>6405</v>
      </c>
      <c r="I82" s="60" t="s">
        <v>1653</v>
      </c>
      <c r="J82" s="60" t="s">
        <v>1629</v>
      </c>
      <c r="K82" s="373"/>
      <c r="L82" s="373" t="s">
        <v>174</v>
      </c>
      <c r="M82" s="95" t="s">
        <v>29</v>
      </c>
      <c r="N82" s="64"/>
      <c r="O82" s="64"/>
      <c r="P82" s="373"/>
      <c r="Q82" s="373"/>
      <c r="R82" s="417"/>
      <c r="S82" s="417">
        <v>0</v>
      </c>
      <c r="T82" s="417">
        <v>0</v>
      </c>
      <c r="U82" s="417">
        <v>15000</v>
      </c>
      <c r="V82" s="417">
        <v>0</v>
      </c>
      <c r="W82" s="417">
        <v>10000</v>
      </c>
      <c r="X82" s="417">
        <f>Table14[[#This Row],[FY26 Budget]]-Table14[[#This Row],[FY26 Committed]]</f>
        <v>-10000</v>
      </c>
      <c r="Y82" s="417"/>
      <c r="Z82" s="417"/>
      <c r="AA82" s="417"/>
      <c r="AB82" s="417"/>
      <c r="AC82" s="367"/>
      <c r="AD82" s="367" t="s">
        <v>1908</v>
      </c>
      <c r="AE82" s="64">
        <v>45931</v>
      </c>
      <c r="AF82" s="477">
        <v>46203</v>
      </c>
      <c r="AG82" s="367" t="s">
        <v>1909</v>
      </c>
      <c r="AH82" s="64">
        <v>46204</v>
      </c>
      <c r="AI82" s="418" t="s">
        <v>1910</v>
      </c>
      <c r="AJ82" s="419" t="s">
        <v>174</v>
      </c>
      <c r="AK82" s="419" t="s">
        <v>174</v>
      </c>
      <c r="AL82" s="421"/>
      <c r="AM82" s="422"/>
      <c r="AN82" s="422"/>
      <c r="AO82" s="423"/>
    </row>
    <row r="83" spans="1:41" x14ac:dyDescent="0.25">
      <c r="A83" t="s">
        <v>1911</v>
      </c>
      <c r="B83" t="s">
        <v>1912</v>
      </c>
      <c r="C83" s="3" t="s">
        <v>16</v>
      </c>
      <c r="D83" s="179" t="s">
        <v>1641</v>
      </c>
      <c r="E83" s="179" t="s">
        <v>18</v>
      </c>
      <c r="F83">
        <v>37550</v>
      </c>
      <c r="G83" t="s">
        <v>87</v>
      </c>
      <c r="H83">
        <v>6405</v>
      </c>
      <c r="I83" t="s">
        <v>1643</v>
      </c>
      <c r="K83" s="11" t="str">
        <f>IF(Table14[[#This Row],[Proprietary?
(Y/N)]]="Y","Proprietary",IF(Table14[[#This Row],[FY25 Budget]]&lt;Lookups!$F$3,"Single Quote",IF(Table14[[#This Row],[FY25 Budget]]&gt;Lookups!$G$3,"RFP","Three quotes")))</f>
        <v>Single Quote</v>
      </c>
      <c r="L83" s="11" t="s">
        <v>178</v>
      </c>
      <c r="M83" s="460" t="s">
        <v>1913</v>
      </c>
      <c r="N83" s="9"/>
      <c r="O83" s="9"/>
      <c r="P83" s="11"/>
      <c r="Q83" s="11"/>
      <c r="R83" s="461">
        <v>0</v>
      </c>
      <c r="S83" s="461">
        <v>0</v>
      </c>
      <c r="T83" s="462">
        <v>0</v>
      </c>
      <c r="U83" s="462">
        <v>13918</v>
      </c>
      <c r="V83" s="463">
        <v>0</v>
      </c>
      <c r="W83" s="1">
        <v>14319</v>
      </c>
      <c r="X83" s="1">
        <f>Table14[[#This Row],[FY26 Budget]]-Table14[[#This Row],[FY26 Committed]]</f>
        <v>-14319</v>
      </c>
      <c r="Y83" s="463">
        <v>14732</v>
      </c>
      <c r="Z83" s="463">
        <v>12611</v>
      </c>
      <c r="AA83" s="463">
        <v>13241</v>
      </c>
      <c r="AB83" s="463"/>
      <c r="AC83" s="15" t="s">
        <v>234</v>
      </c>
      <c r="AD83" s="15"/>
      <c r="AE83" s="9">
        <v>45658</v>
      </c>
      <c r="AF83" s="365">
        <v>47483</v>
      </c>
      <c r="AG83" s="15" t="s">
        <v>1914</v>
      </c>
      <c r="AH83" s="9">
        <v>47423</v>
      </c>
      <c r="AI83" s="455"/>
      <c r="AJ83" s="234"/>
      <c r="AK83" s="234"/>
      <c r="AL83" s="16"/>
      <c r="AM83" s="2"/>
      <c r="AN83" s="454" t="s">
        <v>1915</v>
      </c>
      <c r="AO83" s="456" t="s">
        <v>1916</v>
      </c>
    </row>
    <row r="84" spans="1:41" x14ac:dyDescent="0.25">
      <c r="A84" t="s">
        <v>1917</v>
      </c>
      <c r="B84" t="s">
        <v>1918</v>
      </c>
      <c r="C84" s="3" t="s">
        <v>16</v>
      </c>
      <c r="D84" s="179" t="s">
        <v>24</v>
      </c>
      <c r="E84" s="179" t="s">
        <v>18</v>
      </c>
      <c r="F84">
        <v>37100</v>
      </c>
      <c r="H84">
        <v>6405</v>
      </c>
      <c r="I84" t="s">
        <v>1919</v>
      </c>
      <c r="K84" s="11" t="str">
        <f>IF(Table14[[#This Row],[Proprietary?
(Y/N)]]="Y","Proprietary",IF(Table14[[#This Row],[FY25 Budget]]&lt;Lookups!$F$3,"Single Quote",IF(Table14[[#This Row],[FY25 Budget]]&gt;Lookups!$G$3,"RFP","Three quotes")))</f>
        <v>Single Quote</v>
      </c>
      <c r="L84" s="11"/>
      <c r="M84" s="492">
        <v>1004598</v>
      </c>
      <c r="N84" s="9"/>
      <c r="O84" s="9"/>
      <c r="P84" s="11"/>
      <c r="Q84" s="11"/>
      <c r="R84" s="475"/>
      <c r="S84" s="476"/>
      <c r="T84" s="493">
        <v>0</v>
      </c>
      <c r="U84" s="493">
        <v>0</v>
      </c>
      <c r="V84" s="1">
        <v>50000</v>
      </c>
      <c r="W84" s="1">
        <v>50000</v>
      </c>
      <c r="X84" s="1">
        <f>Table14[[#This Row],[FY26 Budget]]-Table14[[#This Row],[FY26 Committed]]</f>
        <v>0</v>
      </c>
      <c r="Y84" s="494"/>
      <c r="Z84" s="494"/>
      <c r="AA84" s="494"/>
      <c r="AB84" s="494"/>
      <c r="AC84" s="15" t="s">
        <v>234</v>
      </c>
      <c r="AD84" s="15" t="s">
        <v>1920</v>
      </c>
      <c r="AE84" s="9">
        <v>45839</v>
      </c>
      <c r="AF84" s="478">
        <v>46203</v>
      </c>
      <c r="AG84" s="479" t="str">
        <f>Table14[[#This Row],[FY25 PO]]</f>
        <v>P26001861</v>
      </c>
      <c r="AH84" s="9">
        <v>46204</v>
      </c>
      <c r="AI84" s="495"/>
      <c r="AJ84" s="496" t="s">
        <v>174</v>
      </c>
      <c r="AK84" s="496"/>
      <c r="AL84" s="497"/>
      <c r="AM84" s="498"/>
      <c r="AN84" s="498"/>
      <c r="AO84" s="498"/>
    </row>
    <row r="85" spans="1:41" x14ac:dyDescent="0.25">
      <c r="A85" t="s">
        <v>141</v>
      </c>
      <c r="B85" t="s">
        <v>142</v>
      </c>
      <c r="C85" s="3" t="s">
        <v>16</v>
      </c>
      <c r="D85" s="179" t="s">
        <v>24</v>
      </c>
      <c r="E85" s="179" t="s">
        <v>25</v>
      </c>
      <c r="F85">
        <v>37510</v>
      </c>
      <c r="G85" t="s">
        <v>26</v>
      </c>
      <c r="H85">
        <v>6405</v>
      </c>
      <c r="I85" t="s">
        <v>1760</v>
      </c>
      <c r="J85" t="s">
        <v>1921</v>
      </c>
      <c r="K85" s="11" t="str">
        <f>IF(Table14[[#This Row],[Proprietary?
(Y/N)]]="Y","Proprietary",IF(Table14[[#This Row],[FY25 Budget]]&lt;Lookups!$F$3,"Single Quote",IF(Table14[[#This Row],[FY25 Budget]]&gt;Lookups!$G$3,"RFP","Three quotes")))</f>
        <v>Three quotes</v>
      </c>
      <c r="L85" s="11" t="s">
        <v>178</v>
      </c>
      <c r="M85" s="460" t="s">
        <v>1922</v>
      </c>
      <c r="N85" s="9"/>
      <c r="O85" s="9"/>
      <c r="P85" s="11"/>
      <c r="Q85" s="11"/>
      <c r="R85" s="461">
        <v>29872.06</v>
      </c>
      <c r="S85" s="461">
        <v>38754</v>
      </c>
      <c r="T85" s="462">
        <v>39917</v>
      </c>
      <c r="U85" s="462">
        <v>41104</v>
      </c>
      <c r="V85" s="463">
        <v>42337</v>
      </c>
      <c r="W85" s="1">
        <v>45549</v>
      </c>
      <c r="X85" s="1">
        <f>Table14[[#This Row],[FY26 Budget]]-Table14[[#This Row],[FY26 Committed]]</f>
        <v>-3212</v>
      </c>
      <c r="Y85" s="463"/>
      <c r="Z85" s="463"/>
      <c r="AA85" s="463"/>
      <c r="AB85" s="463"/>
      <c r="AC85" s="15" t="s">
        <v>765</v>
      </c>
      <c r="AD85" s="15" t="s">
        <v>1923</v>
      </c>
      <c r="AE85" s="9">
        <v>45839</v>
      </c>
      <c r="AF85" s="365">
        <v>46203</v>
      </c>
      <c r="AG85" s="15" t="s">
        <v>1924</v>
      </c>
      <c r="AH85" s="9">
        <v>46204</v>
      </c>
      <c r="AI85" s="384"/>
      <c r="AJ85" s="234" t="s">
        <v>178</v>
      </c>
      <c r="AK85" s="234" t="s">
        <v>174</v>
      </c>
      <c r="AL85" s="16"/>
      <c r="AM85" s="2" t="s">
        <v>421</v>
      </c>
      <c r="AN85" s="454"/>
      <c r="AO85" s="381" t="s">
        <v>1925</v>
      </c>
    </row>
    <row r="86" spans="1:41" x14ac:dyDescent="0.25">
      <c r="A86" t="s">
        <v>1247</v>
      </c>
      <c r="B86" t="s">
        <v>1926</v>
      </c>
      <c r="C86" s="3" t="s">
        <v>38</v>
      </c>
      <c r="D86" s="179" t="s">
        <v>1641</v>
      </c>
      <c r="E86" s="179" t="s">
        <v>18</v>
      </c>
      <c r="F86">
        <v>37562</v>
      </c>
      <c r="G86" t="s">
        <v>1786</v>
      </c>
      <c r="H86">
        <v>6405</v>
      </c>
      <c r="I86" t="s">
        <v>1704</v>
      </c>
      <c r="J86" t="s">
        <v>56</v>
      </c>
      <c r="K86" s="11" t="str">
        <f>IF(Table14[[#This Row],[Proprietary?
(Y/N)]]="Y","Proprietary",IF(Table14[[#This Row],[FY25 Budget]]&lt;Lookups!$F$3,"Single Quote",IF(Table14[[#This Row],[FY25 Budget]]&gt;Lookups!$G$3,"RFP","Three quotes")))</f>
        <v>Proprietary</v>
      </c>
      <c r="L86" s="11" t="s">
        <v>174</v>
      </c>
      <c r="M86" s="460"/>
      <c r="N86" s="9"/>
      <c r="O86" s="9"/>
      <c r="P86" s="11"/>
      <c r="Q86" s="11"/>
      <c r="R86" s="461">
        <v>0</v>
      </c>
      <c r="S86" s="461">
        <v>3228</v>
      </c>
      <c r="T86" s="462">
        <v>0</v>
      </c>
      <c r="U86" s="462">
        <v>3845</v>
      </c>
      <c r="V86" s="463">
        <v>4076</v>
      </c>
      <c r="W86" s="1">
        <v>3962</v>
      </c>
      <c r="X86" s="1">
        <f>Table14[[#This Row],[FY26 Budget]]-Table14[[#This Row],[FY26 Committed]]</f>
        <v>114</v>
      </c>
      <c r="Y86" s="1">
        <v>3962</v>
      </c>
      <c r="Z86" s="1">
        <v>3962</v>
      </c>
      <c r="AA86" s="1">
        <v>3962</v>
      </c>
      <c r="AB86" s="1">
        <v>3962</v>
      </c>
      <c r="AC86" s="15" t="s">
        <v>1927</v>
      </c>
      <c r="AD86" s="15" t="s">
        <v>1928</v>
      </c>
      <c r="AE86" s="9">
        <v>45778</v>
      </c>
      <c r="AF86" s="365">
        <v>47238</v>
      </c>
      <c r="AG86" s="15" t="s">
        <v>1929</v>
      </c>
      <c r="AH86" s="9">
        <v>47239</v>
      </c>
      <c r="AI86" s="455"/>
      <c r="AJ86" s="234" t="s">
        <v>178</v>
      </c>
      <c r="AK86" s="234"/>
      <c r="AL86" s="16"/>
      <c r="AM86" s="2" t="s">
        <v>1930</v>
      </c>
      <c r="AN86" s="454"/>
      <c r="AO86" s="381" t="s">
        <v>1657</v>
      </c>
    </row>
    <row r="87" spans="1:41" x14ac:dyDescent="0.25">
      <c r="A87" s="24"/>
    </row>
    <row r="88" spans="1:41" x14ac:dyDescent="0.25">
      <c r="AG88" s="464"/>
    </row>
    <row r="89" spans="1:41" x14ac:dyDescent="0.25">
      <c r="C89" s="88"/>
      <c r="D89" s="235"/>
      <c r="E89" s="235"/>
      <c r="AG89" s="464"/>
    </row>
    <row r="90" spans="1:41" x14ac:dyDescent="0.25">
      <c r="AG90" s="464"/>
    </row>
    <row r="93" spans="1:41" x14ac:dyDescent="0.25">
      <c r="A93" s="54"/>
    </row>
    <row r="111" spans="19:19" x14ac:dyDescent="0.25">
      <c r="S111" s="463"/>
    </row>
    <row r="112" spans="19:19" x14ac:dyDescent="0.25">
      <c r="S112" s="463"/>
    </row>
    <row r="113" spans="19:19" x14ac:dyDescent="0.25">
      <c r="S113" s="463"/>
    </row>
    <row r="114" spans="19:19" x14ac:dyDescent="0.25">
      <c r="S114" s="463"/>
    </row>
    <row r="115" spans="19:19" x14ac:dyDescent="0.25">
      <c r="S115" s="463"/>
    </row>
    <row r="116" spans="19:19" x14ac:dyDescent="0.25">
      <c r="S116" s="463"/>
    </row>
    <row r="117" spans="19:19" x14ac:dyDescent="0.25">
      <c r="S117" s="463"/>
    </row>
    <row r="118" spans="19:19" x14ac:dyDescent="0.25">
      <c r="S118" s="463"/>
    </row>
    <row r="119" spans="19:19" x14ac:dyDescent="0.25">
      <c r="S119" s="463"/>
    </row>
  </sheetData>
  <autoFilter ref="V89" xr:uid="{D99B0E02-5074-492A-BC0A-EE85E4B39F37}"/>
  <phoneticPr fontId="16" type="noConversion"/>
  <pageMargins left="0" right="0" top="0" bottom="0" header="0" footer="0"/>
  <pageSetup paperSize="17" scale="72" orientation="landscape"/>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FFEAD165-D18A-4C7F-9C79-11253A7AE630}">
          <x14:formula1>
            <xm:f>Lookups!$B$2:$B$5</xm:f>
          </x14:formula1>
          <xm:sqref>AJ2:AK86</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16"/>
  <sheetViews>
    <sheetView workbookViewId="0">
      <pane xSplit="3" ySplit="1" topLeftCell="T2" activePane="bottomRight" state="frozen"/>
      <selection pane="topRight" activeCell="D1" sqref="D1"/>
      <selection pane="bottomLeft" activeCell="A2" sqref="A2"/>
      <selection pane="bottomRight" activeCell="AB7" sqref="AB7"/>
    </sheetView>
  </sheetViews>
  <sheetFormatPr defaultColWidth="9.140625" defaultRowHeight="15" outlineLevelRow="1" outlineLevelCol="1" x14ac:dyDescent="0.25"/>
  <cols>
    <col min="1" max="1" width="31.28515625" customWidth="1"/>
    <col min="2" max="2" width="52.85546875" customWidth="1"/>
    <col min="3" max="3" width="14.5703125" customWidth="1" outlineLevel="1"/>
    <col min="4" max="4" width="10.7109375" customWidth="1"/>
    <col min="5" max="5" width="17.5703125" customWidth="1"/>
    <col min="6" max="6" width="16.85546875" customWidth="1"/>
    <col min="7" max="7" width="8.85546875" customWidth="1" outlineLevel="1"/>
    <col min="8" max="8" width="24" customWidth="1" outlineLevel="1"/>
    <col min="9" max="9" width="14.85546875" customWidth="1"/>
    <col min="10" max="10" width="20.28515625" customWidth="1"/>
    <col min="11" max="11" width="12" customWidth="1" outlineLevel="1"/>
    <col min="12" max="14" width="16" customWidth="1" outlineLevel="1"/>
    <col min="15" max="15" width="16.42578125" customWidth="1"/>
    <col min="16" max="16" width="15.140625" customWidth="1"/>
    <col min="17" max="17" width="14.5703125" customWidth="1" outlineLevel="1"/>
    <col min="18" max="18" width="13.7109375" customWidth="1"/>
    <col min="19" max="19" width="12.5703125" hidden="1" customWidth="1" outlineLevel="1"/>
    <col min="20" max="22" width="9.5703125" customWidth="1" outlineLevel="1"/>
    <col min="23" max="23" width="14.42578125" hidden="1" customWidth="1"/>
    <col min="24" max="24" width="12.42578125" customWidth="1"/>
    <col min="25" max="25" width="10.42578125" customWidth="1"/>
    <col min="26" max="28" width="12.42578125" customWidth="1"/>
    <col min="29" max="29" width="14" customWidth="1"/>
    <col min="30" max="30" width="14.140625" customWidth="1"/>
    <col min="31" max="31" width="50.42578125" style="8" customWidth="1"/>
    <col min="32" max="32" width="29.42578125" bestFit="1" customWidth="1"/>
  </cols>
  <sheetData>
    <row r="1" spans="1:16382" x14ac:dyDescent="0.25">
      <c r="A1" s="53" t="s">
        <v>1931</v>
      </c>
      <c r="B1" s="55"/>
      <c r="C1" s="55"/>
      <c r="D1" s="55"/>
      <c r="E1" s="55"/>
      <c r="F1" s="55"/>
      <c r="G1" s="55"/>
      <c r="H1" s="55"/>
      <c r="I1" s="55"/>
      <c r="J1" s="55"/>
      <c r="K1" s="55"/>
      <c r="L1" s="55"/>
      <c r="M1" s="55"/>
      <c r="N1" s="55"/>
      <c r="O1" s="56"/>
      <c r="P1" s="56"/>
    </row>
    <row r="2" spans="1:16382" s="8" customFormat="1" ht="45" outlineLevel="1" x14ac:dyDescent="0.25">
      <c r="A2" s="206" t="s">
        <v>0</v>
      </c>
      <c r="B2" s="206" t="s">
        <v>1</v>
      </c>
      <c r="C2" s="206" t="s">
        <v>1932</v>
      </c>
      <c r="D2" s="206" t="s">
        <v>5</v>
      </c>
      <c r="E2" s="206" t="s">
        <v>1933</v>
      </c>
      <c r="F2" s="206" t="s">
        <v>1934</v>
      </c>
      <c r="G2" s="206" t="s">
        <v>7</v>
      </c>
      <c r="H2" s="206" t="s">
        <v>6</v>
      </c>
      <c r="I2" s="207" t="s">
        <v>145</v>
      </c>
      <c r="J2" s="207" t="s">
        <v>146</v>
      </c>
      <c r="K2" s="206" t="s">
        <v>10</v>
      </c>
      <c r="L2" s="206" t="s">
        <v>148</v>
      </c>
      <c r="M2" s="206" t="s">
        <v>149</v>
      </c>
      <c r="N2" s="206" t="s">
        <v>1935</v>
      </c>
      <c r="O2" s="211" t="s">
        <v>1615</v>
      </c>
      <c r="P2" s="211" t="s">
        <v>1936</v>
      </c>
      <c r="Q2" s="211" t="s">
        <v>1937</v>
      </c>
      <c r="R2" s="211" t="s">
        <v>1616</v>
      </c>
      <c r="S2" s="211" t="s">
        <v>155</v>
      </c>
      <c r="T2" s="211" t="s">
        <v>156</v>
      </c>
      <c r="U2" s="211" t="s">
        <v>157</v>
      </c>
      <c r="V2" s="211" t="s">
        <v>399</v>
      </c>
      <c r="W2" s="206" t="s">
        <v>401</v>
      </c>
      <c r="X2" s="206" t="s">
        <v>160</v>
      </c>
      <c r="Y2" s="206" t="s">
        <v>161</v>
      </c>
      <c r="Z2" s="206" t="s">
        <v>1622</v>
      </c>
      <c r="AA2" s="206" t="s">
        <v>1623</v>
      </c>
      <c r="AB2" s="206" t="s">
        <v>1938</v>
      </c>
      <c r="AC2" s="207" t="s">
        <v>163</v>
      </c>
      <c r="AD2" s="207" t="s">
        <v>164</v>
      </c>
      <c r="AE2" s="218" t="s">
        <v>165</v>
      </c>
    </row>
    <row r="4" spans="1:16382" ht="30.75" customHeight="1" outlineLevel="1" x14ac:dyDescent="0.25">
      <c r="A4" s="383" t="s">
        <v>1939</v>
      </c>
      <c r="B4" t="s">
        <v>1410</v>
      </c>
      <c r="C4" s="220" t="s">
        <v>16</v>
      </c>
      <c r="D4" s="217">
        <v>37516</v>
      </c>
      <c r="F4" t="s">
        <v>1629</v>
      </c>
      <c r="G4" s="217">
        <v>6115</v>
      </c>
      <c r="H4" s="217" t="s">
        <v>19</v>
      </c>
      <c r="I4" s="236" t="s">
        <v>192</v>
      </c>
      <c r="J4" s="222" t="str">
        <f>IF(Table1[[#This Row],[FY24 Budget]]&gt;25000,"Yes","No")</f>
        <v>No</v>
      </c>
      <c r="K4" s="472">
        <v>107176</v>
      </c>
      <c r="L4" s="472"/>
      <c r="M4" s="472"/>
      <c r="N4" s="472"/>
      <c r="O4" s="223">
        <v>0</v>
      </c>
      <c r="P4" s="223">
        <v>40000</v>
      </c>
      <c r="Q4" s="223"/>
      <c r="R4" s="473">
        <v>45000</v>
      </c>
      <c r="S4" s="473"/>
      <c r="T4" s="473"/>
      <c r="U4" s="473">
        <v>50000</v>
      </c>
      <c r="V4" s="473"/>
      <c r="W4" s="238" t="s">
        <v>1940</v>
      </c>
      <c r="X4" s="225">
        <v>45839</v>
      </c>
      <c r="Y4" s="225">
        <v>46203</v>
      </c>
      <c r="Z4" s="238" t="s">
        <v>1941</v>
      </c>
      <c r="AA4" s="238" t="s">
        <v>1942</v>
      </c>
      <c r="AB4" s="238" t="s">
        <v>1943</v>
      </c>
      <c r="AC4" s="225">
        <v>46204</v>
      </c>
      <c r="AD4" s="239" t="s">
        <v>178</v>
      </c>
      <c r="AE4" s="474" t="s">
        <v>1944</v>
      </c>
      <c r="AF4" s="216"/>
      <c r="AG4" s="219"/>
      <c r="AH4" s="220"/>
      <c r="AI4" s="217"/>
      <c r="AJ4" s="217"/>
      <c r="AK4" s="217"/>
      <c r="AL4" s="217"/>
      <c r="AM4" s="217"/>
      <c r="AN4" s="221"/>
      <c r="AO4" s="222"/>
      <c r="AP4" s="220"/>
      <c r="AQ4" s="220"/>
      <c r="AR4" s="220"/>
      <c r="AS4" s="220"/>
      <c r="AT4" s="223"/>
      <c r="AU4" s="223"/>
      <c r="AV4" s="223"/>
      <c r="AW4" s="223"/>
      <c r="AX4" s="223"/>
      <c r="AY4" s="223"/>
      <c r="AZ4" s="223"/>
      <c r="BA4" s="223"/>
      <c r="BB4" s="223"/>
      <c r="BC4" s="224"/>
      <c r="BD4" s="225"/>
      <c r="BE4" s="226"/>
      <c r="BF4" s="224"/>
      <c r="BG4" s="225"/>
      <c r="BH4" s="225"/>
      <c r="BI4" s="227"/>
      <c r="BJ4" s="228"/>
      <c r="BK4" s="228"/>
      <c r="BL4" s="229"/>
      <c r="BM4" s="216"/>
      <c r="BN4" s="219"/>
      <c r="BO4" s="220"/>
      <c r="BP4" s="217"/>
      <c r="BQ4" s="217"/>
      <c r="BR4" s="217"/>
      <c r="BS4" s="217"/>
      <c r="BT4" s="217"/>
      <c r="BU4" s="221"/>
      <c r="BV4" s="222"/>
      <c r="BW4" s="220"/>
      <c r="BX4" s="220"/>
      <c r="BY4" s="220"/>
      <c r="BZ4" s="220"/>
      <c r="CA4" s="223"/>
      <c r="CB4" s="223"/>
      <c r="CC4" s="223"/>
      <c r="CD4" s="223"/>
      <c r="CE4" s="223"/>
      <c r="CF4" s="223"/>
      <c r="CG4" s="223"/>
      <c r="CH4" s="223"/>
      <c r="CI4" s="223"/>
      <c r="CJ4" s="224"/>
      <c r="CK4" s="225"/>
      <c r="CL4" s="226"/>
      <c r="CM4" s="224"/>
      <c r="CN4" s="225"/>
      <c r="CO4" s="225"/>
      <c r="CP4" s="227"/>
      <c r="CQ4" s="228"/>
      <c r="CR4" s="228"/>
      <c r="CS4" s="229"/>
      <c r="CT4" s="216"/>
      <c r="CU4" s="219"/>
      <c r="CV4" s="220"/>
      <c r="CW4" s="217"/>
      <c r="CX4" s="217"/>
      <c r="CY4" s="217"/>
      <c r="CZ4" s="217"/>
      <c r="DA4" s="217"/>
      <c r="DB4" s="221"/>
      <c r="DC4" s="222"/>
      <c r="DD4" s="220"/>
      <c r="DE4" s="220"/>
      <c r="DF4" s="220"/>
      <c r="DG4" s="220"/>
      <c r="DH4" s="223"/>
      <c r="DI4" s="223"/>
      <c r="DJ4" s="223"/>
      <c r="DK4" s="223"/>
      <c r="DL4" s="223"/>
      <c r="DM4" s="223"/>
      <c r="DN4" s="223"/>
      <c r="DO4" s="223"/>
      <c r="DP4" s="223"/>
      <c r="DQ4" s="224"/>
      <c r="DR4" s="225"/>
      <c r="DS4" s="226"/>
      <c r="DT4" s="224"/>
      <c r="DU4" s="225"/>
      <c r="DV4" s="225"/>
      <c r="DW4" s="227"/>
      <c r="DX4" s="228"/>
      <c r="DY4" s="228"/>
      <c r="DZ4" s="229"/>
      <c r="EA4" s="216"/>
      <c r="EB4" s="219"/>
      <c r="EC4" s="220"/>
      <c r="ED4" s="217"/>
      <c r="EE4" s="217"/>
      <c r="EF4" s="217"/>
      <c r="EG4" s="217"/>
      <c r="EH4" s="217"/>
      <c r="EI4" s="221"/>
      <c r="EJ4" s="222"/>
      <c r="EK4" s="220"/>
      <c r="EL4" s="220"/>
      <c r="EM4" s="220"/>
      <c r="EN4" s="220"/>
      <c r="EO4" s="223"/>
      <c r="EP4" s="223"/>
      <c r="EQ4" s="223"/>
      <c r="ER4" s="223"/>
      <c r="ES4" s="223"/>
      <c r="ET4" s="223"/>
      <c r="EU4" s="223"/>
      <c r="EV4" s="223"/>
      <c r="EW4" s="223"/>
      <c r="EX4" s="224"/>
      <c r="EY4" s="225"/>
      <c r="EZ4" s="226"/>
      <c r="FA4" s="224"/>
      <c r="FB4" s="225"/>
      <c r="FC4" s="225"/>
      <c r="FD4" s="227"/>
      <c r="FE4" s="228"/>
      <c r="FF4" s="228"/>
      <c r="FG4" s="229"/>
      <c r="FH4" s="216"/>
      <c r="FI4" s="219"/>
      <c r="FJ4" s="220"/>
      <c r="FK4" s="217"/>
      <c r="FL4" s="217"/>
      <c r="FM4" s="217"/>
      <c r="FN4" s="217"/>
      <c r="FO4" s="217"/>
      <c r="FP4" s="221"/>
      <c r="FQ4" s="222"/>
      <c r="FR4" s="220"/>
      <c r="FS4" s="220"/>
      <c r="FT4" s="220"/>
      <c r="FU4" s="220"/>
      <c r="FV4" s="223"/>
      <c r="FW4" s="223"/>
      <c r="FX4" s="223"/>
      <c r="FY4" s="223"/>
      <c r="FZ4" s="223"/>
      <c r="GA4" s="223"/>
      <c r="GB4" s="223"/>
      <c r="GC4" s="223"/>
      <c r="GD4" s="223"/>
      <c r="GE4" s="224"/>
      <c r="GF4" s="225"/>
      <c r="GG4" s="226"/>
      <c r="GH4" s="224"/>
      <c r="GI4" s="225"/>
      <c r="GJ4" s="225"/>
      <c r="GK4" s="227"/>
      <c r="GL4" s="228"/>
      <c r="GM4" s="228"/>
      <c r="GN4" s="229"/>
      <c r="GO4" s="216"/>
      <c r="GP4" s="219"/>
      <c r="GQ4" s="220"/>
      <c r="GR4" s="217"/>
      <c r="GS4" s="217"/>
      <c r="GT4" s="217"/>
      <c r="GU4" s="217"/>
      <c r="GV4" s="217"/>
      <c r="GW4" s="221"/>
      <c r="GX4" s="222"/>
      <c r="GY4" s="220"/>
      <c r="GZ4" s="220"/>
      <c r="HA4" s="220"/>
      <c r="HB4" s="220"/>
      <c r="HC4" s="223"/>
      <c r="HD4" s="223"/>
      <c r="HE4" s="223"/>
      <c r="HF4" s="223"/>
      <c r="HG4" s="223"/>
      <c r="HH4" s="223"/>
      <c r="HI4" s="223"/>
      <c r="HJ4" s="223"/>
      <c r="HK4" s="223"/>
      <c r="HL4" s="224"/>
      <c r="HM4" s="225"/>
      <c r="HN4" s="226"/>
      <c r="HO4" s="224"/>
      <c r="HP4" s="225"/>
      <c r="HQ4" s="225"/>
      <c r="HR4" s="227"/>
      <c r="HS4" s="228"/>
      <c r="HT4" s="228"/>
      <c r="HU4" s="229"/>
      <c r="HV4" s="216"/>
      <c r="HW4" s="219"/>
      <c r="HX4" s="220"/>
      <c r="HY4" s="217"/>
      <c r="HZ4" s="217"/>
      <c r="IA4" s="217"/>
      <c r="IB4" s="217"/>
      <c r="IC4" s="217"/>
      <c r="ID4" s="221"/>
      <c r="IE4" s="222"/>
      <c r="IF4" s="220"/>
      <c r="IG4" s="220"/>
      <c r="IH4" s="220"/>
      <c r="II4" s="220"/>
      <c r="IJ4" s="223"/>
      <c r="IK4" s="223"/>
      <c r="IL4" s="223"/>
      <c r="IM4" s="223"/>
      <c r="IN4" s="223"/>
      <c r="IO4" s="223"/>
      <c r="IP4" s="223"/>
      <c r="IQ4" s="223"/>
      <c r="IR4" s="223"/>
      <c r="IS4" s="224"/>
      <c r="IT4" s="225"/>
      <c r="IU4" s="226"/>
      <c r="IV4" s="224"/>
      <c r="IW4" s="225"/>
      <c r="IX4" s="225"/>
      <c r="IY4" s="227"/>
      <c r="IZ4" s="228"/>
      <c r="JA4" s="228"/>
      <c r="JB4" s="229"/>
      <c r="JC4" s="216"/>
      <c r="JD4" s="219"/>
      <c r="JE4" s="220"/>
      <c r="JF4" s="217"/>
      <c r="JG4" s="217"/>
      <c r="JH4" s="217"/>
      <c r="JI4" s="217"/>
      <c r="JJ4" s="217"/>
      <c r="JK4" s="221"/>
      <c r="JL4" s="222"/>
      <c r="JM4" s="220"/>
      <c r="JN4" s="220"/>
      <c r="JO4" s="220"/>
      <c r="JP4" s="220"/>
      <c r="JQ4" s="223"/>
      <c r="JR4" s="223"/>
      <c r="JS4" s="223"/>
      <c r="JT4" s="223"/>
      <c r="JU4" s="223"/>
      <c r="JV4" s="223"/>
      <c r="JW4" s="223"/>
      <c r="JX4" s="223"/>
      <c r="JY4" s="223"/>
      <c r="JZ4" s="224"/>
      <c r="KA4" s="225"/>
      <c r="KB4" s="226"/>
      <c r="KC4" s="224"/>
      <c r="KD4" s="225"/>
      <c r="KE4" s="225"/>
      <c r="KF4" s="227"/>
      <c r="KG4" s="228"/>
      <c r="KH4" s="228"/>
      <c r="KI4" s="229"/>
      <c r="KJ4" s="216"/>
      <c r="KK4" s="219"/>
      <c r="KL4" s="220"/>
      <c r="KM4" s="217"/>
      <c r="KN4" s="217"/>
      <c r="KO4" s="217"/>
      <c r="KP4" s="217"/>
      <c r="KQ4" s="217"/>
      <c r="KR4" s="221"/>
      <c r="KS4" s="222"/>
      <c r="KT4" s="220"/>
      <c r="KU4" s="220"/>
      <c r="KV4" s="220"/>
      <c r="KW4" s="220"/>
      <c r="KX4" s="223"/>
      <c r="KY4" s="223"/>
      <c r="KZ4" s="223"/>
      <c r="LA4" s="223"/>
      <c r="LB4" s="223"/>
      <c r="LC4" s="223"/>
      <c r="LD4" s="223"/>
      <c r="LE4" s="223"/>
      <c r="LF4" s="223"/>
      <c r="LG4" s="224"/>
      <c r="LH4" s="225"/>
      <c r="LI4" s="226"/>
      <c r="LJ4" s="224"/>
      <c r="LK4" s="225"/>
      <c r="LL4" s="225"/>
      <c r="LM4" s="227"/>
      <c r="LN4" s="228"/>
      <c r="LO4" s="228"/>
      <c r="LP4" s="229"/>
      <c r="LQ4" s="216"/>
      <c r="LR4" s="219"/>
      <c r="LS4" s="220"/>
      <c r="LT4" s="217"/>
      <c r="LU4" s="217"/>
      <c r="LV4" s="217"/>
      <c r="LW4" s="217"/>
      <c r="LX4" s="217"/>
      <c r="LY4" s="221"/>
      <c r="LZ4" s="222"/>
      <c r="MA4" s="220"/>
      <c r="MB4" s="220"/>
      <c r="MC4" s="220"/>
      <c r="MD4" s="220"/>
      <c r="ME4" s="223"/>
      <c r="MF4" s="223"/>
      <c r="MG4" s="223"/>
      <c r="MH4" s="223"/>
      <c r="MI4" s="223"/>
      <c r="MJ4" s="223"/>
      <c r="MK4" s="223"/>
      <c r="ML4" s="223"/>
      <c r="MM4" s="223"/>
      <c r="MN4" s="224"/>
      <c r="MO4" s="225"/>
      <c r="MP4" s="226"/>
      <c r="MQ4" s="224"/>
      <c r="MR4" s="225"/>
      <c r="MS4" s="225"/>
      <c r="MT4" s="227"/>
      <c r="MU4" s="228"/>
      <c r="MV4" s="228"/>
      <c r="MW4" s="229"/>
      <c r="MX4" s="216"/>
      <c r="MY4" s="219"/>
      <c r="MZ4" s="220"/>
      <c r="NA4" s="217"/>
      <c r="NB4" s="217"/>
      <c r="NC4" s="217"/>
      <c r="ND4" s="217"/>
      <c r="NE4" s="217"/>
      <c r="NF4" s="221"/>
      <c r="NG4" s="222"/>
      <c r="NH4" s="220"/>
      <c r="NI4" s="220"/>
      <c r="NJ4" s="220"/>
      <c r="NK4" s="220"/>
      <c r="NL4" s="223"/>
      <c r="NM4" s="223"/>
      <c r="NN4" s="223"/>
      <c r="NO4" s="223"/>
      <c r="NP4" s="223"/>
      <c r="NQ4" s="223"/>
      <c r="NR4" s="223"/>
      <c r="NS4" s="223"/>
      <c r="NT4" s="223"/>
      <c r="NU4" s="224"/>
      <c r="NV4" s="225"/>
      <c r="NW4" s="226"/>
      <c r="NX4" s="224"/>
      <c r="NY4" s="225"/>
      <c r="NZ4" s="225"/>
      <c r="OA4" s="227"/>
      <c r="OB4" s="228"/>
      <c r="OC4" s="228"/>
      <c r="OD4" s="229"/>
      <c r="OE4" s="216"/>
      <c r="OF4" s="219"/>
      <c r="OG4" s="220"/>
      <c r="OH4" s="217"/>
      <c r="OI4" s="217"/>
      <c r="OJ4" s="217"/>
      <c r="OK4" s="217"/>
      <c r="OL4" s="217"/>
      <c r="OM4" s="221"/>
      <c r="ON4" s="222"/>
      <c r="OO4" s="220"/>
      <c r="OP4" s="220"/>
      <c r="OQ4" s="220"/>
      <c r="OR4" s="220"/>
      <c r="OS4" s="223"/>
      <c r="OT4" s="223"/>
      <c r="OU4" s="223"/>
      <c r="OV4" s="223"/>
      <c r="OW4" s="223"/>
      <c r="OX4" s="223"/>
      <c r="OY4" s="223"/>
      <c r="OZ4" s="223"/>
      <c r="PA4" s="223"/>
      <c r="PB4" s="224"/>
      <c r="PC4" s="225"/>
      <c r="PD4" s="226"/>
      <c r="PE4" s="224"/>
      <c r="PF4" s="225"/>
      <c r="PG4" s="225"/>
      <c r="PH4" s="227"/>
      <c r="PI4" s="228"/>
      <c r="PJ4" s="228"/>
      <c r="PK4" s="229"/>
      <c r="PL4" s="216"/>
      <c r="PM4" s="219"/>
      <c r="PN4" s="220"/>
      <c r="PO4" s="217"/>
      <c r="PP4" s="217"/>
      <c r="PQ4" s="217"/>
      <c r="PR4" s="217"/>
      <c r="PS4" s="217"/>
      <c r="PT4" s="221"/>
      <c r="PU4" s="222"/>
      <c r="PV4" s="220"/>
      <c r="PW4" s="220"/>
      <c r="PX4" s="220"/>
      <c r="PY4" s="220"/>
      <c r="PZ4" s="223"/>
      <c r="QA4" s="223"/>
      <c r="QB4" s="223"/>
      <c r="QC4" s="223"/>
      <c r="QD4" s="223"/>
      <c r="QE4" s="223"/>
      <c r="QF4" s="223"/>
      <c r="QG4" s="223"/>
      <c r="QH4" s="223"/>
      <c r="QI4" s="224"/>
      <c r="QJ4" s="225"/>
      <c r="QK4" s="226"/>
      <c r="QL4" s="224"/>
      <c r="QM4" s="225"/>
      <c r="QN4" s="225"/>
      <c r="QO4" s="227"/>
      <c r="QP4" s="228"/>
      <c r="QQ4" s="228"/>
      <c r="QR4" s="229"/>
      <c r="QS4" s="216"/>
      <c r="QT4" s="219"/>
      <c r="QU4" s="220"/>
      <c r="QV4" s="217"/>
      <c r="QW4" s="217"/>
      <c r="QX4" s="217"/>
      <c r="QY4" s="217"/>
      <c r="QZ4" s="217"/>
      <c r="RA4" s="221"/>
      <c r="RB4" s="222"/>
      <c r="RC4" s="220"/>
      <c r="RD4" s="220"/>
      <c r="RE4" s="220"/>
      <c r="RF4" s="220"/>
      <c r="RG4" s="223"/>
      <c r="RH4" s="223"/>
      <c r="RI4" s="223"/>
      <c r="RJ4" s="223"/>
      <c r="RK4" s="223"/>
      <c r="RL4" s="223"/>
      <c r="RM4" s="223"/>
      <c r="RN4" s="223"/>
      <c r="RO4" s="223"/>
      <c r="RP4" s="224"/>
      <c r="RQ4" s="225"/>
      <c r="RR4" s="226"/>
      <c r="RS4" s="224"/>
      <c r="RT4" s="225"/>
      <c r="RU4" s="225"/>
      <c r="RV4" s="227"/>
      <c r="RW4" s="228"/>
      <c r="RX4" s="228"/>
      <c r="RY4" s="229"/>
      <c r="RZ4" s="216"/>
      <c r="SA4" s="219"/>
      <c r="SB4" s="220"/>
      <c r="SC4" s="217"/>
      <c r="SD4" s="217"/>
      <c r="SE4" s="217"/>
      <c r="SF4" s="217"/>
      <c r="SG4" s="217"/>
      <c r="SH4" s="221"/>
      <c r="SI4" s="222"/>
      <c r="SJ4" s="220"/>
      <c r="SK4" s="220"/>
      <c r="SL4" s="220"/>
      <c r="SM4" s="220"/>
      <c r="SN4" s="223"/>
      <c r="SO4" s="223"/>
      <c r="SP4" s="223"/>
      <c r="SQ4" s="223"/>
      <c r="SR4" s="223"/>
      <c r="SS4" s="223"/>
      <c r="ST4" s="223"/>
      <c r="SU4" s="223"/>
      <c r="SV4" s="223"/>
      <c r="SW4" s="224"/>
      <c r="SX4" s="225"/>
      <c r="SY4" s="226"/>
      <c r="SZ4" s="224"/>
      <c r="TA4" s="225"/>
      <c r="TB4" s="225"/>
      <c r="TC4" s="227"/>
      <c r="TD4" s="228"/>
      <c r="TE4" s="228"/>
      <c r="TF4" s="229"/>
      <c r="TG4" s="216"/>
      <c r="TH4" s="219"/>
      <c r="TI4" s="220"/>
      <c r="TJ4" s="217"/>
      <c r="TK4" s="217"/>
      <c r="TL4" s="217"/>
      <c r="TM4" s="217"/>
      <c r="TN4" s="217"/>
      <c r="TO4" s="221"/>
      <c r="TP4" s="222"/>
      <c r="TQ4" s="220"/>
      <c r="TR4" s="220"/>
      <c r="TS4" s="220"/>
      <c r="TT4" s="220"/>
      <c r="TU4" s="223"/>
      <c r="TV4" s="223"/>
      <c r="TW4" s="223"/>
      <c r="TX4" s="223"/>
      <c r="TY4" s="223"/>
      <c r="TZ4" s="223"/>
      <c r="UA4" s="223"/>
      <c r="UB4" s="223"/>
      <c r="UC4" s="223"/>
      <c r="UD4" s="224"/>
      <c r="UE4" s="225"/>
      <c r="UF4" s="226"/>
      <c r="UG4" s="224"/>
      <c r="UH4" s="225"/>
      <c r="UI4" s="225"/>
      <c r="UJ4" s="227"/>
      <c r="UK4" s="228"/>
      <c r="UL4" s="228"/>
      <c r="UM4" s="229"/>
      <c r="UN4" s="216"/>
      <c r="UO4" s="219"/>
      <c r="UP4" s="220"/>
      <c r="UQ4" s="217"/>
      <c r="UR4" s="217"/>
      <c r="US4" s="217"/>
      <c r="UT4" s="217"/>
      <c r="UU4" s="217"/>
      <c r="UV4" s="221"/>
      <c r="UW4" s="222"/>
      <c r="UX4" s="220"/>
      <c r="UY4" s="220"/>
      <c r="UZ4" s="220"/>
      <c r="VA4" s="220"/>
      <c r="VB4" s="223"/>
      <c r="VC4" s="223"/>
      <c r="VD4" s="223"/>
      <c r="VE4" s="223"/>
      <c r="VF4" s="223"/>
      <c r="VG4" s="223"/>
      <c r="VH4" s="223"/>
      <c r="VI4" s="223"/>
      <c r="VJ4" s="223"/>
      <c r="VK4" s="224"/>
      <c r="VL4" s="225"/>
      <c r="VM4" s="226"/>
      <c r="VN4" s="224"/>
      <c r="VO4" s="225"/>
      <c r="VP4" s="225"/>
      <c r="VQ4" s="227"/>
      <c r="VR4" s="228"/>
      <c r="VS4" s="228"/>
      <c r="VT4" s="229"/>
      <c r="VU4" s="216"/>
      <c r="VV4" s="219"/>
      <c r="VW4" s="220"/>
      <c r="VX4" s="217"/>
      <c r="VY4" s="217"/>
      <c r="VZ4" s="217"/>
      <c r="WA4" s="217"/>
      <c r="WB4" s="217"/>
      <c r="WC4" s="221"/>
      <c r="WD4" s="222"/>
      <c r="WE4" s="220"/>
      <c r="WF4" s="220"/>
      <c r="WG4" s="220"/>
      <c r="WH4" s="220"/>
      <c r="WI4" s="223"/>
      <c r="WJ4" s="223"/>
      <c r="WK4" s="223"/>
      <c r="WL4" s="223"/>
      <c r="WM4" s="223"/>
      <c r="WN4" s="223"/>
      <c r="WO4" s="223"/>
      <c r="WP4" s="223"/>
      <c r="WQ4" s="223"/>
      <c r="WR4" s="224"/>
      <c r="WS4" s="225"/>
      <c r="WT4" s="226"/>
      <c r="WU4" s="224"/>
      <c r="WV4" s="225"/>
      <c r="WW4" s="225"/>
      <c r="WX4" s="227"/>
      <c r="WY4" s="228"/>
      <c r="WZ4" s="228"/>
      <c r="XA4" s="229"/>
      <c r="XB4" s="216"/>
      <c r="XC4" s="219"/>
      <c r="XD4" s="220"/>
      <c r="XE4" s="217"/>
      <c r="XF4" s="217"/>
      <c r="XG4" s="217"/>
      <c r="XH4" s="217"/>
      <c r="XI4" s="217"/>
      <c r="XJ4" s="221"/>
      <c r="XK4" s="222"/>
      <c r="XL4" s="220"/>
      <c r="XM4" s="220"/>
      <c r="XN4" s="220"/>
      <c r="XO4" s="220"/>
      <c r="XP4" s="223"/>
      <c r="XQ4" s="223"/>
      <c r="XR4" s="223"/>
      <c r="XS4" s="223"/>
      <c r="XT4" s="223"/>
      <c r="XU4" s="223"/>
      <c r="XV4" s="223"/>
      <c r="XW4" s="223"/>
      <c r="XX4" s="223"/>
      <c r="XY4" s="224"/>
      <c r="XZ4" s="225"/>
      <c r="YA4" s="226"/>
      <c r="YB4" s="224"/>
      <c r="YC4" s="225"/>
      <c r="YD4" s="225"/>
      <c r="YE4" s="227"/>
      <c r="YF4" s="228"/>
      <c r="YG4" s="228"/>
      <c r="YH4" s="229"/>
      <c r="YI4" s="216"/>
      <c r="YJ4" s="219"/>
      <c r="YK4" s="220"/>
      <c r="YL4" s="217"/>
      <c r="YM4" s="217"/>
      <c r="YN4" s="217"/>
      <c r="YO4" s="217"/>
      <c r="YP4" s="217"/>
      <c r="YQ4" s="221"/>
      <c r="YR4" s="222"/>
      <c r="YS4" s="220"/>
      <c r="YT4" s="220"/>
      <c r="YU4" s="220"/>
      <c r="YV4" s="220"/>
      <c r="YW4" s="223"/>
      <c r="YX4" s="223"/>
      <c r="YY4" s="223"/>
      <c r="YZ4" s="223"/>
      <c r="ZA4" s="223"/>
      <c r="ZB4" s="223"/>
      <c r="ZC4" s="223"/>
      <c r="ZD4" s="223"/>
      <c r="ZE4" s="223"/>
      <c r="ZF4" s="224"/>
      <c r="ZG4" s="225"/>
      <c r="ZH4" s="226"/>
      <c r="ZI4" s="224"/>
      <c r="ZJ4" s="225"/>
      <c r="ZK4" s="225"/>
      <c r="ZL4" s="227"/>
      <c r="ZM4" s="228"/>
      <c r="ZN4" s="228"/>
      <c r="ZO4" s="229"/>
      <c r="ZP4" s="216"/>
      <c r="ZQ4" s="219"/>
      <c r="ZR4" s="220"/>
      <c r="ZS4" s="217"/>
      <c r="ZT4" s="217"/>
      <c r="ZU4" s="217"/>
      <c r="ZV4" s="217"/>
      <c r="ZW4" s="217"/>
      <c r="ZX4" s="221"/>
      <c r="ZY4" s="222"/>
      <c r="ZZ4" s="220"/>
      <c r="AAA4" s="220"/>
      <c r="AAB4" s="220"/>
      <c r="AAC4" s="220"/>
      <c r="AAD4" s="223"/>
      <c r="AAE4" s="223"/>
      <c r="AAF4" s="223"/>
      <c r="AAG4" s="223"/>
      <c r="AAH4" s="223"/>
      <c r="AAI4" s="223"/>
      <c r="AAJ4" s="223"/>
      <c r="AAK4" s="223"/>
      <c r="AAL4" s="223"/>
      <c r="AAM4" s="224"/>
      <c r="AAN4" s="225"/>
      <c r="AAO4" s="226"/>
      <c r="AAP4" s="224"/>
      <c r="AAQ4" s="225"/>
      <c r="AAR4" s="225"/>
      <c r="AAS4" s="227"/>
      <c r="AAT4" s="228"/>
      <c r="AAU4" s="228"/>
      <c r="AAV4" s="229"/>
      <c r="AAW4" s="216"/>
      <c r="AAX4" s="219"/>
      <c r="AAY4" s="220"/>
      <c r="AAZ4" s="217"/>
      <c r="ABA4" s="217"/>
      <c r="ABB4" s="217"/>
      <c r="ABC4" s="217"/>
      <c r="ABD4" s="217"/>
      <c r="ABE4" s="221"/>
      <c r="ABF4" s="222"/>
      <c r="ABG4" s="220"/>
      <c r="ABH4" s="220"/>
      <c r="ABI4" s="220"/>
      <c r="ABJ4" s="220"/>
      <c r="ABK4" s="223"/>
      <c r="ABL4" s="223"/>
      <c r="ABM4" s="223"/>
      <c r="ABN4" s="223"/>
      <c r="ABO4" s="223"/>
      <c r="ABP4" s="223"/>
      <c r="ABQ4" s="223"/>
      <c r="ABR4" s="223"/>
      <c r="ABS4" s="223"/>
      <c r="ABT4" s="224"/>
      <c r="ABU4" s="225"/>
      <c r="ABV4" s="226"/>
      <c r="ABW4" s="224"/>
      <c r="ABX4" s="225"/>
      <c r="ABY4" s="225"/>
      <c r="ABZ4" s="227"/>
      <c r="ACA4" s="228"/>
      <c r="ACB4" s="228"/>
      <c r="ACC4" s="229"/>
      <c r="ACD4" s="216"/>
      <c r="ACE4" s="219"/>
      <c r="ACF4" s="220"/>
      <c r="ACG4" s="217"/>
      <c r="ACH4" s="217"/>
      <c r="ACI4" s="217"/>
      <c r="ACJ4" s="217"/>
      <c r="ACK4" s="217"/>
      <c r="ACL4" s="221"/>
      <c r="ACM4" s="222"/>
      <c r="ACN4" s="220"/>
      <c r="ACO4" s="220"/>
      <c r="ACP4" s="220"/>
      <c r="ACQ4" s="220"/>
      <c r="ACR4" s="223"/>
      <c r="ACS4" s="223"/>
      <c r="ACT4" s="223"/>
      <c r="ACU4" s="223"/>
      <c r="ACV4" s="223"/>
      <c r="ACW4" s="223"/>
      <c r="ACX4" s="223"/>
      <c r="ACY4" s="223"/>
      <c r="ACZ4" s="223"/>
      <c r="ADA4" s="224"/>
      <c r="ADB4" s="225"/>
      <c r="ADC4" s="226"/>
      <c r="ADD4" s="224"/>
      <c r="ADE4" s="225"/>
      <c r="ADF4" s="225"/>
      <c r="ADG4" s="227"/>
      <c r="ADH4" s="228"/>
      <c r="ADI4" s="228"/>
      <c r="ADJ4" s="229"/>
      <c r="ADK4" s="216"/>
      <c r="ADL4" s="219"/>
      <c r="ADM4" s="220"/>
      <c r="ADN4" s="217"/>
      <c r="ADO4" s="217"/>
      <c r="ADP4" s="217"/>
      <c r="ADQ4" s="217"/>
      <c r="ADR4" s="217"/>
      <c r="ADS4" s="221"/>
      <c r="ADT4" s="222"/>
      <c r="ADU4" s="220"/>
      <c r="ADV4" s="220"/>
      <c r="ADW4" s="220"/>
      <c r="ADX4" s="220"/>
      <c r="ADY4" s="223"/>
      <c r="ADZ4" s="223"/>
      <c r="AEA4" s="223"/>
      <c r="AEB4" s="223"/>
      <c r="AEC4" s="223"/>
      <c r="AED4" s="223"/>
      <c r="AEE4" s="223"/>
      <c r="AEF4" s="223"/>
      <c r="AEG4" s="223"/>
      <c r="AEH4" s="224"/>
      <c r="AEI4" s="225"/>
      <c r="AEJ4" s="226"/>
      <c r="AEK4" s="224"/>
      <c r="AEL4" s="225"/>
      <c r="AEM4" s="225"/>
      <c r="AEN4" s="227"/>
      <c r="AEO4" s="228"/>
      <c r="AEP4" s="228"/>
      <c r="AEQ4" s="229"/>
      <c r="AER4" s="216"/>
      <c r="AES4" s="219"/>
      <c r="AET4" s="220"/>
      <c r="AEU4" s="217"/>
      <c r="AEV4" s="217"/>
      <c r="AEW4" s="217"/>
      <c r="AEX4" s="217"/>
      <c r="AEY4" s="217"/>
      <c r="AEZ4" s="221"/>
      <c r="AFA4" s="222"/>
      <c r="AFB4" s="220"/>
      <c r="AFC4" s="220"/>
      <c r="AFD4" s="220"/>
      <c r="AFE4" s="220"/>
      <c r="AFF4" s="223"/>
      <c r="AFG4" s="223"/>
      <c r="AFH4" s="223"/>
      <c r="AFI4" s="223"/>
      <c r="AFJ4" s="223"/>
      <c r="AFK4" s="223"/>
      <c r="AFL4" s="223"/>
      <c r="AFM4" s="223"/>
      <c r="AFN4" s="223"/>
      <c r="AFO4" s="224"/>
      <c r="AFP4" s="225"/>
      <c r="AFQ4" s="226"/>
      <c r="AFR4" s="224"/>
      <c r="AFS4" s="225"/>
      <c r="AFT4" s="225"/>
      <c r="AFU4" s="227"/>
      <c r="AFV4" s="228"/>
      <c r="AFW4" s="228"/>
      <c r="AFX4" s="229"/>
      <c r="AFY4" s="216"/>
      <c r="AFZ4" s="219"/>
      <c r="AGA4" s="220"/>
      <c r="AGB4" s="217"/>
      <c r="AGC4" s="217"/>
      <c r="AGD4" s="217"/>
      <c r="AGE4" s="217"/>
      <c r="AGF4" s="217"/>
      <c r="AGG4" s="221"/>
      <c r="AGH4" s="222"/>
      <c r="AGI4" s="220"/>
      <c r="AGJ4" s="220"/>
      <c r="AGK4" s="220"/>
      <c r="AGL4" s="220"/>
      <c r="AGM4" s="223"/>
      <c r="AGN4" s="223"/>
      <c r="AGO4" s="223"/>
      <c r="AGP4" s="223"/>
      <c r="AGQ4" s="223"/>
      <c r="AGR4" s="223"/>
      <c r="AGS4" s="223"/>
      <c r="AGT4" s="223"/>
      <c r="AGU4" s="223"/>
      <c r="AGV4" s="224"/>
      <c r="AGW4" s="225"/>
      <c r="AGX4" s="226"/>
      <c r="AGY4" s="224"/>
      <c r="AGZ4" s="225"/>
      <c r="AHA4" s="225"/>
      <c r="AHB4" s="227"/>
      <c r="AHC4" s="228"/>
      <c r="AHD4" s="228"/>
      <c r="AHE4" s="229"/>
      <c r="AHF4" s="216"/>
      <c r="AHG4" s="219"/>
      <c r="AHH4" s="220"/>
      <c r="AHI4" s="217"/>
      <c r="AHJ4" s="217"/>
      <c r="AHK4" s="217"/>
      <c r="AHL4" s="217"/>
      <c r="AHM4" s="217"/>
      <c r="AHN4" s="221"/>
      <c r="AHO4" s="222"/>
      <c r="AHP4" s="220"/>
      <c r="AHQ4" s="220"/>
      <c r="AHR4" s="220"/>
      <c r="AHS4" s="220"/>
      <c r="AHT4" s="223"/>
      <c r="AHU4" s="223"/>
      <c r="AHV4" s="223"/>
      <c r="AHW4" s="223"/>
      <c r="AHX4" s="223"/>
      <c r="AHY4" s="223"/>
      <c r="AHZ4" s="223"/>
      <c r="AIA4" s="223"/>
      <c r="AIB4" s="223"/>
      <c r="AIC4" s="224"/>
      <c r="AID4" s="225"/>
      <c r="AIE4" s="226"/>
      <c r="AIF4" s="224"/>
      <c r="AIG4" s="225"/>
      <c r="AIH4" s="225"/>
      <c r="AII4" s="227"/>
      <c r="AIJ4" s="228"/>
      <c r="AIK4" s="228"/>
      <c r="AIL4" s="229"/>
      <c r="AIM4" s="216"/>
      <c r="AIN4" s="219"/>
      <c r="AIO4" s="220"/>
      <c r="AIP4" s="217"/>
      <c r="AIQ4" s="217"/>
      <c r="AIR4" s="217"/>
      <c r="AIS4" s="217"/>
      <c r="AIT4" s="217"/>
      <c r="AIU4" s="221"/>
      <c r="AIV4" s="222"/>
      <c r="AIW4" s="220"/>
      <c r="AIX4" s="220"/>
      <c r="AIY4" s="220"/>
      <c r="AIZ4" s="220"/>
      <c r="AJA4" s="223"/>
      <c r="AJB4" s="223"/>
      <c r="AJC4" s="223"/>
      <c r="AJD4" s="223"/>
      <c r="AJE4" s="223"/>
      <c r="AJF4" s="223"/>
      <c r="AJG4" s="223"/>
      <c r="AJH4" s="223"/>
      <c r="AJI4" s="223"/>
      <c r="AJJ4" s="224"/>
      <c r="AJK4" s="225"/>
      <c r="AJL4" s="226"/>
      <c r="AJM4" s="224"/>
      <c r="AJN4" s="225"/>
      <c r="AJO4" s="225"/>
      <c r="AJP4" s="227"/>
      <c r="AJQ4" s="228"/>
      <c r="AJR4" s="228"/>
      <c r="AJS4" s="229"/>
      <c r="AJT4" s="216"/>
      <c r="AJU4" s="219"/>
      <c r="AJV4" s="220"/>
      <c r="AJW4" s="217"/>
      <c r="AJX4" s="217"/>
      <c r="AJY4" s="217"/>
      <c r="AJZ4" s="217"/>
      <c r="AKA4" s="217"/>
      <c r="AKB4" s="221"/>
      <c r="AKC4" s="222"/>
      <c r="AKD4" s="220"/>
      <c r="AKE4" s="220"/>
      <c r="AKF4" s="220"/>
      <c r="AKG4" s="220"/>
      <c r="AKH4" s="223"/>
      <c r="AKI4" s="223"/>
      <c r="AKJ4" s="223"/>
      <c r="AKK4" s="223"/>
      <c r="AKL4" s="223"/>
      <c r="AKM4" s="223"/>
      <c r="AKN4" s="223"/>
      <c r="AKO4" s="223"/>
      <c r="AKP4" s="223"/>
      <c r="AKQ4" s="224"/>
      <c r="AKR4" s="225"/>
      <c r="AKS4" s="226"/>
      <c r="AKT4" s="224"/>
      <c r="AKU4" s="225"/>
      <c r="AKV4" s="225"/>
      <c r="AKW4" s="227"/>
      <c r="AKX4" s="228"/>
      <c r="AKY4" s="228"/>
      <c r="AKZ4" s="229"/>
      <c r="ALA4" s="216"/>
      <c r="ALB4" s="219"/>
      <c r="ALC4" s="220"/>
      <c r="ALD4" s="217"/>
      <c r="ALE4" s="217"/>
      <c r="ALF4" s="217"/>
      <c r="ALG4" s="217"/>
      <c r="ALH4" s="217"/>
      <c r="ALI4" s="221"/>
      <c r="ALJ4" s="222"/>
      <c r="ALK4" s="220"/>
      <c r="ALL4" s="220"/>
      <c r="ALM4" s="220"/>
      <c r="ALN4" s="220"/>
      <c r="ALO4" s="223"/>
      <c r="ALP4" s="223"/>
      <c r="ALQ4" s="223"/>
      <c r="ALR4" s="223"/>
      <c r="ALS4" s="223"/>
      <c r="ALT4" s="223"/>
      <c r="ALU4" s="223"/>
      <c r="ALV4" s="223"/>
      <c r="ALW4" s="223"/>
      <c r="ALX4" s="224"/>
      <c r="ALY4" s="225"/>
      <c r="ALZ4" s="226"/>
      <c r="AMA4" s="224"/>
      <c r="AMB4" s="225"/>
      <c r="AMC4" s="225"/>
      <c r="AMD4" s="227"/>
      <c r="AME4" s="228"/>
      <c r="AMF4" s="228"/>
      <c r="AMG4" s="229"/>
      <c r="AMH4" s="216"/>
      <c r="AMI4" s="219"/>
      <c r="AMJ4" s="220"/>
      <c r="AMK4" s="217"/>
      <c r="AML4" s="217"/>
      <c r="AMM4" s="217"/>
      <c r="AMN4" s="217"/>
      <c r="AMO4" s="217"/>
      <c r="AMP4" s="221"/>
      <c r="AMQ4" s="222"/>
      <c r="AMR4" s="220"/>
      <c r="AMS4" s="220"/>
      <c r="AMT4" s="220"/>
      <c r="AMU4" s="220"/>
      <c r="AMV4" s="223"/>
      <c r="AMW4" s="223"/>
      <c r="AMX4" s="223"/>
      <c r="AMY4" s="223"/>
      <c r="AMZ4" s="223"/>
      <c r="ANA4" s="223"/>
      <c r="ANB4" s="223"/>
      <c r="ANC4" s="223"/>
      <c r="AND4" s="223"/>
      <c r="ANE4" s="224"/>
      <c r="ANF4" s="225"/>
      <c r="ANG4" s="226"/>
      <c r="ANH4" s="224"/>
      <c r="ANI4" s="225"/>
      <c r="ANJ4" s="225"/>
      <c r="ANK4" s="227"/>
      <c r="ANL4" s="228"/>
      <c r="ANM4" s="228"/>
      <c r="ANN4" s="229"/>
      <c r="ANO4" s="216"/>
      <c r="ANP4" s="219"/>
      <c r="ANQ4" s="220"/>
      <c r="ANR4" s="217"/>
      <c r="ANS4" s="217"/>
      <c r="ANT4" s="217"/>
      <c r="ANU4" s="217"/>
      <c r="ANV4" s="217"/>
      <c r="ANW4" s="221"/>
      <c r="ANX4" s="222"/>
      <c r="ANY4" s="220"/>
      <c r="ANZ4" s="220"/>
      <c r="AOA4" s="220"/>
      <c r="AOB4" s="220"/>
      <c r="AOC4" s="223"/>
      <c r="AOD4" s="223"/>
      <c r="AOE4" s="223"/>
      <c r="AOF4" s="223"/>
      <c r="AOG4" s="223"/>
      <c r="AOH4" s="223"/>
      <c r="AOI4" s="223"/>
      <c r="AOJ4" s="223"/>
      <c r="AOK4" s="223"/>
      <c r="AOL4" s="224"/>
      <c r="AOM4" s="225"/>
      <c r="AON4" s="226"/>
      <c r="AOO4" s="224"/>
      <c r="AOP4" s="225"/>
      <c r="AOQ4" s="225"/>
      <c r="AOR4" s="227"/>
      <c r="AOS4" s="228"/>
      <c r="AOT4" s="228"/>
      <c r="AOU4" s="229"/>
      <c r="AOV4" s="216"/>
      <c r="AOW4" s="219"/>
      <c r="AOX4" s="220"/>
      <c r="AOY4" s="217"/>
      <c r="AOZ4" s="217"/>
      <c r="APA4" s="217"/>
      <c r="APB4" s="217"/>
      <c r="APC4" s="217"/>
      <c r="APD4" s="221"/>
      <c r="APE4" s="222"/>
      <c r="APF4" s="220"/>
      <c r="APG4" s="220"/>
      <c r="APH4" s="220"/>
      <c r="API4" s="220"/>
      <c r="APJ4" s="223"/>
      <c r="APK4" s="223"/>
      <c r="APL4" s="223"/>
      <c r="APM4" s="223"/>
      <c r="APN4" s="223"/>
      <c r="APO4" s="223"/>
      <c r="APP4" s="223"/>
      <c r="APQ4" s="223"/>
      <c r="APR4" s="223"/>
      <c r="APS4" s="224"/>
      <c r="APT4" s="225"/>
      <c r="APU4" s="226"/>
      <c r="APV4" s="224"/>
      <c r="APW4" s="225"/>
      <c r="APX4" s="225"/>
      <c r="APY4" s="227"/>
      <c r="APZ4" s="228"/>
      <c r="AQA4" s="228"/>
      <c r="AQB4" s="229"/>
      <c r="AQC4" s="216"/>
      <c r="AQD4" s="219"/>
      <c r="AQE4" s="220"/>
      <c r="AQF4" s="217"/>
      <c r="AQG4" s="217"/>
      <c r="AQH4" s="217"/>
      <c r="AQI4" s="217"/>
      <c r="AQJ4" s="217"/>
      <c r="AQK4" s="221"/>
      <c r="AQL4" s="222"/>
      <c r="AQM4" s="220"/>
      <c r="AQN4" s="220"/>
      <c r="AQO4" s="220"/>
      <c r="AQP4" s="220"/>
      <c r="AQQ4" s="223"/>
      <c r="AQR4" s="223"/>
      <c r="AQS4" s="223"/>
      <c r="AQT4" s="223"/>
      <c r="AQU4" s="223"/>
      <c r="AQV4" s="223"/>
      <c r="AQW4" s="223"/>
      <c r="AQX4" s="223"/>
      <c r="AQY4" s="223"/>
      <c r="AQZ4" s="224"/>
      <c r="ARA4" s="225"/>
      <c r="ARB4" s="226"/>
      <c r="ARC4" s="224"/>
      <c r="ARD4" s="225"/>
      <c r="ARE4" s="225"/>
      <c r="ARF4" s="227"/>
      <c r="ARG4" s="228"/>
      <c r="ARH4" s="228"/>
      <c r="ARI4" s="229"/>
      <c r="ARJ4" s="216"/>
      <c r="ARK4" s="219"/>
      <c r="ARL4" s="220"/>
      <c r="ARM4" s="217"/>
      <c r="ARN4" s="217"/>
      <c r="ARO4" s="217"/>
      <c r="ARP4" s="217"/>
      <c r="ARQ4" s="217"/>
      <c r="ARR4" s="221"/>
      <c r="ARS4" s="222"/>
      <c r="ART4" s="220"/>
      <c r="ARU4" s="220"/>
      <c r="ARV4" s="220"/>
      <c r="ARW4" s="220"/>
      <c r="ARX4" s="223"/>
      <c r="ARY4" s="223"/>
      <c r="ARZ4" s="223"/>
      <c r="ASA4" s="223"/>
      <c r="ASB4" s="223"/>
      <c r="ASC4" s="223"/>
      <c r="ASD4" s="223"/>
      <c r="ASE4" s="223"/>
      <c r="ASF4" s="223"/>
      <c r="ASG4" s="224"/>
      <c r="ASH4" s="225"/>
      <c r="ASI4" s="226"/>
      <c r="ASJ4" s="224"/>
      <c r="ASK4" s="225"/>
      <c r="ASL4" s="225"/>
      <c r="ASM4" s="227"/>
      <c r="ASN4" s="228"/>
      <c r="ASO4" s="228"/>
      <c r="ASP4" s="229"/>
      <c r="ASQ4" s="216"/>
      <c r="ASR4" s="219"/>
      <c r="ASS4" s="220"/>
      <c r="AST4" s="217"/>
      <c r="ASU4" s="217"/>
      <c r="ASV4" s="217"/>
      <c r="ASW4" s="217"/>
      <c r="ASX4" s="217"/>
      <c r="ASY4" s="221"/>
      <c r="ASZ4" s="222"/>
      <c r="ATA4" s="220"/>
      <c r="ATB4" s="220"/>
      <c r="ATC4" s="220"/>
      <c r="ATD4" s="220"/>
      <c r="ATE4" s="223"/>
      <c r="ATF4" s="223"/>
      <c r="ATG4" s="223"/>
      <c r="ATH4" s="223"/>
      <c r="ATI4" s="223"/>
      <c r="ATJ4" s="223"/>
      <c r="ATK4" s="223"/>
      <c r="ATL4" s="223"/>
      <c r="ATM4" s="223"/>
      <c r="ATN4" s="224"/>
      <c r="ATO4" s="225"/>
      <c r="ATP4" s="226"/>
      <c r="ATQ4" s="224"/>
      <c r="ATR4" s="225"/>
      <c r="ATS4" s="225"/>
      <c r="ATT4" s="227"/>
      <c r="ATU4" s="228"/>
      <c r="ATV4" s="228"/>
      <c r="ATW4" s="229"/>
      <c r="ATX4" s="216"/>
      <c r="ATY4" s="219"/>
      <c r="ATZ4" s="220"/>
      <c r="AUA4" s="217"/>
      <c r="AUB4" s="217"/>
      <c r="AUC4" s="217"/>
      <c r="AUD4" s="217"/>
      <c r="AUE4" s="217"/>
      <c r="AUF4" s="221"/>
      <c r="AUG4" s="222"/>
      <c r="AUH4" s="220"/>
      <c r="AUI4" s="220"/>
      <c r="AUJ4" s="220"/>
      <c r="AUK4" s="220"/>
      <c r="AUL4" s="223"/>
      <c r="AUM4" s="223"/>
      <c r="AUN4" s="223"/>
      <c r="AUO4" s="223"/>
      <c r="AUP4" s="223"/>
      <c r="AUQ4" s="223"/>
      <c r="AUR4" s="223"/>
      <c r="AUS4" s="223"/>
      <c r="AUT4" s="223"/>
      <c r="AUU4" s="224"/>
      <c r="AUV4" s="225"/>
      <c r="AUW4" s="226"/>
      <c r="AUX4" s="224"/>
      <c r="AUY4" s="225"/>
      <c r="AUZ4" s="225"/>
      <c r="AVA4" s="227"/>
      <c r="AVB4" s="228"/>
      <c r="AVC4" s="228"/>
      <c r="AVD4" s="229"/>
      <c r="AVE4" s="216"/>
      <c r="AVF4" s="219"/>
      <c r="AVG4" s="220"/>
      <c r="AVH4" s="217"/>
      <c r="AVI4" s="217"/>
      <c r="AVJ4" s="217"/>
      <c r="AVK4" s="217"/>
      <c r="AVL4" s="217"/>
      <c r="AVM4" s="221"/>
      <c r="AVN4" s="222"/>
      <c r="AVO4" s="220"/>
      <c r="AVP4" s="220"/>
      <c r="AVQ4" s="220"/>
      <c r="AVR4" s="220"/>
      <c r="AVS4" s="223"/>
      <c r="AVT4" s="223"/>
      <c r="AVU4" s="223"/>
      <c r="AVV4" s="223"/>
      <c r="AVW4" s="223"/>
      <c r="AVX4" s="223"/>
      <c r="AVY4" s="223"/>
      <c r="AVZ4" s="223"/>
      <c r="AWA4" s="223"/>
      <c r="AWB4" s="224"/>
      <c r="AWC4" s="225"/>
      <c r="AWD4" s="226"/>
      <c r="AWE4" s="224"/>
      <c r="AWF4" s="225"/>
      <c r="AWG4" s="225"/>
      <c r="AWH4" s="227"/>
      <c r="AWI4" s="228"/>
      <c r="AWJ4" s="228"/>
      <c r="AWK4" s="229"/>
      <c r="AWL4" s="216"/>
      <c r="AWM4" s="219"/>
      <c r="AWN4" s="220"/>
      <c r="AWO4" s="217"/>
      <c r="AWP4" s="217"/>
      <c r="AWQ4" s="217"/>
      <c r="AWR4" s="217"/>
      <c r="AWS4" s="217"/>
      <c r="AWT4" s="221"/>
      <c r="AWU4" s="222"/>
      <c r="AWV4" s="220"/>
      <c r="AWW4" s="220"/>
      <c r="AWX4" s="220"/>
      <c r="AWY4" s="220"/>
      <c r="AWZ4" s="223"/>
      <c r="AXA4" s="223"/>
      <c r="AXB4" s="223"/>
      <c r="AXC4" s="223"/>
      <c r="AXD4" s="223"/>
      <c r="AXE4" s="223"/>
      <c r="AXF4" s="223"/>
      <c r="AXG4" s="223"/>
      <c r="AXH4" s="223"/>
      <c r="AXI4" s="224"/>
      <c r="AXJ4" s="225"/>
      <c r="AXK4" s="226"/>
      <c r="AXL4" s="224"/>
      <c r="AXM4" s="225"/>
      <c r="AXN4" s="225"/>
      <c r="AXO4" s="227"/>
      <c r="AXP4" s="228"/>
      <c r="AXQ4" s="228"/>
      <c r="AXR4" s="229"/>
      <c r="AXS4" s="216"/>
      <c r="AXT4" s="219"/>
      <c r="AXU4" s="220"/>
      <c r="AXV4" s="217"/>
      <c r="AXW4" s="217"/>
      <c r="AXX4" s="217"/>
      <c r="AXY4" s="217"/>
      <c r="AXZ4" s="217"/>
      <c r="AYA4" s="221"/>
      <c r="AYB4" s="222"/>
      <c r="AYC4" s="220"/>
      <c r="AYD4" s="220"/>
      <c r="AYE4" s="220"/>
      <c r="AYF4" s="220"/>
      <c r="AYG4" s="223"/>
      <c r="AYH4" s="223"/>
      <c r="AYI4" s="223"/>
      <c r="AYJ4" s="223"/>
      <c r="AYK4" s="223"/>
      <c r="AYL4" s="223"/>
      <c r="AYM4" s="223"/>
      <c r="AYN4" s="223"/>
      <c r="AYO4" s="223"/>
      <c r="AYP4" s="224"/>
      <c r="AYQ4" s="225"/>
      <c r="AYR4" s="226"/>
      <c r="AYS4" s="224"/>
      <c r="AYT4" s="225"/>
      <c r="AYU4" s="225"/>
      <c r="AYV4" s="227"/>
      <c r="AYW4" s="228"/>
      <c r="AYX4" s="228"/>
      <c r="AYY4" s="229"/>
      <c r="AYZ4" s="216"/>
      <c r="AZA4" s="219"/>
      <c r="AZB4" s="220"/>
      <c r="AZC4" s="217"/>
      <c r="AZD4" s="217"/>
      <c r="AZE4" s="217"/>
      <c r="AZF4" s="217"/>
      <c r="AZG4" s="217"/>
      <c r="AZH4" s="221"/>
      <c r="AZI4" s="222"/>
      <c r="AZJ4" s="220"/>
      <c r="AZK4" s="220"/>
      <c r="AZL4" s="220"/>
      <c r="AZM4" s="220"/>
      <c r="AZN4" s="223"/>
      <c r="AZO4" s="223"/>
      <c r="AZP4" s="223"/>
      <c r="AZQ4" s="223"/>
      <c r="AZR4" s="223"/>
      <c r="AZS4" s="223"/>
      <c r="AZT4" s="223"/>
      <c r="AZU4" s="223"/>
      <c r="AZV4" s="223"/>
      <c r="AZW4" s="224"/>
      <c r="AZX4" s="225"/>
      <c r="AZY4" s="226"/>
      <c r="AZZ4" s="224"/>
      <c r="BAA4" s="225"/>
      <c r="BAB4" s="225"/>
      <c r="BAC4" s="227"/>
      <c r="BAD4" s="228"/>
      <c r="BAE4" s="228"/>
      <c r="BAF4" s="229"/>
      <c r="BAG4" s="216"/>
      <c r="BAH4" s="219"/>
      <c r="BAI4" s="220"/>
      <c r="BAJ4" s="217"/>
      <c r="BAK4" s="217"/>
      <c r="BAL4" s="217"/>
      <c r="BAM4" s="217"/>
      <c r="BAN4" s="217"/>
      <c r="BAO4" s="221"/>
      <c r="BAP4" s="222"/>
      <c r="BAQ4" s="220"/>
      <c r="BAR4" s="220"/>
      <c r="BAS4" s="220"/>
      <c r="BAT4" s="220"/>
      <c r="BAU4" s="223"/>
      <c r="BAV4" s="223"/>
      <c r="BAW4" s="223"/>
      <c r="BAX4" s="223"/>
      <c r="BAY4" s="223"/>
      <c r="BAZ4" s="223"/>
      <c r="BBA4" s="223"/>
      <c r="BBB4" s="223"/>
      <c r="BBC4" s="223"/>
      <c r="BBD4" s="224"/>
      <c r="BBE4" s="225"/>
      <c r="BBF4" s="226"/>
      <c r="BBG4" s="224"/>
      <c r="BBH4" s="225"/>
      <c r="BBI4" s="225"/>
      <c r="BBJ4" s="227"/>
      <c r="BBK4" s="228"/>
      <c r="BBL4" s="228"/>
      <c r="BBM4" s="229"/>
      <c r="BBN4" s="216"/>
      <c r="BBO4" s="219"/>
      <c r="BBP4" s="220"/>
      <c r="BBQ4" s="217"/>
      <c r="BBR4" s="217"/>
      <c r="BBS4" s="217"/>
      <c r="BBT4" s="217"/>
      <c r="BBU4" s="217"/>
      <c r="BBV4" s="221"/>
      <c r="BBW4" s="222"/>
      <c r="BBX4" s="220"/>
      <c r="BBY4" s="220"/>
      <c r="BBZ4" s="220"/>
      <c r="BCA4" s="220"/>
      <c r="BCB4" s="223"/>
      <c r="BCC4" s="223"/>
      <c r="BCD4" s="223"/>
      <c r="BCE4" s="223"/>
      <c r="BCF4" s="223"/>
      <c r="BCG4" s="223"/>
      <c r="BCH4" s="223"/>
      <c r="BCI4" s="223"/>
      <c r="BCJ4" s="223"/>
      <c r="BCK4" s="224"/>
      <c r="BCL4" s="225"/>
      <c r="BCM4" s="226"/>
      <c r="BCN4" s="224"/>
      <c r="BCO4" s="225"/>
      <c r="BCP4" s="225"/>
      <c r="BCQ4" s="227"/>
      <c r="BCR4" s="228"/>
      <c r="BCS4" s="228"/>
      <c r="BCT4" s="229"/>
      <c r="BCU4" s="216"/>
      <c r="BCV4" s="219"/>
      <c r="BCW4" s="220"/>
      <c r="BCX4" s="217"/>
      <c r="BCY4" s="217"/>
      <c r="BCZ4" s="217"/>
      <c r="BDA4" s="217"/>
      <c r="BDB4" s="217"/>
      <c r="BDC4" s="221"/>
      <c r="BDD4" s="222"/>
      <c r="BDE4" s="220"/>
      <c r="BDF4" s="220"/>
      <c r="BDG4" s="220"/>
      <c r="BDH4" s="220"/>
      <c r="BDI4" s="223"/>
      <c r="BDJ4" s="223"/>
      <c r="BDK4" s="223"/>
      <c r="BDL4" s="223"/>
      <c r="BDM4" s="223"/>
      <c r="BDN4" s="223"/>
      <c r="BDO4" s="223"/>
      <c r="BDP4" s="223"/>
      <c r="BDQ4" s="223"/>
      <c r="BDR4" s="224"/>
      <c r="BDS4" s="225"/>
      <c r="BDT4" s="226"/>
      <c r="BDU4" s="224"/>
      <c r="BDV4" s="225"/>
      <c r="BDW4" s="225"/>
      <c r="BDX4" s="227"/>
      <c r="BDY4" s="228"/>
      <c r="BDZ4" s="228"/>
      <c r="BEA4" s="229"/>
      <c r="BEB4" s="216"/>
      <c r="BEC4" s="219"/>
      <c r="BED4" s="220"/>
      <c r="BEE4" s="217"/>
      <c r="BEF4" s="217"/>
      <c r="BEG4" s="217"/>
      <c r="BEH4" s="217"/>
      <c r="BEI4" s="217"/>
      <c r="BEJ4" s="221"/>
      <c r="BEK4" s="222"/>
      <c r="BEL4" s="220"/>
      <c r="BEM4" s="220"/>
      <c r="BEN4" s="220"/>
      <c r="BEO4" s="220"/>
      <c r="BEP4" s="223"/>
      <c r="BEQ4" s="223"/>
      <c r="BER4" s="223"/>
      <c r="BES4" s="223"/>
      <c r="BET4" s="223"/>
      <c r="BEU4" s="223"/>
      <c r="BEV4" s="223"/>
      <c r="BEW4" s="223"/>
      <c r="BEX4" s="223"/>
      <c r="BEY4" s="224"/>
      <c r="BEZ4" s="225"/>
      <c r="BFA4" s="226"/>
      <c r="BFB4" s="224"/>
      <c r="BFC4" s="225"/>
      <c r="BFD4" s="225"/>
      <c r="BFE4" s="227"/>
      <c r="BFF4" s="228"/>
      <c r="BFG4" s="228"/>
      <c r="BFH4" s="229"/>
      <c r="BFI4" s="216"/>
      <c r="BFJ4" s="219"/>
      <c r="BFK4" s="220"/>
      <c r="BFL4" s="217"/>
      <c r="BFM4" s="217"/>
      <c r="BFN4" s="217"/>
      <c r="BFO4" s="217"/>
      <c r="BFP4" s="217"/>
      <c r="BFQ4" s="221"/>
      <c r="BFR4" s="222"/>
      <c r="BFS4" s="220"/>
      <c r="BFT4" s="220"/>
      <c r="BFU4" s="220"/>
      <c r="BFV4" s="220"/>
      <c r="BFW4" s="223"/>
      <c r="BFX4" s="223"/>
      <c r="BFY4" s="223"/>
      <c r="BFZ4" s="223"/>
      <c r="BGA4" s="223"/>
      <c r="BGB4" s="223"/>
      <c r="BGC4" s="223"/>
      <c r="BGD4" s="223"/>
      <c r="BGE4" s="223"/>
      <c r="BGF4" s="224"/>
      <c r="BGG4" s="225"/>
      <c r="BGH4" s="226"/>
      <c r="BGI4" s="224"/>
      <c r="BGJ4" s="225"/>
      <c r="BGK4" s="225"/>
      <c r="BGL4" s="227"/>
      <c r="BGM4" s="228"/>
      <c r="BGN4" s="228"/>
      <c r="BGO4" s="229"/>
      <c r="BGP4" s="216"/>
      <c r="BGQ4" s="219"/>
      <c r="BGR4" s="220"/>
      <c r="BGS4" s="217"/>
      <c r="BGT4" s="217"/>
      <c r="BGU4" s="217"/>
      <c r="BGV4" s="217"/>
      <c r="BGW4" s="217"/>
      <c r="BGX4" s="221"/>
      <c r="BGY4" s="222"/>
      <c r="BGZ4" s="220"/>
      <c r="BHA4" s="220"/>
      <c r="BHB4" s="220"/>
      <c r="BHC4" s="220"/>
      <c r="BHD4" s="223"/>
      <c r="BHE4" s="223"/>
      <c r="BHF4" s="223"/>
      <c r="BHG4" s="223"/>
      <c r="BHH4" s="223"/>
      <c r="BHI4" s="223"/>
      <c r="BHJ4" s="223"/>
      <c r="BHK4" s="223"/>
      <c r="BHL4" s="223"/>
      <c r="BHM4" s="224"/>
      <c r="BHN4" s="225"/>
      <c r="BHO4" s="226"/>
      <c r="BHP4" s="224"/>
      <c r="BHQ4" s="225"/>
      <c r="BHR4" s="225"/>
      <c r="BHS4" s="227"/>
      <c r="BHT4" s="228"/>
      <c r="BHU4" s="228"/>
      <c r="BHV4" s="229"/>
      <c r="BHW4" s="216"/>
      <c r="BHX4" s="219"/>
      <c r="BHY4" s="220"/>
      <c r="BHZ4" s="217"/>
      <c r="BIA4" s="217"/>
      <c r="BIB4" s="217"/>
      <c r="BIC4" s="217"/>
      <c r="BID4" s="217"/>
      <c r="BIE4" s="221"/>
      <c r="BIF4" s="222"/>
      <c r="BIG4" s="220"/>
      <c r="BIH4" s="220"/>
      <c r="BII4" s="220"/>
      <c r="BIJ4" s="220"/>
      <c r="BIK4" s="223"/>
      <c r="BIL4" s="223"/>
      <c r="BIM4" s="223"/>
      <c r="BIN4" s="223"/>
      <c r="BIO4" s="223"/>
      <c r="BIP4" s="223"/>
      <c r="BIQ4" s="223"/>
      <c r="BIR4" s="223"/>
      <c r="BIS4" s="223"/>
      <c r="BIT4" s="224"/>
      <c r="BIU4" s="225"/>
      <c r="BIV4" s="226"/>
      <c r="BIW4" s="224"/>
      <c r="BIX4" s="225"/>
      <c r="BIY4" s="225"/>
      <c r="BIZ4" s="227"/>
      <c r="BJA4" s="228"/>
      <c r="BJB4" s="228"/>
      <c r="BJC4" s="229"/>
      <c r="BJD4" s="216"/>
      <c r="BJE4" s="219"/>
      <c r="BJF4" s="220"/>
      <c r="BJG4" s="217"/>
      <c r="BJH4" s="217"/>
      <c r="BJI4" s="217"/>
      <c r="BJJ4" s="217"/>
      <c r="BJK4" s="217"/>
      <c r="BJL4" s="221"/>
      <c r="BJM4" s="222"/>
      <c r="BJN4" s="220"/>
      <c r="BJO4" s="220"/>
      <c r="BJP4" s="220"/>
      <c r="BJQ4" s="220"/>
      <c r="BJR4" s="223"/>
      <c r="BJS4" s="223"/>
      <c r="BJT4" s="223"/>
      <c r="BJU4" s="223"/>
      <c r="BJV4" s="223"/>
      <c r="BJW4" s="223"/>
      <c r="BJX4" s="223"/>
      <c r="BJY4" s="223"/>
      <c r="BJZ4" s="223"/>
      <c r="BKA4" s="224"/>
      <c r="BKB4" s="225"/>
      <c r="BKC4" s="226"/>
      <c r="BKD4" s="224"/>
      <c r="BKE4" s="225"/>
      <c r="BKF4" s="225"/>
      <c r="BKG4" s="227"/>
      <c r="BKH4" s="228"/>
      <c r="BKI4" s="228"/>
      <c r="BKJ4" s="229"/>
      <c r="BKK4" s="216"/>
      <c r="BKL4" s="219"/>
      <c r="BKM4" s="220"/>
      <c r="BKN4" s="217"/>
      <c r="BKO4" s="217"/>
      <c r="BKP4" s="217"/>
      <c r="BKQ4" s="217"/>
      <c r="BKR4" s="217"/>
      <c r="BKS4" s="221"/>
      <c r="BKT4" s="222"/>
      <c r="BKU4" s="220"/>
      <c r="BKV4" s="220"/>
      <c r="BKW4" s="220"/>
      <c r="BKX4" s="220"/>
      <c r="BKY4" s="223"/>
      <c r="BKZ4" s="223"/>
      <c r="BLA4" s="223"/>
      <c r="BLB4" s="223"/>
      <c r="BLC4" s="223"/>
      <c r="BLD4" s="223"/>
      <c r="BLE4" s="223"/>
      <c r="BLF4" s="223"/>
      <c r="BLG4" s="223"/>
      <c r="BLH4" s="224"/>
      <c r="BLI4" s="225"/>
      <c r="BLJ4" s="226"/>
      <c r="BLK4" s="224"/>
      <c r="BLL4" s="225"/>
      <c r="BLM4" s="225"/>
      <c r="BLN4" s="227"/>
      <c r="BLO4" s="228"/>
      <c r="BLP4" s="228"/>
      <c r="BLQ4" s="229"/>
      <c r="BLR4" s="216"/>
      <c r="BLS4" s="219"/>
      <c r="BLT4" s="220"/>
      <c r="BLU4" s="217"/>
      <c r="BLV4" s="217"/>
      <c r="BLW4" s="217"/>
      <c r="BLX4" s="217"/>
      <c r="BLY4" s="217"/>
      <c r="BLZ4" s="221"/>
      <c r="BMA4" s="222"/>
      <c r="BMB4" s="220"/>
      <c r="BMC4" s="220"/>
      <c r="BMD4" s="220"/>
      <c r="BME4" s="220"/>
      <c r="BMF4" s="223"/>
      <c r="BMG4" s="223"/>
      <c r="BMH4" s="223"/>
      <c r="BMI4" s="223"/>
      <c r="BMJ4" s="223"/>
      <c r="BMK4" s="223"/>
      <c r="BML4" s="223"/>
      <c r="BMM4" s="223"/>
      <c r="BMN4" s="223"/>
      <c r="BMO4" s="224"/>
      <c r="BMP4" s="225"/>
      <c r="BMQ4" s="226"/>
      <c r="BMR4" s="224"/>
      <c r="BMS4" s="225"/>
      <c r="BMT4" s="225"/>
      <c r="BMU4" s="227"/>
      <c r="BMV4" s="228"/>
      <c r="BMW4" s="228"/>
      <c r="BMX4" s="229"/>
      <c r="BMY4" s="216"/>
      <c r="BMZ4" s="219"/>
      <c r="BNA4" s="220"/>
      <c r="BNB4" s="217"/>
      <c r="BNC4" s="217"/>
      <c r="BND4" s="217"/>
      <c r="BNE4" s="217"/>
      <c r="BNF4" s="217"/>
      <c r="BNG4" s="221"/>
      <c r="BNH4" s="222"/>
      <c r="BNI4" s="220"/>
      <c r="BNJ4" s="220"/>
      <c r="BNK4" s="220"/>
      <c r="BNL4" s="220"/>
      <c r="BNM4" s="223"/>
      <c r="BNN4" s="223"/>
      <c r="BNO4" s="223"/>
      <c r="BNP4" s="223"/>
      <c r="BNQ4" s="223"/>
      <c r="BNR4" s="223"/>
      <c r="BNS4" s="223"/>
      <c r="BNT4" s="223"/>
      <c r="BNU4" s="223"/>
      <c r="BNV4" s="224"/>
      <c r="BNW4" s="225"/>
      <c r="BNX4" s="226"/>
      <c r="BNY4" s="224"/>
      <c r="BNZ4" s="225"/>
      <c r="BOA4" s="225"/>
      <c r="BOB4" s="227"/>
      <c r="BOC4" s="228"/>
      <c r="BOD4" s="228"/>
      <c r="BOE4" s="229"/>
      <c r="BOF4" s="216"/>
      <c r="BOG4" s="219"/>
      <c r="BOH4" s="220"/>
      <c r="BOI4" s="217"/>
      <c r="BOJ4" s="217"/>
      <c r="BOK4" s="217"/>
      <c r="BOL4" s="217"/>
      <c r="BOM4" s="217"/>
      <c r="BON4" s="221"/>
      <c r="BOO4" s="222"/>
      <c r="BOP4" s="220"/>
      <c r="BOQ4" s="220"/>
      <c r="BOR4" s="220"/>
      <c r="BOS4" s="220"/>
      <c r="BOT4" s="223"/>
      <c r="BOU4" s="223"/>
      <c r="BOV4" s="223"/>
      <c r="BOW4" s="223"/>
      <c r="BOX4" s="223"/>
      <c r="BOY4" s="223"/>
      <c r="BOZ4" s="223"/>
      <c r="BPA4" s="223"/>
      <c r="BPB4" s="223"/>
      <c r="BPC4" s="224"/>
      <c r="BPD4" s="225"/>
      <c r="BPE4" s="226"/>
      <c r="BPF4" s="224"/>
      <c r="BPG4" s="225"/>
      <c r="BPH4" s="225"/>
      <c r="BPI4" s="227"/>
      <c r="BPJ4" s="228"/>
      <c r="BPK4" s="228"/>
      <c r="BPL4" s="229"/>
      <c r="BPM4" s="216"/>
      <c r="BPN4" s="219"/>
      <c r="BPO4" s="220"/>
      <c r="BPP4" s="217"/>
      <c r="BPQ4" s="217"/>
      <c r="BPR4" s="217"/>
      <c r="BPS4" s="217"/>
      <c r="BPT4" s="217"/>
      <c r="BPU4" s="221"/>
      <c r="BPV4" s="222"/>
      <c r="BPW4" s="220"/>
      <c r="BPX4" s="220"/>
      <c r="BPY4" s="220"/>
      <c r="BPZ4" s="220"/>
      <c r="BQA4" s="223"/>
      <c r="BQB4" s="223"/>
      <c r="BQC4" s="223"/>
      <c r="BQD4" s="223"/>
      <c r="BQE4" s="223"/>
      <c r="BQF4" s="223"/>
      <c r="BQG4" s="223"/>
      <c r="BQH4" s="223"/>
      <c r="BQI4" s="223"/>
      <c r="BQJ4" s="224"/>
      <c r="BQK4" s="225"/>
      <c r="BQL4" s="226"/>
      <c r="BQM4" s="224"/>
      <c r="BQN4" s="225"/>
      <c r="BQO4" s="225"/>
      <c r="BQP4" s="227"/>
      <c r="BQQ4" s="228"/>
      <c r="BQR4" s="228"/>
      <c r="BQS4" s="229"/>
      <c r="BQT4" s="216"/>
      <c r="BQU4" s="219"/>
      <c r="BQV4" s="220"/>
      <c r="BQW4" s="217"/>
      <c r="BQX4" s="217"/>
      <c r="BQY4" s="217"/>
      <c r="BQZ4" s="217"/>
      <c r="BRA4" s="217"/>
      <c r="BRB4" s="221"/>
      <c r="BRC4" s="222"/>
      <c r="BRD4" s="220"/>
      <c r="BRE4" s="220"/>
      <c r="BRF4" s="220"/>
      <c r="BRG4" s="220"/>
      <c r="BRH4" s="223"/>
      <c r="BRI4" s="223"/>
      <c r="BRJ4" s="223"/>
      <c r="BRK4" s="223"/>
      <c r="BRL4" s="223"/>
      <c r="BRM4" s="223"/>
      <c r="BRN4" s="223"/>
      <c r="BRO4" s="223"/>
      <c r="BRP4" s="223"/>
      <c r="BRQ4" s="224"/>
      <c r="BRR4" s="225"/>
      <c r="BRS4" s="226"/>
      <c r="BRT4" s="224"/>
      <c r="BRU4" s="225"/>
      <c r="BRV4" s="225"/>
      <c r="BRW4" s="227"/>
      <c r="BRX4" s="228"/>
      <c r="BRY4" s="228"/>
      <c r="BRZ4" s="229"/>
      <c r="BSA4" s="216"/>
      <c r="BSB4" s="219"/>
      <c r="BSC4" s="220"/>
      <c r="BSD4" s="217"/>
      <c r="BSE4" s="217"/>
      <c r="BSF4" s="217"/>
      <c r="BSG4" s="217"/>
      <c r="BSH4" s="217"/>
      <c r="BSI4" s="221"/>
      <c r="BSJ4" s="222"/>
      <c r="BSK4" s="220"/>
      <c r="BSL4" s="220"/>
      <c r="BSM4" s="220"/>
      <c r="BSN4" s="220"/>
      <c r="BSO4" s="223"/>
      <c r="BSP4" s="223"/>
      <c r="BSQ4" s="223"/>
      <c r="BSR4" s="223"/>
      <c r="BSS4" s="223"/>
      <c r="BST4" s="223"/>
      <c r="BSU4" s="223"/>
      <c r="BSV4" s="223"/>
      <c r="BSW4" s="223"/>
      <c r="BSX4" s="224"/>
      <c r="BSY4" s="225"/>
      <c r="BSZ4" s="226"/>
      <c r="BTA4" s="224"/>
      <c r="BTB4" s="225"/>
      <c r="BTC4" s="225"/>
      <c r="BTD4" s="227"/>
      <c r="BTE4" s="228"/>
      <c r="BTF4" s="228"/>
      <c r="BTG4" s="229"/>
      <c r="BTH4" s="216"/>
      <c r="BTI4" s="219"/>
      <c r="BTJ4" s="220"/>
      <c r="BTK4" s="217"/>
      <c r="BTL4" s="217"/>
      <c r="BTM4" s="217"/>
      <c r="BTN4" s="217"/>
      <c r="BTO4" s="217"/>
      <c r="BTP4" s="221"/>
      <c r="BTQ4" s="222"/>
      <c r="BTR4" s="220"/>
      <c r="BTS4" s="220"/>
      <c r="BTT4" s="220"/>
      <c r="BTU4" s="220"/>
      <c r="BTV4" s="223"/>
      <c r="BTW4" s="223"/>
      <c r="BTX4" s="223"/>
      <c r="BTY4" s="223"/>
      <c r="BTZ4" s="223"/>
      <c r="BUA4" s="223"/>
      <c r="BUB4" s="223"/>
      <c r="BUC4" s="223"/>
      <c r="BUD4" s="223"/>
      <c r="BUE4" s="224"/>
      <c r="BUF4" s="225"/>
      <c r="BUG4" s="226"/>
      <c r="BUH4" s="224"/>
      <c r="BUI4" s="225"/>
      <c r="BUJ4" s="225"/>
      <c r="BUK4" s="227"/>
      <c r="BUL4" s="228"/>
      <c r="BUM4" s="228"/>
      <c r="BUN4" s="229"/>
      <c r="BUO4" s="216"/>
      <c r="BUP4" s="219"/>
      <c r="BUQ4" s="220"/>
      <c r="BUR4" s="217"/>
      <c r="BUS4" s="217"/>
      <c r="BUT4" s="217"/>
      <c r="BUU4" s="217"/>
      <c r="BUV4" s="217"/>
      <c r="BUW4" s="221"/>
      <c r="BUX4" s="222"/>
      <c r="BUY4" s="220"/>
      <c r="BUZ4" s="220"/>
      <c r="BVA4" s="220"/>
      <c r="BVB4" s="220"/>
      <c r="BVC4" s="223"/>
      <c r="BVD4" s="223"/>
      <c r="BVE4" s="223"/>
      <c r="BVF4" s="223"/>
      <c r="BVG4" s="223"/>
      <c r="BVH4" s="223"/>
      <c r="BVI4" s="223"/>
      <c r="BVJ4" s="223"/>
      <c r="BVK4" s="223"/>
      <c r="BVL4" s="224"/>
      <c r="BVM4" s="225"/>
      <c r="BVN4" s="226"/>
      <c r="BVO4" s="224"/>
      <c r="BVP4" s="225"/>
      <c r="BVQ4" s="225"/>
      <c r="BVR4" s="227"/>
      <c r="BVS4" s="228"/>
      <c r="BVT4" s="228"/>
      <c r="BVU4" s="229"/>
      <c r="BVV4" s="216"/>
      <c r="BVW4" s="219"/>
      <c r="BVX4" s="220"/>
      <c r="BVY4" s="217"/>
      <c r="BVZ4" s="217"/>
      <c r="BWA4" s="217"/>
      <c r="BWB4" s="217"/>
      <c r="BWC4" s="217"/>
      <c r="BWD4" s="221"/>
      <c r="BWE4" s="222"/>
      <c r="BWF4" s="220"/>
      <c r="BWG4" s="220"/>
      <c r="BWH4" s="220"/>
      <c r="BWI4" s="220"/>
      <c r="BWJ4" s="223"/>
      <c r="BWK4" s="223"/>
      <c r="BWL4" s="223"/>
      <c r="BWM4" s="223"/>
      <c r="BWN4" s="223"/>
      <c r="BWO4" s="223"/>
      <c r="BWP4" s="223"/>
      <c r="BWQ4" s="223"/>
      <c r="BWR4" s="223"/>
      <c r="BWS4" s="224"/>
      <c r="BWT4" s="225"/>
      <c r="BWU4" s="226"/>
      <c r="BWV4" s="224"/>
      <c r="BWW4" s="225"/>
      <c r="BWX4" s="225"/>
      <c r="BWY4" s="227"/>
      <c r="BWZ4" s="228"/>
      <c r="BXA4" s="228"/>
      <c r="BXB4" s="229"/>
      <c r="BXC4" s="216"/>
      <c r="BXD4" s="219"/>
      <c r="BXE4" s="220"/>
      <c r="BXF4" s="217"/>
      <c r="BXG4" s="217"/>
      <c r="BXH4" s="217"/>
      <c r="BXI4" s="217"/>
      <c r="BXJ4" s="217"/>
      <c r="BXK4" s="221"/>
      <c r="BXL4" s="222"/>
      <c r="BXM4" s="220"/>
      <c r="BXN4" s="220"/>
      <c r="BXO4" s="220"/>
      <c r="BXP4" s="220"/>
      <c r="BXQ4" s="223"/>
      <c r="BXR4" s="223"/>
      <c r="BXS4" s="223"/>
      <c r="BXT4" s="223"/>
      <c r="BXU4" s="223"/>
      <c r="BXV4" s="223"/>
      <c r="BXW4" s="223"/>
      <c r="BXX4" s="223"/>
      <c r="BXY4" s="223"/>
      <c r="BXZ4" s="224"/>
      <c r="BYA4" s="225"/>
      <c r="BYB4" s="226"/>
      <c r="BYC4" s="224"/>
      <c r="BYD4" s="225"/>
      <c r="BYE4" s="225"/>
      <c r="BYF4" s="227"/>
      <c r="BYG4" s="228"/>
      <c r="BYH4" s="228"/>
      <c r="BYI4" s="229"/>
      <c r="BYJ4" s="216"/>
      <c r="BYK4" s="219"/>
      <c r="BYL4" s="220"/>
      <c r="BYM4" s="217"/>
      <c r="BYN4" s="217"/>
      <c r="BYO4" s="217"/>
      <c r="BYP4" s="217"/>
      <c r="BYQ4" s="217"/>
      <c r="BYR4" s="221"/>
      <c r="BYS4" s="222"/>
      <c r="BYT4" s="220"/>
      <c r="BYU4" s="220"/>
      <c r="BYV4" s="220"/>
      <c r="BYW4" s="220"/>
      <c r="BYX4" s="223"/>
      <c r="BYY4" s="223"/>
      <c r="BYZ4" s="223"/>
      <c r="BZA4" s="223"/>
      <c r="BZB4" s="223"/>
      <c r="BZC4" s="223"/>
      <c r="BZD4" s="223"/>
      <c r="BZE4" s="223"/>
      <c r="BZF4" s="223"/>
      <c r="BZG4" s="224"/>
      <c r="BZH4" s="225"/>
      <c r="BZI4" s="226"/>
      <c r="BZJ4" s="224"/>
      <c r="BZK4" s="225"/>
      <c r="BZL4" s="225"/>
      <c r="BZM4" s="227"/>
      <c r="BZN4" s="228"/>
      <c r="BZO4" s="228"/>
      <c r="BZP4" s="229"/>
      <c r="BZQ4" s="216"/>
      <c r="BZR4" s="219"/>
      <c r="BZS4" s="220"/>
      <c r="BZT4" s="217"/>
      <c r="BZU4" s="217"/>
      <c r="BZV4" s="217"/>
      <c r="BZW4" s="217"/>
      <c r="BZX4" s="217"/>
      <c r="BZY4" s="221"/>
      <c r="BZZ4" s="222"/>
      <c r="CAA4" s="220"/>
      <c r="CAB4" s="220"/>
      <c r="CAC4" s="220"/>
      <c r="CAD4" s="220"/>
      <c r="CAE4" s="223"/>
      <c r="CAF4" s="223"/>
      <c r="CAG4" s="223"/>
      <c r="CAH4" s="223"/>
      <c r="CAI4" s="223"/>
      <c r="CAJ4" s="223"/>
      <c r="CAK4" s="223"/>
      <c r="CAL4" s="223"/>
      <c r="CAM4" s="223"/>
      <c r="CAN4" s="224"/>
      <c r="CAO4" s="225"/>
      <c r="CAP4" s="226"/>
      <c r="CAQ4" s="224"/>
      <c r="CAR4" s="225"/>
      <c r="CAS4" s="225"/>
      <c r="CAT4" s="227"/>
      <c r="CAU4" s="228"/>
      <c r="CAV4" s="228"/>
      <c r="CAW4" s="229"/>
      <c r="CAX4" s="216"/>
      <c r="CAY4" s="219"/>
      <c r="CAZ4" s="220"/>
      <c r="CBA4" s="217"/>
      <c r="CBB4" s="217"/>
      <c r="CBC4" s="217"/>
      <c r="CBD4" s="217"/>
      <c r="CBE4" s="217"/>
      <c r="CBF4" s="221"/>
      <c r="CBG4" s="222"/>
      <c r="CBH4" s="220"/>
      <c r="CBI4" s="220"/>
      <c r="CBJ4" s="220"/>
      <c r="CBK4" s="220"/>
      <c r="CBL4" s="223"/>
      <c r="CBM4" s="223"/>
      <c r="CBN4" s="223"/>
      <c r="CBO4" s="223"/>
      <c r="CBP4" s="223"/>
      <c r="CBQ4" s="223"/>
      <c r="CBR4" s="223"/>
      <c r="CBS4" s="223"/>
      <c r="CBT4" s="223"/>
      <c r="CBU4" s="224"/>
      <c r="CBV4" s="225"/>
      <c r="CBW4" s="226"/>
      <c r="CBX4" s="224"/>
      <c r="CBY4" s="225"/>
      <c r="CBZ4" s="225"/>
      <c r="CCA4" s="227"/>
      <c r="CCB4" s="228"/>
      <c r="CCC4" s="228"/>
      <c r="CCD4" s="229"/>
      <c r="CCE4" s="216"/>
      <c r="CCF4" s="219"/>
      <c r="CCG4" s="220"/>
      <c r="CCH4" s="217"/>
      <c r="CCI4" s="217"/>
      <c r="CCJ4" s="217"/>
      <c r="CCK4" s="217"/>
      <c r="CCL4" s="217"/>
      <c r="CCM4" s="221"/>
      <c r="CCN4" s="222"/>
      <c r="CCO4" s="220"/>
      <c r="CCP4" s="220"/>
      <c r="CCQ4" s="220"/>
      <c r="CCR4" s="220"/>
      <c r="CCS4" s="223"/>
      <c r="CCT4" s="223"/>
      <c r="CCU4" s="223"/>
      <c r="CCV4" s="223"/>
      <c r="CCW4" s="223"/>
      <c r="CCX4" s="223"/>
      <c r="CCY4" s="223"/>
      <c r="CCZ4" s="223"/>
      <c r="CDA4" s="223"/>
      <c r="CDB4" s="224"/>
      <c r="CDC4" s="225"/>
      <c r="CDD4" s="226"/>
      <c r="CDE4" s="224"/>
      <c r="CDF4" s="225"/>
      <c r="CDG4" s="225"/>
      <c r="CDH4" s="227"/>
      <c r="CDI4" s="228"/>
      <c r="CDJ4" s="228"/>
      <c r="CDK4" s="229"/>
      <c r="CDL4" s="216"/>
      <c r="CDM4" s="219"/>
      <c r="CDN4" s="220"/>
      <c r="CDO4" s="217"/>
      <c r="CDP4" s="217"/>
      <c r="CDQ4" s="217"/>
      <c r="CDR4" s="217"/>
      <c r="CDS4" s="217"/>
      <c r="CDT4" s="221"/>
      <c r="CDU4" s="222"/>
      <c r="CDV4" s="220"/>
      <c r="CDW4" s="220"/>
      <c r="CDX4" s="220"/>
      <c r="CDY4" s="220"/>
      <c r="CDZ4" s="223"/>
      <c r="CEA4" s="223"/>
      <c r="CEB4" s="223"/>
      <c r="CEC4" s="223"/>
      <c r="CED4" s="223"/>
      <c r="CEE4" s="223"/>
      <c r="CEF4" s="223"/>
      <c r="CEG4" s="223"/>
      <c r="CEH4" s="223"/>
      <c r="CEI4" s="224"/>
      <c r="CEJ4" s="225"/>
      <c r="CEK4" s="226"/>
      <c r="CEL4" s="224"/>
      <c r="CEM4" s="225"/>
      <c r="CEN4" s="225"/>
      <c r="CEO4" s="227"/>
      <c r="CEP4" s="228"/>
      <c r="CEQ4" s="228"/>
      <c r="CER4" s="229"/>
      <c r="CES4" s="216"/>
      <c r="CET4" s="219"/>
      <c r="CEU4" s="220"/>
      <c r="CEV4" s="217"/>
      <c r="CEW4" s="217"/>
      <c r="CEX4" s="217"/>
      <c r="CEY4" s="217"/>
      <c r="CEZ4" s="217"/>
      <c r="CFA4" s="221"/>
      <c r="CFB4" s="222"/>
      <c r="CFC4" s="220"/>
      <c r="CFD4" s="220"/>
      <c r="CFE4" s="220"/>
      <c r="CFF4" s="220"/>
      <c r="CFG4" s="223"/>
      <c r="CFH4" s="223"/>
      <c r="CFI4" s="223"/>
      <c r="CFJ4" s="223"/>
      <c r="CFK4" s="223"/>
      <c r="CFL4" s="223"/>
      <c r="CFM4" s="223"/>
      <c r="CFN4" s="223"/>
      <c r="CFO4" s="223"/>
      <c r="CFP4" s="224"/>
      <c r="CFQ4" s="225"/>
      <c r="CFR4" s="226"/>
      <c r="CFS4" s="224"/>
      <c r="CFT4" s="225"/>
      <c r="CFU4" s="225"/>
      <c r="CFV4" s="227"/>
      <c r="CFW4" s="228"/>
      <c r="CFX4" s="228"/>
      <c r="CFY4" s="229"/>
      <c r="CFZ4" s="216"/>
      <c r="CGA4" s="219"/>
      <c r="CGB4" s="220"/>
      <c r="CGC4" s="217"/>
      <c r="CGD4" s="217"/>
      <c r="CGE4" s="217"/>
      <c r="CGF4" s="217"/>
      <c r="CGG4" s="217"/>
      <c r="CGH4" s="221"/>
      <c r="CGI4" s="222"/>
      <c r="CGJ4" s="220"/>
      <c r="CGK4" s="220"/>
      <c r="CGL4" s="220"/>
      <c r="CGM4" s="220"/>
      <c r="CGN4" s="223"/>
      <c r="CGO4" s="223"/>
      <c r="CGP4" s="223"/>
      <c r="CGQ4" s="223"/>
      <c r="CGR4" s="223"/>
      <c r="CGS4" s="223"/>
      <c r="CGT4" s="223"/>
      <c r="CGU4" s="223"/>
      <c r="CGV4" s="223"/>
      <c r="CGW4" s="224"/>
      <c r="CGX4" s="225"/>
      <c r="CGY4" s="226"/>
      <c r="CGZ4" s="224"/>
      <c r="CHA4" s="225"/>
      <c r="CHB4" s="225"/>
      <c r="CHC4" s="227"/>
      <c r="CHD4" s="228"/>
      <c r="CHE4" s="228"/>
      <c r="CHF4" s="229"/>
      <c r="CHG4" s="216"/>
      <c r="CHH4" s="219"/>
      <c r="CHI4" s="220"/>
      <c r="CHJ4" s="217"/>
      <c r="CHK4" s="217"/>
      <c r="CHL4" s="217"/>
      <c r="CHM4" s="217"/>
      <c r="CHN4" s="217"/>
      <c r="CHO4" s="221"/>
      <c r="CHP4" s="222"/>
      <c r="CHQ4" s="220"/>
      <c r="CHR4" s="220"/>
      <c r="CHS4" s="220"/>
      <c r="CHT4" s="220"/>
      <c r="CHU4" s="223"/>
      <c r="CHV4" s="223"/>
      <c r="CHW4" s="223"/>
      <c r="CHX4" s="223"/>
      <c r="CHY4" s="223"/>
      <c r="CHZ4" s="223"/>
      <c r="CIA4" s="223"/>
      <c r="CIB4" s="223"/>
      <c r="CIC4" s="223"/>
      <c r="CID4" s="224"/>
      <c r="CIE4" s="225"/>
      <c r="CIF4" s="226"/>
      <c r="CIG4" s="224"/>
      <c r="CIH4" s="225"/>
      <c r="CII4" s="225"/>
      <c r="CIJ4" s="227"/>
      <c r="CIK4" s="228"/>
      <c r="CIL4" s="228"/>
      <c r="CIM4" s="229"/>
      <c r="CIN4" s="216"/>
      <c r="CIO4" s="219"/>
      <c r="CIP4" s="220"/>
      <c r="CIQ4" s="217"/>
      <c r="CIR4" s="217"/>
      <c r="CIS4" s="217"/>
      <c r="CIT4" s="217"/>
      <c r="CIU4" s="217"/>
      <c r="CIV4" s="221"/>
      <c r="CIW4" s="222"/>
      <c r="CIX4" s="220"/>
      <c r="CIY4" s="220"/>
      <c r="CIZ4" s="220"/>
      <c r="CJA4" s="220"/>
      <c r="CJB4" s="223"/>
      <c r="CJC4" s="223"/>
      <c r="CJD4" s="223"/>
      <c r="CJE4" s="223"/>
      <c r="CJF4" s="223"/>
      <c r="CJG4" s="223"/>
      <c r="CJH4" s="223"/>
      <c r="CJI4" s="223"/>
      <c r="CJJ4" s="223"/>
      <c r="CJK4" s="224"/>
      <c r="CJL4" s="225"/>
      <c r="CJM4" s="226"/>
      <c r="CJN4" s="224"/>
      <c r="CJO4" s="225"/>
      <c r="CJP4" s="225"/>
      <c r="CJQ4" s="227"/>
      <c r="CJR4" s="228"/>
      <c r="CJS4" s="228"/>
      <c r="CJT4" s="229"/>
      <c r="CJU4" s="216"/>
      <c r="CJV4" s="219"/>
      <c r="CJW4" s="220"/>
      <c r="CJX4" s="217"/>
      <c r="CJY4" s="217"/>
      <c r="CJZ4" s="217"/>
      <c r="CKA4" s="217"/>
      <c r="CKB4" s="217"/>
      <c r="CKC4" s="221"/>
      <c r="CKD4" s="222"/>
      <c r="CKE4" s="220"/>
      <c r="CKF4" s="220"/>
      <c r="CKG4" s="220"/>
      <c r="CKH4" s="220"/>
      <c r="CKI4" s="223"/>
      <c r="CKJ4" s="223"/>
      <c r="CKK4" s="223"/>
      <c r="CKL4" s="223"/>
      <c r="CKM4" s="223"/>
      <c r="CKN4" s="223"/>
      <c r="CKO4" s="223"/>
      <c r="CKP4" s="223"/>
      <c r="CKQ4" s="223"/>
      <c r="CKR4" s="224"/>
      <c r="CKS4" s="225"/>
      <c r="CKT4" s="226"/>
      <c r="CKU4" s="224"/>
      <c r="CKV4" s="225"/>
      <c r="CKW4" s="225"/>
      <c r="CKX4" s="227"/>
      <c r="CKY4" s="228"/>
      <c r="CKZ4" s="228"/>
      <c r="CLA4" s="229"/>
      <c r="CLB4" s="216"/>
      <c r="CLC4" s="219"/>
      <c r="CLD4" s="220"/>
      <c r="CLE4" s="217"/>
      <c r="CLF4" s="217"/>
      <c r="CLG4" s="217"/>
      <c r="CLH4" s="217"/>
      <c r="CLI4" s="217"/>
      <c r="CLJ4" s="221"/>
      <c r="CLK4" s="222"/>
      <c r="CLL4" s="220"/>
      <c r="CLM4" s="220"/>
      <c r="CLN4" s="220"/>
      <c r="CLO4" s="220"/>
      <c r="CLP4" s="223"/>
      <c r="CLQ4" s="223"/>
      <c r="CLR4" s="223"/>
      <c r="CLS4" s="223"/>
      <c r="CLT4" s="223"/>
      <c r="CLU4" s="223"/>
      <c r="CLV4" s="223"/>
      <c r="CLW4" s="223"/>
      <c r="CLX4" s="223"/>
      <c r="CLY4" s="224"/>
      <c r="CLZ4" s="225"/>
      <c r="CMA4" s="226"/>
      <c r="CMB4" s="224"/>
      <c r="CMC4" s="225"/>
      <c r="CMD4" s="225"/>
      <c r="CME4" s="227"/>
      <c r="CMF4" s="228"/>
      <c r="CMG4" s="228"/>
      <c r="CMH4" s="229"/>
      <c r="CMI4" s="216"/>
      <c r="CMJ4" s="219"/>
      <c r="CMK4" s="220"/>
      <c r="CML4" s="217"/>
      <c r="CMM4" s="217"/>
      <c r="CMN4" s="217"/>
      <c r="CMO4" s="217"/>
      <c r="CMP4" s="217"/>
      <c r="CMQ4" s="221"/>
      <c r="CMR4" s="222"/>
      <c r="CMS4" s="220"/>
      <c r="CMT4" s="220"/>
      <c r="CMU4" s="220"/>
      <c r="CMV4" s="220"/>
      <c r="CMW4" s="223"/>
      <c r="CMX4" s="223"/>
      <c r="CMY4" s="223"/>
      <c r="CMZ4" s="223"/>
      <c r="CNA4" s="223"/>
      <c r="CNB4" s="223"/>
      <c r="CNC4" s="223"/>
      <c r="CND4" s="223"/>
      <c r="CNE4" s="223"/>
      <c r="CNF4" s="224"/>
      <c r="CNG4" s="225"/>
      <c r="CNH4" s="226"/>
      <c r="CNI4" s="224"/>
      <c r="CNJ4" s="225"/>
      <c r="CNK4" s="225"/>
      <c r="CNL4" s="227"/>
      <c r="CNM4" s="228"/>
      <c r="CNN4" s="228"/>
      <c r="CNO4" s="229"/>
      <c r="CNP4" s="216"/>
      <c r="CNQ4" s="219"/>
      <c r="CNR4" s="220"/>
      <c r="CNS4" s="217"/>
      <c r="CNT4" s="217"/>
      <c r="CNU4" s="217"/>
      <c r="CNV4" s="217"/>
      <c r="CNW4" s="217"/>
      <c r="CNX4" s="221"/>
      <c r="CNY4" s="222"/>
      <c r="CNZ4" s="220"/>
      <c r="COA4" s="220"/>
      <c r="COB4" s="220"/>
      <c r="COC4" s="220"/>
      <c r="COD4" s="223"/>
      <c r="COE4" s="223"/>
      <c r="COF4" s="223"/>
      <c r="COG4" s="223"/>
      <c r="COH4" s="223"/>
      <c r="COI4" s="223"/>
      <c r="COJ4" s="223"/>
      <c r="COK4" s="223"/>
      <c r="COL4" s="223"/>
      <c r="COM4" s="224"/>
      <c r="CON4" s="225"/>
      <c r="COO4" s="226"/>
      <c r="COP4" s="224"/>
      <c r="COQ4" s="225"/>
      <c r="COR4" s="225"/>
      <c r="COS4" s="227"/>
      <c r="COT4" s="228"/>
      <c r="COU4" s="228"/>
      <c r="COV4" s="229"/>
      <c r="COW4" s="216"/>
      <c r="COX4" s="219"/>
      <c r="COY4" s="220"/>
      <c r="COZ4" s="217"/>
      <c r="CPA4" s="217"/>
      <c r="CPB4" s="217"/>
      <c r="CPC4" s="217"/>
      <c r="CPD4" s="217"/>
      <c r="CPE4" s="221"/>
      <c r="CPF4" s="222"/>
      <c r="CPG4" s="220"/>
      <c r="CPH4" s="220"/>
      <c r="CPI4" s="220"/>
      <c r="CPJ4" s="220"/>
      <c r="CPK4" s="223"/>
      <c r="CPL4" s="223"/>
      <c r="CPM4" s="223"/>
      <c r="CPN4" s="223"/>
      <c r="CPO4" s="223"/>
      <c r="CPP4" s="223"/>
      <c r="CPQ4" s="223"/>
      <c r="CPR4" s="223"/>
      <c r="CPS4" s="223"/>
      <c r="CPT4" s="224"/>
      <c r="CPU4" s="225"/>
      <c r="CPV4" s="226"/>
      <c r="CPW4" s="224"/>
      <c r="CPX4" s="225"/>
      <c r="CPY4" s="225"/>
      <c r="CPZ4" s="227"/>
      <c r="CQA4" s="228"/>
      <c r="CQB4" s="228"/>
      <c r="CQC4" s="229"/>
      <c r="CQD4" s="216"/>
      <c r="CQE4" s="219"/>
      <c r="CQF4" s="220"/>
      <c r="CQG4" s="217"/>
      <c r="CQH4" s="217"/>
      <c r="CQI4" s="217"/>
      <c r="CQJ4" s="217"/>
      <c r="CQK4" s="217"/>
      <c r="CQL4" s="221"/>
      <c r="CQM4" s="222"/>
      <c r="CQN4" s="220"/>
      <c r="CQO4" s="220"/>
      <c r="CQP4" s="220"/>
      <c r="CQQ4" s="220"/>
      <c r="CQR4" s="223"/>
      <c r="CQS4" s="223"/>
      <c r="CQT4" s="223"/>
      <c r="CQU4" s="223"/>
      <c r="CQV4" s="223"/>
      <c r="CQW4" s="223"/>
      <c r="CQX4" s="223"/>
      <c r="CQY4" s="223"/>
      <c r="CQZ4" s="223"/>
      <c r="CRA4" s="224"/>
      <c r="CRB4" s="225"/>
      <c r="CRC4" s="226"/>
      <c r="CRD4" s="224"/>
      <c r="CRE4" s="225"/>
      <c r="CRF4" s="225"/>
      <c r="CRG4" s="227"/>
      <c r="CRH4" s="228"/>
      <c r="CRI4" s="228"/>
      <c r="CRJ4" s="229"/>
      <c r="CRK4" s="216"/>
      <c r="CRL4" s="219"/>
      <c r="CRM4" s="220"/>
      <c r="CRN4" s="217"/>
      <c r="CRO4" s="217"/>
      <c r="CRP4" s="217"/>
      <c r="CRQ4" s="217"/>
      <c r="CRR4" s="217"/>
      <c r="CRS4" s="221"/>
      <c r="CRT4" s="222"/>
      <c r="CRU4" s="220"/>
      <c r="CRV4" s="220"/>
      <c r="CRW4" s="220"/>
      <c r="CRX4" s="220"/>
      <c r="CRY4" s="223"/>
      <c r="CRZ4" s="223"/>
      <c r="CSA4" s="223"/>
      <c r="CSB4" s="223"/>
      <c r="CSC4" s="223"/>
      <c r="CSD4" s="223"/>
      <c r="CSE4" s="223"/>
      <c r="CSF4" s="223"/>
      <c r="CSG4" s="223"/>
      <c r="CSH4" s="224"/>
      <c r="CSI4" s="225"/>
      <c r="CSJ4" s="226"/>
      <c r="CSK4" s="224"/>
      <c r="CSL4" s="225"/>
      <c r="CSM4" s="225"/>
      <c r="CSN4" s="227"/>
      <c r="CSO4" s="228"/>
      <c r="CSP4" s="228"/>
      <c r="CSQ4" s="229"/>
      <c r="CSR4" s="216"/>
      <c r="CSS4" s="219"/>
      <c r="CST4" s="220"/>
      <c r="CSU4" s="217"/>
      <c r="CSV4" s="217"/>
      <c r="CSW4" s="217"/>
      <c r="CSX4" s="217"/>
      <c r="CSY4" s="217"/>
      <c r="CSZ4" s="221"/>
      <c r="CTA4" s="222"/>
      <c r="CTB4" s="220"/>
      <c r="CTC4" s="220"/>
      <c r="CTD4" s="220"/>
      <c r="CTE4" s="220"/>
      <c r="CTF4" s="223"/>
      <c r="CTG4" s="223"/>
      <c r="CTH4" s="223"/>
      <c r="CTI4" s="223"/>
      <c r="CTJ4" s="223"/>
      <c r="CTK4" s="223"/>
      <c r="CTL4" s="223"/>
      <c r="CTM4" s="223"/>
      <c r="CTN4" s="223"/>
      <c r="CTO4" s="224"/>
      <c r="CTP4" s="225"/>
      <c r="CTQ4" s="226"/>
      <c r="CTR4" s="224"/>
      <c r="CTS4" s="225"/>
      <c r="CTT4" s="225"/>
      <c r="CTU4" s="227"/>
      <c r="CTV4" s="228"/>
      <c r="CTW4" s="228"/>
      <c r="CTX4" s="229"/>
      <c r="CTY4" s="216"/>
      <c r="CTZ4" s="219"/>
      <c r="CUA4" s="220"/>
      <c r="CUB4" s="217"/>
      <c r="CUC4" s="217"/>
      <c r="CUD4" s="217"/>
      <c r="CUE4" s="217"/>
      <c r="CUF4" s="217"/>
      <c r="CUG4" s="221"/>
      <c r="CUH4" s="222"/>
      <c r="CUI4" s="220"/>
      <c r="CUJ4" s="220"/>
      <c r="CUK4" s="220"/>
      <c r="CUL4" s="220"/>
      <c r="CUM4" s="223"/>
      <c r="CUN4" s="223"/>
      <c r="CUO4" s="223"/>
      <c r="CUP4" s="223"/>
      <c r="CUQ4" s="223"/>
      <c r="CUR4" s="223"/>
      <c r="CUS4" s="223"/>
      <c r="CUT4" s="223"/>
      <c r="CUU4" s="223"/>
      <c r="CUV4" s="224"/>
      <c r="CUW4" s="225"/>
      <c r="CUX4" s="226"/>
      <c r="CUY4" s="224"/>
      <c r="CUZ4" s="225"/>
      <c r="CVA4" s="225"/>
      <c r="CVB4" s="227"/>
      <c r="CVC4" s="228"/>
      <c r="CVD4" s="228"/>
      <c r="CVE4" s="229"/>
      <c r="CVF4" s="216"/>
      <c r="CVG4" s="219"/>
      <c r="CVH4" s="220"/>
      <c r="CVI4" s="217"/>
      <c r="CVJ4" s="217"/>
      <c r="CVK4" s="217"/>
      <c r="CVL4" s="217"/>
      <c r="CVM4" s="217"/>
      <c r="CVN4" s="221"/>
      <c r="CVO4" s="222"/>
      <c r="CVP4" s="220"/>
      <c r="CVQ4" s="220"/>
      <c r="CVR4" s="220"/>
      <c r="CVS4" s="220"/>
      <c r="CVT4" s="223"/>
      <c r="CVU4" s="223"/>
      <c r="CVV4" s="223"/>
      <c r="CVW4" s="223"/>
      <c r="CVX4" s="223"/>
      <c r="CVY4" s="223"/>
      <c r="CVZ4" s="223"/>
      <c r="CWA4" s="223"/>
      <c r="CWB4" s="223"/>
      <c r="CWC4" s="224"/>
      <c r="CWD4" s="225"/>
      <c r="CWE4" s="226"/>
      <c r="CWF4" s="224"/>
      <c r="CWG4" s="225"/>
      <c r="CWH4" s="225"/>
      <c r="CWI4" s="227"/>
      <c r="CWJ4" s="228"/>
      <c r="CWK4" s="228"/>
      <c r="CWL4" s="229"/>
      <c r="CWM4" s="216"/>
      <c r="CWN4" s="219"/>
      <c r="CWO4" s="220"/>
      <c r="CWP4" s="217"/>
      <c r="CWQ4" s="217"/>
      <c r="CWR4" s="217"/>
      <c r="CWS4" s="217"/>
      <c r="CWT4" s="217"/>
      <c r="CWU4" s="221"/>
      <c r="CWV4" s="222"/>
      <c r="CWW4" s="220"/>
      <c r="CWX4" s="220"/>
      <c r="CWY4" s="220"/>
      <c r="CWZ4" s="220"/>
      <c r="CXA4" s="223"/>
      <c r="CXB4" s="223"/>
      <c r="CXC4" s="223"/>
      <c r="CXD4" s="223"/>
      <c r="CXE4" s="223"/>
      <c r="CXF4" s="223"/>
      <c r="CXG4" s="223"/>
      <c r="CXH4" s="223"/>
      <c r="CXI4" s="223"/>
      <c r="CXJ4" s="224"/>
      <c r="CXK4" s="225"/>
      <c r="CXL4" s="226"/>
      <c r="CXM4" s="224"/>
      <c r="CXN4" s="225"/>
      <c r="CXO4" s="225"/>
      <c r="CXP4" s="227"/>
      <c r="CXQ4" s="228"/>
      <c r="CXR4" s="228"/>
      <c r="CXS4" s="229"/>
      <c r="CXT4" s="216"/>
      <c r="CXU4" s="219"/>
      <c r="CXV4" s="220"/>
      <c r="CXW4" s="217"/>
      <c r="CXX4" s="217"/>
      <c r="CXY4" s="217"/>
      <c r="CXZ4" s="217"/>
      <c r="CYA4" s="217"/>
      <c r="CYB4" s="221"/>
      <c r="CYC4" s="222"/>
      <c r="CYD4" s="220"/>
      <c r="CYE4" s="220"/>
      <c r="CYF4" s="220"/>
      <c r="CYG4" s="220"/>
      <c r="CYH4" s="223"/>
      <c r="CYI4" s="223"/>
      <c r="CYJ4" s="223"/>
      <c r="CYK4" s="223"/>
      <c r="CYL4" s="223"/>
      <c r="CYM4" s="223"/>
      <c r="CYN4" s="223"/>
      <c r="CYO4" s="223"/>
      <c r="CYP4" s="223"/>
      <c r="CYQ4" s="224"/>
      <c r="CYR4" s="225"/>
      <c r="CYS4" s="226"/>
      <c r="CYT4" s="224"/>
      <c r="CYU4" s="225"/>
      <c r="CYV4" s="225"/>
      <c r="CYW4" s="227"/>
      <c r="CYX4" s="228"/>
      <c r="CYY4" s="228"/>
      <c r="CYZ4" s="229"/>
      <c r="CZA4" s="216"/>
      <c r="CZB4" s="219"/>
      <c r="CZC4" s="220"/>
      <c r="CZD4" s="217"/>
      <c r="CZE4" s="217"/>
      <c r="CZF4" s="217"/>
      <c r="CZG4" s="217"/>
      <c r="CZH4" s="217"/>
      <c r="CZI4" s="221"/>
      <c r="CZJ4" s="222"/>
      <c r="CZK4" s="220"/>
      <c r="CZL4" s="220"/>
      <c r="CZM4" s="220"/>
      <c r="CZN4" s="220"/>
      <c r="CZO4" s="223"/>
      <c r="CZP4" s="223"/>
      <c r="CZQ4" s="223"/>
      <c r="CZR4" s="223"/>
      <c r="CZS4" s="223"/>
      <c r="CZT4" s="223"/>
      <c r="CZU4" s="223"/>
      <c r="CZV4" s="223"/>
      <c r="CZW4" s="223"/>
      <c r="CZX4" s="224"/>
      <c r="CZY4" s="225"/>
      <c r="CZZ4" s="226"/>
      <c r="DAA4" s="224"/>
      <c r="DAB4" s="225"/>
      <c r="DAC4" s="225"/>
      <c r="DAD4" s="227"/>
      <c r="DAE4" s="228"/>
      <c r="DAF4" s="228"/>
      <c r="DAG4" s="229"/>
      <c r="DAH4" s="216"/>
      <c r="DAI4" s="219"/>
      <c r="DAJ4" s="220"/>
      <c r="DAK4" s="217"/>
      <c r="DAL4" s="217"/>
      <c r="DAM4" s="217"/>
      <c r="DAN4" s="217"/>
      <c r="DAO4" s="217"/>
      <c r="DAP4" s="221"/>
      <c r="DAQ4" s="222"/>
      <c r="DAR4" s="220"/>
      <c r="DAS4" s="220"/>
      <c r="DAT4" s="220"/>
      <c r="DAU4" s="220"/>
      <c r="DAV4" s="223"/>
      <c r="DAW4" s="223"/>
      <c r="DAX4" s="223"/>
      <c r="DAY4" s="223"/>
      <c r="DAZ4" s="223"/>
      <c r="DBA4" s="223"/>
      <c r="DBB4" s="223"/>
      <c r="DBC4" s="223"/>
      <c r="DBD4" s="223"/>
      <c r="DBE4" s="224"/>
      <c r="DBF4" s="225"/>
      <c r="DBG4" s="226"/>
      <c r="DBH4" s="224"/>
      <c r="DBI4" s="225"/>
      <c r="DBJ4" s="225"/>
      <c r="DBK4" s="227"/>
      <c r="DBL4" s="228"/>
      <c r="DBM4" s="228"/>
      <c r="DBN4" s="229"/>
      <c r="DBO4" s="216"/>
      <c r="DBP4" s="219"/>
      <c r="DBQ4" s="220"/>
      <c r="DBR4" s="217"/>
      <c r="DBS4" s="217"/>
      <c r="DBT4" s="217"/>
      <c r="DBU4" s="217"/>
      <c r="DBV4" s="217"/>
      <c r="DBW4" s="221"/>
      <c r="DBX4" s="222"/>
      <c r="DBY4" s="220"/>
      <c r="DBZ4" s="220"/>
      <c r="DCA4" s="220"/>
      <c r="DCB4" s="220"/>
      <c r="DCC4" s="223"/>
      <c r="DCD4" s="223"/>
      <c r="DCE4" s="223"/>
      <c r="DCF4" s="223"/>
      <c r="DCG4" s="223"/>
      <c r="DCH4" s="223"/>
      <c r="DCI4" s="223"/>
      <c r="DCJ4" s="223"/>
      <c r="DCK4" s="223"/>
      <c r="DCL4" s="224"/>
      <c r="DCM4" s="225"/>
      <c r="DCN4" s="226"/>
      <c r="DCO4" s="224"/>
      <c r="DCP4" s="225"/>
      <c r="DCQ4" s="225"/>
      <c r="DCR4" s="227"/>
      <c r="DCS4" s="228"/>
      <c r="DCT4" s="228"/>
      <c r="DCU4" s="229"/>
      <c r="DCV4" s="216"/>
      <c r="DCW4" s="219"/>
      <c r="DCX4" s="220"/>
      <c r="DCY4" s="217"/>
      <c r="DCZ4" s="217"/>
      <c r="DDA4" s="217"/>
      <c r="DDB4" s="217"/>
      <c r="DDC4" s="217"/>
      <c r="DDD4" s="221"/>
      <c r="DDE4" s="222"/>
      <c r="DDF4" s="220"/>
      <c r="DDG4" s="220"/>
      <c r="DDH4" s="220"/>
      <c r="DDI4" s="220"/>
      <c r="DDJ4" s="223"/>
      <c r="DDK4" s="223"/>
      <c r="DDL4" s="223"/>
      <c r="DDM4" s="223"/>
      <c r="DDN4" s="223"/>
      <c r="DDO4" s="223"/>
      <c r="DDP4" s="223"/>
      <c r="DDQ4" s="223"/>
      <c r="DDR4" s="223"/>
      <c r="DDS4" s="224"/>
      <c r="DDT4" s="225"/>
      <c r="DDU4" s="226"/>
      <c r="DDV4" s="224"/>
      <c r="DDW4" s="225"/>
      <c r="DDX4" s="225"/>
      <c r="DDY4" s="227"/>
      <c r="DDZ4" s="228"/>
      <c r="DEA4" s="228"/>
      <c r="DEB4" s="229"/>
      <c r="DEC4" s="216"/>
      <c r="DED4" s="219"/>
      <c r="DEE4" s="220"/>
      <c r="DEF4" s="217"/>
      <c r="DEG4" s="217"/>
      <c r="DEH4" s="217"/>
      <c r="DEI4" s="217"/>
      <c r="DEJ4" s="217"/>
      <c r="DEK4" s="221"/>
      <c r="DEL4" s="222"/>
      <c r="DEM4" s="220"/>
      <c r="DEN4" s="220"/>
      <c r="DEO4" s="220"/>
      <c r="DEP4" s="220"/>
      <c r="DEQ4" s="223"/>
      <c r="DER4" s="223"/>
      <c r="DES4" s="223"/>
      <c r="DET4" s="223"/>
      <c r="DEU4" s="223"/>
      <c r="DEV4" s="223"/>
      <c r="DEW4" s="223"/>
      <c r="DEX4" s="223"/>
      <c r="DEY4" s="223"/>
      <c r="DEZ4" s="224"/>
      <c r="DFA4" s="225"/>
      <c r="DFB4" s="226"/>
      <c r="DFC4" s="224"/>
      <c r="DFD4" s="225"/>
      <c r="DFE4" s="225"/>
      <c r="DFF4" s="227"/>
      <c r="DFG4" s="228"/>
      <c r="DFH4" s="228"/>
      <c r="DFI4" s="229"/>
      <c r="DFJ4" s="216"/>
      <c r="DFK4" s="219"/>
      <c r="DFL4" s="220"/>
      <c r="DFM4" s="217"/>
      <c r="DFN4" s="217"/>
      <c r="DFO4" s="217"/>
      <c r="DFP4" s="217"/>
      <c r="DFQ4" s="217"/>
      <c r="DFR4" s="221"/>
      <c r="DFS4" s="222"/>
      <c r="DFT4" s="220"/>
      <c r="DFU4" s="220"/>
      <c r="DFV4" s="220"/>
      <c r="DFW4" s="220"/>
      <c r="DFX4" s="223"/>
      <c r="DFY4" s="223"/>
      <c r="DFZ4" s="223"/>
      <c r="DGA4" s="223"/>
      <c r="DGB4" s="223"/>
      <c r="DGC4" s="223"/>
      <c r="DGD4" s="223"/>
      <c r="DGE4" s="223"/>
      <c r="DGF4" s="223"/>
      <c r="DGG4" s="224"/>
      <c r="DGH4" s="225"/>
      <c r="DGI4" s="226"/>
      <c r="DGJ4" s="224"/>
      <c r="DGK4" s="225"/>
      <c r="DGL4" s="225"/>
      <c r="DGM4" s="227"/>
      <c r="DGN4" s="228"/>
      <c r="DGO4" s="228"/>
      <c r="DGP4" s="229"/>
      <c r="DGQ4" s="216"/>
      <c r="DGR4" s="219"/>
      <c r="DGS4" s="220"/>
      <c r="DGT4" s="217"/>
      <c r="DGU4" s="217"/>
      <c r="DGV4" s="217"/>
      <c r="DGW4" s="217"/>
      <c r="DGX4" s="217"/>
      <c r="DGY4" s="221"/>
      <c r="DGZ4" s="222"/>
      <c r="DHA4" s="220"/>
      <c r="DHB4" s="220"/>
      <c r="DHC4" s="220"/>
      <c r="DHD4" s="220"/>
      <c r="DHE4" s="223"/>
      <c r="DHF4" s="223"/>
      <c r="DHG4" s="223"/>
      <c r="DHH4" s="223"/>
      <c r="DHI4" s="223"/>
      <c r="DHJ4" s="223"/>
      <c r="DHK4" s="223"/>
      <c r="DHL4" s="223"/>
      <c r="DHM4" s="223"/>
      <c r="DHN4" s="224"/>
      <c r="DHO4" s="225"/>
      <c r="DHP4" s="226"/>
      <c r="DHQ4" s="224"/>
      <c r="DHR4" s="225"/>
      <c r="DHS4" s="225"/>
      <c r="DHT4" s="227"/>
      <c r="DHU4" s="228"/>
      <c r="DHV4" s="228"/>
      <c r="DHW4" s="229"/>
      <c r="DHX4" s="216"/>
      <c r="DHY4" s="219"/>
      <c r="DHZ4" s="220"/>
      <c r="DIA4" s="217"/>
      <c r="DIB4" s="217"/>
      <c r="DIC4" s="217"/>
      <c r="DID4" s="217"/>
      <c r="DIE4" s="217"/>
      <c r="DIF4" s="221"/>
      <c r="DIG4" s="222"/>
      <c r="DIH4" s="220"/>
      <c r="DII4" s="220"/>
      <c r="DIJ4" s="220"/>
      <c r="DIK4" s="220"/>
      <c r="DIL4" s="223"/>
      <c r="DIM4" s="223"/>
      <c r="DIN4" s="223"/>
      <c r="DIO4" s="223"/>
      <c r="DIP4" s="223"/>
      <c r="DIQ4" s="223"/>
      <c r="DIR4" s="223"/>
      <c r="DIS4" s="223"/>
      <c r="DIT4" s="223"/>
      <c r="DIU4" s="224"/>
      <c r="DIV4" s="225"/>
      <c r="DIW4" s="226"/>
      <c r="DIX4" s="224"/>
      <c r="DIY4" s="225"/>
      <c r="DIZ4" s="225"/>
      <c r="DJA4" s="227"/>
      <c r="DJB4" s="228"/>
      <c r="DJC4" s="228"/>
      <c r="DJD4" s="229"/>
      <c r="DJE4" s="216"/>
      <c r="DJF4" s="219"/>
      <c r="DJG4" s="220"/>
      <c r="DJH4" s="217"/>
      <c r="DJI4" s="217"/>
      <c r="DJJ4" s="217"/>
      <c r="DJK4" s="217"/>
      <c r="DJL4" s="217"/>
      <c r="DJM4" s="221"/>
      <c r="DJN4" s="222"/>
      <c r="DJO4" s="220"/>
      <c r="DJP4" s="220"/>
      <c r="DJQ4" s="220"/>
      <c r="DJR4" s="220"/>
      <c r="DJS4" s="223"/>
      <c r="DJT4" s="223"/>
      <c r="DJU4" s="223"/>
      <c r="DJV4" s="223"/>
      <c r="DJW4" s="223"/>
      <c r="DJX4" s="223"/>
      <c r="DJY4" s="223"/>
      <c r="DJZ4" s="223"/>
      <c r="DKA4" s="223"/>
      <c r="DKB4" s="224"/>
      <c r="DKC4" s="225"/>
      <c r="DKD4" s="226"/>
      <c r="DKE4" s="224"/>
      <c r="DKF4" s="225"/>
      <c r="DKG4" s="225"/>
      <c r="DKH4" s="227"/>
      <c r="DKI4" s="228"/>
      <c r="DKJ4" s="228"/>
      <c r="DKK4" s="229"/>
      <c r="DKL4" s="216"/>
      <c r="DKM4" s="219"/>
      <c r="DKN4" s="220"/>
      <c r="DKO4" s="217"/>
      <c r="DKP4" s="217"/>
      <c r="DKQ4" s="217"/>
      <c r="DKR4" s="217"/>
      <c r="DKS4" s="217"/>
      <c r="DKT4" s="221"/>
      <c r="DKU4" s="222"/>
      <c r="DKV4" s="220"/>
      <c r="DKW4" s="220"/>
      <c r="DKX4" s="220"/>
      <c r="DKY4" s="220"/>
      <c r="DKZ4" s="223"/>
      <c r="DLA4" s="223"/>
      <c r="DLB4" s="223"/>
      <c r="DLC4" s="223"/>
      <c r="DLD4" s="223"/>
      <c r="DLE4" s="223"/>
      <c r="DLF4" s="223"/>
      <c r="DLG4" s="223"/>
      <c r="DLH4" s="223"/>
      <c r="DLI4" s="224"/>
      <c r="DLJ4" s="225"/>
      <c r="DLK4" s="226"/>
      <c r="DLL4" s="224"/>
      <c r="DLM4" s="225"/>
      <c r="DLN4" s="225"/>
      <c r="DLO4" s="227"/>
      <c r="DLP4" s="228"/>
      <c r="DLQ4" s="228"/>
      <c r="DLR4" s="229"/>
      <c r="DLS4" s="216"/>
      <c r="DLT4" s="219"/>
      <c r="DLU4" s="220"/>
      <c r="DLV4" s="217"/>
      <c r="DLW4" s="217"/>
      <c r="DLX4" s="217"/>
      <c r="DLY4" s="217"/>
      <c r="DLZ4" s="217"/>
      <c r="DMA4" s="221"/>
      <c r="DMB4" s="222"/>
      <c r="DMC4" s="220"/>
      <c r="DMD4" s="220"/>
      <c r="DME4" s="220"/>
      <c r="DMF4" s="220"/>
      <c r="DMG4" s="223"/>
      <c r="DMH4" s="223"/>
      <c r="DMI4" s="223"/>
      <c r="DMJ4" s="223"/>
      <c r="DMK4" s="223"/>
      <c r="DML4" s="223"/>
      <c r="DMM4" s="223"/>
      <c r="DMN4" s="223"/>
      <c r="DMO4" s="223"/>
      <c r="DMP4" s="224"/>
      <c r="DMQ4" s="225"/>
      <c r="DMR4" s="226"/>
      <c r="DMS4" s="224"/>
      <c r="DMT4" s="225"/>
      <c r="DMU4" s="225"/>
      <c r="DMV4" s="227"/>
      <c r="DMW4" s="228"/>
      <c r="DMX4" s="228"/>
      <c r="DMY4" s="229"/>
      <c r="DMZ4" s="216"/>
      <c r="DNA4" s="219"/>
      <c r="DNB4" s="220"/>
      <c r="DNC4" s="217"/>
      <c r="DND4" s="217"/>
      <c r="DNE4" s="217"/>
      <c r="DNF4" s="217"/>
      <c r="DNG4" s="217"/>
      <c r="DNH4" s="221"/>
      <c r="DNI4" s="222"/>
      <c r="DNJ4" s="220"/>
      <c r="DNK4" s="220"/>
      <c r="DNL4" s="220"/>
      <c r="DNM4" s="220"/>
      <c r="DNN4" s="223"/>
      <c r="DNO4" s="223"/>
      <c r="DNP4" s="223"/>
      <c r="DNQ4" s="223"/>
      <c r="DNR4" s="223"/>
      <c r="DNS4" s="223"/>
      <c r="DNT4" s="223"/>
      <c r="DNU4" s="223"/>
      <c r="DNV4" s="223"/>
      <c r="DNW4" s="224"/>
      <c r="DNX4" s="225"/>
      <c r="DNY4" s="226"/>
      <c r="DNZ4" s="224"/>
      <c r="DOA4" s="225"/>
      <c r="DOB4" s="225"/>
      <c r="DOC4" s="227"/>
      <c r="DOD4" s="228"/>
      <c r="DOE4" s="228"/>
      <c r="DOF4" s="229"/>
      <c r="DOG4" s="216"/>
      <c r="DOH4" s="219"/>
      <c r="DOI4" s="220"/>
      <c r="DOJ4" s="217"/>
      <c r="DOK4" s="217"/>
      <c r="DOL4" s="217"/>
      <c r="DOM4" s="217"/>
      <c r="DON4" s="217"/>
      <c r="DOO4" s="221"/>
      <c r="DOP4" s="222"/>
      <c r="DOQ4" s="220"/>
      <c r="DOR4" s="220"/>
      <c r="DOS4" s="220"/>
      <c r="DOT4" s="220"/>
      <c r="DOU4" s="223"/>
      <c r="DOV4" s="223"/>
      <c r="DOW4" s="223"/>
      <c r="DOX4" s="223"/>
      <c r="DOY4" s="223"/>
      <c r="DOZ4" s="223"/>
      <c r="DPA4" s="223"/>
      <c r="DPB4" s="223"/>
      <c r="DPC4" s="223"/>
      <c r="DPD4" s="224"/>
      <c r="DPE4" s="225"/>
      <c r="DPF4" s="226"/>
      <c r="DPG4" s="224"/>
      <c r="DPH4" s="225"/>
      <c r="DPI4" s="225"/>
      <c r="DPJ4" s="227"/>
      <c r="DPK4" s="228"/>
      <c r="DPL4" s="228"/>
      <c r="DPM4" s="229"/>
      <c r="DPN4" s="216"/>
      <c r="DPO4" s="219"/>
      <c r="DPP4" s="220"/>
      <c r="DPQ4" s="217"/>
      <c r="DPR4" s="217"/>
      <c r="DPS4" s="217"/>
      <c r="DPT4" s="217"/>
      <c r="DPU4" s="217"/>
      <c r="DPV4" s="221"/>
      <c r="DPW4" s="222"/>
      <c r="DPX4" s="220"/>
      <c r="DPY4" s="220"/>
      <c r="DPZ4" s="220"/>
      <c r="DQA4" s="220"/>
      <c r="DQB4" s="223"/>
      <c r="DQC4" s="223"/>
      <c r="DQD4" s="223"/>
      <c r="DQE4" s="223"/>
      <c r="DQF4" s="223"/>
      <c r="DQG4" s="223"/>
      <c r="DQH4" s="223"/>
      <c r="DQI4" s="223"/>
      <c r="DQJ4" s="223"/>
      <c r="DQK4" s="224"/>
      <c r="DQL4" s="225"/>
      <c r="DQM4" s="226"/>
      <c r="DQN4" s="224"/>
      <c r="DQO4" s="225"/>
      <c r="DQP4" s="225"/>
      <c r="DQQ4" s="227"/>
      <c r="DQR4" s="228"/>
      <c r="DQS4" s="228"/>
      <c r="DQT4" s="229"/>
      <c r="DQU4" s="216"/>
      <c r="DQV4" s="219"/>
      <c r="DQW4" s="220"/>
      <c r="DQX4" s="217"/>
      <c r="DQY4" s="217"/>
      <c r="DQZ4" s="217"/>
      <c r="DRA4" s="217"/>
      <c r="DRB4" s="217"/>
      <c r="DRC4" s="221"/>
      <c r="DRD4" s="222"/>
      <c r="DRE4" s="220"/>
      <c r="DRF4" s="220"/>
      <c r="DRG4" s="220"/>
      <c r="DRH4" s="220"/>
      <c r="DRI4" s="223"/>
      <c r="DRJ4" s="223"/>
      <c r="DRK4" s="223"/>
      <c r="DRL4" s="223"/>
      <c r="DRM4" s="223"/>
      <c r="DRN4" s="223"/>
      <c r="DRO4" s="223"/>
      <c r="DRP4" s="223"/>
      <c r="DRQ4" s="223"/>
      <c r="DRR4" s="224"/>
      <c r="DRS4" s="225"/>
      <c r="DRT4" s="226"/>
      <c r="DRU4" s="224"/>
      <c r="DRV4" s="225"/>
      <c r="DRW4" s="225"/>
      <c r="DRX4" s="227"/>
      <c r="DRY4" s="228"/>
      <c r="DRZ4" s="228"/>
      <c r="DSA4" s="229"/>
      <c r="DSB4" s="216"/>
      <c r="DSC4" s="219"/>
      <c r="DSD4" s="220"/>
      <c r="DSE4" s="217"/>
      <c r="DSF4" s="217"/>
      <c r="DSG4" s="217"/>
      <c r="DSH4" s="217"/>
      <c r="DSI4" s="217"/>
      <c r="DSJ4" s="221"/>
      <c r="DSK4" s="222"/>
      <c r="DSL4" s="220"/>
      <c r="DSM4" s="220"/>
      <c r="DSN4" s="220"/>
      <c r="DSO4" s="220"/>
      <c r="DSP4" s="223"/>
      <c r="DSQ4" s="223"/>
      <c r="DSR4" s="223"/>
      <c r="DSS4" s="223"/>
      <c r="DST4" s="223"/>
      <c r="DSU4" s="223"/>
      <c r="DSV4" s="223"/>
      <c r="DSW4" s="223"/>
      <c r="DSX4" s="223"/>
      <c r="DSY4" s="224"/>
      <c r="DSZ4" s="225"/>
      <c r="DTA4" s="226"/>
      <c r="DTB4" s="224"/>
      <c r="DTC4" s="225"/>
      <c r="DTD4" s="225"/>
      <c r="DTE4" s="227"/>
      <c r="DTF4" s="228"/>
      <c r="DTG4" s="228"/>
      <c r="DTH4" s="229"/>
      <c r="DTI4" s="216"/>
      <c r="DTJ4" s="219"/>
      <c r="DTK4" s="220"/>
      <c r="DTL4" s="217"/>
      <c r="DTM4" s="217"/>
      <c r="DTN4" s="217"/>
      <c r="DTO4" s="217"/>
      <c r="DTP4" s="217"/>
      <c r="DTQ4" s="221"/>
      <c r="DTR4" s="222"/>
      <c r="DTS4" s="220"/>
      <c r="DTT4" s="220"/>
      <c r="DTU4" s="220"/>
      <c r="DTV4" s="220"/>
      <c r="DTW4" s="223"/>
      <c r="DTX4" s="223"/>
      <c r="DTY4" s="223"/>
      <c r="DTZ4" s="223"/>
      <c r="DUA4" s="223"/>
      <c r="DUB4" s="223"/>
      <c r="DUC4" s="223"/>
      <c r="DUD4" s="223"/>
      <c r="DUE4" s="223"/>
      <c r="DUF4" s="224"/>
      <c r="DUG4" s="225"/>
      <c r="DUH4" s="226"/>
      <c r="DUI4" s="224"/>
      <c r="DUJ4" s="225"/>
      <c r="DUK4" s="225"/>
      <c r="DUL4" s="227"/>
      <c r="DUM4" s="228"/>
      <c r="DUN4" s="228"/>
      <c r="DUO4" s="229"/>
      <c r="DUP4" s="216"/>
      <c r="DUQ4" s="219"/>
      <c r="DUR4" s="220"/>
      <c r="DUS4" s="217"/>
      <c r="DUT4" s="217"/>
      <c r="DUU4" s="217"/>
      <c r="DUV4" s="217"/>
      <c r="DUW4" s="217"/>
      <c r="DUX4" s="221"/>
      <c r="DUY4" s="222"/>
      <c r="DUZ4" s="220"/>
      <c r="DVA4" s="220"/>
      <c r="DVB4" s="220"/>
      <c r="DVC4" s="220"/>
      <c r="DVD4" s="223"/>
      <c r="DVE4" s="223"/>
      <c r="DVF4" s="223"/>
      <c r="DVG4" s="223"/>
      <c r="DVH4" s="223"/>
      <c r="DVI4" s="223"/>
      <c r="DVJ4" s="223"/>
      <c r="DVK4" s="223"/>
      <c r="DVL4" s="223"/>
      <c r="DVM4" s="224"/>
      <c r="DVN4" s="225"/>
      <c r="DVO4" s="226"/>
      <c r="DVP4" s="224"/>
      <c r="DVQ4" s="225"/>
      <c r="DVR4" s="225"/>
      <c r="DVS4" s="227"/>
      <c r="DVT4" s="228"/>
      <c r="DVU4" s="228"/>
      <c r="DVV4" s="229"/>
      <c r="DVW4" s="216"/>
      <c r="DVX4" s="219"/>
      <c r="DVY4" s="220"/>
      <c r="DVZ4" s="217"/>
      <c r="DWA4" s="217"/>
      <c r="DWB4" s="217"/>
      <c r="DWC4" s="217"/>
      <c r="DWD4" s="217"/>
      <c r="DWE4" s="221"/>
      <c r="DWF4" s="222"/>
      <c r="DWG4" s="220"/>
      <c r="DWH4" s="220"/>
      <c r="DWI4" s="220"/>
      <c r="DWJ4" s="220"/>
      <c r="DWK4" s="223"/>
      <c r="DWL4" s="223"/>
      <c r="DWM4" s="223"/>
      <c r="DWN4" s="223"/>
      <c r="DWO4" s="223"/>
      <c r="DWP4" s="223"/>
      <c r="DWQ4" s="223"/>
      <c r="DWR4" s="223"/>
      <c r="DWS4" s="223"/>
      <c r="DWT4" s="224"/>
      <c r="DWU4" s="225"/>
      <c r="DWV4" s="226"/>
      <c r="DWW4" s="224"/>
      <c r="DWX4" s="225"/>
      <c r="DWY4" s="225"/>
      <c r="DWZ4" s="227"/>
      <c r="DXA4" s="228"/>
      <c r="DXB4" s="228"/>
      <c r="DXC4" s="229"/>
      <c r="DXD4" s="216"/>
      <c r="DXE4" s="219"/>
      <c r="DXF4" s="220"/>
      <c r="DXG4" s="217"/>
      <c r="DXH4" s="217"/>
      <c r="DXI4" s="217"/>
      <c r="DXJ4" s="217"/>
      <c r="DXK4" s="217"/>
      <c r="DXL4" s="221"/>
      <c r="DXM4" s="222"/>
      <c r="DXN4" s="220"/>
      <c r="DXO4" s="220"/>
      <c r="DXP4" s="220"/>
      <c r="DXQ4" s="220"/>
      <c r="DXR4" s="223"/>
      <c r="DXS4" s="223"/>
      <c r="DXT4" s="223"/>
      <c r="DXU4" s="223"/>
      <c r="DXV4" s="223"/>
      <c r="DXW4" s="223"/>
      <c r="DXX4" s="223"/>
      <c r="DXY4" s="223"/>
      <c r="DXZ4" s="223"/>
      <c r="DYA4" s="224"/>
      <c r="DYB4" s="225"/>
      <c r="DYC4" s="226"/>
      <c r="DYD4" s="224"/>
      <c r="DYE4" s="225"/>
      <c r="DYF4" s="225"/>
      <c r="DYG4" s="227"/>
      <c r="DYH4" s="228"/>
      <c r="DYI4" s="228"/>
      <c r="DYJ4" s="229"/>
      <c r="DYK4" s="216"/>
      <c r="DYL4" s="219"/>
      <c r="DYM4" s="220"/>
      <c r="DYN4" s="217"/>
      <c r="DYO4" s="217"/>
      <c r="DYP4" s="217"/>
      <c r="DYQ4" s="217"/>
      <c r="DYR4" s="217"/>
      <c r="DYS4" s="221"/>
      <c r="DYT4" s="222"/>
      <c r="DYU4" s="220"/>
      <c r="DYV4" s="220"/>
      <c r="DYW4" s="220"/>
      <c r="DYX4" s="220"/>
      <c r="DYY4" s="223"/>
      <c r="DYZ4" s="223"/>
      <c r="DZA4" s="223"/>
      <c r="DZB4" s="223"/>
      <c r="DZC4" s="223"/>
      <c r="DZD4" s="223"/>
      <c r="DZE4" s="223"/>
      <c r="DZF4" s="223"/>
      <c r="DZG4" s="223"/>
      <c r="DZH4" s="224"/>
      <c r="DZI4" s="225"/>
      <c r="DZJ4" s="226"/>
      <c r="DZK4" s="224"/>
      <c r="DZL4" s="225"/>
      <c r="DZM4" s="225"/>
      <c r="DZN4" s="227"/>
      <c r="DZO4" s="228"/>
      <c r="DZP4" s="228"/>
      <c r="DZQ4" s="229"/>
      <c r="DZR4" s="216"/>
      <c r="DZS4" s="219"/>
      <c r="DZT4" s="220"/>
      <c r="DZU4" s="217"/>
      <c r="DZV4" s="217"/>
      <c r="DZW4" s="217"/>
      <c r="DZX4" s="217"/>
      <c r="DZY4" s="217"/>
      <c r="DZZ4" s="221"/>
      <c r="EAA4" s="222"/>
      <c r="EAB4" s="220"/>
      <c r="EAC4" s="220"/>
      <c r="EAD4" s="220"/>
      <c r="EAE4" s="220"/>
      <c r="EAF4" s="223"/>
      <c r="EAG4" s="223"/>
      <c r="EAH4" s="223"/>
      <c r="EAI4" s="223"/>
      <c r="EAJ4" s="223"/>
      <c r="EAK4" s="223"/>
      <c r="EAL4" s="223"/>
      <c r="EAM4" s="223"/>
      <c r="EAN4" s="223"/>
      <c r="EAO4" s="224"/>
      <c r="EAP4" s="225"/>
      <c r="EAQ4" s="226"/>
      <c r="EAR4" s="224"/>
      <c r="EAS4" s="225"/>
      <c r="EAT4" s="225"/>
      <c r="EAU4" s="227"/>
      <c r="EAV4" s="228"/>
      <c r="EAW4" s="228"/>
      <c r="EAX4" s="229"/>
      <c r="EAY4" s="216"/>
      <c r="EAZ4" s="219"/>
      <c r="EBA4" s="220"/>
      <c r="EBB4" s="217"/>
      <c r="EBC4" s="217"/>
      <c r="EBD4" s="217"/>
      <c r="EBE4" s="217"/>
      <c r="EBF4" s="217"/>
      <c r="EBG4" s="221"/>
      <c r="EBH4" s="222"/>
      <c r="EBI4" s="220"/>
      <c r="EBJ4" s="220"/>
      <c r="EBK4" s="220"/>
      <c r="EBL4" s="220"/>
      <c r="EBM4" s="223"/>
      <c r="EBN4" s="223"/>
      <c r="EBO4" s="223"/>
      <c r="EBP4" s="223"/>
      <c r="EBQ4" s="223"/>
      <c r="EBR4" s="223"/>
      <c r="EBS4" s="223"/>
      <c r="EBT4" s="223"/>
      <c r="EBU4" s="223"/>
      <c r="EBV4" s="224"/>
      <c r="EBW4" s="225"/>
      <c r="EBX4" s="226"/>
      <c r="EBY4" s="224"/>
      <c r="EBZ4" s="225"/>
      <c r="ECA4" s="225"/>
      <c r="ECB4" s="227"/>
      <c r="ECC4" s="228"/>
      <c r="ECD4" s="228"/>
      <c r="ECE4" s="229"/>
      <c r="ECF4" s="216"/>
      <c r="ECG4" s="219"/>
      <c r="ECH4" s="220"/>
      <c r="ECI4" s="217"/>
      <c r="ECJ4" s="217"/>
      <c r="ECK4" s="217"/>
      <c r="ECL4" s="217"/>
      <c r="ECM4" s="217"/>
      <c r="ECN4" s="221"/>
      <c r="ECO4" s="222"/>
      <c r="ECP4" s="220"/>
      <c r="ECQ4" s="220"/>
      <c r="ECR4" s="220"/>
      <c r="ECS4" s="220"/>
      <c r="ECT4" s="223"/>
      <c r="ECU4" s="223"/>
      <c r="ECV4" s="223"/>
      <c r="ECW4" s="223"/>
      <c r="ECX4" s="223"/>
      <c r="ECY4" s="223"/>
      <c r="ECZ4" s="223"/>
      <c r="EDA4" s="223"/>
      <c r="EDB4" s="223"/>
      <c r="EDC4" s="224"/>
      <c r="EDD4" s="225"/>
      <c r="EDE4" s="226"/>
      <c r="EDF4" s="224"/>
      <c r="EDG4" s="225"/>
      <c r="EDH4" s="225"/>
      <c r="EDI4" s="227"/>
      <c r="EDJ4" s="228"/>
      <c r="EDK4" s="228"/>
      <c r="EDL4" s="229"/>
      <c r="EDM4" s="216"/>
      <c r="EDN4" s="219"/>
      <c r="EDO4" s="220"/>
      <c r="EDP4" s="217"/>
      <c r="EDQ4" s="217"/>
      <c r="EDR4" s="217"/>
      <c r="EDS4" s="217"/>
      <c r="EDT4" s="217"/>
      <c r="EDU4" s="221"/>
      <c r="EDV4" s="222"/>
      <c r="EDW4" s="220"/>
      <c r="EDX4" s="220"/>
      <c r="EDY4" s="220"/>
      <c r="EDZ4" s="220"/>
      <c r="EEA4" s="223"/>
      <c r="EEB4" s="223"/>
      <c r="EEC4" s="223"/>
      <c r="EED4" s="223"/>
      <c r="EEE4" s="223"/>
      <c r="EEF4" s="223"/>
      <c r="EEG4" s="223"/>
      <c r="EEH4" s="223"/>
      <c r="EEI4" s="223"/>
      <c r="EEJ4" s="224"/>
      <c r="EEK4" s="225"/>
      <c r="EEL4" s="226"/>
      <c r="EEM4" s="224"/>
      <c r="EEN4" s="225"/>
      <c r="EEO4" s="225"/>
      <c r="EEP4" s="227"/>
      <c r="EEQ4" s="228"/>
      <c r="EER4" s="228"/>
      <c r="EES4" s="229"/>
      <c r="EET4" s="216"/>
      <c r="EEU4" s="219"/>
      <c r="EEV4" s="220"/>
      <c r="EEW4" s="217"/>
      <c r="EEX4" s="217"/>
      <c r="EEY4" s="217"/>
      <c r="EEZ4" s="217"/>
      <c r="EFA4" s="217"/>
      <c r="EFB4" s="221"/>
      <c r="EFC4" s="222"/>
      <c r="EFD4" s="220"/>
      <c r="EFE4" s="220"/>
      <c r="EFF4" s="220"/>
      <c r="EFG4" s="220"/>
      <c r="EFH4" s="223"/>
      <c r="EFI4" s="223"/>
      <c r="EFJ4" s="223"/>
      <c r="EFK4" s="223"/>
      <c r="EFL4" s="223"/>
      <c r="EFM4" s="223"/>
      <c r="EFN4" s="223"/>
      <c r="EFO4" s="223"/>
      <c r="EFP4" s="223"/>
      <c r="EFQ4" s="224"/>
      <c r="EFR4" s="225"/>
      <c r="EFS4" s="226"/>
      <c r="EFT4" s="224"/>
      <c r="EFU4" s="225"/>
      <c r="EFV4" s="225"/>
      <c r="EFW4" s="227"/>
      <c r="EFX4" s="228"/>
      <c r="EFY4" s="228"/>
      <c r="EFZ4" s="229"/>
      <c r="EGA4" s="216"/>
      <c r="EGB4" s="219"/>
      <c r="EGC4" s="220"/>
      <c r="EGD4" s="217"/>
      <c r="EGE4" s="217"/>
      <c r="EGF4" s="217"/>
      <c r="EGG4" s="217"/>
      <c r="EGH4" s="217"/>
      <c r="EGI4" s="221"/>
      <c r="EGJ4" s="222"/>
      <c r="EGK4" s="220"/>
      <c r="EGL4" s="220"/>
      <c r="EGM4" s="220"/>
      <c r="EGN4" s="220"/>
      <c r="EGO4" s="223"/>
      <c r="EGP4" s="223"/>
      <c r="EGQ4" s="223"/>
      <c r="EGR4" s="223"/>
      <c r="EGS4" s="223"/>
      <c r="EGT4" s="223"/>
      <c r="EGU4" s="223"/>
      <c r="EGV4" s="223"/>
      <c r="EGW4" s="223"/>
      <c r="EGX4" s="224"/>
      <c r="EGY4" s="225"/>
      <c r="EGZ4" s="226"/>
      <c r="EHA4" s="224"/>
      <c r="EHB4" s="225"/>
      <c r="EHC4" s="225"/>
      <c r="EHD4" s="227"/>
      <c r="EHE4" s="228"/>
      <c r="EHF4" s="228"/>
      <c r="EHG4" s="229"/>
      <c r="EHH4" s="216"/>
      <c r="EHI4" s="219"/>
      <c r="EHJ4" s="220"/>
      <c r="EHK4" s="217"/>
      <c r="EHL4" s="217"/>
      <c r="EHM4" s="217"/>
      <c r="EHN4" s="217"/>
      <c r="EHO4" s="217"/>
      <c r="EHP4" s="221"/>
      <c r="EHQ4" s="222"/>
      <c r="EHR4" s="220"/>
      <c r="EHS4" s="220"/>
      <c r="EHT4" s="220"/>
      <c r="EHU4" s="220"/>
      <c r="EHV4" s="223"/>
      <c r="EHW4" s="223"/>
      <c r="EHX4" s="223"/>
      <c r="EHY4" s="223"/>
      <c r="EHZ4" s="223"/>
      <c r="EIA4" s="223"/>
      <c r="EIB4" s="223"/>
      <c r="EIC4" s="223"/>
      <c r="EID4" s="223"/>
      <c r="EIE4" s="224"/>
      <c r="EIF4" s="225"/>
      <c r="EIG4" s="226"/>
      <c r="EIH4" s="224"/>
      <c r="EII4" s="225"/>
      <c r="EIJ4" s="225"/>
      <c r="EIK4" s="227"/>
      <c r="EIL4" s="228"/>
      <c r="EIM4" s="228"/>
      <c r="EIN4" s="229"/>
      <c r="EIO4" s="216"/>
      <c r="EIP4" s="219"/>
      <c r="EIQ4" s="220"/>
      <c r="EIR4" s="217"/>
      <c r="EIS4" s="217"/>
      <c r="EIT4" s="217"/>
      <c r="EIU4" s="217"/>
      <c r="EIV4" s="217"/>
      <c r="EIW4" s="221"/>
      <c r="EIX4" s="222"/>
      <c r="EIY4" s="220"/>
      <c r="EIZ4" s="220"/>
      <c r="EJA4" s="220"/>
      <c r="EJB4" s="220"/>
      <c r="EJC4" s="223"/>
      <c r="EJD4" s="223"/>
      <c r="EJE4" s="223"/>
      <c r="EJF4" s="223"/>
      <c r="EJG4" s="223"/>
      <c r="EJH4" s="223"/>
      <c r="EJI4" s="223"/>
      <c r="EJJ4" s="223"/>
      <c r="EJK4" s="223"/>
      <c r="EJL4" s="224"/>
      <c r="EJM4" s="225"/>
      <c r="EJN4" s="226"/>
      <c r="EJO4" s="224"/>
      <c r="EJP4" s="225"/>
      <c r="EJQ4" s="225"/>
      <c r="EJR4" s="227"/>
      <c r="EJS4" s="228"/>
      <c r="EJT4" s="228"/>
      <c r="EJU4" s="229"/>
      <c r="EJV4" s="216"/>
      <c r="EJW4" s="219"/>
      <c r="EJX4" s="220"/>
      <c r="EJY4" s="217"/>
      <c r="EJZ4" s="217"/>
      <c r="EKA4" s="217"/>
      <c r="EKB4" s="217"/>
      <c r="EKC4" s="217"/>
      <c r="EKD4" s="221"/>
      <c r="EKE4" s="222"/>
      <c r="EKF4" s="220"/>
      <c r="EKG4" s="220"/>
      <c r="EKH4" s="220"/>
      <c r="EKI4" s="220"/>
      <c r="EKJ4" s="223"/>
      <c r="EKK4" s="223"/>
      <c r="EKL4" s="223"/>
      <c r="EKM4" s="223"/>
      <c r="EKN4" s="223"/>
      <c r="EKO4" s="223"/>
      <c r="EKP4" s="223"/>
      <c r="EKQ4" s="223"/>
      <c r="EKR4" s="223"/>
      <c r="EKS4" s="224"/>
      <c r="EKT4" s="225"/>
      <c r="EKU4" s="226"/>
      <c r="EKV4" s="224"/>
      <c r="EKW4" s="225"/>
      <c r="EKX4" s="225"/>
      <c r="EKY4" s="227"/>
      <c r="EKZ4" s="228"/>
      <c r="ELA4" s="228"/>
      <c r="ELB4" s="229"/>
      <c r="ELC4" s="216"/>
      <c r="ELD4" s="219"/>
      <c r="ELE4" s="220"/>
      <c r="ELF4" s="217"/>
      <c r="ELG4" s="217"/>
      <c r="ELH4" s="217"/>
      <c r="ELI4" s="217"/>
      <c r="ELJ4" s="217"/>
      <c r="ELK4" s="221"/>
      <c r="ELL4" s="222"/>
      <c r="ELM4" s="220"/>
      <c r="ELN4" s="220"/>
      <c r="ELO4" s="220"/>
      <c r="ELP4" s="220"/>
      <c r="ELQ4" s="223"/>
      <c r="ELR4" s="223"/>
      <c r="ELS4" s="223"/>
      <c r="ELT4" s="223"/>
      <c r="ELU4" s="223"/>
      <c r="ELV4" s="223"/>
      <c r="ELW4" s="223"/>
      <c r="ELX4" s="223"/>
      <c r="ELY4" s="223"/>
      <c r="ELZ4" s="224"/>
      <c r="EMA4" s="225"/>
      <c r="EMB4" s="226"/>
      <c r="EMC4" s="224"/>
      <c r="EMD4" s="225"/>
      <c r="EME4" s="225"/>
      <c r="EMF4" s="227"/>
      <c r="EMG4" s="228"/>
      <c r="EMH4" s="228"/>
      <c r="EMI4" s="229"/>
      <c r="EMJ4" s="216"/>
      <c r="EMK4" s="219"/>
      <c r="EML4" s="220"/>
      <c r="EMM4" s="217"/>
      <c r="EMN4" s="217"/>
      <c r="EMO4" s="217"/>
      <c r="EMP4" s="217"/>
      <c r="EMQ4" s="217"/>
      <c r="EMR4" s="221"/>
      <c r="EMS4" s="222"/>
      <c r="EMT4" s="220"/>
      <c r="EMU4" s="220"/>
      <c r="EMV4" s="220"/>
      <c r="EMW4" s="220"/>
      <c r="EMX4" s="223"/>
      <c r="EMY4" s="223"/>
      <c r="EMZ4" s="223"/>
      <c r="ENA4" s="223"/>
      <c r="ENB4" s="223"/>
      <c r="ENC4" s="223"/>
      <c r="END4" s="223"/>
      <c r="ENE4" s="223"/>
      <c r="ENF4" s="223"/>
      <c r="ENG4" s="224"/>
      <c r="ENH4" s="225"/>
      <c r="ENI4" s="226"/>
      <c r="ENJ4" s="224"/>
      <c r="ENK4" s="225"/>
      <c r="ENL4" s="225"/>
      <c r="ENM4" s="227"/>
      <c r="ENN4" s="228"/>
      <c r="ENO4" s="228"/>
      <c r="ENP4" s="229"/>
      <c r="ENQ4" s="216"/>
      <c r="ENR4" s="219"/>
      <c r="ENS4" s="220"/>
      <c r="ENT4" s="217"/>
      <c r="ENU4" s="217"/>
      <c r="ENV4" s="217"/>
      <c r="ENW4" s="217"/>
      <c r="ENX4" s="217"/>
      <c r="ENY4" s="221"/>
      <c r="ENZ4" s="222"/>
      <c r="EOA4" s="220"/>
      <c r="EOB4" s="220"/>
      <c r="EOC4" s="220"/>
      <c r="EOD4" s="220"/>
      <c r="EOE4" s="223"/>
      <c r="EOF4" s="223"/>
      <c r="EOG4" s="223"/>
      <c r="EOH4" s="223"/>
      <c r="EOI4" s="223"/>
      <c r="EOJ4" s="223"/>
      <c r="EOK4" s="223"/>
      <c r="EOL4" s="223"/>
      <c r="EOM4" s="223"/>
      <c r="EON4" s="224"/>
      <c r="EOO4" s="225"/>
      <c r="EOP4" s="226"/>
      <c r="EOQ4" s="224"/>
      <c r="EOR4" s="225"/>
      <c r="EOS4" s="225"/>
      <c r="EOT4" s="227"/>
      <c r="EOU4" s="228"/>
      <c r="EOV4" s="228"/>
      <c r="EOW4" s="229"/>
      <c r="EOX4" s="216"/>
      <c r="EOY4" s="219"/>
      <c r="EOZ4" s="220"/>
      <c r="EPA4" s="217"/>
      <c r="EPB4" s="217"/>
      <c r="EPC4" s="217"/>
      <c r="EPD4" s="217"/>
      <c r="EPE4" s="217"/>
      <c r="EPF4" s="221"/>
      <c r="EPG4" s="222"/>
      <c r="EPH4" s="220"/>
      <c r="EPI4" s="220"/>
      <c r="EPJ4" s="220"/>
      <c r="EPK4" s="220"/>
      <c r="EPL4" s="223"/>
      <c r="EPM4" s="223"/>
      <c r="EPN4" s="223"/>
      <c r="EPO4" s="223"/>
      <c r="EPP4" s="223"/>
      <c r="EPQ4" s="223"/>
      <c r="EPR4" s="223"/>
      <c r="EPS4" s="223"/>
      <c r="EPT4" s="223"/>
      <c r="EPU4" s="224"/>
      <c r="EPV4" s="225"/>
      <c r="EPW4" s="226"/>
      <c r="EPX4" s="224"/>
      <c r="EPY4" s="225"/>
      <c r="EPZ4" s="225"/>
      <c r="EQA4" s="227"/>
      <c r="EQB4" s="228"/>
      <c r="EQC4" s="228"/>
      <c r="EQD4" s="229"/>
      <c r="EQE4" s="216"/>
      <c r="EQF4" s="219"/>
      <c r="EQG4" s="220"/>
      <c r="EQH4" s="217"/>
      <c r="EQI4" s="217"/>
      <c r="EQJ4" s="217"/>
      <c r="EQK4" s="217"/>
      <c r="EQL4" s="217"/>
      <c r="EQM4" s="221"/>
      <c r="EQN4" s="222"/>
      <c r="EQO4" s="220"/>
      <c r="EQP4" s="220"/>
      <c r="EQQ4" s="220"/>
      <c r="EQR4" s="220"/>
      <c r="EQS4" s="223"/>
      <c r="EQT4" s="223"/>
      <c r="EQU4" s="223"/>
      <c r="EQV4" s="223"/>
      <c r="EQW4" s="223"/>
      <c r="EQX4" s="223"/>
      <c r="EQY4" s="223"/>
      <c r="EQZ4" s="223"/>
      <c r="ERA4" s="223"/>
      <c r="ERB4" s="224"/>
      <c r="ERC4" s="225"/>
      <c r="ERD4" s="226"/>
      <c r="ERE4" s="224"/>
      <c r="ERF4" s="225"/>
      <c r="ERG4" s="225"/>
      <c r="ERH4" s="227"/>
      <c r="ERI4" s="228"/>
      <c r="ERJ4" s="228"/>
      <c r="ERK4" s="229"/>
      <c r="ERL4" s="216"/>
      <c r="ERM4" s="219"/>
      <c r="ERN4" s="220"/>
      <c r="ERO4" s="217"/>
      <c r="ERP4" s="217"/>
      <c r="ERQ4" s="217"/>
      <c r="ERR4" s="217"/>
      <c r="ERS4" s="217"/>
      <c r="ERT4" s="221"/>
      <c r="ERU4" s="222"/>
      <c r="ERV4" s="220"/>
      <c r="ERW4" s="220"/>
      <c r="ERX4" s="220"/>
      <c r="ERY4" s="220"/>
      <c r="ERZ4" s="223"/>
      <c r="ESA4" s="223"/>
      <c r="ESB4" s="223"/>
      <c r="ESC4" s="223"/>
      <c r="ESD4" s="223"/>
      <c r="ESE4" s="223"/>
      <c r="ESF4" s="223"/>
      <c r="ESG4" s="223"/>
      <c r="ESH4" s="223"/>
      <c r="ESI4" s="224"/>
      <c r="ESJ4" s="225"/>
      <c r="ESK4" s="226"/>
      <c r="ESL4" s="224"/>
      <c r="ESM4" s="225"/>
      <c r="ESN4" s="225"/>
      <c r="ESO4" s="227"/>
      <c r="ESP4" s="228"/>
      <c r="ESQ4" s="228"/>
      <c r="ESR4" s="229"/>
      <c r="ESS4" s="216"/>
      <c r="EST4" s="219"/>
      <c r="ESU4" s="220"/>
      <c r="ESV4" s="217"/>
      <c r="ESW4" s="217"/>
      <c r="ESX4" s="217"/>
      <c r="ESY4" s="217"/>
      <c r="ESZ4" s="217"/>
      <c r="ETA4" s="221"/>
      <c r="ETB4" s="222"/>
      <c r="ETC4" s="220"/>
      <c r="ETD4" s="220"/>
      <c r="ETE4" s="220"/>
      <c r="ETF4" s="220"/>
      <c r="ETG4" s="223"/>
      <c r="ETH4" s="223"/>
      <c r="ETI4" s="223"/>
      <c r="ETJ4" s="223"/>
      <c r="ETK4" s="223"/>
      <c r="ETL4" s="223"/>
      <c r="ETM4" s="223"/>
      <c r="ETN4" s="223"/>
      <c r="ETO4" s="223"/>
      <c r="ETP4" s="224"/>
      <c r="ETQ4" s="225"/>
      <c r="ETR4" s="226"/>
      <c r="ETS4" s="224"/>
      <c r="ETT4" s="225"/>
      <c r="ETU4" s="225"/>
      <c r="ETV4" s="227"/>
      <c r="ETW4" s="228"/>
      <c r="ETX4" s="228"/>
      <c r="ETY4" s="229"/>
      <c r="ETZ4" s="216"/>
      <c r="EUA4" s="219"/>
      <c r="EUB4" s="220"/>
      <c r="EUC4" s="217"/>
      <c r="EUD4" s="217"/>
      <c r="EUE4" s="217"/>
      <c r="EUF4" s="217"/>
      <c r="EUG4" s="217"/>
      <c r="EUH4" s="221"/>
      <c r="EUI4" s="222"/>
      <c r="EUJ4" s="220"/>
      <c r="EUK4" s="220"/>
      <c r="EUL4" s="220"/>
      <c r="EUM4" s="220"/>
      <c r="EUN4" s="223"/>
      <c r="EUO4" s="223"/>
      <c r="EUP4" s="223"/>
      <c r="EUQ4" s="223"/>
      <c r="EUR4" s="223"/>
      <c r="EUS4" s="223"/>
      <c r="EUT4" s="223"/>
      <c r="EUU4" s="223"/>
      <c r="EUV4" s="223"/>
      <c r="EUW4" s="224"/>
      <c r="EUX4" s="225"/>
      <c r="EUY4" s="226"/>
      <c r="EUZ4" s="224"/>
      <c r="EVA4" s="225"/>
      <c r="EVB4" s="225"/>
      <c r="EVC4" s="227"/>
      <c r="EVD4" s="228"/>
      <c r="EVE4" s="228"/>
      <c r="EVF4" s="229"/>
      <c r="EVG4" s="216"/>
      <c r="EVH4" s="219"/>
      <c r="EVI4" s="220"/>
      <c r="EVJ4" s="217"/>
      <c r="EVK4" s="217"/>
      <c r="EVL4" s="217"/>
      <c r="EVM4" s="217"/>
      <c r="EVN4" s="217"/>
      <c r="EVO4" s="221"/>
      <c r="EVP4" s="222"/>
      <c r="EVQ4" s="220"/>
      <c r="EVR4" s="220"/>
      <c r="EVS4" s="220"/>
      <c r="EVT4" s="220"/>
      <c r="EVU4" s="223"/>
      <c r="EVV4" s="223"/>
      <c r="EVW4" s="223"/>
      <c r="EVX4" s="223"/>
      <c r="EVY4" s="223"/>
      <c r="EVZ4" s="223"/>
      <c r="EWA4" s="223"/>
      <c r="EWB4" s="223"/>
      <c r="EWC4" s="223"/>
      <c r="EWD4" s="224"/>
      <c r="EWE4" s="225"/>
      <c r="EWF4" s="226"/>
      <c r="EWG4" s="224"/>
      <c r="EWH4" s="225"/>
      <c r="EWI4" s="225"/>
      <c r="EWJ4" s="227"/>
      <c r="EWK4" s="228"/>
      <c r="EWL4" s="228"/>
      <c r="EWM4" s="229"/>
      <c r="EWN4" s="216"/>
      <c r="EWO4" s="219"/>
      <c r="EWP4" s="220"/>
      <c r="EWQ4" s="217"/>
      <c r="EWR4" s="217"/>
      <c r="EWS4" s="217"/>
      <c r="EWT4" s="217"/>
      <c r="EWU4" s="217"/>
      <c r="EWV4" s="221"/>
      <c r="EWW4" s="222"/>
      <c r="EWX4" s="220"/>
      <c r="EWY4" s="220"/>
      <c r="EWZ4" s="220"/>
      <c r="EXA4" s="220"/>
      <c r="EXB4" s="223"/>
      <c r="EXC4" s="223"/>
      <c r="EXD4" s="223"/>
      <c r="EXE4" s="223"/>
      <c r="EXF4" s="223"/>
      <c r="EXG4" s="223"/>
      <c r="EXH4" s="223"/>
      <c r="EXI4" s="223"/>
      <c r="EXJ4" s="223"/>
      <c r="EXK4" s="224"/>
      <c r="EXL4" s="225"/>
      <c r="EXM4" s="226"/>
      <c r="EXN4" s="224"/>
      <c r="EXO4" s="225"/>
      <c r="EXP4" s="225"/>
      <c r="EXQ4" s="227"/>
      <c r="EXR4" s="228"/>
      <c r="EXS4" s="228"/>
      <c r="EXT4" s="229"/>
      <c r="EXU4" s="216"/>
      <c r="EXV4" s="219"/>
      <c r="EXW4" s="220"/>
      <c r="EXX4" s="217"/>
      <c r="EXY4" s="217"/>
      <c r="EXZ4" s="217"/>
      <c r="EYA4" s="217"/>
      <c r="EYB4" s="217"/>
      <c r="EYC4" s="221"/>
      <c r="EYD4" s="222"/>
      <c r="EYE4" s="220"/>
      <c r="EYF4" s="220"/>
      <c r="EYG4" s="220"/>
      <c r="EYH4" s="220"/>
      <c r="EYI4" s="223"/>
      <c r="EYJ4" s="223"/>
      <c r="EYK4" s="223"/>
      <c r="EYL4" s="223"/>
      <c r="EYM4" s="223"/>
      <c r="EYN4" s="223"/>
      <c r="EYO4" s="223"/>
      <c r="EYP4" s="223"/>
      <c r="EYQ4" s="223"/>
      <c r="EYR4" s="224"/>
      <c r="EYS4" s="225"/>
      <c r="EYT4" s="226"/>
      <c r="EYU4" s="224"/>
      <c r="EYV4" s="225"/>
      <c r="EYW4" s="225"/>
      <c r="EYX4" s="227"/>
      <c r="EYY4" s="228"/>
      <c r="EYZ4" s="228"/>
      <c r="EZA4" s="229"/>
      <c r="EZB4" s="216"/>
      <c r="EZC4" s="219"/>
      <c r="EZD4" s="220"/>
      <c r="EZE4" s="217"/>
      <c r="EZF4" s="217"/>
      <c r="EZG4" s="217"/>
      <c r="EZH4" s="217"/>
      <c r="EZI4" s="217"/>
      <c r="EZJ4" s="221"/>
      <c r="EZK4" s="222"/>
      <c r="EZL4" s="220"/>
      <c r="EZM4" s="220"/>
      <c r="EZN4" s="220"/>
      <c r="EZO4" s="220"/>
      <c r="EZP4" s="223"/>
      <c r="EZQ4" s="223"/>
      <c r="EZR4" s="223"/>
      <c r="EZS4" s="223"/>
      <c r="EZT4" s="223"/>
      <c r="EZU4" s="223"/>
      <c r="EZV4" s="223"/>
      <c r="EZW4" s="223"/>
      <c r="EZX4" s="223"/>
      <c r="EZY4" s="224"/>
      <c r="EZZ4" s="225"/>
      <c r="FAA4" s="226"/>
      <c r="FAB4" s="224"/>
      <c r="FAC4" s="225"/>
      <c r="FAD4" s="225"/>
      <c r="FAE4" s="227"/>
      <c r="FAF4" s="228"/>
      <c r="FAG4" s="228"/>
      <c r="FAH4" s="229"/>
      <c r="FAI4" s="216"/>
      <c r="FAJ4" s="219"/>
      <c r="FAK4" s="220"/>
      <c r="FAL4" s="217"/>
      <c r="FAM4" s="217"/>
      <c r="FAN4" s="217"/>
      <c r="FAO4" s="217"/>
      <c r="FAP4" s="217"/>
      <c r="FAQ4" s="221"/>
      <c r="FAR4" s="222"/>
      <c r="FAS4" s="220"/>
      <c r="FAT4" s="220"/>
      <c r="FAU4" s="220"/>
      <c r="FAV4" s="220"/>
      <c r="FAW4" s="223"/>
      <c r="FAX4" s="223"/>
      <c r="FAY4" s="223"/>
      <c r="FAZ4" s="223"/>
      <c r="FBA4" s="223"/>
      <c r="FBB4" s="223"/>
      <c r="FBC4" s="223"/>
      <c r="FBD4" s="223"/>
      <c r="FBE4" s="223"/>
      <c r="FBF4" s="224"/>
      <c r="FBG4" s="225"/>
      <c r="FBH4" s="226"/>
      <c r="FBI4" s="224"/>
      <c r="FBJ4" s="225"/>
      <c r="FBK4" s="225"/>
      <c r="FBL4" s="227"/>
      <c r="FBM4" s="228"/>
      <c r="FBN4" s="228"/>
      <c r="FBO4" s="229"/>
      <c r="FBP4" s="216"/>
      <c r="FBQ4" s="219"/>
      <c r="FBR4" s="220"/>
      <c r="FBS4" s="217"/>
      <c r="FBT4" s="217"/>
      <c r="FBU4" s="217"/>
      <c r="FBV4" s="217"/>
      <c r="FBW4" s="217"/>
      <c r="FBX4" s="221"/>
      <c r="FBY4" s="222"/>
      <c r="FBZ4" s="220"/>
      <c r="FCA4" s="220"/>
      <c r="FCB4" s="220"/>
      <c r="FCC4" s="220"/>
      <c r="FCD4" s="223"/>
      <c r="FCE4" s="223"/>
      <c r="FCF4" s="223"/>
      <c r="FCG4" s="223"/>
      <c r="FCH4" s="223"/>
      <c r="FCI4" s="223"/>
      <c r="FCJ4" s="223"/>
      <c r="FCK4" s="223"/>
      <c r="FCL4" s="223"/>
      <c r="FCM4" s="224"/>
      <c r="FCN4" s="225"/>
      <c r="FCO4" s="226"/>
      <c r="FCP4" s="224"/>
      <c r="FCQ4" s="225"/>
      <c r="FCR4" s="225"/>
      <c r="FCS4" s="227"/>
      <c r="FCT4" s="228"/>
      <c r="FCU4" s="228"/>
      <c r="FCV4" s="229"/>
      <c r="FCW4" s="216"/>
      <c r="FCX4" s="219"/>
      <c r="FCY4" s="220"/>
      <c r="FCZ4" s="217"/>
      <c r="FDA4" s="217"/>
      <c r="FDB4" s="217"/>
      <c r="FDC4" s="217"/>
      <c r="FDD4" s="217"/>
      <c r="FDE4" s="221"/>
      <c r="FDF4" s="222"/>
      <c r="FDG4" s="220"/>
      <c r="FDH4" s="220"/>
      <c r="FDI4" s="220"/>
      <c r="FDJ4" s="220"/>
      <c r="FDK4" s="223"/>
      <c r="FDL4" s="223"/>
      <c r="FDM4" s="223"/>
      <c r="FDN4" s="223"/>
      <c r="FDO4" s="223"/>
      <c r="FDP4" s="223"/>
      <c r="FDQ4" s="223"/>
      <c r="FDR4" s="223"/>
      <c r="FDS4" s="223"/>
      <c r="FDT4" s="224"/>
      <c r="FDU4" s="225"/>
      <c r="FDV4" s="226"/>
      <c r="FDW4" s="224"/>
      <c r="FDX4" s="225"/>
      <c r="FDY4" s="225"/>
      <c r="FDZ4" s="227"/>
      <c r="FEA4" s="228"/>
      <c r="FEB4" s="228"/>
      <c r="FEC4" s="229"/>
      <c r="FED4" s="216"/>
      <c r="FEE4" s="219"/>
      <c r="FEF4" s="220"/>
      <c r="FEG4" s="217"/>
      <c r="FEH4" s="217"/>
      <c r="FEI4" s="217"/>
      <c r="FEJ4" s="217"/>
      <c r="FEK4" s="217"/>
      <c r="FEL4" s="221"/>
      <c r="FEM4" s="222"/>
      <c r="FEN4" s="220"/>
      <c r="FEO4" s="220"/>
      <c r="FEP4" s="220"/>
      <c r="FEQ4" s="220"/>
      <c r="FER4" s="223"/>
      <c r="FES4" s="223"/>
      <c r="FET4" s="223"/>
      <c r="FEU4" s="223"/>
      <c r="FEV4" s="223"/>
      <c r="FEW4" s="223"/>
      <c r="FEX4" s="223"/>
      <c r="FEY4" s="223"/>
      <c r="FEZ4" s="223"/>
      <c r="FFA4" s="224"/>
      <c r="FFB4" s="225"/>
      <c r="FFC4" s="226"/>
      <c r="FFD4" s="224"/>
      <c r="FFE4" s="225"/>
      <c r="FFF4" s="225"/>
      <c r="FFG4" s="227"/>
      <c r="FFH4" s="228"/>
      <c r="FFI4" s="228"/>
      <c r="FFJ4" s="229"/>
      <c r="FFK4" s="216"/>
      <c r="FFL4" s="219"/>
      <c r="FFM4" s="220"/>
      <c r="FFN4" s="217"/>
      <c r="FFO4" s="217"/>
      <c r="FFP4" s="217"/>
      <c r="FFQ4" s="217"/>
      <c r="FFR4" s="217"/>
      <c r="FFS4" s="221"/>
      <c r="FFT4" s="222"/>
      <c r="FFU4" s="220"/>
      <c r="FFV4" s="220"/>
      <c r="FFW4" s="220"/>
      <c r="FFX4" s="220"/>
      <c r="FFY4" s="223"/>
      <c r="FFZ4" s="223"/>
      <c r="FGA4" s="223"/>
      <c r="FGB4" s="223"/>
      <c r="FGC4" s="223"/>
      <c r="FGD4" s="223"/>
      <c r="FGE4" s="223"/>
      <c r="FGF4" s="223"/>
      <c r="FGG4" s="223"/>
      <c r="FGH4" s="224"/>
      <c r="FGI4" s="225"/>
      <c r="FGJ4" s="226"/>
      <c r="FGK4" s="224"/>
      <c r="FGL4" s="225"/>
      <c r="FGM4" s="225"/>
      <c r="FGN4" s="227"/>
      <c r="FGO4" s="228"/>
      <c r="FGP4" s="228"/>
      <c r="FGQ4" s="229"/>
      <c r="FGR4" s="216"/>
      <c r="FGS4" s="219"/>
      <c r="FGT4" s="220"/>
      <c r="FGU4" s="217"/>
      <c r="FGV4" s="217"/>
      <c r="FGW4" s="217"/>
      <c r="FGX4" s="217"/>
      <c r="FGY4" s="217"/>
      <c r="FGZ4" s="221"/>
      <c r="FHA4" s="222"/>
      <c r="FHB4" s="220"/>
      <c r="FHC4" s="220"/>
      <c r="FHD4" s="220"/>
      <c r="FHE4" s="220"/>
      <c r="FHF4" s="223"/>
      <c r="FHG4" s="223"/>
      <c r="FHH4" s="223"/>
      <c r="FHI4" s="223"/>
      <c r="FHJ4" s="223"/>
      <c r="FHK4" s="223"/>
      <c r="FHL4" s="223"/>
      <c r="FHM4" s="223"/>
      <c r="FHN4" s="223"/>
      <c r="FHO4" s="224"/>
      <c r="FHP4" s="225"/>
      <c r="FHQ4" s="226"/>
      <c r="FHR4" s="224"/>
      <c r="FHS4" s="225"/>
      <c r="FHT4" s="225"/>
      <c r="FHU4" s="227"/>
      <c r="FHV4" s="228"/>
      <c r="FHW4" s="228"/>
      <c r="FHX4" s="229"/>
      <c r="FHY4" s="216"/>
      <c r="FHZ4" s="219"/>
      <c r="FIA4" s="220"/>
      <c r="FIB4" s="217"/>
      <c r="FIC4" s="217"/>
      <c r="FID4" s="217"/>
      <c r="FIE4" s="217"/>
      <c r="FIF4" s="217"/>
      <c r="FIG4" s="221"/>
      <c r="FIH4" s="222"/>
      <c r="FII4" s="220"/>
      <c r="FIJ4" s="220"/>
      <c r="FIK4" s="220"/>
      <c r="FIL4" s="220"/>
      <c r="FIM4" s="223"/>
      <c r="FIN4" s="223"/>
      <c r="FIO4" s="223"/>
      <c r="FIP4" s="223"/>
      <c r="FIQ4" s="223"/>
      <c r="FIR4" s="223"/>
      <c r="FIS4" s="223"/>
      <c r="FIT4" s="223"/>
      <c r="FIU4" s="223"/>
      <c r="FIV4" s="224"/>
      <c r="FIW4" s="225"/>
      <c r="FIX4" s="226"/>
      <c r="FIY4" s="224"/>
      <c r="FIZ4" s="225"/>
      <c r="FJA4" s="225"/>
      <c r="FJB4" s="227"/>
      <c r="FJC4" s="228"/>
      <c r="FJD4" s="228"/>
      <c r="FJE4" s="229"/>
      <c r="FJF4" s="216"/>
      <c r="FJG4" s="219"/>
      <c r="FJH4" s="220"/>
      <c r="FJI4" s="217"/>
      <c r="FJJ4" s="217"/>
      <c r="FJK4" s="217"/>
      <c r="FJL4" s="217"/>
      <c r="FJM4" s="217"/>
      <c r="FJN4" s="221"/>
      <c r="FJO4" s="222"/>
      <c r="FJP4" s="220"/>
      <c r="FJQ4" s="220"/>
      <c r="FJR4" s="220"/>
      <c r="FJS4" s="220"/>
      <c r="FJT4" s="223"/>
      <c r="FJU4" s="223"/>
      <c r="FJV4" s="223"/>
      <c r="FJW4" s="223"/>
      <c r="FJX4" s="223"/>
      <c r="FJY4" s="223"/>
      <c r="FJZ4" s="223"/>
      <c r="FKA4" s="223"/>
      <c r="FKB4" s="223"/>
      <c r="FKC4" s="224"/>
      <c r="FKD4" s="225"/>
      <c r="FKE4" s="226"/>
      <c r="FKF4" s="224"/>
      <c r="FKG4" s="225"/>
      <c r="FKH4" s="225"/>
      <c r="FKI4" s="227"/>
      <c r="FKJ4" s="228"/>
      <c r="FKK4" s="228"/>
      <c r="FKL4" s="229"/>
      <c r="FKM4" s="216"/>
      <c r="FKN4" s="219"/>
      <c r="FKO4" s="220"/>
      <c r="FKP4" s="217"/>
      <c r="FKQ4" s="217"/>
      <c r="FKR4" s="217"/>
      <c r="FKS4" s="217"/>
      <c r="FKT4" s="217"/>
      <c r="FKU4" s="221"/>
      <c r="FKV4" s="222"/>
      <c r="FKW4" s="220"/>
      <c r="FKX4" s="220"/>
      <c r="FKY4" s="220"/>
      <c r="FKZ4" s="220"/>
      <c r="FLA4" s="223"/>
      <c r="FLB4" s="223"/>
      <c r="FLC4" s="223"/>
      <c r="FLD4" s="223"/>
      <c r="FLE4" s="223"/>
      <c r="FLF4" s="223"/>
      <c r="FLG4" s="223"/>
      <c r="FLH4" s="223"/>
      <c r="FLI4" s="223"/>
      <c r="FLJ4" s="224"/>
      <c r="FLK4" s="225"/>
      <c r="FLL4" s="226"/>
      <c r="FLM4" s="224"/>
      <c r="FLN4" s="225"/>
      <c r="FLO4" s="225"/>
      <c r="FLP4" s="227"/>
      <c r="FLQ4" s="228"/>
      <c r="FLR4" s="228"/>
      <c r="FLS4" s="229"/>
      <c r="FLT4" s="216"/>
      <c r="FLU4" s="219"/>
      <c r="FLV4" s="220"/>
      <c r="FLW4" s="217"/>
      <c r="FLX4" s="217"/>
      <c r="FLY4" s="217"/>
      <c r="FLZ4" s="217"/>
      <c r="FMA4" s="217"/>
      <c r="FMB4" s="221"/>
      <c r="FMC4" s="222"/>
      <c r="FMD4" s="220"/>
      <c r="FME4" s="220"/>
      <c r="FMF4" s="220"/>
      <c r="FMG4" s="220"/>
      <c r="FMH4" s="223"/>
      <c r="FMI4" s="223"/>
      <c r="FMJ4" s="223"/>
      <c r="FMK4" s="223"/>
      <c r="FML4" s="223"/>
      <c r="FMM4" s="223"/>
      <c r="FMN4" s="223"/>
      <c r="FMO4" s="223"/>
      <c r="FMP4" s="223"/>
      <c r="FMQ4" s="224"/>
      <c r="FMR4" s="225"/>
      <c r="FMS4" s="226"/>
      <c r="FMT4" s="224"/>
      <c r="FMU4" s="225"/>
      <c r="FMV4" s="225"/>
      <c r="FMW4" s="227"/>
      <c r="FMX4" s="228"/>
      <c r="FMY4" s="228"/>
      <c r="FMZ4" s="229"/>
      <c r="FNA4" s="216"/>
      <c r="FNB4" s="219"/>
      <c r="FNC4" s="220"/>
      <c r="FND4" s="217"/>
      <c r="FNE4" s="217"/>
      <c r="FNF4" s="217"/>
      <c r="FNG4" s="217"/>
      <c r="FNH4" s="217"/>
      <c r="FNI4" s="221"/>
      <c r="FNJ4" s="222"/>
      <c r="FNK4" s="220"/>
      <c r="FNL4" s="220"/>
      <c r="FNM4" s="220"/>
      <c r="FNN4" s="220"/>
      <c r="FNO4" s="223"/>
      <c r="FNP4" s="223"/>
      <c r="FNQ4" s="223"/>
      <c r="FNR4" s="223"/>
      <c r="FNS4" s="223"/>
      <c r="FNT4" s="223"/>
      <c r="FNU4" s="223"/>
      <c r="FNV4" s="223"/>
      <c r="FNW4" s="223"/>
      <c r="FNX4" s="224"/>
      <c r="FNY4" s="225"/>
      <c r="FNZ4" s="226"/>
      <c r="FOA4" s="224"/>
      <c r="FOB4" s="225"/>
      <c r="FOC4" s="225"/>
      <c r="FOD4" s="227"/>
      <c r="FOE4" s="228"/>
      <c r="FOF4" s="228"/>
      <c r="FOG4" s="229"/>
      <c r="FOH4" s="216"/>
      <c r="FOI4" s="219"/>
      <c r="FOJ4" s="220"/>
      <c r="FOK4" s="217"/>
      <c r="FOL4" s="217"/>
      <c r="FOM4" s="217"/>
      <c r="FON4" s="217"/>
      <c r="FOO4" s="217"/>
      <c r="FOP4" s="221"/>
      <c r="FOQ4" s="222"/>
      <c r="FOR4" s="220"/>
      <c r="FOS4" s="220"/>
      <c r="FOT4" s="220"/>
      <c r="FOU4" s="220"/>
      <c r="FOV4" s="223"/>
      <c r="FOW4" s="223"/>
      <c r="FOX4" s="223"/>
      <c r="FOY4" s="223"/>
      <c r="FOZ4" s="223"/>
      <c r="FPA4" s="223"/>
      <c r="FPB4" s="223"/>
      <c r="FPC4" s="223"/>
      <c r="FPD4" s="223"/>
      <c r="FPE4" s="224"/>
      <c r="FPF4" s="225"/>
      <c r="FPG4" s="226"/>
      <c r="FPH4" s="224"/>
      <c r="FPI4" s="225"/>
      <c r="FPJ4" s="225"/>
      <c r="FPK4" s="227"/>
      <c r="FPL4" s="228"/>
      <c r="FPM4" s="228"/>
      <c r="FPN4" s="229"/>
      <c r="FPO4" s="216"/>
      <c r="FPP4" s="219"/>
      <c r="FPQ4" s="220"/>
      <c r="FPR4" s="217"/>
      <c r="FPS4" s="217"/>
      <c r="FPT4" s="217"/>
      <c r="FPU4" s="217"/>
      <c r="FPV4" s="217"/>
      <c r="FPW4" s="221"/>
      <c r="FPX4" s="222"/>
      <c r="FPY4" s="220"/>
      <c r="FPZ4" s="220"/>
      <c r="FQA4" s="220"/>
      <c r="FQB4" s="220"/>
      <c r="FQC4" s="223"/>
      <c r="FQD4" s="223"/>
      <c r="FQE4" s="223"/>
      <c r="FQF4" s="223"/>
      <c r="FQG4" s="223"/>
      <c r="FQH4" s="223"/>
      <c r="FQI4" s="223"/>
      <c r="FQJ4" s="223"/>
      <c r="FQK4" s="223"/>
      <c r="FQL4" s="224"/>
      <c r="FQM4" s="225"/>
      <c r="FQN4" s="226"/>
      <c r="FQO4" s="224"/>
      <c r="FQP4" s="225"/>
      <c r="FQQ4" s="225"/>
      <c r="FQR4" s="227"/>
      <c r="FQS4" s="228"/>
      <c r="FQT4" s="228"/>
      <c r="FQU4" s="229"/>
      <c r="FQV4" s="216"/>
      <c r="FQW4" s="219"/>
      <c r="FQX4" s="220"/>
      <c r="FQY4" s="217"/>
      <c r="FQZ4" s="217"/>
      <c r="FRA4" s="217"/>
      <c r="FRB4" s="217"/>
      <c r="FRC4" s="217"/>
      <c r="FRD4" s="221"/>
      <c r="FRE4" s="222"/>
      <c r="FRF4" s="220"/>
      <c r="FRG4" s="220"/>
      <c r="FRH4" s="220"/>
      <c r="FRI4" s="220"/>
      <c r="FRJ4" s="223"/>
      <c r="FRK4" s="223"/>
      <c r="FRL4" s="223"/>
      <c r="FRM4" s="223"/>
      <c r="FRN4" s="223"/>
      <c r="FRO4" s="223"/>
      <c r="FRP4" s="223"/>
      <c r="FRQ4" s="223"/>
      <c r="FRR4" s="223"/>
      <c r="FRS4" s="224"/>
      <c r="FRT4" s="225"/>
      <c r="FRU4" s="226"/>
      <c r="FRV4" s="224"/>
      <c r="FRW4" s="225"/>
      <c r="FRX4" s="225"/>
      <c r="FRY4" s="227"/>
      <c r="FRZ4" s="228"/>
      <c r="FSA4" s="228"/>
      <c r="FSB4" s="229"/>
      <c r="FSC4" s="216"/>
      <c r="FSD4" s="219"/>
      <c r="FSE4" s="220"/>
      <c r="FSF4" s="217"/>
      <c r="FSG4" s="217"/>
      <c r="FSH4" s="217"/>
      <c r="FSI4" s="217"/>
      <c r="FSJ4" s="217"/>
      <c r="FSK4" s="221"/>
      <c r="FSL4" s="222"/>
      <c r="FSM4" s="220"/>
      <c r="FSN4" s="220"/>
      <c r="FSO4" s="220"/>
      <c r="FSP4" s="220"/>
      <c r="FSQ4" s="223"/>
      <c r="FSR4" s="223"/>
      <c r="FSS4" s="223"/>
      <c r="FST4" s="223"/>
      <c r="FSU4" s="223"/>
      <c r="FSV4" s="223"/>
      <c r="FSW4" s="223"/>
      <c r="FSX4" s="223"/>
      <c r="FSY4" s="223"/>
      <c r="FSZ4" s="224"/>
      <c r="FTA4" s="225"/>
      <c r="FTB4" s="226"/>
      <c r="FTC4" s="224"/>
      <c r="FTD4" s="225"/>
      <c r="FTE4" s="225"/>
      <c r="FTF4" s="227"/>
      <c r="FTG4" s="228"/>
      <c r="FTH4" s="228"/>
      <c r="FTI4" s="229"/>
      <c r="FTJ4" s="216"/>
      <c r="FTK4" s="219"/>
      <c r="FTL4" s="220"/>
      <c r="FTM4" s="217"/>
      <c r="FTN4" s="217"/>
      <c r="FTO4" s="217"/>
      <c r="FTP4" s="217"/>
      <c r="FTQ4" s="217"/>
      <c r="FTR4" s="221"/>
      <c r="FTS4" s="222"/>
      <c r="FTT4" s="220"/>
      <c r="FTU4" s="220"/>
      <c r="FTV4" s="220"/>
      <c r="FTW4" s="220"/>
      <c r="FTX4" s="223"/>
      <c r="FTY4" s="223"/>
      <c r="FTZ4" s="223"/>
      <c r="FUA4" s="223"/>
      <c r="FUB4" s="223"/>
      <c r="FUC4" s="223"/>
      <c r="FUD4" s="223"/>
      <c r="FUE4" s="223"/>
      <c r="FUF4" s="223"/>
      <c r="FUG4" s="224"/>
      <c r="FUH4" s="225"/>
      <c r="FUI4" s="226"/>
      <c r="FUJ4" s="224"/>
      <c r="FUK4" s="225"/>
      <c r="FUL4" s="225"/>
      <c r="FUM4" s="227"/>
      <c r="FUN4" s="228"/>
      <c r="FUO4" s="228"/>
      <c r="FUP4" s="229"/>
      <c r="FUQ4" s="216"/>
      <c r="FUR4" s="219"/>
      <c r="FUS4" s="220"/>
      <c r="FUT4" s="217"/>
      <c r="FUU4" s="217"/>
      <c r="FUV4" s="217"/>
      <c r="FUW4" s="217"/>
      <c r="FUX4" s="217"/>
      <c r="FUY4" s="221"/>
      <c r="FUZ4" s="222"/>
      <c r="FVA4" s="220"/>
      <c r="FVB4" s="220"/>
      <c r="FVC4" s="220"/>
      <c r="FVD4" s="220"/>
      <c r="FVE4" s="223"/>
      <c r="FVF4" s="223"/>
      <c r="FVG4" s="223"/>
      <c r="FVH4" s="223"/>
      <c r="FVI4" s="223"/>
      <c r="FVJ4" s="223"/>
      <c r="FVK4" s="223"/>
      <c r="FVL4" s="223"/>
      <c r="FVM4" s="223"/>
      <c r="FVN4" s="224"/>
      <c r="FVO4" s="225"/>
      <c r="FVP4" s="226"/>
      <c r="FVQ4" s="224"/>
      <c r="FVR4" s="225"/>
      <c r="FVS4" s="225"/>
      <c r="FVT4" s="227"/>
      <c r="FVU4" s="228"/>
      <c r="FVV4" s="228"/>
      <c r="FVW4" s="229"/>
      <c r="FVX4" s="216"/>
      <c r="FVY4" s="219"/>
      <c r="FVZ4" s="220"/>
      <c r="FWA4" s="217"/>
      <c r="FWB4" s="217"/>
      <c r="FWC4" s="217"/>
      <c r="FWD4" s="217"/>
      <c r="FWE4" s="217"/>
      <c r="FWF4" s="221"/>
      <c r="FWG4" s="222"/>
      <c r="FWH4" s="220"/>
      <c r="FWI4" s="220"/>
      <c r="FWJ4" s="220"/>
      <c r="FWK4" s="220"/>
      <c r="FWL4" s="223"/>
      <c r="FWM4" s="223"/>
      <c r="FWN4" s="223"/>
      <c r="FWO4" s="223"/>
      <c r="FWP4" s="223"/>
      <c r="FWQ4" s="223"/>
      <c r="FWR4" s="223"/>
      <c r="FWS4" s="223"/>
      <c r="FWT4" s="223"/>
      <c r="FWU4" s="224"/>
      <c r="FWV4" s="225"/>
      <c r="FWW4" s="226"/>
      <c r="FWX4" s="224"/>
      <c r="FWY4" s="225"/>
      <c r="FWZ4" s="225"/>
      <c r="FXA4" s="227"/>
      <c r="FXB4" s="228"/>
      <c r="FXC4" s="228"/>
      <c r="FXD4" s="229"/>
      <c r="FXE4" s="216"/>
      <c r="FXF4" s="219"/>
      <c r="FXG4" s="220"/>
      <c r="FXH4" s="217"/>
      <c r="FXI4" s="217"/>
      <c r="FXJ4" s="217"/>
      <c r="FXK4" s="217"/>
      <c r="FXL4" s="217"/>
      <c r="FXM4" s="221"/>
      <c r="FXN4" s="222"/>
      <c r="FXO4" s="220"/>
      <c r="FXP4" s="220"/>
      <c r="FXQ4" s="220"/>
      <c r="FXR4" s="220"/>
      <c r="FXS4" s="223"/>
      <c r="FXT4" s="223"/>
      <c r="FXU4" s="223"/>
      <c r="FXV4" s="223"/>
      <c r="FXW4" s="223"/>
      <c r="FXX4" s="223"/>
      <c r="FXY4" s="223"/>
      <c r="FXZ4" s="223"/>
      <c r="FYA4" s="223"/>
      <c r="FYB4" s="224"/>
      <c r="FYC4" s="225"/>
      <c r="FYD4" s="226"/>
      <c r="FYE4" s="224"/>
      <c r="FYF4" s="225"/>
      <c r="FYG4" s="225"/>
      <c r="FYH4" s="227"/>
      <c r="FYI4" s="228"/>
      <c r="FYJ4" s="228"/>
      <c r="FYK4" s="229"/>
      <c r="FYL4" s="216"/>
      <c r="FYM4" s="219"/>
      <c r="FYN4" s="220"/>
      <c r="FYO4" s="217"/>
      <c r="FYP4" s="217"/>
      <c r="FYQ4" s="217"/>
      <c r="FYR4" s="217"/>
      <c r="FYS4" s="217"/>
      <c r="FYT4" s="221"/>
      <c r="FYU4" s="222"/>
      <c r="FYV4" s="220"/>
      <c r="FYW4" s="220"/>
      <c r="FYX4" s="220"/>
      <c r="FYY4" s="220"/>
      <c r="FYZ4" s="223"/>
      <c r="FZA4" s="223"/>
      <c r="FZB4" s="223"/>
      <c r="FZC4" s="223"/>
      <c r="FZD4" s="223"/>
      <c r="FZE4" s="223"/>
      <c r="FZF4" s="223"/>
      <c r="FZG4" s="223"/>
      <c r="FZH4" s="223"/>
      <c r="FZI4" s="224"/>
      <c r="FZJ4" s="225"/>
      <c r="FZK4" s="226"/>
      <c r="FZL4" s="224"/>
      <c r="FZM4" s="225"/>
      <c r="FZN4" s="225"/>
      <c r="FZO4" s="227"/>
      <c r="FZP4" s="228"/>
      <c r="FZQ4" s="228"/>
      <c r="FZR4" s="229"/>
      <c r="FZS4" s="216"/>
      <c r="FZT4" s="219"/>
      <c r="FZU4" s="220"/>
      <c r="FZV4" s="217"/>
      <c r="FZW4" s="217"/>
      <c r="FZX4" s="217"/>
      <c r="FZY4" s="217"/>
      <c r="FZZ4" s="217"/>
      <c r="GAA4" s="221"/>
      <c r="GAB4" s="222"/>
      <c r="GAC4" s="220"/>
      <c r="GAD4" s="220"/>
      <c r="GAE4" s="220"/>
      <c r="GAF4" s="220"/>
      <c r="GAG4" s="223"/>
      <c r="GAH4" s="223"/>
      <c r="GAI4" s="223"/>
      <c r="GAJ4" s="223"/>
      <c r="GAK4" s="223"/>
      <c r="GAL4" s="223"/>
      <c r="GAM4" s="223"/>
      <c r="GAN4" s="223"/>
      <c r="GAO4" s="223"/>
      <c r="GAP4" s="224"/>
      <c r="GAQ4" s="225"/>
      <c r="GAR4" s="226"/>
      <c r="GAS4" s="224"/>
      <c r="GAT4" s="225"/>
      <c r="GAU4" s="225"/>
      <c r="GAV4" s="227"/>
      <c r="GAW4" s="228"/>
      <c r="GAX4" s="228"/>
      <c r="GAY4" s="229"/>
      <c r="GAZ4" s="216"/>
      <c r="GBA4" s="219"/>
      <c r="GBB4" s="220"/>
      <c r="GBC4" s="217"/>
      <c r="GBD4" s="217"/>
      <c r="GBE4" s="217"/>
      <c r="GBF4" s="217"/>
      <c r="GBG4" s="217"/>
      <c r="GBH4" s="221"/>
      <c r="GBI4" s="222"/>
      <c r="GBJ4" s="220"/>
      <c r="GBK4" s="220"/>
      <c r="GBL4" s="220"/>
      <c r="GBM4" s="220"/>
      <c r="GBN4" s="223"/>
      <c r="GBO4" s="223"/>
      <c r="GBP4" s="223"/>
      <c r="GBQ4" s="223"/>
      <c r="GBR4" s="223"/>
      <c r="GBS4" s="223"/>
      <c r="GBT4" s="223"/>
      <c r="GBU4" s="223"/>
      <c r="GBV4" s="223"/>
      <c r="GBW4" s="224"/>
      <c r="GBX4" s="225"/>
      <c r="GBY4" s="226"/>
      <c r="GBZ4" s="224"/>
      <c r="GCA4" s="225"/>
      <c r="GCB4" s="225"/>
      <c r="GCC4" s="227"/>
      <c r="GCD4" s="228"/>
      <c r="GCE4" s="228"/>
      <c r="GCF4" s="229"/>
      <c r="GCG4" s="216"/>
      <c r="GCH4" s="219"/>
      <c r="GCI4" s="220"/>
      <c r="GCJ4" s="217"/>
      <c r="GCK4" s="217"/>
      <c r="GCL4" s="217"/>
      <c r="GCM4" s="217"/>
      <c r="GCN4" s="217"/>
      <c r="GCO4" s="221"/>
      <c r="GCP4" s="222"/>
      <c r="GCQ4" s="220"/>
      <c r="GCR4" s="220"/>
      <c r="GCS4" s="220"/>
      <c r="GCT4" s="220"/>
      <c r="GCU4" s="223"/>
      <c r="GCV4" s="223"/>
      <c r="GCW4" s="223"/>
      <c r="GCX4" s="223"/>
      <c r="GCY4" s="223"/>
      <c r="GCZ4" s="223"/>
      <c r="GDA4" s="223"/>
      <c r="GDB4" s="223"/>
      <c r="GDC4" s="223"/>
      <c r="GDD4" s="224"/>
      <c r="GDE4" s="225"/>
      <c r="GDF4" s="226"/>
      <c r="GDG4" s="224"/>
      <c r="GDH4" s="225"/>
      <c r="GDI4" s="225"/>
      <c r="GDJ4" s="227"/>
      <c r="GDK4" s="228"/>
      <c r="GDL4" s="228"/>
      <c r="GDM4" s="229"/>
      <c r="GDN4" s="216"/>
      <c r="GDO4" s="219"/>
      <c r="GDP4" s="220"/>
      <c r="GDQ4" s="217"/>
      <c r="GDR4" s="217"/>
      <c r="GDS4" s="217"/>
      <c r="GDT4" s="217"/>
      <c r="GDU4" s="217"/>
      <c r="GDV4" s="221"/>
      <c r="GDW4" s="222"/>
      <c r="GDX4" s="220"/>
      <c r="GDY4" s="220"/>
      <c r="GDZ4" s="220"/>
      <c r="GEA4" s="220"/>
      <c r="GEB4" s="223"/>
      <c r="GEC4" s="223"/>
      <c r="GED4" s="223"/>
      <c r="GEE4" s="223"/>
      <c r="GEF4" s="223"/>
      <c r="GEG4" s="223"/>
      <c r="GEH4" s="223"/>
      <c r="GEI4" s="223"/>
      <c r="GEJ4" s="223"/>
      <c r="GEK4" s="224"/>
      <c r="GEL4" s="225"/>
      <c r="GEM4" s="226"/>
      <c r="GEN4" s="224"/>
      <c r="GEO4" s="225"/>
      <c r="GEP4" s="225"/>
      <c r="GEQ4" s="227"/>
      <c r="GER4" s="228"/>
      <c r="GES4" s="228"/>
      <c r="GET4" s="229"/>
      <c r="GEU4" s="216"/>
      <c r="GEV4" s="219"/>
      <c r="GEW4" s="220"/>
      <c r="GEX4" s="217"/>
      <c r="GEY4" s="217"/>
      <c r="GEZ4" s="217"/>
      <c r="GFA4" s="217"/>
      <c r="GFB4" s="217"/>
      <c r="GFC4" s="221"/>
      <c r="GFD4" s="222"/>
      <c r="GFE4" s="220"/>
      <c r="GFF4" s="220"/>
      <c r="GFG4" s="220"/>
      <c r="GFH4" s="220"/>
      <c r="GFI4" s="223"/>
      <c r="GFJ4" s="223"/>
      <c r="GFK4" s="223"/>
      <c r="GFL4" s="223"/>
      <c r="GFM4" s="223"/>
      <c r="GFN4" s="223"/>
      <c r="GFO4" s="223"/>
      <c r="GFP4" s="223"/>
      <c r="GFQ4" s="223"/>
      <c r="GFR4" s="224"/>
      <c r="GFS4" s="225"/>
      <c r="GFT4" s="226"/>
      <c r="GFU4" s="224"/>
      <c r="GFV4" s="225"/>
      <c r="GFW4" s="225"/>
      <c r="GFX4" s="227"/>
      <c r="GFY4" s="228"/>
      <c r="GFZ4" s="228"/>
      <c r="GGA4" s="229"/>
      <c r="GGB4" s="216"/>
      <c r="GGC4" s="219"/>
      <c r="GGD4" s="220"/>
      <c r="GGE4" s="217"/>
      <c r="GGF4" s="217"/>
      <c r="GGG4" s="217"/>
      <c r="GGH4" s="217"/>
      <c r="GGI4" s="217"/>
      <c r="GGJ4" s="221"/>
      <c r="GGK4" s="222"/>
      <c r="GGL4" s="220"/>
      <c r="GGM4" s="220"/>
      <c r="GGN4" s="220"/>
      <c r="GGO4" s="220"/>
      <c r="GGP4" s="223"/>
      <c r="GGQ4" s="223"/>
      <c r="GGR4" s="223"/>
      <c r="GGS4" s="223"/>
      <c r="GGT4" s="223"/>
      <c r="GGU4" s="223"/>
      <c r="GGV4" s="223"/>
      <c r="GGW4" s="223"/>
      <c r="GGX4" s="223"/>
      <c r="GGY4" s="224"/>
      <c r="GGZ4" s="225"/>
      <c r="GHA4" s="226"/>
      <c r="GHB4" s="224"/>
      <c r="GHC4" s="225"/>
      <c r="GHD4" s="225"/>
      <c r="GHE4" s="227"/>
      <c r="GHF4" s="228"/>
      <c r="GHG4" s="228"/>
      <c r="GHH4" s="229"/>
      <c r="GHI4" s="216"/>
      <c r="GHJ4" s="219"/>
      <c r="GHK4" s="220"/>
      <c r="GHL4" s="217"/>
      <c r="GHM4" s="217"/>
      <c r="GHN4" s="217"/>
      <c r="GHO4" s="217"/>
      <c r="GHP4" s="217"/>
      <c r="GHQ4" s="221"/>
      <c r="GHR4" s="222"/>
      <c r="GHS4" s="220"/>
      <c r="GHT4" s="220"/>
      <c r="GHU4" s="220"/>
      <c r="GHV4" s="220"/>
      <c r="GHW4" s="223"/>
      <c r="GHX4" s="223"/>
      <c r="GHY4" s="223"/>
      <c r="GHZ4" s="223"/>
      <c r="GIA4" s="223"/>
      <c r="GIB4" s="223"/>
      <c r="GIC4" s="223"/>
      <c r="GID4" s="223"/>
      <c r="GIE4" s="223"/>
      <c r="GIF4" s="224"/>
      <c r="GIG4" s="225"/>
      <c r="GIH4" s="226"/>
      <c r="GII4" s="224"/>
      <c r="GIJ4" s="225"/>
      <c r="GIK4" s="225"/>
      <c r="GIL4" s="227"/>
      <c r="GIM4" s="228"/>
      <c r="GIN4" s="228"/>
      <c r="GIO4" s="229"/>
      <c r="GIP4" s="216"/>
      <c r="GIQ4" s="219"/>
      <c r="GIR4" s="220"/>
      <c r="GIS4" s="217"/>
      <c r="GIT4" s="217"/>
      <c r="GIU4" s="217"/>
      <c r="GIV4" s="217"/>
      <c r="GIW4" s="217"/>
      <c r="GIX4" s="221"/>
      <c r="GIY4" s="222"/>
      <c r="GIZ4" s="220"/>
      <c r="GJA4" s="220"/>
      <c r="GJB4" s="220"/>
      <c r="GJC4" s="220"/>
      <c r="GJD4" s="223"/>
      <c r="GJE4" s="223"/>
      <c r="GJF4" s="223"/>
      <c r="GJG4" s="223"/>
      <c r="GJH4" s="223"/>
      <c r="GJI4" s="223"/>
      <c r="GJJ4" s="223"/>
      <c r="GJK4" s="223"/>
      <c r="GJL4" s="223"/>
      <c r="GJM4" s="224"/>
      <c r="GJN4" s="225"/>
      <c r="GJO4" s="226"/>
      <c r="GJP4" s="224"/>
      <c r="GJQ4" s="225"/>
      <c r="GJR4" s="225"/>
      <c r="GJS4" s="227"/>
      <c r="GJT4" s="228"/>
      <c r="GJU4" s="228"/>
      <c r="GJV4" s="229"/>
      <c r="GJW4" s="216"/>
      <c r="GJX4" s="219"/>
      <c r="GJY4" s="220"/>
      <c r="GJZ4" s="217"/>
      <c r="GKA4" s="217"/>
      <c r="GKB4" s="217"/>
      <c r="GKC4" s="217"/>
      <c r="GKD4" s="217"/>
      <c r="GKE4" s="221"/>
      <c r="GKF4" s="222"/>
      <c r="GKG4" s="220"/>
      <c r="GKH4" s="220"/>
      <c r="GKI4" s="220"/>
      <c r="GKJ4" s="220"/>
      <c r="GKK4" s="223"/>
      <c r="GKL4" s="223"/>
      <c r="GKM4" s="223"/>
      <c r="GKN4" s="223"/>
      <c r="GKO4" s="223"/>
      <c r="GKP4" s="223"/>
      <c r="GKQ4" s="223"/>
      <c r="GKR4" s="223"/>
      <c r="GKS4" s="223"/>
      <c r="GKT4" s="224"/>
      <c r="GKU4" s="225"/>
      <c r="GKV4" s="226"/>
      <c r="GKW4" s="224"/>
      <c r="GKX4" s="225"/>
      <c r="GKY4" s="225"/>
      <c r="GKZ4" s="227"/>
      <c r="GLA4" s="228"/>
      <c r="GLB4" s="228"/>
      <c r="GLC4" s="229"/>
      <c r="GLD4" s="216"/>
      <c r="GLE4" s="219"/>
      <c r="GLF4" s="220"/>
      <c r="GLG4" s="217"/>
      <c r="GLH4" s="217"/>
      <c r="GLI4" s="217"/>
      <c r="GLJ4" s="217"/>
      <c r="GLK4" s="217"/>
      <c r="GLL4" s="221"/>
      <c r="GLM4" s="222"/>
      <c r="GLN4" s="220"/>
      <c r="GLO4" s="220"/>
      <c r="GLP4" s="220"/>
      <c r="GLQ4" s="220"/>
      <c r="GLR4" s="223"/>
      <c r="GLS4" s="223"/>
      <c r="GLT4" s="223"/>
      <c r="GLU4" s="223"/>
      <c r="GLV4" s="223"/>
      <c r="GLW4" s="223"/>
      <c r="GLX4" s="223"/>
      <c r="GLY4" s="223"/>
      <c r="GLZ4" s="223"/>
      <c r="GMA4" s="224"/>
      <c r="GMB4" s="225"/>
      <c r="GMC4" s="226"/>
      <c r="GMD4" s="224"/>
      <c r="GME4" s="225"/>
      <c r="GMF4" s="225"/>
      <c r="GMG4" s="227"/>
      <c r="GMH4" s="228"/>
      <c r="GMI4" s="228"/>
      <c r="GMJ4" s="229"/>
      <c r="GMK4" s="216"/>
      <c r="GML4" s="219"/>
      <c r="GMM4" s="220"/>
      <c r="GMN4" s="217"/>
      <c r="GMO4" s="217"/>
      <c r="GMP4" s="217"/>
      <c r="GMQ4" s="217"/>
      <c r="GMR4" s="217"/>
      <c r="GMS4" s="221"/>
      <c r="GMT4" s="222"/>
      <c r="GMU4" s="220"/>
      <c r="GMV4" s="220"/>
      <c r="GMW4" s="220"/>
      <c r="GMX4" s="220"/>
      <c r="GMY4" s="223"/>
      <c r="GMZ4" s="223"/>
      <c r="GNA4" s="223"/>
      <c r="GNB4" s="223"/>
      <c r="GNC4" s="223"/>
      <c r="GND4" s="223"/>
      <c r="GNE4" s="223"/>
      <c r="GNF4" s="223"/>
      <c r="GNG4" s="223"/>
      <c r="GNH4" s="224"/>
      <c r="GNI4" s="225"/>
      <c r="GNJ4" s="226"/>
      <c r="GNK4" s="224"/>
      <c r="GNL4" s="225"/>
      <c r="GNM4" s="225"/>
      <c r="GNN4" s="227"/>
      <c r="GNO4" s="228"/>
      <c r="GNP4" s="228"/>
      <c r="GNQ4" s="229"/>
      <c r="GNR4" s="216"/>
      <c r="GNS4" s="219"/>
      <c r="GNT4" s="220"/>
      <c r="GNU4" s="217"/>
      <c r="GNV4" s="217"/>
      <c r="GNW4" s="217"/>
      <c r="GNX4" s="217"/>
      <c r="GNY4" s="217"/>
      <c r="GNZ4" s="221"/>
      <c r="GOA4" s="222"/>
      <c r="GOB4" s="220"/>
      <c r="GOC4" s="220"/>
      <c r="GOD4" s="220"/>
      <c r="GOE4" s="220"/>
      <c r="GOF4" s="223"/>
      <c r="GOG4" s="223"/>
      <c r="GOH4" s="223"/>
      <c r="GOI4" s="223"/>
      <c r="GOJ4" s="223"/>
      <c r="GOK4" s="223"/>
      <c r="GOL4" s="223"/>
      <c r="GOM4" s="223"/>
      <c r="GON4" s="223"/>
      <c r="GOO4" s="224"/>
      <c r="GOP4" s="225"/>
      <c r="GOQ4" s="226"/>
      <c r="GOR4" s="224"/>
      <c r="GOS4" s="225"/>
      <c r="GOT4" s="225"/>
      <c r="GOU4" s="227"/>
      <c r="GOV4" s="228"/>
      <c r="GOW4" s="228"/>
      <c r="GOX4" s="229"/>
      <c r="GOY4" s="216"/>
      <c r="GOZ4" s="219"/>
      <c r="GPA4" s="220"/>
      <c r="GPB4" s="217"/>
      <c r="GPC4" s="217"/>
      <c r="GPD4" s="217"/>
      <c r="GPE4" s="217"/>
      <c r="GPF4" s="217"/>
      <c r="GPG4" s="221"/>
      <c r="GPH4" s="222"/>
      <c r="GPI4" s="220"/>
      <c r="GPJ4" s="220"/>
      <c r="GPK4" s="220"/>
      <c r="GPL4" s="220"/>
      <c r="GPM4" s="223"/>
      <c r="GPN4" s="223"/>
      <c r="GPO4" s="223"/>
      <c r="GPP4" s="223"/>
      <c r="GPQ4" s="223"/>
      <c r="GPR4" s="223"/>
      <c r="GPS4" s="223"/>
      <c r="GPT4" s="223"/>
      <c r="GPU4" s="223"/>
      <c r="GPV4" s="224"/>
      <c r="GPW4" s="225"/>
      <c r="GPX4" s="226"/>
      <c r="GPY4" s="224"/>
      <c r="GPZ4" s="225"/>
      <c r="GQA4" s="225"/>
      <c r="GQB4" s="227"/>
      <c r="GQC4" s="228"/>
      <c r="GQD4" s="228"/>
      <c r="GQE4" s="229"/>
      <c r="GQF4" s="216"/>
      <c r="GQG4" s="219"/>
      <c r="GQH4" s="220"/>
      <c r="GQI4" s="217"/>
      <c r="GQJ4" s="217"/>
      <c r="GQK4" s="217"/>
      <c r="GQL4" s="217"/>
      <c r="GQM4" s="217"/>
      <c r="GQN4" s="221"/>
      <c r="GQO4" s="222"/>
      <c r="GQP4" s="220"/>
      <c r="GQQ4" s="220"/>
      <c r="GQR4" s="220"/>
      <c r="GQS4" s="220"/>
      <c r="GQT4" s="223"/>
      <c r="GQU4" s="223"/>
      <c r="GQV4" s="223"/>
      <c r="GQW4" s="223"/>
      <c r="GQX4" s="223"/>
      <c r="GQY4" s="223"/>
      <c r="GQZ4" s="223"/>
      <c r="GRA4" s="223"/>
      <c r="GRB4" s="223"/>
      <c r="GRC4" s="224"/>
      <c r="GRD4" s="225"/>
      <c r="GRE4" s="226"/>
      <c r="GRF4" s="224"/>
      <c r="GRG4" s="225"/>
      <c r="GRH4" s="225"/>
      <c r="GRI4" s="227"/>
      <c r="GRJ4" s="228"/>
      <c r="GRK4" s="228"/>
      <c r="GRL4" s="229"/>
      <c r="GRM4" s="216"/>
      <c r="GRN4" s="219"/>
      <c r="GRO4" s="220"/>
      <c r="GRP4" s="217"/>
      <c r="GRQ4" s="217"/>
      <c r="GRR4" s="217"/>
      <c r="GRS4" s="217"/>
      <c r="GRT4" s="217"/>
      <c r="GRU4" s="221"/>
      <c r="GRV4" s="222"/>
      <c r="GRW4" s="220"/>
      <c r="GRX4" s="220"/>
      <c r="GRY4" s="220"/>
      <c r="GRZ4" s="220"/>
      <c r="GSA4" s="223"/>
      <c r="GSB4" s="223"/>
      <c r="GSC4" s="223"/>
      <c r="GSD4" s="223"/>
      <c r="GSE4" s="223"/>
      <c r="GSF4" s="223"/>
      <c r="GSG4" s="223"/>
      <c r="GSH4" s="223"/>
      <c r="GSI4" s="223"/>
      <c r="GSJ4" s="224"/>
      <c r="GSK4" s="225"/>
      <c r="GSL4" s="226"/>
      <c r="GSM4" s="224"/>
      <c r="GSN4" s="225"/>
      <c r="GSO4" s="225"/>
      <c r="GSP4" s="227"/>
      <c r="GSQ4" s="228"/>
      <c r="GSR4" s="228"/>
      <c r="GSS4" s="229"/>
      <c r="GST4" s="216"/>
      <c r="GSU4" s="219"/>
      <c r="GSV4" s="220"/>
      <c r="GSW4" s="217"/>
      <c r="GSX4" s="217"/>
      <c r="GSY4" s="217"/>
      <c r="GSZ4" s="217"/>
      <c r="GTA4" s="217"/>
      <c r="GTB4" s="221"/>
      <c r="GTC4" s="222"/>
      <c r="GTD4" s="220"/>
      <c r="GTE4" s="220"/>
      <c r="GTF4" s="220"/>
      <c r="GTG4" s="220"/>
      <c r="GTH4" s="223"/>
      <c r="GTI4" s="223"/>
      <c r="GTJ4" s="223"/>
      <c r="GTK4" s="223"/>
      <c r="GTL4" s="223"/>
      <c r="GTM4" s="223"/>
      <c r="GTN4" s="223"/>
      <c r="GTO4" s="223"/>
      <c r="GTP4" s="223"/>
      <c r="GTQ4" s="224"/>
      <c r="GTR4" s="225"/>
      <c r="GTS4" s="226"/>
      <c r="GTT4" s="224"/>
      <c r="GTU4" s="225"/>
      <c r="GTV4" s="225"/>
      <c r="GTW4" s="227"/>
      <c r="GTX4" s="228"/>
      <c r="GTY4" s="228"/>
      <c r="GTZ4" s="229"/>
      <c r="GUA4" s="216"/>
      <c r="GUB4" s="219"/>
      <c r="GUC4" s="220"/>
      <c r="GUD4" s="217"/>
      <c r="GUE4" s="217"/>
      <c r="GUF4" s="217"/>
      <c r="GUG4" s="217"/>
      <c r="GUH4" s="217"/>
      <c r="GUI4" s="221"/>
      <c r="GUJ4" s="222"/>
      <c r="GUK4" s="220"/>
      <c r="GUL4" s="220"/>
      <c r="GUM4" s="220"/>
      <c r="GUN4" s="220"/>
      <c r="GUO4" s="223"/>
      <c r="GUP4" s="223"/>
      <c r="GUQ4" s="223"/>
      <c r="GUR4" s="223"/>
      <c r="GUS4" s="223"/>
      <c r="GUT4" s="223"/>
      <c r="GUU4" s="223"/>
      <c r="GUV4" s="223"/>
      <c r="GUW4" s="223"/>
      <c r="GUX4" s="224"/>
      <c r="GUY4" s="225"/>
      <c r="GUZ4" s="226"/>
      <c r="GVA4" s="224"/>
      <c r="GVB4" s="225"/>
      <c r="GVC4" s="225"/>
      <c r="GVD4" s="227"/>
      <c r="GVE4" s="228"/>
      <c r="GVF4" s="228"/>
      <c r="GVG4" s="229"/>
      <c r="GVH4" s="216"/>
      <c r="GVI4" s="219"/>
      <c r="GVJ4" s="220"/>
      <c r="GVK4" s="217"/>
      <c r="GVL4" s="217"/>
      <c r="GVM4" s="217"/>
      <c r="GVN4" s="217"/>
      <c r="GVO4" s="217"/>
      <c r="GVP4" s="221"/>
      <c r="GVQ4" s="222"/>
      <c r="GVR4" s="220"/>
      <c r="GVS4" s="220"/>
      <c r="GVT4" s="220"/>
      <c r="GVU4" s="220"/>
      <c r="GVV4" s="223"/>
      <c r="GVW4" s="223"/>
      <c r="GVX4" s="223"/>
      <c r="GVY4" s="223"/>
      <c r="GVZ4" s="223"/>
      <c r="GWA4" s="223"/>
      <c r="GWB4" s="223"/>
      <c r="GWC4" s="223"/>
      <c r="GWD4" s="223"/>
      <c r="GWE4" s="224"/>
      <c r="GWF4" s="225"/>
      <c r="GWG4" s="226"/>
      <c r="GWH4" s="224"/>
      <c r="GWI4" s="225"/>
      <c r="GWJ4" s="225"/>
      <c r="GWK4" s="227"/>
      <c r="GWL4" s="228"/>
      <c r="GWM4" s="228"/>
      <c r="GWN4" s="229"/>
      <c r="GWO4" s="216"/>
      <c r="GWP4" s="219"/>
      <c r="GWQ4" s="220"/>
      <c r="GWR4" s="217"/>
      <c r="GWS4" s="217"/>
      <c r="GWT4" s="217"/>
      <c r="GWU4" s="217"/>
      <c r="GWV4" s="217"/>
      <c r="GWW4" s="221"/>
      <c r="GWX4" s="222"/>
      <c r="GWY4" s="220"/>
      <c r="GWZ4" s="220"/>
      <c r="GXA4" s="220"/>
      <c r="GXB4" s="220"/>
      <c r="GXC4" s="223"/>
      <c r="GXD4" s="223"/>
      <c r="GXE4" s="223"/>
      <c r="GXF4" s="223"/>
      <c r="GXG4" s="223"/>
      <c r="GXH4" s="223"/>
      <c r="GXI4" s="223"/>
      <c r="GXJ4" s="223"/>
      <c r="GXK4" s="223"/>
      <c r="GXL4" s="224"/>
      <c r="GXM4" s="225"/>
      <c r="GXN4" s="226"/>
      <c r="GXO4" s="224"/>
      <c r="GXP4" s="225"/>
      <c r="GXQ4" s="225"/>
      <c r="GXR4" s="227"/>
      <c r="GXS4" s="228"/>
      <c r="GXT4" s="228"/>
      <c r="GXU4" s="229"/>
      <c r="GXV4" s="216"/>
      <c r="GXW4" s="219"/>
      <c r="GXX4" s="220"/>
      <c r="GXY4" s="217"/>
      <c r="GXZ4" s="217"/>
      <c r="GYA4" s="217"/>
      <c r="GYB4" s="217"/>
      <c r="GYC4" s="217"/>
      <c r="GYD4" s="221"/>
      <c r="GYE4" s="222"/>
      <c r="GYF4" s="220"/>
      <c r="GYG4" s="220"/>
      <c r="GYH4" s="220"/>
      <c r="GYI4" s="220"/>
      <c r="GYJ4" s="223"/>
      <c r="GYK4" s="223"/>
      <c r="GYL4" s="223"/>
      <c r="GYM4" s="223"/>
      <c r="GYN4" s="223"/>
      <c r="GYO4" s="223"/>
      <c r="GYP4" s="223"/>
      <c r="GYQ4" s="223"/>
      <c r="GYR4" s="223"/>
      <c r="GYS4" s="224"/>
      <c r="GYT4" s="225"/>
      <c r="GYU4" s="226"/>
      <c r="GYV4" s="224"/>
      <c r="GYW4" s="225"/>
      <c r="GYX4" s="225"/>
      <c r="GYY4" s="227"/>
      <c r="GYZ4" s="228"/>
      <c r="GZA4" s="228"/>
      <c r="GZB4" s="229"/>
      <c r="GZC4" s="216"/>
      <c r="GZD4" s="219"/>
      <c r="GZE4" s="220"/>
      <c r="GZF4" s="217"/>
      <c r="GZG4" s="217"/>
      <c r="GZH4" s="217"/>
      <c r="GZI4" s="217"/>
      <c r="GZJ4" s="217"/>
      <c r="GZK4" s="221"/>
      <c r="GZL4" s="222"/>
      <c r="GZM4" s="220"/>
      <c r="GZN4" s="220"/>
      <c r="GZO4" s="220"/>
      <c r="GZP4" s="220"/>
      <c r="GZQ4" s="223"/>
      <c r="GZR4" s="223"/>
      <c r="GZS4" s="223"/>
      <c r="GZT4" s="223"/>
      <c r="GZU4" s="223"/>
      <c r="GZV4" s="223"/>
      <c r="GZW4" s="223"/>
      <c r="GZX4" s="223"/>
      <c r="GZY4" s="223"/>
      <c r="GZZ4" s="224"/>
      <c r="HAA4" s="225"/>
      <c r="HAB4" s="226"/>
      <c r="HAC4" s="224"/>
      <c r="HAD4" s="225"/>
      <c r="HAE4" s="225"/>
      <c r="HAF4" s="227"/>
      <c r="HAG4" s="228"/>
      <c r="HAH4" s="228"/>
      <c r="HAI4" s="229"/>
      <c r="HAJ4" s="216"/>
      <c r="HAK4" s="219"/>
      <c r="HAL4" s="220"/>
      <c r="HAM4" s="217"/>
      <c r="HAN4" s="217"/>
      <c r="HAO4" s="217"/>
      <c r="HAP4" s="217"/>
      <c r="HAQ4" s="217"/>
      <c r="HAR4" s="221"/>
      <c r="HAS4" s="222"/>
      <c r="HAT4" s="220"/>
      <c r="HAU4" s="220"/>
      <c r="HAV4" s="220"/>
      <c r="HAW4" s="220"/>
      <c r="HAX4" s="223"/>
      <c r="HAY4" s="223"/>
      <c r="HAZ4" s="223"/>
      <c r="HBA4" s="223"/>
      <c r="HBB4" s="223"/>
      <c r="HBC4" s="223"/>
      <c r="HBD4" s="223"/>
      <c r="HBE4" s="223"/>
      <c r="HBF4" s="223"/>
      <c r="HBG4" s="224"/>
      <c r="HBH4" s="225"/>
      <c r="HBI4" s="226"/>
      <c r="HBJ4" s="224"/>
      <c r="HBK4" s="225"/>
      <c r="HBL4" s="225"/>
      <c r="HBM4" s="227"/>
      <c r="HBN4" s="228"/>
      <c r="HBO4" s="228"/>
      <c r="HBP4" s="229"/>
      <c r="HBQ4" s="216"/>
      <c r="HBR4" s="219"/>
      <c r="HBS4" s="220"/>
      <c r="HBT4" s="217"/>
      <c r="HBU4" s="217"/>
      <c r="HBV4" s="217"/>
      <c r="HBW4" s="217"/>
      <c r="HBX4" s="217"/>
      <c r="HBY4" s="221"/>
      <c r="HBZ4" s="222"/>
      <c r="HCA4" s="220"/>
      <c r="HCB4" s="220"/>
      <c r="HCC4" s="220"/>
      <c r="HCD4" s="220"/>
      <c r="HCE4" s="223"/>
      <c r="HCF4" s="223"/>
      <c r="HCG4" s="223"/>
      <c r="HCH4" s="223"/>
      <c r="HCI4" s="223"/>
      <c r="HCJ4" s="223"/>
      <c r="HCK4" s="223"/>
      <c r="HCL4" s="223"/>
      <c r="HCM4" s="223"/>
      <c r="HCN4" s="224"/>
      <c r="HCO4" s="225"/>
      <c r="HCP4" s="226"/>
      <c r="HCQ4" s="224"/>
      <c r="HCR4" s="225"/>
      <c r="HCS4" s="225"/>
      <c r="HCT4" s="227"/>
      <c r="HCU4" s="228"/>
      <c r="HCV4" s="228"/>
      <c r="HCW4" s="229"/>
      <c r="HCX4" s="216"/>
      <c r="HCY4" s="219"/>
      <c r="HCZ4" s="220"/>
      <c r="HDA4" s="217"/>
      <c r="HDB4" s="217"/>
      <c r="HDC4" s="217"/>
      <c r="HDD4" s="217"/>
      <c r="HDE4" s="217"/>
      <c r="HDF4" s="221"/>
      <c r="HDG4" s="222"/>
      <c r="HDH4" s="220"/>
      <c r="HDI4" s="220"/>
      <c r="HDJ4" s="220"/>
      <c r="HDK4" s="220"/>
      <c r="HDL4" s="223"/>
      <c r="HDM4" s="223"/>
      <c r="HDN4" s="223"/>
      <c r="HDO4" s="223"/>
      <c r="HDP4" s="223"/>
      <c r="HDQ4" s="223"/>
      <c r="HDR4" s="223"/>
      <c r="HDS4" s="223"/>
      <c r="HDT4" s="223"/>
      <c r="HDU4" s="224"/>
      <c r="HDV4" s="225"/>
      <c r="HDW4" s="226"/>
      <c r="HDX4" s="224"/>
      <c r="HDY4" s="225"/>
      <c r="HDZ4" s="225"/>
      <c r="HEA4" s="227"/>
      <c r="HEB4" s="228"/>
      <c r="HEC4" s="228"/>
      <c r="HED4" s="229"/>
      <c r="HEE4" s="216"/>
      <c r="HEF4" s="219"/>
      <c r="HEG4" s="220"/>
      <c r="HEH4" s="217"/>
      <c r="HEI4" s="217"/>
      <c r="HEJ4" s="217"/>
      <c r="HEK4" s="217"/>
      <c r="HEL4" s="217"/>
      <c r="HEM4" s="221"/>
      <c r="HEN4" s="222"/>
      <c r="HEO4" s="220"/>
      <c r="HEP4" s="220"/>
      <c r="HEQ4" s="220"/>
      <c r="HER4" s="220"/>
      <c r="HES4" s="223"/>
      <c r="HET4" s="223"/>
      <c r="HEU4" s="223"/>
      <c r="HEV4" s="223"/>
      <c r="HEW4" s="223"/>
      <c r="HEX4" s="223"/>
      <c r="HEY4" s="223"/>
      <c r="HEZ4" s="223"/>
      <c r="HFA4" s="223"/>
      <c r="HFB4" s="224"/>
      <c r="HFC4" s="225"/>
      <c r="HFD4" s="226"/>
      <c r="HFE4" s="224"/>
      <c r="HFF4" s="225"/>
      <c r="HFG4" s="225"/>
      <c r="HFH4" s="227"/>
      <c r="HFI4" s="228"/>
      <c r="HFJ4" s="228"/>
      <c r="HFK4" s="229"/>
      <c r="HFL4" s="216"/>
      <c r="HFM4" s="219"/>
      <c r="HFN4" s="220"/>
      <c r="HFO4" s="217"/>
      <c r="HFP4" s="217"/>
      <c r="HFQ4" s="217"/>
      <c r="HFR4" s="217"/>
      <c r="HFS4" s="217"/>
      <c r="HFT4" s="221"/>
      <c r="HFU4" s="222"/>
      <c r="HFV4" s="220"/>
      <c r="HFW4" s="220"/>
      <c r="HFX4" s="220"/>
      <c r="HFY4" s="220"/>
      <c r="HFZ4" s="223"/>
      <c r="HGA4" s="223"/>
      <c r="HGB4" s="223"/>
      <c r="HGC4" s="223"/>
      <c r="HGD4" s="223"/>
      <c r="HGE4" s="223"/>
      <c r="HGF4" s="223"/>
      <c r="HGG4" s="223"/>
      <c r="HGH4" s="223"/>
      <c r="HGI4" s="224"/>
      <c r="HGJ4" s="225"/>
      <c r="HGK4" s="226"/>
      <c r="HGL4" s="224"/>
      <c r="HGM4" s="225"/>
      <c r="HGN4" s="225"/>
      <c r="HGO4" s="227"/>
      <c r="HGP4" s="228"/>
      <c r="HGQ4" s="228"/>
      <c r="HGR4" s="229"/>
      <c r="HGS4" s="216"/>
      <c r="HGT4" s="219"/>
      <c r="HGU4" s="220"/>
      <c r="HGV4" s="217"/>
      <c r="HGW4" s="217"/>
      <c r="HGX4" s="217"/>
      <c r="HGY4" s="217"/>
      <c r="HGZ4" s="217"/>
      <c r="HHA4" s="221"/>
      <c r="HHB4" s="222"/>
      <c r="HHC4" s="220"/>
      <c r="HHD4" s="220"/>
      <c r="HHE4" s="220"/>
      <c r="HHF4" s="220"/>
      <c r="HHG4" s="223"/>
      <c r="HHH4" s="223"/>
      <c r="HHI4" s="223"/>
      <c r="HHJ4" s="223"/>
      <c r="HHK4" s="223"/>
      <c r="HHL4" s="223"/>
      <c r="HHM4" s="223"/>
      <c r="HHN4" s="223"/>
      <c r="HHO4" s="223"/>
      <c r="HHP4" s="224"/>
      <c r="HHQ4" s="225"/>
      <c r="HHR4" s="226"/>
      <c r="HHS4" s="224"/>
      <c r="HHT4" s="225"/>
      <c r="HHU4" s="225"/>
      <c r="HHV4" s="227"/>
      <c r="HHW4" s="228"/>
      <c r="HHX4" s="228"/>
      <c r="HHY4" s="229"/>
      <c r="HHZ4" s="216"/>
      <c r="HIA4" s="219"/>
      <c r="HIB4" s="220"/>
      <c r="HIC4" s="217"/>
      <c r="HID4" s="217"/>
      <c r="HIE4" s="217"/>
      <c r="HIF4" s="217"/>
      <c r="HIG4" s="217"/>
      <c r="HIH4" s="221"/>
      <c r="HII4" s="222"/>
      <c r="HIJ4" s="220"/>
      <c r="HIK4" s="220"/>
      <c r="HIL4" s="220"/>
      <c r="HIM4" s="220"/>
      <c r="HIN4" s="223"/>
      <c r="HIO4" s="223"/>
      <c r="HIP4" s="223"/>
      <c r="HIQ4" s="223"/>
      <c r="HIR4" s="223"/>
      <c r="HIS4" s="223"/>
      <c r="HIT4" s="223"/>
      <c r="HIU4" s="223"/>
      <c r="HIV4" s="223"/>
      <c r="HIW4" s="224"/>
      <c r="HIX4" s="225"/>
      <c r="HIY4" s="226"/>
      <c r="HIZ4" s="224"/>
      <c r="HJA4" s="225"/>
      <c r="HJB4" s="225"/>
      <c r="HJC4" s="227"/>
      <c r="HJD4" s="228"/>
      <c r="HJE4" s="228"/>
      <c r="HJF4" s="229"/>
      <c r="HJG4" s="216"/>
      <c r="HJH4" s="219"/>
      <c r="HJI4" s="220"/>
      <c r="HJJ4" s="217"/>
      <c r="HJK4" s="217"/>
      <c r="HJL4" s="217"/>
      <c r="HJM4" s="217"/>
      <c r="HJN4" s="217"/>
      <c r="HJO4" s="221"/>
      <c r="HJP4" s="222"/>
      <c r="HJQ4" s="220"/>
      <c r="HJR4" s="220"/>
      <c r="HJS4" s="220"/>
      <c r="HJT4" s="220"/>
      <c r="HJU4" s="223"/>
      <c r="HJV4" s="223"/>
      <c r="HJW4" s="223"/>
      <c r="HJX4" s="223"/>
      <c r="HJY4" s="223"/>
      <c r="HJZ4" s="223"/>
      <c r="HKA4" s="223"/>
      <c r="HKB4" s="223"/>
      <c r="HKC4" s="223"/>
      <c r="HKD4" s="224"/>
      <c r="HKE4" s="225"/>
      <c r="HKF4" s="226"/>
      <c r="HKG4" s="224"/>
      <c r="HKH4" s="225"/>
      <c r="HKI4" s="225"/>
      <c r="HKJ4" s="227"/>
      <c r="HKK4" s="228"/>
      <c r="HKL4" s="228"/>
      <c r="HKM4" s="229"/>
      <c r="HKN4" s="216"/>
      <c r="HKO4" s="219"/>
      <c r="HKP4" s="220"/>
      <c r="HKQ4" s="217"/>
      <c r="HKR4" s="217"/>
      <c r="HKS4" s="217"/>
      <c r="HKT4" s="217"/>
      <c r="HKU4" s="217"/>
      <c r="HKV4" s="221"/>
      <c r="HKW4" s="222"/>
      <c r="HKX4" s="220"/>
      <c r="HKY4" s="220"/>
      <c r="HKZ4" s="220"/>
      <c r="HLA4" s="220"/>
      <c r="HLB4" s="223"/>
      <c r="HLC4" s="223"/>
      <c r="HLD4" s="223"/>
      <c r="HLE4" s="223"/>
      <c r="HLF4" s="223"/>
      <c r="HLG4" s="223"/>
      <c r="HLH4" s="223"/>
      <c r="HLI4" s="223"/>
      <c r="HLJ4" s="223"/>
      <c r="HLK4" s="224"/>
      <c r="HLL4" s="225"/>
      <c r="HLM4" s="226"/>
      <c r="HLN4" s="224"/>
      <c r="HLO4" s="225"/>
      <c r="HLP4" s="225"/>
      <c r="HLQ4" s="227"/>
      <c r="HLR4" s="228"/>
      <c r="HLS4" s="228"/>
      <c r="HLT4" s="229"/>
      <c r="HLU4" s="216"/>
      <c r="HLV4" s="219"/>
      <c r="HLW4" s="220"/>
      <c r="HLX4" s="217"/>
      <c r="HLY4" s="217"/>
      <c r="HLZ4" s="217"/>
      <c r="HMA4" s="217"/>
      <c r="HMB4" s="217"/>
      <c r="HMC4" s="221"/>
      <c r="HMD4" s="222"/>
      <c r="HME4" s="220"/>
      <c r="HMF4" s="220"/>
      <c r="HMG4" s="220"/>
      <c r="HMH4" s="220"/>
      <c r="HMI4" s="223"/>
      <c r="HMJ4" s="223"/>
      <c r="HMK4" s="223"/>
      <c r="HML4" s="223"/>
      <c r="HMM4" s="223"/>
      <c r="HMN4" s="223"/>
      <c r="HMO4" s="223"/>
      <c r="HMP4" s="223"/>
      <c r="HMQ4" s="223"/>
      <c r="HMR4" s="224"/>
      <c r="HMS4" s="225"/>
      <c r="HMT4" s="226"/>
      <c r="HMU4" s="224"/>
      <c r="HMV4" s="225"/>
      <c r="HMW4" s="225"/>
      <c r="HMX4" s="227"/>
      <c r="HMY4" s="228"/>
      <c r="HMZ4" s="228"/>
      <c r="HNA4" s="229"/>
      <c r="HNB4" s="216"/>
      <c r="HNC4" s="219"/>
      <c r="HND4" s="220"/>
      <c r="HNE4" s="217"/>
      <c r="HNF4" s="217"/>
      <c r="HNG4" s="217"/>
      <c r="HNH4" s="217"/>
      <c r="HNI4" s="217"/>
      <c r="HNJ4" s="221"/>
      <c r="HNK4" s="222"/>
      <c r="HNL4" s="220"/>
      <c r="HNM4" s="220"/>
      <c r="HNN4" s="220"/>
      <c r="HNO4" s="220"/>
      <c r="HNP4" s="223"/>
      <c r="HNQ4" s="223"/>
      <c r="HNR4" s="223"/>
      <c r="HNS4" s="223"/>
      <c r="HNT4" s="223"/>
      <c r="HNU4" s="223"/>
      <c r="HNV4" s="223"/>
      <c r="HNW4" s="223"/>
      <c r="HNX4" s="223"/>
      <c r="HNY4" s="224"/>
      <c r="HNZ4" s="225"/>
      <c r="HOA4" s="226"/>
      <c r="HOB4" s="224"/>
      <c r="HOC4" s="225"/>
      <c r="HOD4" s="225"/>
      <c r="HOE4" s="227"/>
      <c r="HOF4" s="228"/>
      <c r="HOG4" s="228"/>
      <c r="HOH4" s="229"/>
      <c r="HOI4" s="216"/>
      <c r="HOJ4" s="219"/>
      <c r="HOK4" s="220"/>
      <c r="HOL4" s="217"/>
      <c r="HOM4" s="217"/>
      <c r="HON4" s="217"/>
      <c r="HOO4" s="217"/>
      <c r="HOP4" s="217"/>
      <c r="HOQ4" s="221"/>
      <c r="HOR4" s="222"/>
      <c r="HOS4" s="220"/>
      <c r="HOT4" s="220"/>
      <c r="HOU4" s="220"/>
      <c r="HOV4" s="220"/>
      <c r="HOW4" s="223"/>
      <c r="HOX4" s="223"/>
      <c r="HOY4" s="223"/>
      <c r="HOZ4" s="223"/>
      <c r="HPA4" s="223"/>
      <c r="HPB4" s="223"/>
      <c r="HPC4" s="223"/>
      <c r="HPD4" s="223"/>
      <c r="HPE4" s="223"/>
      <c r="HPF4" s="224"/>
      <c r="HPG4" s="225"/>
      <c r="HPH4" s="226"/>
      <c r="HPI4" s="224"/>
      <c r="HPJ4" s="225"/>
      <c r="HPK4" s="225"/>
      <c r="HPL4" s="227"/>
      <c r="HPM4" s="228"/>
      <c r="HPN4" s="228"/>
      <c r="HPO4" s="229"/>
      <c r="HPP4" s="216"/>
      <c r="HPQ4" s="219"/>
      <c r="HPR4" s="220"/>
      <c r="HPS4" s="217"/>
      <c r="HPT4" s="217"/>
      <c r="HPU4" s="217"/>
      <c r="HPV4" s="217"/>
      <c r="HPW4" s="217"/>
      <c r="HPX4" s="221"/>
      <c r="HPY4" s="222"/>
      <c r="HPZ4" s="220"/>
      <c r="HQA4" s="220"/>
      <c r="HQB4" s="220"/>
      <c r="HQC4" s="220"/>
      <c r="HQD4" s="223"/>
      <c r="HQE4" s="223"/>
      <c r="HQF4" s="223"/>
      <c r="HQG4" s="223"/>
      <c r="HQH4" s="223"/>
      <c r="HQI4" s="223"/>
      <c r="HQJ4" s="223"/>
      <c r="HQK4" s="223"/>
      <c r="HQL4" s="223"/>
      <c r="HQM4" s="224"/>
      <c r="HQN4" s="225"/>
      <c r="HQO4" s="226"/>
      <c r="HQP4" s="224"/>
      <c r="HQQ4" s="225"/>
      <c r="HQR4" s="225"/>
      <c r="HQS4" s="227"/>
      <c r="HQT4" s="228"/>
      <c r="HQU4" s="228"/>
      <c r="HQV4" s="229"/>
      <c r="HQW4" s="216"/>
      <c r="HQX4" s="219"/>
      <c r="HQY4" s="220"/>
      <c r="HQZ4" s="217"/>
      <c r="HRA4" s="217"/>
      <c r="HRB4" s="217"/>
      <c r="HRC4" s="217"/>
      <c r="HRD4" s="217"/>
      <c r="HRE4" s="221"/>
      <c r="HRF4" s="222"/>
      <c r="HRG4" s="220"/>
      <c r="HRH4" s="220"/>
      <c r="HRI4" s="220"/>
      <c r="HRJ4" s="220"/>
      <c r="HRK4" s="223"/>
      <c r="HRL4" s="223"/>
      <c r="HRM4" s="223"/>
      <c r="HRN4" s="223"/>
      <c r="HRO4" s="223"/>
      <c r="HRP4" s="223"/>
      <c r="HRQ4" s="223"/>
      <c r="HRR4" s="223"/>
      <c r="HRS4" s="223"/>
      <c r="HRT4" s="224"/>
      <c r="HRU4" s="225"/>
      <c r="HRV4" s="226"/>
      <c r="HRW4" s="224"/>
      <c r="HRX4" s="225"/>
      <c r="HRY4" s="225"/>
      <c r="HRZ4" s="227"/>
      <c r="HSA4" s="228"/>
      <c r="HSB4" s="228"/>
      <c r="HSC4" s="229"/>
      <c r="HSD4" s="216"/>
      <c r="HSE4" s="219"/>
      <c r="HSF4" s="220"/>
      <c r="HSG4" s="217"/>
      <c r="HSH4" s="217"/>
      <c r="HSI4" s="217"/>
      <c r="HSJ4" s="217"/>
      <c r="HSK4" s="217"/>
      <c r="HSL4" s="221"/>
      <c r="HSM4" s="222"/>
      <c r="HSN4" s="220"/>
      <c r="HSO4" s="220"/>
      <c r="HSP4" s="220"/>
      <c r="HSQ4" s="220"/>
      <c r="HSR4" s="223"/>
      <c r="HSS4" s="223"/>
      <c r="HST4" s="223"/>
      <c r="HSU4" s="223"/>
      <c r="HSV4" s="223"/>
      <c r="HSW4" s="223"/>
      <c r="HSX4" s="223"/>
      <c r="HSY4" s="223"/>
      <c r="HSZ4" s="223"/>
      <c r="HTA4" s="224"/>
      <c r="HTB4" s="225"/>
      <c r="HTC4" s="226"/>
      <c r="HTD4" s="224"/>
      <c r="HTE4" s="225"/>
      <c r="HTF4" s="225"/>
      <c r="HTG4" s="227"/>
      <c r="HTH4" s="228"/>
      <c r="HTI4" s="228"/>
      <c r="HTJ4" s="229"/>
      <c r="HTK4" s="216"/>
      <c r="HTL4" s="219"/>
      <c r="HTM4" s="220"/>
      <c r="HTN4" s="217"/>
      <c r="HTO4" s="217"/>
      <c r="HTP4" s="217"/>
      <c r="HTQ4" s="217"/>
      <c r="HTR4" s="217"/>
      <c r="HTS4" s="221"/>
      <c r="HTT4" s="222"/>
      <c r="HTU4" s="220"/>
      <c r="HTV4" s="220"/>
      <c r="HTW4" s="220"/>
      <c r="HTX4" s="220"/>
      <c r="HTY4" s="223"/>
      <c r="HTZ4" s="223"/>
      <c r="HUA4" s="223"/>
      <c r="HUB4" s="223"/>
      <c r="HUC4" s="223"/>
      <c r="HUD4" s="223"/>
      <c r="HUE4" s="223"/>
      <c r="HUF4" s="223"/>
      <c r="HUG4" s="223"/>
      <c r="HUH4" s="224"/>
      <c r="HUI4" s="225"/>
      <c r="HUJ4" s="226"/>
      <c r="HUK4" s="224"/>
      <c r="HUL4" s="225"/>
      <c r="HUM4" s="225"/>
      <c r="HUN4" s="227"/>
      <c r="HUO4" s="228"/>
      <c r="HUP4" s="228"/>
      <c r="HUQ4" s="229"/>
      <c r="HUR4" s="216"/>
      <c r="HUS4" s="219"/>
      <c r="HUT4" s="220"/>
      <c r="HUU4" s="217"/>
      <c r="HUV4" s="217"/>
      <c r="HUW4" s="217"/>
      <c r="HUX4" s="217"/>
      <c r="HUY4" s="217"/>
      <c r="HUZ4" s="221"/>
      <c r="HVA4" s="222"/>
      <c r="HVB4" s="220"/>
      <c r="HVC4" s="220"/>
      <c r="HVD4" s="220"/>
      <c r="HVE4" s="220"/>
      <c r="HVF4" s="223"/>
      <c r="HVG4" s="223"/>
      <c r="HVH4" s="223"/>
      <c r="HVI4" s="223"/>
      <c r="HVJ4" s="223"/>
      <c r="HVK4" s="223"/>
      <c r="HVL4" s="223"/>
      <c r="HVM4" s="223"/>
      <c r="HVN4" s="223"/>
      <c r="HVO4" s="224"/>
      <c r="HVP4" s="225"/>
      <c r="HVQ4" s="226"/>
      <c r="HVR4" s="224"/>
      <c r="HVS4" s="225"/>
      <c r="HVT4" s="225"/>
      <c r="HVU4" s="227"/>
      <c r="HVV4" s="228"/>
      <c r="HVW4" s="228"/>
      <c r="HVX4" s="229"/>
      <c r="HVY4" s="216"/>
      <c r="HVZ4" s="219"/>
      <c r="HWA4" s="220"/>
      <c r="HWB4" s="217"/>
      <c r="HWC4" s="217"/>
      <c r="HWD4" s="217"/>
      <c r="HWE4" s="217"/>
      <c r="HWF4" s="217"/>
      <c r="HWG4" s="221"/>
      <c r="HWH4" s="222"/>
      <c r="HWI4" s="220"/>
      <c r="HWJ4" s="220"/>
      <c r="HWK4" s="220"/>
      <c r="HWL4" s="220"/>
      <c r="HWM4" s="223"/>
      <c r="HWN4" s="223"/>
      <c r="HWO4" s="223"/>
      <c r="HWP4" s="223"/>
      <c r="HWQ4" s="223"/>
      <c r="HWR4" s="223"/>
      <c r="HWS4" s="223"/>
      <c r="HWT4" s="223"/>
      <c r="HWU4" s="223"/>
      <c r="HWV4" s="224"/>
      <c r="HWW4" s="225"/>
      <c r="HWX4" s="226"/>
      <c r="HWY4" s="224"/>
      <c r="HWZ4" s="225"/>
      <c r="HXA4" s="225"/>
      <c r="HXB4" s="227"/>
      <c r="HXC4" s="228"/>
      <c r="HXD4" s="228"/>
      <c r="HXE4" s="229"/>
      <c r="HXF4" s="216"/>
      <c r="HXG4" s="219"/>
      <c r="HXH4" s="220"/>
      <c r="HXI4" s="217"/>
      <c r="HXJ4" s="217"/>
      <c r="HXK4" s="217"/>
      <c r="HXL4" s="217"/>
      <c r="HXM4" s="217"/>
      <c r="HXN4" s="221"/>
      <c r="HXO4" s="222"/>
      <c r="HXP4" s="220"/>
      <c r="HXQ4" s="220"/>
      <c r="HXR4" s="220"/>
      <c r="HXS4" s="220"/>
      <c r="HXT4" s="223"/>
      <c r="HXU4" s="223"/>
      <c r="HXV4" s="223"/>
      <c r="HXW4" s="223"/>
      <c r="HXX4" s="223"/>
      <c r="HXY4" s="223"/>
      <c r="HXZ4" s="223"/>
      <c r="HYA4" s="223"/>
      <c r="HYB4" s="223"/>
      <c r="HYC4" s="224"/>
      <c r="HYD4" s="225"/>
      <c r="HYE4" s="226"/>
      <c r="HYF4" s="224"/>
      <c r="HYG4" s="225"/>
      <c r="HYH4" s="225"/>
      <c r="HYI4" s="227"/>
      <c r="HYJ4" s="228"/>
      <c r="HYK4" s="228"/>
      <c r="HYL4" s="229"/>
      <c r="HYM4" s="216"/>
      <c r="HYN4" s="219"/>
      <c r="HYO4" s="220"/>
      <c r="HYP4" s="217"/>
      <c r="HYQ4" s="217"/>
      <c r="HYR4" s="217"/>
      <c r="HYS4" s="217"/>
      <c r="HYT4" s="217"/>
      <c r="HYU4" s="221"/>
      <c r="HYV4" s="222"/>
      <c r="HYW4" s="220"/>
      <c r="HYX4" s="220"/>
      <c r="HYY4" s="220"/>
      <c r="HYZ4" s="220"/>
      <c r="HZA4" s="223"/>
      <c r="HZB4" s="223"/>
      <c r="HZC4" s="223"/>
      <c r="HZD4" s="223"/>
      <c r="HZE4" s="223"/>
      <c r="HZF4" s="223"/>
      <c r="HZG4" s="223"/>
      <c r="HZH4" s="223"/>
      <c r="HZI4" s="223"/>
      <c r="HZJ4" s="224"/>
      <c r="HZK4" s="225"/>
      <c r="HZL4" s="226"/>
      <c r="HZM4" s="224"/>
      <c r="HZN4" s="225"/>
      <c r="HZO4" s="225"/>
      <c r="HZP4" s="227"/>
      <c r="HZQ4" s="228"/>
      <c r="HZR4" s="228"/>
      <c r="HZS4" s="229"/>
      <c r="HZT4" s="216"/>
      <c r="HZU4" s="219"/>
      <c r="HZV4" s="220"/>
      <c r="HZW4" s="217"/>
      <c r="HZX4" s="217"/>
      <c r="HZY4" s="217"/>
      <c r="HZZ4" s="217"/>
      <c r="IAA4" s="217"/>
      <c r="IAB4" s="221"/>
      <c r="IAC4" s="222"/>
      <c r="IAD4" s="220"/>
      <c r="IAE4" s="220"/>
      <c r="IAF4" s="220"/>
      <c r="IAG4" s="220"/>
      <c r="IAH4" s="223"/>
      <c r="IAI4" s="223"/>
      <c r="IAJ4" s="223"/>
      <c r="IAK4" s="223"/>
      <c r="IAL4" s="223"/>
      <c r="IAM4" s="223"/>
      <c r="IAN4" s="223"/>
      <c r="IAO4" s="223"/>
      <c r="IAP4" s="223"/>
      <c r="IAQ4" s="224"/>
      <c r="IAR4" s="225"/>
      <c r="IAS4" s="226"/>
      <c r="IAT4" s="224"/>
      <c r="IAU4" s="225"/>
      <c r="IAV4" s="225"/>
      <c r="IAW4" s="227"/>
      <c r="IAX4" s="228"/>
      <c r="IAY4" s="228"/>
      <c r="IAZ4" s="229"/>
      <c r="IBA4" s="216"/>
      <c r="IBB4" s="219"/>
      <c r="IBC4" s="220"/>
      <c r="IBD4" s="217"/>
      <c r="IBE4" s="217"/>
      <c r="IBF4" s="217"/>
      <c r="IBG4" s="217"/>
      <c r="IBH4" s="217"/>
      <c r="IBI4" s="221"/>
      <c r="IBJ4" s="222"/>
      <c r="IBK4" s="220"/>
      <c r="IBL4" s="220"/>
      <c r="IBM4" s="220"/>
      <c r="IBN4" s="220"/>
      <c r="IBO4" s="223"/>
      <c r="IBP4" s="223"/>
      <c r="IBQ4" s="223"/>
      <c r="IBR4" s="223"/>
      <c r="IBS4" s="223"/>
      <c r="IBT4" s="223"/>
      <c r="IBU4" s="223"/>
      <c r="IBV4" s="223"/>
      <c r="IBW4" s="223"/>
      <c r="IBX4" s="224"/>
      <c r="IBY4" s="225"/>
      <c r="IBZ4" s="226"/>
      <c r="ICA4" s="224"/>
      <c r="ICB4" s="225"/>
      <c r="ICC4" s="225"/>
      <c r="ICD4" s="227"/>
      <c r="ICE4" s="228"/>
      <c r="ICF4" s="228"/>
      <c r="ICG4" s="229"/>
      <c r="ICH4" s="216"/>
      <c r="ICI4" s="219"/>
      <c r="ICJ4" s="220"/>
      <c r="ICK4" s="217"/>
      <c r="ICL4" s="217"/>
      <c r="ICM4" s="217"/>
      <c r="ICN4" s="217"/>
      <c r="ICO4" s="217"/>
      <c r="ICP4" s="221"/>
      <c r="ICQ4" s="222"/>
      <c r="ICR4" s="220"/>
      <c r="ICS4" s="220"/>
      <c r="ICT4" s="220"/>
      <c r="ICU4" s="220"/>
      <c r="ICV4" s="223"/>
      <c r="ICW4" s="223"/>
      <c r="ICX4" s="223"/>
      <c r="ICY4" s="223"/>
      <c r="ICZ4" s="223"/>
      <c r="IDA4" s="223"/>
      <c r="IDB4" s="223"/>
      <c r="IDC4" s="223"/>
      <c r="IDD4" s="223"/>
      <c r="IDE4" s="224"/>
      <c r="IDF4" s="225"/>
      <c r="IDG4" s="226"/>
      <c r="IDH4" s="224"/>
      <c r="IDI4" s="225"/>
      <c r="IDJ4" s="225"/>
      <c r="IDK4" s="227"/>
      <c r="IDL4" s="228"/>
      <c r="IDM4" s="228"/>
      <c r="IDN4" s="229"/>
      <c r="IDO4" s="216"/>
      <c r="IDP4" s="219"/>
      <c r="IDQ4" s="220"/>
      <c r="IDR4" s="217"/>
      <c r="IDS4" s="217"/>
      <c r="IDT4" s="217"/>
      <c r="IDU4" s="217"/>
      <c r="IDV4" s="217"/>
      <c r="IDW4" s="221"/>
      <c r="IDX4" s="222"/>
      <c r="IDY4" s="220"/>
      <c r="IDZ4" s="220"/>
      <c r="IEA4" s="220"/>
      <c r="IEB4" s="220"/>
      <c r="IEC4" s="223"/>
      <c r="IED4" s="223"/>
      <c r="IEE4" s="223"/>
      <c r="IEF4" s="223"/>
      <c r="IEG4" s="223"/>
      <c r="IEH4" s="223"/>
      <c r="IEI4" s="223"/>
      <c r="IEJ4" s="223"/>
      <c r="IEK4" s="223"/>
      <c r="IEL4" s="224"/>
      <c r="IEM4" s="225"/>
      <c r="IEN4" s="226"/>
      <c r="IEO4" s="224"/>
      <c r="IEP4" s="225"/>
      <c r="IEQ4" s="225"/>
      <c r="IER4" s="227"/>
      <c r="IES4" s="228"/>
      <c r="IET4" s="228"/>
      <c r="IEU4" s="229"/>
      <c r="IEV4" s="216"/>
      <c r="IEW4" s="219"/>
      <c r="IEX4" s="220"/>
      <c r="IEY4" s="217"/>
      <c r="IEZ4" s="217"/>
      <c r="IFA4" s="217"/>
      <c r="IFB4" s="217"/>
      <c r="IFC4" s="217"/>
      <c r="IFD4" s="221"/>
      <c r="IFE4" s="222"/>
      <c r="IFF4" s="220"/>
      <c r="IFG4" s="220"/>
      <c r="IFH4" s="220"/>
      <c r="IFI4" s="220"/>
      <c r="IFJ4" s="223"/>
      <c r="IFK4" s="223"/>
      <c r="IFL4" s="223"/>
      <c r="IFM4" s="223"/>
      <c r="IFN4" s="223"/>
      <c r="IFO4" s="223"/>
      <c r="IFP4" s="223"/>
      <c r="IFQ4" s="223"/>
      <c r="IFR4" s="223"/>
      <c r="IFS4" s="224"/>
      <c r="IFT4" s="225"/>
      <c r="IFU4" s="226"/>
      <c r="IFV4" s="224"/>
      <c r="IFW4" s="225"/>
      <c r="IFX4" s="225"/>
      <c r="IFY4" s="227"/>
      <c r="IFZ4" s="228"/>
      <c r="IGA4" s="228"/>
      <c r="IGB4" s="229"/>
      <c r="IGC4" s="216"/>
      <c r="IGD4" s="219"/>
      <c r="IGE4" s="220"/>
      <c r="IGF4" s="217"/>
      <c r="IGG4" s="217"/>
      <c r="IGH4" s="217"/>
      <c r="IGI4" s="217"/>
      <c r="IGJ4" s="217"/>
      <c r="IGK4" s="221"/>
      <c r="IGL4" s="222"/>
      <c r="IGM4" s="220"/>
      <c r="IGN4" s="220"/>
      <c r="IGO4" s="220"/>
      <c r="IGP4" s="220"/>
      <c r="IGQ4" s="223"/>
      <c r="IGR4" s="223"/>
      <c r="IGS4" s="223"/>
      <c r="IGT4" s="223"/>
      <c r="IGU4" s="223"/>
      <c r="IGV4" s="223"/>
      <c r="IGW4" s="223"/>
      <c r="IGX4" s="223"/>
      <c r="IGY4" s="223"/>
      <c r="IGZ4" s="224"/>
      <c r="IHA4" s="225"/>
      <c r="IHB4" s="226"/>
      <c r="IHC4" s="224"/>
      <c r="IHD4" s="225"/>
      <c r="IHE4" s="225"/>
      <c r="IHF4" s="227"/>
      <c r="IHG4" s="228"/>
      <c r="IHH4" s="228"/>
      <c r="IHI4" s="229"/>
      <c r="IHJ4" s="216"/>
      <c r="IHK4" s="219"/>
      <c r="IHL4" s="220"/>
      <c r="IHM4" s="217"/>
      <c r="IHN4" s="217"/>
      <c r="IHO4" s="217"/>
      <c r="IHP4" s="217"/>
      <c r="IHQ4" s="217"/>
      <c r="IHR4" s="221"/>
      <c r="IHS4" s="222"/>
      <c r="IHT4" s="220"/>
      <c r="IHU4" s="220"/>
      <c r="IHV4" s="220"/>
      <c r="IHW4" s="220"/>
      <c r="IHX4" s="223"/>
      <c r="IHY4" s="223"/>
      <c r="IHZ4" s="223"/>
      <c r="IIA4" s="223"/>
      <c r="IIB4" s="223"/>
      <c r="IIC4" s="223"/>
      <c r="IID4" s="223"/>
      <c r="IIE4" s="223"/>
      <c r="IIF4" s="223"/>
      <c r="IIG4" s="224"/>
      <c r="IIH4" s="225"/>
      <c r="III4" s="226"/>
      <c r="IIJ4" s="224"/>
      <c r="IIK4" s="225"/>
      <c r="IIL4" s="225"/>
      <c r="IIM4" s="227"/>
      <c r="IIN4" s="228"/>
      <c r="IIO4" s="228"/>
      <c r="IIP4" s="229"/>
      <c r="IIQ4" s="216"/>
      <c r="IIR4" s="219"/>
      <c r="IIS4" s="220"/>
      <c r="IIT4" s="217"/>
      <c r="IIU4" s="217"/>
      <c r="IIV4" s="217"/>
      <c r="IIW4" s="217"/>
      <c r="IIX4" s="217"/>
      <c r="IIY4" s="221"/>
      <c r="IIZ4" s="222"/>
      <c r="IJA4" s="220"/>
      <c r="IJB4" s="220"/>
      <c r="IJC4" s="220"/>
      <c r="IJD4" s="220"/>
      <c r="IJE4" s="223"/>
      <c r="IJF4" s="223"/>
      <c r="IJG4" s="223"/>
      <c r="IJH4" s="223"/>
      <c r="IJI4" s="223"/>
      <c r="IJJ4" s="223"/>
      <c r="IJK4" s="223"/>
      <c r="IJL4" s="223"/>
      <c r="IJM4" s="223"/>
      <c r="IJN4" s="224"/>
      <c r="IJO4" s="225"/>
      <c r="IJP4" s="226"/>
      <c r="IJQ4" s="224"/>
      <c r="IJR4" s="225"/>
      <c r="IJS4" s="225"/>
      <c r="IJT4" s="227"/>
      <c r="IJU4" s="228"/>
      <c r="IJV4" s="228"/>
      <c r="IJW4" s="229"/>
      <c r="IJX4" s="216"/>
      <c r="IJY4" s="219"/>
      <c r="IJZ4" s="220"/>
      <c r="IKA4" s="217"/>
      <c r="IKB4" s="217"/>
      <c r="IKC4" s="217"/>
      <c r="IKD4" s="217"/>
      <c r="IKE4" s="217"/>
      <c r="IKF4" s="221"/>
      <c r="IKG4" s="222"/>
      <c r="IKH4" s="220"/>
      <c r="IKI4" s="220"/>
      <c r="IKJ4" s="220"/>
      <c r="IKK4" s="220"/>
      <c r="IKL4" s="223"/>
      <c r="IKM4" s="223"/>
      <c r="IKN4" s="223"/>
      <c r="IKO4" s="223"/>
      <c r="IKP4" s="223"/>
      <c r="IKQ4" s="223"/>
      <c r="IKR4" s="223"/>
      <c r="IKS4" s="223"/>
      <c r="IKT4" s="223"/>
      <c r="IKU4" s="224"/>
      <c r="IKV4" s="225"/>
      <c r="IKW4" s="226"/>
      <c r="IKX4" s="224"/>
      <c r="IKY4" s="225"/>
      <c r="IKZ4" s="225"/>
      <c r="ILA4" s="227"/>
      <c r="ILB4" s="228"/>
      <c r="ILC4" s="228"/>
      <c r="ILD4" s="229"/>
      <c r="ILE4" s="216"/>
      <c r="ILF4" s="219"/>
      <c r="ILG4" s="220"/>
      <c r="ILH4" s="217"/>
      <c r="ILI4" s="217"/>
      <c r="ILJ4" s="217"/>
      <c r="ILK4" s="217"/>
      <c r="ILL4" s="217"/>
      <c r="ILM4" s="221"/>
      <c r="ILN4" s="222"/>
      <c r="ILO4" s="220"/>
      <c r="ILP4" s="220"/>
      <c r="ILQ4" s="220"/>
      <c r="ILR4" s="220"/>
      <c r="ILS4" s="223"/>
      <c r="ILT4" s="223"/>
      <c r="ILU4" s="223"/>
      <c r="ILV4" s="223"/>
      <c r="ILW4" s="223"/>
      <c r="ILX4" s="223"/>
      <c r="ILY4" s="223"/>
      <c r="ILZ4" s="223"/>
      <c r="IMA4" s="223"/>
      <c r="IMB4" s="224"/>
      <c r="IMC4" s="225"/>
      <c r="IMD4" s="226"/>
      <c r="IME4" s="224"/>
      <c r="IMF4" s="225"/>
      <c r="IMG4" s="225"/>
      <c r="IMH4" s="227"/>
      <c r="IMI4" s="228"/>
      <c r="IMJ4" s="228"/>
      <c r="IMK4" s="229"/>
      <c r="IML4" s="216"/>
      <c r="IMM4" s="219"/>
      <c r="IMN4" s="220"/>
      <c r="IMO4" s="217"/>
      <c r="IMP4" s="217"/>
      <c r="IMQ4" s="217"/>
      <c r="IMR4" s="217"/>
      <c r="IMS4" s="217"/>
      <c r="IMT4" s="221"/>
      <c r="IMU4" s="222"/>
      <c r="IMV4" s="220"/>
      <c r="IMW4" s="220"/>
      <c r="IMX4" s="220"/>
      <c r="IMY4" s="220"/>
      <c r="IMZ4" s="223"/>
      <c r="INA4" s="223"/>
      <c r="INB4" s="223"/>
      <c r="INC4" s="223"/>
      <c r="IND4" s="223"/>
      <c r="INE4" s="223"/>
      <c r="INF4" s="223"/>
      <c r="ING4" s="223"/>
      <c r="INH4" s="223"/>
      <c r="INI4" s="224"/>
      <c r="INJ4" s="225"/>
      <c r="INK4" s="226"/>
      <c r="INL4" s="224"/>
      <c r="INM4" s="225"/>
      <c r="INN4" s="225"/>
      <c r="INO4" s="227"/>
      <c r="INP4" s="228"/>
      <c r="INQ4" s="228"/>
      <c r="INR4" s="229"/>
      <c r="INS4" s="216"/>
      <c r="INT4" s="219"/>
      <c r="INU4" s="220"/>
      <c r="INV4" s="217"/>
      <c r="INW4" s="217"/>
      <c r="INX4" s="217"/>
      <c r="INY4" s="217"/>
      <c r="INZ4" s="217"/>
      <c r="IOA4" s="221"/>
      <c r="IOB4" s="222"/>
      <c r="IOC4" s="220"/>
      <c r="IOD4" s="220"/>
      <c r="IOE4" s="220"/>
      <c r="IOF4" s="220"/>
      <c r="IOG4" s="223"/>
      <c r="IOH4" s="223"/>
      <c r="IOI4" s="223"/>
      <c r="IOJ4" s="223"/>
      <c r="IOK4" s="223"/>
      <c r="IOL4" s="223"/>
      <c r="IOM4" s="223"/>
      <c r="ION4" s="223"/>
      <c r="IOO4" s="223"/>
      <c r="IOP4" s="224"/>
      <c r="IOQ4" s="225"/>
      <c r="IOR4" s="226"/>
      <c r="IOS4" s="224"/>
      <c r="IOT4" s="225"/>
      <c r="IOU4" s="225"/>
      <c r="IOV4" s="227"/>
      <c r="IOW4" s="228"/>
      <c r="IOX4" s="228"/>
      <c r="IOY4" s="229"/>
      <c r="IOZ4" s="216"/>
      <c r="IPA4" s="219"/>
      <c r="IPB4" s="220"/>
      <c r="IPC4" s="217"/>
      <c r="IPD4" s="217"/>
      <c r="IPE4" s="217"/>
      <c r="IPF4" s="217"/>
      <c r="IPG4" s="217"/>
      <c r="IPH4" s="221"/>
      <c r="IPI4" s="222"/>
      <c r="IPJ4" s="220"/>
      <c r="IPK4" s="220"/>
      <c r="IPL4" s="220"/>
      <c r="IPM4" s="220"/>
      <c r="IPN4" s="223"/>
      <c r="IPO4" s="223"/>
      <c r="IPP4" s="223"/>
      <c r="IPQ4" s="223"/>
      <c r="IPR4" s="223"/>
      <c r="IPS4" s="223"/>
      <c r="IPT4" s="223"/>
      <c r="IPU4" s="223"/>
      <c r="IPV4" s="223"/>
      <c r="IPW4" s="224"/>
      <c r="IPX4" s="225"/>
      <c r="IPY4" s="226"/>
      <c r="IPZ4" s="224"/>
      <c r="IQA4" s="225"/>
      <c r="IQB4" s="225"/>
      <c r="IQC4" s="227"/>
      <c r="IQD4" s="228"/>
      <c r="IQE4" s="228"/>
      <c r="IQF4" s="229"/>
      <c r="IQG4" s="216"/>
      <c r="IQH4" s="219"/>
      <c r="IQI4" s="220"/>
      <c r="IQJ4" s="217"/>
      <c r="IQK4" s="217"/>
      <c r="IQL4" s="217"/>
      <c r="IQM4" s="217"/>
      <c r="IQN4" s="217"/>
      <c r="IQO4" s="221"/>
      <c r="IQP4" s="222"/>
      <c r="IQQ4" s="220"/>
      <c r="IQR4" s="220"/>
      <c r="IQS4" s="220"/>
      <c r="IQT4" s="220"/>
      <c r="IQU4" s="223"/>
      <c r="IQV4" s="223"/>
      <c r="IQW4" s="223"/>
      <c r="IQX4" s="223"/>
      <c r="IQY4" s="223"/>
      <c r="IQZ4" s="223"/>
      <c r="IRA4" s="223"/>
      <c r="IRB4" s="223"/>
      <c r="IRC4" s="223"/>
      <c r="IRD4" s="224"/>
      <c r="IRE4" s="225"/>
      <c r="IRF4" s="226"/>
      <c r="IRG4" s="224"/>
      <c r="IRH4" s="225"/>
      <c r="IRI4" s="225"/>
      <c r="IRJ4" s="227"/>
      <c r="IRK4" s="228"/>
      <c r="IRL4" s="228"/>
      <c r="IRM4" s="229"/>
      <c r="IRN4" s="216"/>
      <c r="IRO4" s="219"/>
      <c r="IRP4" s="220"/>
      <c r="IRQ4" s="217"/>
      <c r="IRR4" s="217"/>
      <c r="IRS4" s="217"/>
      <c r="IRT4" s="217"/>
      <c r="IRU4" s="217"/>
      <c r="IRV4" s="221"/>
      <c r="IRW4" s="222"/>
      <c r="IRX4" s="220"/>
      <c r="IRY4" s="220"/>
      <c r="IRZ4" s="220"/>
      <c r="ISA4" s="220"/>
      <c r="ISB4" s="223"/>
      <c r="ISC4" s="223"/>
      <c r="ISD4" s="223"/>
      <c r="ISE4" s="223"/>
      <c r="ISF4" s="223"/>
      <c r="ISG4" s="223"/>
      <c r="ISH4" s="223"/>
      <c r="ISI4" s="223"/>
      <c r="ISJ4" s="223"/>
      <c r="ISK4" s="224"/>
      <c r="ISL4" s="225"/>
      <c r="ISM4" s="226"/>
      <c r="ISN4" s="224"/>
      <c r="ISO4" s="225"/>
      <c r="ISP4" s="225"/>
      <c r="ISQ4" s="227"/>
      <c r="ISR4" s="228"/>
      <c r="ISS4" s="228"/>
      <c r="IST4" s="229"/>
      <c r="ISU4" s="216"/>
      <c r="ISV4" s="219"/>
      <c r="ISW4" s="220"/>
      <c r="ISX4" s="217"/>
      <c r="ISY4" s="217"/>
      <c r="ISZ4" s="217"/>
      <c r="ITA4" s="217"/>
      <c r="ITB4" s="217"/>
      <c r="ITC4" s="221"/>
      <c r="ITD4" s="222"/>
      <c r="ITE4" s="220"/>
      <c r="ITF4" s="220"/>
      <c r="ITG4" s="220"/>
      <c r="ITH4" s="220"/>
      <c r="ITI4" s="223"/>
      <c r="ITJ4" s="223"/>
      <c r="ITK4" s="223"/>
      <c r="ITL4" s="223"/>
      <c r="ITM4" s="223"/>
      <c r="ITN4" s="223"/>
      <c r="ITO4" s="223"/>
      <c r="ITP4" s="223"/>
      <c r="ITQ4" s="223"/>
      <c r="ITR4" s="224"/>
      <c r="ITS4" s="225"/>
      <c r="ITT4" s="226"/>
      <c r="ITU4" s="224"/>
      <c r="ITV4" s="225"/>
      <c r="ITW4" s="225"/>
      <c r="ITX4" s="227"/>
      <c r="ITY4" s="228"/>
      <c r="ITZ4" s="228"/>
      <c r="IUA4" s="229"/>
      <c r="IUB4" s="216"/>
      <c r="IUC4" s="219"/>
      <c r="IUD4" s="220"/>
      <c r="IUE4" s="217"/>
      <c r="IUF4" s="217"/>
      <c r="IUG4" s="217"/>
      <c r="IUH4" s="217"/>
      <c r="IUI4" s="217"/>
      <c r="IUJ4" s="221"/>
      <c r="IUK4" s="222"/>
      <c r="IUL4" s="220"/>
      <c r="IUM4" s="220"/>
      <c r="IUN4" s="220"/>
      <c r="IUO4" s="220"/>
      <c r="IUP4" s="223"/>
      <c r="IUQ4" s="223"/>
      <c r="IUR4" s="223"/>
      <c r="IUS4" s="223"/>
      <c r="IUT4" s="223"/>
      <c r="IUU4" s="223"/>
      <c r="IUV4" s="223"/>
      <c r="IUW4" s="223"/>
      <c r="IUX4" s="223"/>
      <c r="IUY4" s="224"/>
      <c r="IUZ4" s="225"/>
      <c r="IVA4" s="226"/>
      <c r="IVB4" s="224"/>
      <c r="IVC4" s="225"/>
      <c r="IVD4" s="225"/>
      <c r="IVE4" s="227"/>
      <c r="IVF4" s="228"/>
      <c r="IVG4" s="228"/>
      <c r="IVH4" s="229"/>
      <c r="IVI4" s="216"/>
      <c r="IVJ4" s="219"/>
      <c r="IVK4" s="220"/>
      <c r="IVL4" s="217"/>
      <c r="IVM4" s="217"/>
      <c r="IVN4" s="217"/>
      <c r="IVO4" s="217"/>
      <c r="IVP4" s="217"/>
      <c r="IVQ4" s="221"/>
      <c r="IVR4" s="222"/>
      <c r="IVS4" s="220"/>
      <c r="IVT4" s="220"/>
      <c r="IVU4" s="220"/>
      <c r="IVV4" s="220"/>
      <c r="IVW4" s="223"/>
      <c r="IVX4" s="223"/>
      <c r="IVY4" s="223"/>
      <c r="IVZ4" s="223"/>
      <c r="IWA4" s="223"/>
      <c r="IWB4" s="223"/>
      <c r="IWC4" s="223"/>
      <c r="IWD4" s="223"/>
      <c r="IWE4" s="223"/>
      <c r="IWF4" s="224"/>
      <c r="IWG4" s="225"/>
      <c r="IWH4" s="226"/>
      <c r="IWI4" s="224"/>
      <c r="IWJ4" s="225"/>
      <c r="IWK4" s="225"/>
      <c r="IWL4" s="227"/>
      <c r="IWM4" s="228"/>
      <c r="IWN4" s="228"/>
      <c r="IWO4" s="229"/>
      <c r="IWP4" s="216"/>
      <c r="IWQ4" s="219"/>
      <c r="IWR4" s="220"/>
      <c r="IWS4" s="217"/>
      <c r="IWT4" s="217"/>
      <c r="IWU4" s="217"/>
      <c r="IWV4" s="217"/>
      <c r="IWW4" s="217"/>
      <c r="IWX4" s="221"/>
      <c r="IWY4" s="222"/>
      <c r="IWZ4" s="220"/>
      <c r="IXA4" s="220"/>
      <c r="IXB4" s="220"/>
      <c r="IXC4" s="220"/>
      <c r="IXD4" s="223"/>
      <c r="IXE4" s="223"/>
      <c r="IXF4" s="223"/>
      <c r="IXG4" s="223"/>
      <c r="IXH4" s="223"/>
      <c r="IXI4" s="223"/>
      <c r="IXJ4" s="223"/>
      <c r="IXK4" s="223"/>
      <c r="IXL4" s="223"/>
      <c r="IXM4" s="224"/>
      <c r="IXN4" s="225"/>
      <c r="IXO4" s="226"/>
      <c r="IXP4" s="224"/>
      <c r="IXQ4" s="225"/>
      <c r="IXR4" s="225"/>
      <c r="IXS4" s="227"/>
      <c r="IXT4" s="228"/>
      <c r="IXU4" s="228"/>
      <c r="IXV4" s="229"/>
      <c r="IXW4" s="216"/>
      <c r="IXX4" s="219"/>
      <c r="IXY4" s="220"/>
      <c r="IXZ4" s="217"/>
      <c r="IYA4" s="217"/>
      <c r="IYB4" s="217"/>
      <c r="IYC4" s="217"/>
      <c r="IYD4" s="217"/>
      <c r="IYE4" s="221"/>
      <c r="IYF4" s="222"/>
      <c r="IYG4" s="220"/>
      <c r="IYH4" s="220"/>
      <c r="IYI4" s="220"/>
      <c r="IYJ4" s="220"/>
      <c r="IYK4" s="223"/>
      <c r="IYL4" s="223"/>
      <c r="IYM4" s="223"/>
      <c r="IYN4" s="223"/>
      <c r="IYO4" s="223"/>
      <c r="IYP4" s="223"/>
      <c r="IYQ4" s="223"/>
      <c r="IYR4" s="223"/>
      <c r="IYS4" s="223"/>
      <c r="IYT4" s="224"/>
      <c r="IYU4" s="225"/>
      <c r="IYV4" s="226"/>
      <c r="IYW4" s="224"/>
      <c r="IYX4" s="225"/>
      <c r="IYY4" s="225"/>
      <c r="IYZ4" s="227"/>
      <c r="IZA4" s="228"/>
      <c r="IZB4" s="228"/>
      <c r="IZC4" s="229"/>
      <c r="IZD4" s="216"/>
      <c r="IZE4" s="219"/>
      <c r="IZF4" s="220"/>
      <c r="IZG4" s="217"/>
      <c r="IZH4" s="217"/>
      <c r="IZI4" s="217"/>
      <c r="IZJ4" s="217"/>
      <c r="IZK4" s="217"/>
      <c r="IZL4" s="221"/>
      <c r="IZM4" s="222"/>
      <c r="IZN4" s="220"/>
      <c r="IZO4" s="220"/>
      <c r="IZP4" s="220"/>
      <c r="IZQ4" s="220"/>
      <c r="IZR4" s="223"/>
      <c r="IZS4" s="223"/>
      <c r="IZT4" s="223"/>
      <c r="IZU4" s="223"/>
      <c r="IZV4" s="223"/>
      <c r="IZW4" s="223"/>
      <c r="IZX4" s="223"/>
      <c r="IZY4" s="223"/>
      <c r="IZZ4" s="223"/>
      <c r="JAA4" s="224"/>
      <c r="JAB4" s="225"/>
      <c r="JAC4" s="226"/>
      <c r="JAD4" s="224"/>
      <c r="JAE4" s="225"/>
      <c r="JAF4" s="225"/>
      <c r="JAG4" s="227"/>
      <c r="JAH4" s="228"/>
      <c r="JAI4" s="228"/>
      <c r="JAJ4" s="229"/>
      <c r="JAK4" s="216"/>
      <c r="JAL4" s="219"/>
      <c r="JAM4" s="220"/>
      <c r="JAN4" s="217"/>
      <c r="JAO4" s="217"/>
      <c r="JAP4" s="217"/>
      <c r="JAQ4" s="217"/>
      <c r="JAR4" s="217"/>
      <c r="JAS4" s="221"/>
      <c r="JAT4" s="222"/>
      <c r="JAU4" s="220"/>
      <c r="JAV4" s="220"/>
      <c r="JAW4" s="220"/>
      <c r="JAX4" s="220"/>
      <c r="JAY4" s="223"/>
      <c r="JAZ4" s="223"/>
      <c r="JBA4" s="223"/>
      <c r="JBB4" s="223"/>
      <c r="JBC4" s="223"/>
      <c r="JBD4" s="223"/>
      <c r="JBE4" s="223"/>
      <c r="JBF4" s="223"/>
      <c r="JBG4" s="223"/>
      <c r="JBH4" s="224"/>
      <c r="JBI4" s="225"/>
      <c r="JBJ4" s="226"/>
      <c r="JBK4" s="224"/>
      <c r="JBL4" s="225"/>
      <c r="JBM4" s="225"/>
      <c r="JBN4" s="227"/>
      <c r="JBO4" s="228"/>
      <c r="JBP4" s="228"/>
      <c r="JBQ4" s="229"/>
      <c r="JBR4" s="216"/>
      <c r="JBS4" s="219"/>
      <c r="JBT4" s="220"/>
      <c r="JBU4" s="217"/>
      <c r="JBV4" s="217"/>
      <c r="JBW4" s="217"/>
      <c r="JBX4" s="217"/>
      <c r="JBY4" s="217"/>
      <c r="JBZ4" s="221"/>
      <c r="JCA4" s="222"/>
      <c r="JCB4" s="220"/>
      <c r="JCC4" s="220"/>
      <c r="JCD4" s="220"/>
      <c r="JCE4" s="220"/>
      <c r="JCF4" s="223"/>
      <c r="JCG4" s="223"/>
      <c r="JCH4" s="223"/>
      <c r="JCI4" s="223"/>
      <c r="JCJ4" s="223"/>
      <c r="JCK4" s="223"/>
      <c r="JCL4" s="223"/>
      <c r="JCM4" s="223"/>
      <c r="JCN4" s="223"/>
      <c r="JCO4" s="224"/>
      <c r="JCP4" s="225"/>
      <c r="JCQ4" s="226"/>
      <c r="JCR4" s="224"/>
      <c r="JCS4" s="225"/>
      <c r="JCT4" s="225"/>
      <c r="JCU4" s="227"/>
      <c r="JCV4" s="228"/>
      <c r="JCW4" s="228"/>
      <c r="JCX4" s="229"/>
      <c r="JCY4" s="216"/>
      <c r="JCZ4" s="219"/>
      <c r="JDA4" s="220"/>
      <c r="JDB4" s="217"/>
      <c r="JDC4" s="217"/>
      <c r="JDD4" s="217"/>
      <c r="JDE4" s="217"/>
      <c r="JDF4" s="217"/>
      <c r="JDG4" s="221"/>
      <c r="JDH4" s="222"/>
      <c r="JDI4" s="220"/>
      <c r="JDJ4" s="220"/>
      <c r="JDK4" s="220"/>
      <c r="JDL4" s="220"/>
      <c r="JDM4" s="223"/>
      <c r="JDN4" s="223"/>
      <c r="JDO4" s="223"/>
      <c r="JDP4" s="223"/>
      <c r="JDQ4" s="223"/>
      <c r="JDR4" s="223"/>
      <c r="JDS4" s="223"/>
      <c r="JDT4" s="223"/>
      <c r="JDU4" s="223"/>
      <c r="JDV4" s="224"/>
      <c r="JDW4" s="225"/>
      <c r="JDX4" s="226"/>
      <c r="JDY4" s="224"/>
      <c r="JDZ4" s="225"/>
      <c r="JEA4" s="225"/>
      <c r="JEB4" s="227"/>
      <c r="JEC4" s="228"/>
      <c r="JED4" s="228"/>
      <c r="JEE4" s="229"/>
      <c r="JEF4" s="216"/>
      <c r="JEG4" s="219"/>
      <c r="JEH4" s="220"/>
      <c r="JEI4" s="217"/>
      <c r="JEJ4" s="217"/>
      <c r="JEK4" s="217"/>
      <c r="JEL4" s="217"/>
      <c r="JEM4" s="217"/>
      <c r="JEN4" s="221"/>
      <c r="JEO4" s="222"/>
      <c r="JEP4" s="220"/>
      <c r="JEQ4" s="220"/>
      <c r="JER4" s="220"/>
      <c r="JES4" s="220"/>
      <c r="JET4" s="223"/>
      <c r="JEU4" s="223"/>
      <c r="JEV4" s="223"/>
      <c r="JEW4" s="223"/>
      <c r="JEX4" s="223"/>
      <c r="JEY4" s="223"/>
      <c r="JEZ4" s="223"/>
      <c r="JFA4" s="223"/>
      <c r="JFB4" s="223"/>
      <c r="JFC4" s="224"/>
      <c r="JFD4" s="225"/>
      <c r="JFE4" s="226"/>
      <c r="JFF4" s="224"/>
      <c r="JFG4" s="225"/>
      <c r="JFH4" s="225"/>
      <c r="JFI4" s="227"/>
      <c r="JFJ4" s="228"/>
      <c r="JFK4" s="228"/>
      <c r="JFL4" s="229"/>
      <c r="JFM4" s="216"/>
      <c r="JFN4" s="219"/>
      <c r="JFO4" s="220"/>
      <c r="JFP4" s="217"/>
      <c r="JFQ4" s="217"/>
      <c r="JFR4" s="217"/>
      <c r="JFS4" s="217"/>
      <c r="JFT4" s="217"/>
      <c r="JFU4" s="221"/>
      <c r="JFV4" s="222"/>
      <c r="JFW4" s="220"/>
      <c r="JFX4" s="220"/>
      <c r="JFY4" s="220"/>
      <c r="JFZ4" s="220"/>
      <c r="JGA4" s="223"/>
      <c r="JGB4" s="223"/>
      <c r="JGC4" s="223"/>
      <c r="JGD4" s="223"/>
      <c r="JGE4" s="223"/>
      <c r="JGF4" s="223"/>
      <c r="JGG4" s="223"/>
      <c r="JGH4" s="223"/>
      <c r="JGI4" s="223"/>
      <c r="JGJ4" s="224"/>
      <c r="JGK4" s="225"/>
      <c r="JGL4" s="226"/>
      <c r="JGM4" s="224"/>
      <c r="JGN4" s="225"/>
      <c r="JGO4" s="225"/>
      <c r="JGP4" s="227"/>
      <c r="JGQ4" s="228"/>
      <c r="JGR4" s="228"/>
      <c r="JGS4" s="229"/>
      <c r="JGT4" s="216"/>
      <c r="JGU4" s="219"/>
      <c r="JGV4" s="220"/>
      <c r="JGW4" s="217"/>
      <c r="JGX4" s="217"/>
      <c r="JGY4" s="217"/>
      <c r="JGZ4" s="217"/>
      <c r="JHA4" s="217"/>
      <c r="JHB4" s="221"/>
      <c r="JHC4" s="222"/>
      <c r="JHD4" s="220"/>
      <c r="JHE4" s="220"/>
      <c r="JHF4" s="220"/>
      <c r="JHG4" s="220"/>
      <c r="JHH4" s="223"/>
      <c r="JHI4" s="223"/>
      <c r="JHJ4" s="223"/>
      <c r="JHK4" s="223"/>
      <c r="JHL4" s="223"/>
      <c r="JHM4" s="223"/>
      <c r="JHN4" s="223"/>
      <c r="JHO4" s="223"/>
      <c r="JHP4" s="223"/>
      <c r="JHQ4" s="224"/>
      <c r="JHR4" s="225"/>
      <c r="JHS4" s="226"/>
      <c r="JHT4" s="224"/>
      <c r="JHU4" s="225"/>
      <c r="JHV4" s="225"/>
      <c r="JHW4" s="227"/>
      <c r="JHX4" s="228"/>
      <c r="JHY4" s="228"/>
      <c r="JHZ4" s="229"/>
      <c r="JIA4" s="216"/>
      <c r="JIB4" s="219"/>
      <c r="JIC4" s="220"/>
      <c r="JID4" s="217"/>
      <c r="JIE4" s="217"/>
      <c r="JIF4" s="217"/>
      <c r="JIG4" s="217"/>
      <c r="JIH4" s="217"/>
      <c r="JII4" s="221"/>
      <c r="JIJ4" s="222"/>
      <c r="JIK4" s="220"/>
      <c r="JIL4" s="220"/>
      <c r="JIM4" s="220"/>
      <c r="JIN4" s="220"/>
      <c r="JIO4" s="223"/>
      <c r="JIP4" s="223"/>
      <c r="JIQ4" s="223"/>
      <c r="JIR4" s="223"/>
      <c r="JIS4" s="223"/>
      <c r="JIT4" s="223"/>
      <c r="JIU4" s="223"/>
      <c r="JIV4" s="223"/>
      <c r="JIW4" s="223"/>
      <c r="JIX4" s="224"/>
      <c r="JIY4" s="225"/>
      <c r="JIZ4" s="226"/>
      <c r="JJA4" s="224"/>
      <c r="JJB4" s="225"/>
      <c r="JJC4" s="225"/>
      <c r="JJD4" s="227"/>
      <c r="JJE4" s="228"/>
      <c r="JJF4" s="228"/>
      <c r="JJG4" s="229"/>
      <c r="JJH4" s="216"/>
      <c r="JJI4" s="219"/>
      <c r="JJJ4" s="220"/>
      <c r="JJK4" s="217"/>
      <c r="JJL4" s="217"/>
      <c r="JJM4" s="217"/>
      <c r="JJN4" s="217"/>
      <c r="JJO4" s="217"/>
      <c r="JJP4" s="221"/>
      <c r="JJQ4" s="222"/>
      <c r="JJR4" s="220"/>
      <c r="JJS4" s="220"/>
      <c r="JJT4" s="220"/>
      <c r="JJU4" s="220"/>
      <c r="JJV4" s="223"/>
      <c r="JJW4" s="223"/>
      <c r="JJX4" s="223"/>
      <c r="JJY4" s="223"/>
      <c r="JJZ4" s="223"/>
      <c r="JKA4" s="223"/>
      <c r="JKB4" s="223"/>
      <c r="JKC4" s="223"/>
      <c r="JKD4" s="223"/>
      <c r="JKE4" s="224"/>
      <c r="JKF4" s="225"/>
      <c r="JKG4" s="226"/>
      <c r="JKH4" s="224"/>
      <c r="JKI4" s="225"/>
      <c r="JKJ4" s="225"/>
      <c r="JKK4" s="227"/>
      <c r="JKL4" s="228"/>
      <c r="JKM4" s="228"/>
      <c r="JKN4" s="229"/>
      <c r="JKO4" s="216"/>
      <c r="JKP4" s="219"/>
      <c r="JKQ4" s="220"/>
      <c r="JKR4" s="217"/>
      <c r="JKS4" s="217"/>
      <c r="JKT4" s="217"/>
      <c r="JKU4" s="217"/>
      <c r="JKV4" s="217"/>
      <c r="JKW4" s="221"/>
      <c r="JKX4" s="222"/>
      <c r="JKY4" s="220"/>
      <c r="JKZ4" s="220"/>
      <c r="JLA4" s="220"/>
      <c r="JLB4" s="220"/>
      <c r="JLC4" s="223"/>
      <c r="JLD4" s="223"/>
      <c r="JLE4" s="223"/>
      <c r="JLF4" s="223"/>
      <c r="JLG4" s="223"/>
      <c r="JLH4" s="223"/>
      <c r="JLI4" s="223"/>
      <c r="JLJ4" s="223"/>
      <c r="JLK4" s="223"/>
      <c r="JLL4" s="224"/>
      <c r="JLM4" s="225"/>
      <c r="JLN4" s="226"/>
      <c r="JLO4" s="224"/>
      <c r="JLP4" s="225"/>
      <c r="JLQ4" s="225"/>
      <c r="JLR4" s="227"/>
      <c r="JLS4" s="228"/>
      <c r="JLT4" s="228"/>
      <c r="JLU4" s="229"/>
      <c r="JLV4" s="216"/>
      <c r="JLW4" s="219"/>
      <c r="JLX4" s="220"/>
      <c r="JLY4" s="217"/>
      <c r="JLZ4" s="217"/>
      <c r="JMA4" s="217"/>
      <c r="JMB4" s="217"/>
      <c r="JMC4" s="217"/>
      <c r="JMD4" s="221"/>
      <c r="JME4" s="222"/>
      <c r="JMF4" s="220"/>
      <c r="JMG4" s="220"/>
      <c r="JMH4" s="220"/>
      <c r="JMI4" s="220"/>
      <c r="JMJ4" s="223"/>
      <c r="JMK4" s="223"/>
      <c r="JML4" s="223"/>
      <c r="JMM4" s="223"/>
      <c r="JMN4" s="223"/>
      <c r="JMO4" s="223"/>
      <c r="JMP4" s="223"/>
      <c r="JMQ4" s="223"/>
      <c r="JMR4" s="223"/>
      <c r="JMS4" s="224"/>
      <c r="JMT4" s="225"/>
      <c r="JMU4" s="226"/>
      <c r="JMV4" s="224"/>
      <c r="JMW4" s="225"/>
      <c r="JMX4" s="225"/>
      <c r="JMY4" s="227"/>
      <c r="JMZ4" s="228"/>
      <c r="JNA4" s="228"/>
      <c r="JNB4" s="229"/>
      <c r="JNC4" s="216"/>
      <c r="JND4" s="219"/>
      <c r="JNE4" s="220"/>
      <c r="JNF4" s="217"/>
      <c r="JNG4" s="217"/>
      <c r="JNH4" s="217"/>
      <c r="JNI4" s="217"/>
      <c r="JNJ4" s="217"/>
      <c r="JNK4" s="221"/>
      <c r="JNL4" s="222"/>
      <c r="JNM4" s="220"/>
      <c r="JNN4" s="220"/>
      <c r="JNO4" s="220"/>
      <c r="JNP4" s="220"/>
      <c r="JNQ4" s="223"/>
      <c r="JNR4" s="223"/>
      <c r="JNS4" s="223"/>
      <c r="JNT4" s="223"/>
      <c r="JNU4" s="223"/>
      <c r="JNV4" s="223"/>
      <c r="JNW4" s="223"/>
      <c r="JNX4" s="223"/>
      <c r="JNY4" s="223"/>
      <c r="JNZ4" s="224"/>
      <c r="JOA4" s="225"/>
      <c r="JOB4" s="226"/>
      <c r="JOC4" s="224"/>
      <c r="JOD4" s="225"/>
      <c r="JOE4" s="225"/>
      <c r="JOF4" s="227"/>
      <c r="JOG4" s="228"/>
      <c r="JOH4" s="228"/>
      <c r="JOI4" s="229"/>
      <c r="JOJ4" s="216"/>
      <c r="JOK4" s="219"/>
      <c r="JOL4" s="220"/>
      <c r="JOM4" s="217"/>
      <c r="JON4" s="217"/>
      <c r="JOO4" s="217"/>
      <c r="JOP4" s="217"/>
      <c r="JOQ4" s="217"/>
      <c r="JOR4" s="221"/>
      <c r="JOS4" s="222"/>
      <c r="JOT4" s="220"/>
      <c r="JOU4" s="220"/>
      <c r="JOV4" s="220"/>
      <c r="JOW4" s="220"/>
      <c r="JOX4" s="223"/>
      <c r="JOY4" s="223"/>
      <c r="JOZ4" s="223"/>
      <c r="JPA4" s="223"/>
      <c r="JPB4" s="223"/>
      <c r="JPC4" s="223"/>
      <c r="JPD4" s="223"/>
      <c r="JPE4" s="223"/>
      <c r="JPF4" s="223"/>
      <c r="JPG4" s="224"/>
      <c r="JPH4" s="225"/>
      <c r="JPI4" s="226"/>
      <c r="JPJ4" s="224"/>
      <c r="JPK4" s="225"/>
      <c r="JPL4" s="225"/>
      <c r="JPM4" s="227"/>
      <c r="JPN4" s="228"/>
      <c r="JPO4" s="228"/>
      <c r="JPP4" s="229"/>
      <c r="JPQ4" s="216"/>
      <c r="JPR4" s="219"/>
      <c r="JPS4" s="220"/>
      <c r="JPT4" s="217"/>
      <c r="JPU4" s="217"/>
      <c r="JPV4" s="217"/>
      <c r="JPW4" s="217"/>
      <c r="JPX4" s="217"/>
      <c r="JPY4" s="221"/>
      <c r="JPZ4" s="222"/>
      <c r="JQA4" s="220"/>
      <c r="JQB4" s="220"/>
      <c r="JQC4" s="220"/>
      <c r="JQD4" s="220"/>
      <c r="JQE4" s="223"/>
      <c r="JQF4" s="223"/>
      <c r="JQG4" s="223"/>
      <c r="JQH4" s="223"/>
      <c r="JQI4" s="223"/>
      <c r="JQJ4" s="223"/>
      <c r="JQK4" s="223"/>
      <c r="JQL4" s="223"/>
      <c r="JQM4" s="223"/>
      <c r="JQN4" s="224"/>
      <c r="JQO4" s="225"/>
      <c r="JQP4" s="226"/>
      <c r="JQQ4" s="224"/>
      <c r="JQR4" s="225"/>
      <c r="JQS4" s="225"/>
      <c r="JQT4" s="227"/>
      <c r="JQU4" s="228"/>
      <c r="JQV4" s="228"/>
      <c r="JQW4" s="229"/>
      <c r="JQX4" s="216"/>
      <c r="JQY4" s="219"/>
      <c r="JQZ4" s="220"/>
      <c r="JRA4" s="217"/>
      <c r="JRB4" s="217"/>
      <c r="JRC4" s="217"/>
      <c r="JRD4" s="217"/>
      <c r="JRE4" s="217"/>
      <c r="JRF4" s="221"/>
      <c r="JRG4" s="222"/>
      <c r="JRH4" s="220"/>
      <c r="JRI4" s="220"/>
      <c r="JRJ4" s="220"/>
      <c r="JRK4" s="220"/>
      <c r="JRL4" s="223"/>
      <c r="JRM4" s="223"/>
      <c r="JRN4" s="223"/>
      <c r="JRO4" s="223"/>
      <c r="JRP4" s="223"/>
      <c r="JRQ4" s="223"/>
      <c r="JRR4" s="223"/>
      <c r="JRS4" s="223"/>
      <c r="JRT4" s="223"/>
      <c r="JRU4" s="224"/>
      <c r="JRV4" s="225"/>
      <c r="JRW4" s="226"/>
      <c r="JRX4" s="224"/>
      <c r="JRY4" s="225"/>
      <c r="JRZ4" s="225"/>
      <c r="JSA4" s="227"/>
      <c r="JSB4" s="228"/>
      <c r="JSC4" s="228"/>
      <c r="JSD4" s="229"/>
      <c r="JSE4" s="216"/>
      <c r="JSF4" s="219"/>
      <c r="JSG4" s="220"/>
      <c r="JSH4" s="217"/>
      <c r="JSI4" s="217"/>
      <c r="JSJ4" s="217"/>
      <c r="JSK4" s="217"/>
      <c r="JSL4" s="217"/>
      <c r="JSM4" s="221"/>
      <c r="JSN4" s="222"/>
      <c r="JSO4" s="220"/>
      <c r="JSP4" s="220"/>
      <c r="JSQ4" s="220"/>
      <c r="JSR4" s="220"/>
      <c r="JSS4" s="223"/>
      <c r="JST4" s="223"/>
      <c r="JSU4" s="223"/>
      <c r="JSV4" s="223"/>
      <c r="JSW4" s="223"/>
      <c r="JSX4" s="223"/>
      <c r="JSY4" s="223"/>
      <c r="JSZ4" s="223"/>
      <c r="JTA4" s="223"/>
      <c r="JTB4" s="224"/>
      <c r="JTC4" s="225"/>
      <c r="JTD4" s="226"/>
      <c r="JTE4" s="224"/>
      <c r="JTF4" s="225"/>
      <c r="JTG4" s="225"/>
      <c r="JTH4" s="227"/>
      <c r="JTI4" s="228"/>
      <c r="JTJ4" s="228"/>
      <c r="JTK4" s="229"/>
      <c r="JTL4" s="216"/>
      <c r="JTM4" s="219"/>
      <c r="JTN4" s="220"/>
      <c r="JTO4" s="217"/>
      <c r="JTP4" s="217"/>
      <c r="JTQ4" s="217"/>
      <c r="JTR4" s="217"/>
      <c r="JTS4" s="217"/>
      <c r="JTT4" s="221"/>
      <c r="JTU4" s="222"/>
      <c r="JTV4" s="220"/>
      <c r="JTW4" s="220"/>
      <c r="JTX4" s="220"/>
      <c r="JTY4" s="220"/>
      <c r="JTZ4" s="223"/>
      <c r="JUA4" s="223"/>
      <c r="JUB4" s="223"/>
      <c r="JUC4" s="223"/>
      <c r="JUD4" s="223"/>
      <c r="JUE4" s="223"/>
      <c r="JUF4" s="223"/>
      <c r="JUG4" s="223"/>
      <c r="JUH4" s="223"/>
      <c r="JUI4" s="224"/>
      <c r="JUJ4" s="225"/>
      <c r="JUK4" s="226"/>
      <c r="JUL4" s="224"/>
      <c r="JUM4" s="225"/>
      <c r="JUN4" s="225"/>
      <c r="JUO4" s="227"/>
      <c r="JUP4" s="228"/>
      <c r="JUQ4" s="228"/>
      <c r="JUR4" s="229"/>
      <c r="JUS4" s="216"/>
      <c r="JUT4" s="219"/>
      <c r="JUU4" s="220"/>
      <c r="JUV4" s="217"/>
      <c r="JUW4" s="217"/>
      <c r="JUX4" s="217"/>
      <c r="JUY4" s="217"/>
      <c r="JUZ4" s="217"/>
      <c r="JVA4" s="221"/>
      <c r="JVB4" s="222"/>
      <c r="JVC4" s="220"/>
      <c r="JVD4" s="220"/>
      <c r="JVE4" s="220"/>
      <c r="JVF4" s="220"/>
      <c r="JVG4" s="223"/>
      <c r="JVH4" s="223"/>
      <c r="JVI4" s="223"/>
      <c r="JVJ4" s="223"/>
      <c r="JVK4" s="223"/>
      <c r="JVL4" s="223"/>
      <c r="JVM4" s="223"/>
      <c r="JVN4" s="223"/>
      <c r="JVO4" s="223"/>
      <c r="JVP4" s="224"/>
      <c r="JVQ4" s="225"/>
      <c r="JVR4" s="226"/>
      <c r="JVS4" s="224"/>
      <c r="JVT4" s="225"/>
      <c r="JVU4" s="225"/>
      <c r="JVV4" s="227"/>
      <c r="JVW4" s="228"/>
      <c r="JVX4" s="228"/>
      <c r="JVY4" s="229"/>
      <c r="JVZ4" s="216"/>
      <c r="JWA4" s="219"/>
      <c r="JWB4" s="220"/>
      <c r="JWC4" s="217"/>
      <c r="JWD4" s="217"/>
      <c r="JWE4" s="217"/>
      <c r="JWF4" s="217"/>
      <c r="JWG4" s="217"/>
      <c r="JWH4" s="221"/>
      <c r="JWI4" s="222"/>
      <c r="JWJ4" s="220"/>
      <c r="JWK4" s="220"/>
      <c r="JWL4" s="220"/>
      <c r="JWM4" s="220"/>
      <c r="JWN4" s="223"/>
      <c r="JWO4" s="223"/>
      <c r="JWP4" s="223"/>
      <c r="JWQ4" s="223"/>
      <c r="JWR4" s="223"/>
      <c r="JWS4" s="223"/>
      <c r="JWT4" s="223"/>
      <c r="JWU4" s="223"/>
      <c r="JWV4" s="223"/>
      <c r="JWW4" s="224"/>
      <c r="JWX4" s="225"/>
      <c r="JWY4" s="226"/>
      <c r="JWZ4" s="224"/>
      <c r="JXA4" s="225"/>
      <c r="JXB4" s="225"/>
      <c r="JXC4" s="227"/>
      <c r="JXD4" s="228"/>
      <c r="JXE4" s="228"/>
      <c r="JXF4" s="229"/>
      <c r="JXG4" s="216"/>
      <c r="JXH4" s="219"/>
      <c r="JXI4" s="220"/>
      <c r="JXJ4" s="217"/>
      <c r="JXK4" s="217"/>
      <c r="JXL4" s="217"/>
      <c r="JXM4" s="217"/>
      <c r="JXN4" s="217"/>
      <c r="JXO4" s="221"/>
      <c r="JXP4" s="222"/>
      <c r="JXQ4" s="220"/>
      <c r="JXR4" s="220"/>
      <c r="JXS4" s="220"/>
      <c r="JXT4" s="220"/>
      <c r="JXU4" s="223"/>
      <c r="JXV4" s="223"/>
      <c r="JXW4" s="223"/>
      <c r="JXX4" s="223"/>
      <c r="JXY4" s="223"/>
      <c r="JXZ4" s="223"/>
      <c r="JYA4" s="223"/>
      <c r="JYB4" s="223"/>
      <c r="JYC4" s="223"/>
      <c r="JYD4" s="224"/>
      <c r="JYE4" s="225"/>
      <c r="JYF4" s="226"/>
      <c r="JYG4" s="224"/>
      <c r="JYH4" s="225"/>
      <c r="JYI4" s="225"/>
      <c r="JYJ4" s="227"/>
      <c r="JYK4" s="228"/>
      <c r="JYL4" s="228"/>
      <c r="JYM4" s="229"/>
      <c r="JYN4" s="216"/>
      <c r="JYO4" s="219"/>
      <c r="JYP4" s="220"/>
      <c r="JYQ4" s="217"/>
      <c r="JYR4" s="217"/>
      <c r="JYS4" s="217"/>
      <c r="JYT4" s="217"/>
      <c r="JYU4" s="217"/>
      <c r="JYV4" s="221"/>
      <c r="JYW4" s="222"/>
      <c r="JYX4" s="220"/>
      <c r="JYY4" s="220"/>
      <c r="JYZ4" s="220"/>
      <c r="JZA4" s="220"/>
      <c r="JZB4" s="223"/>
      <c r="JZC4" s="223"/>
      <c r="JZD4" s="223"/>
      <c r="JZE4" s="223"/>
      <c r="JZF4" s="223"/>
      <c r="JZG4" s="223"/>
      <c r="JZH4" s="223"/>
      <c r="JZI4" s="223"/>
      <c r="JZJ4" s="223"/>
      <c r="JZK4" s="224"/>
      <c r="JZL4" s="225"/>
      <c r="JZM4" s="226"/>
      <c r="JZN4" s="224"/>
      <c r="JZO4" s="225"/>
      <c r="JZP4" s="225"/>
      <c r="JZQ4" s="227"/>
      <c r="JZR4" s="228"/>
      <c r="JZS4" s="228"/>
      <c r="JZT4" s="229"/>
      <c r="JZU4" s="216"/>
      <c r="JZV4" s="219"/>
      <c r="JZW4" s="220"/>
      <c r="JZX4" s="217"/>
      <c r="JZY4" s="217"/>
      <c r="JZZ4" s="217"/>
      <c r="KAA4" s="217"/>
      <c r="KAB4" s="217"/>
      <c r="KAC4" s="221"/>
      <c r="KAD4" s="222"/>
      <c r="KAE4" s="220"/>
      <c r="KAF4" s="220"/>
      <c r="KAG4" s="220"/>
      <c r="KAH4" s="220"/>
      <c r="KAI4" s="223"/>
      <c r="KAJ4" s="223"/>
      <c r="KAK4" s="223"/>
      <c r="KAL4" s="223"/>
      <c r="KAM4" s="223"/>
      <c r="KAN4" s="223"/>
      <c r="KAO4" s="223"/>
      <c r="KAP4" s="223"/>
      <c r="KAQ4" s="223"/>
      <c r="KAR4" s="224"/>
      <c r="KAS4" s="225"/>
      <c r="KAT4" s="226"/>
      <c r="KAU4" s="224"/>
      <c r="KAV4" s="225"/>
      <c r="KAW4" s="225"/>
      <c r="KAX4" s="227"/>
      <c r="KAY4" s="228"/>
      <c r="KAZ4" s="228"/>
      <c r="KBA4" s="229"/>
      <c r="KBB4" s="216"/>
      <c r="KBC4" s="219"/>
      <c r="KBD4" s="220"/>
      <c r="KBE4" s="217"/>
      <c r="KBF4" s="217"/>
      <c r="KBG4" s="217"/>
      <c r="KBH4" s="217"/>
      <c r="KBI4" s="217"/>
      <c r="KBJ4" s="221"/>
      <c r="KBK4" s="222"/>
      <c r="KBL4" s="220"/>
      <c r="KBM4" s="220"/>
      <c r="KBN4" s="220"/>
      <c r="KBO4" s="220"/>
      <c r="KBP4" s="223"/>
      <c r="KBQ4" s="223"/>
      <c r="KBR4" s="223"/>
      <c r="KBS4" s="223"/>
      <c r="KBT4" s="223"/>
      <c r="KBU4" s="223"/>
      <c r="KBV4" s="223"/>
      <c r="KBW4" s="223"/>
      <c r="KBX4" s="223"/>
      <c r="KBY4" s="224"/>
      <c r="KBZ4" s="225"/>
      <c r="KCA4" s="226"/>
      <c r="KCB4" s="224"/>
      <c r="KCC4" s="225"/>
      <c r="KCD4" s="225"/>
      <c r="KCE4" s="227"/>
      <c r="KCF4" s="228"/>
      <c r="KCG4" s="228"/>
      <c r="KCH4" s="229"/>
      <c r="KCI4" s="216"/>
      <c r="KCJ4" s="219"/>
      <c r="KCK4" s="220"/>
      <c r="KCL4" s="217"/>
      <c r="KCM4" s="217"/>
      <c r="KCN4" s="217"/>
      <c r="KCO4" s="217"/>
      <c r="KCP4" s="217"/>
      <c r="KCQ4" s="221"/>
      <c r="KCR4" s="222"/>
      <c r="KCS4" s="220"/>
      <c r="KCT4" s="220"/>
      <c r="KCU4" s="220"/>
      <c r="KCV4" s="220"/>
      <c r="KCW4" s="223"/>
      <c r="KCX4" s="223"/>
      <c r="KCY4" s="223"/>
      <c r="KCZ4" s="223"/>
      <c r="KDA4" s="223"/>
      <c r="KDB4" s="223"/>
      <c r="KDC4" s="223"/>
      <c r="KDD4" s="223"/>
      <c r="KDE4" s="223"/>
      <c r="KDF4" s="224"/>
      <c r="KDG4" s="225"/>
      <c r="KDH4" s="226"/>
      <c r="KDI4" s="224"/>
      <c r="KDJ4" s="225"/>
      <c r="KDK4" s="225"/>
      <c r="KDL4" s="227"/>
      <c r="KDM4" s="228"/>
      <c r="KDN4" s="228"/>
      <c r="KDO4" s="229"/>
      <c r="KDP4" s="216"/>
      <c r="KDQ4" s="219"/>
      <c r="KDR4" s="220"/>
      <c r="KDS4" s="217"/>
      <c r="KDT4" s="217"/>
      <c r="KDU4" s="217"/>
      <c r="KDV4" s="217"/>
      <c r="KDW4" s="217"/>
      <c r="KDX4" s="221"/>
      <c r="KDY4" s="222"/>
      <c r="KDZ4" s="220"/>
      <c r="KEA4" s="220"/>
      <c r="KEB4" s="220"/>
      <c r="KEC4" s="220"/>
      <c r="KED4" s="223"/>
      <c r="KEE4" s="223"/>
      <c r="KEF4" s="223"/>
      <c r="KEG4" s="223"/>
      <c r="KEH4" s="223"/>
      <c r="KEI4" s="223"/>
      <c r="KEJ4" s="223"/>
      <c r="KEK4" s="223"/>
      <c r="KEL4" s="223"/>
      <c r="KEM4" s="224"/>
      <c r="KEN4" s="225"/>
      <c r="KEO4" s="226"/>
      <c r="KEP4" s="224"/>
      <c r="KEQ4" s="225"/>
      <c r="KER4" s="225"/>
      <c r="KES4" s="227"/>
      <c r="KET4" s="228"/>
      <c r="KEU4" s="228"/>
      <c r="KEV4" s="229"/>
      <c r="KEW4" s="216"/>
      <c r="KEX4" s="219"/>
      <c r="KEY4" s="220"/>
      <c r="KEZ4" s="217"/>
      <c r="KFA4" s="217"/>
      <c r="KFB4" s="217"/>
      <c r="KFC4" s="217"/>
      <c r="KFD4" s="217"/>
      <c r="KFE4" s="221"/>
      <c r="KFF4" s="222"/>
      <c r="KFG4" s="220"/>
      <c r="KFH4" s="220"/>
      <c r="KFI4" s="220"/>
      <c r="KFJ4" s="220"/>
      <c r="KFK4" s="223"/>
      <c r="KFL4" s="223"/>
      <c r="KFM4" s="223"/>
      <c r="KFN4" s="223"/>
      <c r="KFO4" s="223"/>
      <c r="KFP4" s="223"/>
      <c r="KFQ4" s="223"/>
      <c r="KFR4" s="223"/>
      <c r="KFS4" s="223"/>
      <c r="KFT4" s="224"/>
      <c r="KFU4" s="225"/>
      <c r="KFV4" s="226"/>
      <c r="KFW4" s="224"/>
      <c r="KFX4" s="225"/>
      <c r="KFY4" s="225"/>
      <c r="KFZ4" s="227"/>
      <c r="KGA4" s="228"/>
      <c r="KGB4" s="228"/>
      <c r="KGC4" s="229"/>
      <c r="KGD4" s="216"/>
      <c r="KGE4" s="219"/>
      <c r="KGF4" s="220"/>
      <c r="KGG4" s="217"/>
      <c r="KGH4" s="217"/>
      <c r="KGI4" s="217"/>
      <c r="KGJ4" s="217"/>
      <c r="KGK4" s="217"/>
      <c r="KGL4" s="221"/>
      <c r="KGM4" s="222"/>
      <c r="KGN4" s="220"/>
      <c r="KGO4" s="220"/>
      <c r="KGP4" s="220"/>
      <c r="KGQ4" s="220"/>
      <c r="KGR4" s="223"/>
      <c r="KGS4" s="223"/>
      <c r="KGT4" s="223"/>
      <c r="KGU4" s="223"/>
      <c r="KGV4" s="223"/>
      <c r="KGW4" s="223"/>
      <c r="KGX4" s="223"/>
      <c r="KGY4" s="223"/>
      <c r="KGZ4" s="223"/>
      <c r="KHA4" s="224"/>
      <c r="KHB4" s="225"/>
      <c r="KHC4" s="226"/>
      <c r="KHD4" s="224"/>
      <c r="KHE4" s="225"/>
      <c r="KHF4" s="225"/>
      <c r="KHG4" s="227"/>
      <c r="KHH4" s="228"/>
      <c r="KHI4" s="228"/>
      <c r="KHJ4" s="229"/>
      <c r="KHK4" s="216"/>
      <c r="KHL4" s="219"/>
      <c r="KHM4" s="220"/>
      <c r="KHN4" s="217"/>
      <c r="KHO4" s="217"/>
      <c r="KHP4" s="217"/>
      <c r="KHQ4" s="217"/>
      <c r="KHR4" s="217"/>
      <c r="KHS4" s="221"/>
      <c r="KHT4" s="222"/>
      <c r="KHU4" s="220"/>
      <c r="KHV4" s="220"/>
      <c r="KHW4" s="220"/>
      <c r="KHX4" s="220"/>
      <c r="KHY4" s="223"/>
      <c r="KHZ4" s="223"/>
      <c r="KIA4" s="223"/>
      <c r="KIB4" s="223"/>
      <c r="KIC4" s="223"/>
      <c r="KID4" s="223"/>
      <c r="KIE4" s="223"/>
      <c r="KIF4" s="223"/>
      <c r="KIG4" s="223"/>
      <c r="KIH4" s="224"/>
      <c r="KII4" s="225"/>
      <c r="KIJ4" s="226"/>
      <c r="KIK4" s="224"/>
      <c r="KIL4" s="225"/>
      <c r="KIM4" s="225"/>
      <c r="KIN4" s="227"/>
      <c r="KIO4" s="228"/>
      <c r="KIP4" s="228"/>
      <c r="KIQ4" s="229"/>
      <c r="KIR4" s="216"/>
      <c r="KIS4" s="219"/>
      <c r="KIT4" s="220"/>
      <c r="KIU4" s="217"/>
      <c r="KIV4" s="217"/>
      <c r="KIW4" s="217"/>
      <c r="KIX4" s="217"/>
      <c r="KIY4" s="217"/>
      <c r="KIZ4" s="221"/>
      <c r="KJA4" s="222"/>
      <c r="KJB4" s="220"/>
      <c r="KJC4" s="220"/>
      <c r="KJD4" s="220"/>
      <c r="KJE4" s="220"/>
      <c r="KJF4" s="223"/>
      <c r="KJG4" s="223"/>
      <c r="KJH4" s="223"/>
      <c r="KJI4" s="223"/>
      <c r="KJJ4" s="223"/>
      <c r="KJK4" s="223"/>
      <c r="KJL4" s="223"/>
      <c r="KJM4" s="223"/>
      <c r="KJN4" s="223"/>
      <c r="KJO4" s="224"/>
      <c r="KJP4" s="225"/>
      <c r="KJQ4" s="226"/>
      <c r="KJR4" s="224"/>
      <c r="KJS4" s="225"/>
      <c r="KJT4" s="225"/>
      <c r="KJU4" s="227"/>
      <c r="KJV4" s="228"/>
      <c r="KJW4" s="228"/>
      <c r="KJX4" s="229"/>
      <c r="KJY4" s="216"/>
      <c r="KJZ4" s="219"/>
      <c r="KKA4" s="220"/>
      <c r="KKB4" s="217"/>
      <c r="KKC4" s="217"/>
      <c r="KKD4" s="217"/>
      <c r="KKE4" s="217"/>
      <c r="KKF4" s="217"/>
      <c r="KKG4" s="221"/>
      <c r="KKH4" s="222"/>
      <c r="KKI4" s="220"/>
      <c r="KKJ4" s="220"/>
      <c r="KKK4" s="220"/>
      <c r="KKL4" s="220"/>
      <c r="KKM4" s="223"/>
      <c r="KKN4" s="223"/>
      <c r="KKO4" s="223"/>
      <c r="KKP4" s="223"/>
      <c r="KKQ4" s="223"/>
      <c r="KKR4" s="223"/>
      <c r="KKS4" s="223"/>
      <c r="KKT4" s="223"/>
      <c r="KKU4" s="223"/>
      <c r="KKV4" s="224"/>
      <c r="KKW4" s="225"/>
      <c r="KKX4" s="226"/>
      <c r="KKY4" s="224"/>
      <c r="KKZ4" s="225"/>
      <c r="KLA4" s="225"/>
      <c r="KLB4" s="227"/>
      <c r="KLC4" s="228"/>
      <c r="KLD4" s="228"/>
      <c r="KLE4" s="229"/>
      <c r="KLF4" s="216"/>
      <c r="KLG4" s="219"/>
      <c r="KLH4" s="220"/>
      <c r="KLI4" s="217"/>
      <c r="KLJ4" s="217"/>
      <c r="KLK4" s="217"/>
      <c r="KLL4" s="217"/>
      <c r="KLM4" s="217"/>
      <c r="KLN4" s="221"/>
      <c r="KLO4" s="222"/>
      <c r="KLP4" s="220"/>
      <c r="KLQ4" s="220"/>
      <c r="KLR4" s="220"/>
      <c r="KLS4" s="220"/>
      <c r="KLT4" s="223"/>
      <c r="KLU4" s="223"/>
      <c r="KLV4" s="223"/>
      <c r="KLW4" s="223"/>
      <c r="KLX4" s="223"/>
      <c r="KLY4" s="223"/>
      <c r="KLZ4" s="223"/>
      <c r="KMA4" s="223"/>
      <c r="KMB4" s="223"/>
      <c r="KMC4" s="224"/>
      <c r="KMD4" s="225"/>
      <c r="KME4" s="226"/>
      <c r="KMF4" s="224"/>
      <c r="KMG4" s="225"/>
      <c r="KMH4" s="225"/>
      <c r="KMI4" s="227"/>
      <c r="KMJ4" s="228"/>
      <c r="KMK4" s="228"/>
      <c r="KML4" s="229"/>
      <c r="KMM4" s="216"/>
      <c r="KMN4" s="219"/>
      <c r="KMO4" s="220"/>
      <c r="KMP4" s="217"/>
      <c r="KMQ4" s="217"/>
      <c r="KMR4" s="217"/>
      <c r="KMS4" s="217"/>
      <c r="KMT4" s="217"/>
      <c r="KMU4" s="221"/>
      <c r="KMV4" s="222"/>
      <c r="KMW4" s="220"/>
      <c r="KMX4" s="220"/>
      <c r="KMY4" s="220"/>
      <c r="KMZ4" s="220"/>
      <c r="KNA4" s="223"/>
      <c r="KNB4" s="223"/>
      <c r="KNC4" s="223"/>
      <c r="KND4" s="223"/>
      <c r="KNE4" s="223"/>
      <c r="KNF4" s="223"/>
      <c r="KNG4" s="223"/>
      <c r="KNH4" s="223"/>
      <c r="KNI4" s="223"/>
      <c r="KNJ4" s="224"/>
      <c r="KNK4" s="225"/>
      <c r="KNL4" s="226"/>
      <c r="KNM4" s="224"/>
      <c r="KNN4" s="225"/>
      <c r="KNO4" s="225"/>
      <c r="KNP4" s="227"/>
      <c r="KNQ4" s="228"/>
      <c r="KNR4" s="228"/>
      <c r="KNS4" s="229"/>
      <c r="KNT4" s="216"/>
      <c r="KNU4" s="219"/>
      <c r="KNV4" s="220"/>
      <c r="KNW4" s="217"/>
      <c r="KNX4" s="217"/>
      <c r="KNY4" s="217"/>
      <c r="KNZ4" s="217"/>
      <c r="KOA4" s="217"/>
      <c r="KOB4" s="221"/>
      <c r="KOC4" s="222"/>
      <c r="KOD4" s="220"/>
      <c r="KOE4" s="220"/>
      <c r="KOF4" s="220"/>
      <c r="KOG4" s="220"/>
      <c r="KOH4" s="223"/>
      <c r="KOI4" s="223"/>
      <c r="KOJ4" s="223"/>
      <c r="KOK4" s="223"/>
      <c r="KOL4" s="223"/>
      <c r="KOM4" s="223"/>
      <c r="KON4" s="223"/>
      <c r="KOO4" s="223"/>
      <c r="KOP4" s="223"/>
      <c r="KOQ4" s="224"/>
      <c r="KOR4" s="225"/>
      <c r="KOS4" s="226"/>
      <c r="KOT4" s="224"/>
      <c r="KOU4" s="225"/>
      <c r="KOV4" s="225"/>
      <c r="KOW4" s="227"/>
      <c r="KOX4" s="228"/>
      <c r="KOY4" s="228"/>
      <c r="KOZ4" s="229"/>
      <c r="KPA4" s="216"/>
      <c r="KPB4" s="219"/>
      <c r="KPC4" s="220"/>
      <c r="KPD4" s="217"/>
      <c r="KPE4" s="217"/>
      <c r="KPF4" s="217"/>
      <c r="KPG4" s="217"/>
      <c r="KPH4" s="217"/>
      <c r="KPI4" s="221"/>
      <c r="KPJ4" s="222"/>
      <c r="KPK4" s="220"/>
      <c r="KPL4" s="220"/>
      <c r="KPM4" s="220"/>
      <c r="KPN4" s="220"/>
      <c r="KPO4" s="223"/>
      <c r="KPP4" s="223"/>
      <c r="KPQ4" s="223"/>
      <c r="KPR4" s="223"/>
      <c r="KPS4" s="223"/>
      <c r="KPT4" s="223"/>
      <c r="KPU4" s="223"/>
      <c r="KPV4" s="223"/>
      <c r="KPW4" s="223"/>
      <c r="KPX4" s="224"/>
      <c r="KPY4" s="225"/>
      <c r="KPZ4" s="226"/>
      <c r="KQA4" s="224"/>
      <c r="KQB4" s="225"/>
      <c r="KQC4" s="225"/>
      <c r="KQD4" s="227"/>
      <c r="KQE4" s="228"/>
      <c r="KQF4" s="228"/>
      <c r="KQG4" s="229"/>
      <c r="KQH4" s="216"/>
      <c r="KQI4" s="219"/>
      <c r="KQJ4" s="220"/>
      <c r="KQK4" s="217"/>
      <c r="KQL4" s="217"/>
      <c r="KQM4" s="217"/>
      <c r="KQN4" s="217"/>
      <c r="KQO4" s="217"/>
      <c r="KQP4" s="221"/>
      <c r="KQQ4" s="222"/>
      <c r="KQR4" s="220"/>
      <c r="KQS4" s="220"/>
      <c r="KQT4" s="220"/>
      <c r="KQU4" s="220"/>
      <c r="KQV4" s="223"/>
      <c r="KQW4" s="223"/>
      <c r="KQX4" s="223"/>
      <c r="KQY4" s="223"/>
      <c r="KQZ4" s="223"/>
      <c r="KRA4" s="223"/>
      <c r="KRB4" s="223"/>
      <c r="KRC4" s="223"/>
      <c r="KRD4" s="223"/>
      <c r="KRE4" s="224"/>
      <c r="KRF4" s="225"/>
      <c r="KRG4" s="226"/>
      <c r="KRH4" s="224"/>
      <c r="KRI4" s="225"/>
      <c r="KRJ4" s="225"/>
      <c r="KRK4" s="227"/>
      <c r="KRL4" s="228"/>
      <c r="KRM4" s="228"/>
      <c r="KRN4" s="229"/>
      <c r="KRO4" s="216"/>
      <c r="KRP4" s="219"/>
      <c r="KRQ4" s="220"/>
      <c r="KRR4" s="217"/>
      <c r="KRS4" s="217"/>
      <c r="KRT4" s="217"/>
      <c r="KRU4" s="217"/>
      <c r="KRV4" s="217"/>
      <c r="KRW4" s="221"/>
      <c r="KRX4" s="222"/>
      <c r="KRY4" s="220"/>
      <c r="KRZ4" s="220"/>
      <c r="KSA4" s="220"/>
      <c r="KSB4" s="220"/>
      <c r="KSC4" s="223"/>
      <c r="KSD4" s="223"/>
      <c r="KSE4" s="223"/>
      <c r="KSF4" s="223"/>
      <c r="KSG4" s="223"/>
      <c r="KSH4" s="223"/>
      <c r="KSI4" s="223"/>
      <c r="KSJ4" s="223"/>
      <c r="KSK4" s="223"/>
      <c r="KSL4" s="224"/>
      <c r="KSM4" s="225"/>
      <c r="KSN4" s="226"/>
      <c r="KSO4" s="224"/>
      <c r="KSP4" s="225"/>
      <c r="KSQ4" s="225"/>
      <c r="KSR4" s="227"/>
      <c r="KSS4" s="228"/>
      <c r="KST4" s="228"/>
      <c r="KSU4" s="229"/>
      <c r="KSV4" s="216"/>
      <c r="KSW4" s="219"/>
      <c r="KSX4" s="220"/>
      <c r="KSY4" s="217"/>
      <c r="KSZ4" s="217"/>
      <c r="KTA4" s="217"/>
      <c r="KTB4" s="217"/>
      <c r="KTC4" s="217"/>
      <c r="KTD4" s="221"/>
      <c r="KTE4" s="222"/>
      <c r="KTF4" s="220"/>
      <c r="KTG4" s="220"/>
      <c r="KTH4" s="220"/>
      <c r="KTI4" s="220"/>
      <c r="KTJ4" s="223"/>
      <c r="KTK4" s="223"/>
      <c r="KTL4" s="223"/>
      <c r="KTM4" s="223"/>
      <c r="KTN4" s="223"/>
      <c r="KTO4" s="223"/>
      <c r="KTP4" s="223"/>
      <c r="KTQ4" s="223"/>
      <c r="KTR4" s="223"/>
      <c r="KTS4" s="224"/>
      <c r="KTT4" s="225"/>
      <c r="KTU4" s="226"/>
      <c r="KTV4" s="224"/>
      <c r="KTW4" s="225"/>
      <c r="KTX4" s="225"/>
      <c r="KTY4" s="227"/>
      <c r="KTZ4" s="228"/>
      <c r="KUA4" s="228"/>
      <c r="KUB4" s="229"/>
      <c r="KUC4" s="216"/>
      <c r="KUD4" s="219"/>
      <c r="KUE4" s="220"/>
      <c r="KUF4" s="217"/>
      <c r="KUG4" s="217"/>
      <c r="KUH4" s="217"/>
      <c r="KUI4" s="217"/>
      <c r="KUJ4" s="217"/>
      <c r="KUK4" s="221"/>
      <c r="KUL4" s="222"/>
      <c r="KUM4" s="220"/>
      <c r="KUN4" s="220"/>
      <c r="KUO4" s="220"/>
      <c r="KUP4" s="220"/>
      <c r="KUQ4" s="223"/>
      <c r="KUR4" s="223"/>
      <c r="KUS4" s="223"/>
      <c r="KUT4" s="223"/>
      <c r="KUU4" s="223"/>
      <c r="KUV4" s="223"/>
      <c r="KUW4" s="223"/>
      <c r="KUX4" s="223"/>
      <c r="KUY4" s="223"/>
      <c r="KUZ4" s="224"/>
      <c r="KVA4" s="225"/>
      <c r="KVB4" s="226"/>
      <c r="KVC4" s="224"/>
      <c r="KVD4" s="225"/>
      <c r="KVE4" s="225"/>
      <c r="KVF4" s="227"/>
      <c r="KVG4" s="228"/>
      <c r="KVH4" s="228"/>
      <c r="KVI4" s="229"/>
      <c r="KVJ4" s="216"/>
      <c r="KVK4" s="219"/>
      <c r="KVL4" s="220"/>
      <c r="KVM4" s="217"/>
      <c r="KVN4" s="217"/>
      <c r="KVO4" s="217"/>
      <c r="KVP4" s="217"/>
      <c r="KVQ4" s="217"/>
      <c r="KVR4" s="221"/>
      <c r="KVS4" s="222"/>
      <c r="KVT4" s="220"/>
      <c r="KVU4" s="220"/>
      <c r="KVV4" s="220"/>
      <c r="KVW4" s="220"/>
      <c r="KVX4" s="223"/>
      <c r="KVY4" s="223"/>
      <c r="KVZ4" s="223"/>
      <c r="KWA4" s="223"/>
      <c r="KWB4" s="223"/>
      <c r="KWC4" s="223"/>
      <c r="KWD4" s="223"/>
      <c r="KWE4" s="223"/>
      <c r="KWF4" s="223"/>
      <c r="KWG4" s="224"/>
      <c r="KWH4" s="225"/>
      <c r="KWI4" s="226"/>
      <c r="KWJ4" s="224"/>
      <c r="KWK4" s="225"/>
      <c r="KWL4" s="225"/>
      <c r="KWM4" s="227"/>
      <c r="KWN4" s="228"/>
      <c r="KWO4" s="228"/>
      <c r="KWP4" s="229"/>
      <c r="KWQ4" s="216"/>
      <c r="KWR4" s="219"/>
      <c r="KWS4" s="220"/>
      <c r="KWT4" s="217"/>
      <c r="KWU4" s="217"/>
      <c r="KWV4" s="217"/>
      <c r="KWW4" s="217"/>
      <c r="KWX4" s="217"/>
      <c r="KWY4" s="221"/>
      <c r="KWZ4" s="222"/>
      <c r="KXA4" s="220"/>
      <c r="KXB4" s="220"/>
      <c r="KXC4" s="220"/>
      <c r="KXD4" s="220"/>
      <c r="KXE4" s="223"/>
      <c r="KXF4" s="223"/>
      <c r="KXG4" s="223"/>
      <c r="KXH4" s="223"/>
      <c r="KXI4" s="223"/>
      <c r="KXJ4" s="223"/>
      <c r="KXK4" s="223"/>
      <c r="KXL4" s="223"/>
      <c r="KXM4" s="223"/>
      <c r="KXN4" s="224"/>
      <c r="KXO4" s="225"/>
      <c r="KXP4" s="226"/>
      <c r="KXQ4" s="224"/>
      <c r="KXR4" s="225"/>
      <c r="KXS4" s="225"/>
      <c r="KXT4" s="227"/>
      <c r="KXU4" s="228"/>
      <c r="KXV4" s="228"/>
      <c r="KXW4" s="229"/>
      <c r="KXX4" s="216"/>
      <c r="KXY4" s="219"/>
      <c r="KXZ4" s="220"/>
      <c r="KYA4" s="217"/>
      <c r="KYB4" s="217"/>
      <c r="KYC4" s="217"/>
      <c r="KYD4" s="217"/>
      <c r="KYE4" s="217"/>
      <c r="KYF4" s="221"/>
      <c r="KYG4" s="222"/>
      <c r="KYH4" s="220"/>
      <c r="KYI4" s="220"/>
      <c r="KYJ4" s="220"/>
      <c r="KYK4" s="220"/>
      <c r="KYL4" s="223"/>
      <c r="KYM4" s="223"/>
      <c r="KYN4" s="223"/>
      <c r="KYO4" s="223"/>
      <c r="KYP4" s="223"/>
      <c r="KYQ4" s="223"/>
      <c r="KYR4" s="223"/>
      <c r="KYS4" s="223"/>
      <c r="KYT4" s="223"/>
      <c r="KYU4" s="224"/>
      <c r="KYV4" s="225"/>
      <c r="KYW4" s="226"/>
      <c r="KYX4" s="224"/>
      <c r="KYY4" s="225"/>
      <c r="KYZ4" s="225"/>
      <c r="KZA4" s="227"/>
      <c r="KZB4" s="228"/>
      <c r="KZC4" s="228"/>
      <c r="KZD4" s="229"/>
      <c r="KZE4" s="216"/>
      <c r="KZF4" s="219"/>
      <c r="KZG4" s="220"/>
      <c r="KZH4" s="217"/>
      <c r="KZI4" s="217"/>
      <c r="KZJ4" s="217"/>
      <c r="KZK4" s="217"/>
      <c r="KZL4" s="217"/>
      <c r="KZM4" s="221"/>
      <c r="KZN4" s="222"/>
      <c r="KZO4" s="220"/>
      <c r="KZP4" s="220"/>
      <c r="KZQ4" s="220"/>
      <c r="KZR4" s="220"/>
      <c r="KZS4" s="223"/>
      <c r="KZT4" s="223"/>
      <c r="KZU4" s="223"/>
      <c r="KZV4" s="223"/>
      <c r="KZW4" s="223"/>
      <c r="KZX4" s="223"/>
      <c r="KZY4" s="223"/>
      <c r="KZZ4" s="223"/>
      <c r="LAA4" s="223"/>
      <c r="LAB4" s="224"/>
      <c r="LAC4" s="225"/>
      <c r="LAD4" s="226"/>
      <c r="LAE4" s="224"/>
      <c r="LAF4" s="225"/>
      <c r="LAG4" s="225"/>
      <c r="LAH4" s="227"/>
      <c r="LAI4" s="228"/>
      <c r="LAJ4" s="228"/>
      <c r="LAK4" s="229"/>
      <c r="LAL4" s="216"/>
      <c r="LAM4" s="219"/>
      <c r="LAN4" s="220"/>
      <c r="LAO4" s="217"/>
      <c r="LAP4" s="217"/>
      <c r="LAQ4" s="217"/>
      <c r="LAR4" s="217"/>
      <c r="LAS4" s="217"/>
      <c r="LAT4" s="221"/>
      <c r="LAU4" s="222"/>
      <c r="LAV4" s="220"/>
      <c r="LAW4" s="220"/>
      <c r="LAX4" s="220"/>
      <c r="LAY4" s="220"/>
      <c r="LAZ4" s="223"/>
      <c r="LBA4" s="223"/>
      <c r="LBB4" s="223"/>
      <c r="LBC4" s="223"/>
      <c r="LBD4" s="223"/>
      <c r="LBE4" s="223"/>
      <c r="LBF4" s="223"/>
      <c r="LBG4" s="223"/>
      <c r="LBH4" s="223"/>
      <c r="LBI4" s="224"/>
      <c r="LBJ4" s="225"/>
      <c r="LBK4" s="226"/>
      <c r="LBL4" s="224"/>
      <c r="LBM4" s="225"/>
      <c r="LBN4" s="225"/>
      <c r="LBO4" s="227"/>
      <c r="LBP4" s="228"/>
      <c r="LBQ4" s="228"/>
      <c r="LBR4" s="229"/>
      <c r="LBS4" s="216"/>
      <c r="LBT4" s="219"/>
      <c r="LBU4" s="220"/>
      <c r="LBV4" s="217"/>
      <c r="LBW4" s="217"/>
      <c r="LBX4" s="217"/>
      <c r="LBY4" s="217"/>
      <c r="LBZ4" s="217"/>
      <c r="LCA4" s="221"/>
      <c r="LCB4" s="222"/>
      <c r="LCC4" s="220"/>
      <c r="LCD4" s="220"/>
      <c r="LCE4" s="220"/>
      <c r="LCF4" s="220"/>
      <c r="LCG4" s="223"/>
      <c r="LCH4" s="223"/>
      <c r="LCI4" s="223"/>
      <c r="LCJ4" s="223"/>
      <c r="LCK4" s="223"/>
      <c r="LCL4" s="223"/>
      <c r="LCM4" s="223"/>
      <c r="LCN4" s="223"/>
      <c r="LCO4" s="223"/>
      <c r="LCP4" s="224"/>
      <c r="LCQ4" s="225"/>
      <c r="LCR4" s="226"/>
      <c r="LCS4" s="224"/>
      <c r="LCT4" s="225"/>
      <c r="LCU4" s="225"/>
      <c r="LCV4" s="227"/>
      <c r="LCW4" s="228"/>
      <c r="LCX4" s="228"/>
      <c r="LCY4" s="229"/>
      <c r="LCZ4" s="216"/>
      <c r="LDA4" s="219"/>
      <c r="LDB4" s="220"/>
      <c r="LDC4" s="217"/>
      <c r="LDD4" s="217"/>
      <c r="LDE4" s="217"/>
      <c r="LDF4" s="217"/>
      <c r="LDG4" s="217"/>
      <c r="LDH4" s="221"/>
      <c r="LDI4" s="222"/>
      <c r="LDJ4" s="220"/>
      <c r="LDK4" s="220"/>
      <c r="LDL4" s="220"/>
      <c r="LDM4" s="220"/>
      <c r="LDN4" s="223"/>
      <c r="LDO4" s="223"/>
      <c r="LDP4" s="223"/>
      <c r="LDQ4" s="223"/>
      <c r="LDR4" s="223"/>
      <c r="LDS4" s="223"/>
      <c r="LDT4" s="223"/>
      <c r="LDU4" s="223"/>
      <c r="LDV4" s="223"/>
      <c r="LDW4" s="224"/>
      <c r="LDX4" s="225"/>
      <c r="LDY4" s="226"/>
      <c r="LDZ4" s="224"/>
      <c r="LEA4" s="225"/>
      <c r="LEB4" s="225"/>
      <c r="LEC4" s="227"/>
      <c r="LED4" s="228"/>
      <c r="LEE4" s="228"/>
      <c r="LEF4" s="229"/>
      <c r="LEG4" s="216"/>
      <c r="LEH4" s="219"/>
      <c r="LEI4" s="220"/>
      <c r="LEJ4" s="217"/>
      <c r="LEK4" s="217"/>
      <c r="LEL4" s="217"/>
      <c r="LEM4" s="217"/>
      <c r="LEN4" s="217"/>
      <c r="LEO4" s="221"/>
      <c r="LEP4" s="222"/>
      <c r="LEQ4" s="220"/>
      <c r="LER4" s="220"/>
      <c r="LES4" s="220"/>
      <c r="LET4" s="220"/>
      <c r="LEU4" s="223"/>
      <c r="LEV4" s="223"/>
      <c r="LEW4" s="223"/>
      <c r="LEX4" s="223"/>
      <c r="LEY4" s="223"/>
      <c r="LEZ4" s="223"/>
      <c r="LFA4" s="223"/>
      <c r="LFB4" s="223"/>
      <c r="LFC4" s="223"/>
      <c r="LFD4" s="224"/>
      <c r="LFE4" s="225"/>
      <c r="LFF4" s="226"/>
      <c r="LFG4" s="224"/>
      <c r="LFH4" s="225"/>
      <c r="LFI4" s="225"/>
      <c r="LFJ4" s="227"/>
      <c r="LFK4" s="228"/>
      <c r="LFL4" s="228"/>
      <c r="LFM4" s="229"/>
      <c r="LFN4" s="216"/>
      <c r="LFO4" s="219"/>
      <c r="LFP4" s="220"/>
      <c r="LFQ4" s="217"/>
      <c r="LFR4" s="217"/>
      <c r="LFS4" s="217"/>
      <c r="LFT4" s="217"/>
      <c r="LFU4" s="217"/>
      <c r="LFV4" s="221"/>
      <c r="LFW4" s="222"/>
      <c r="LFX4" s="220"/>
      <c r="LFY4" s="220"/>
      <c r="LFZ4" s="220"/>
      <c r="LGA4" s="220"/>
      <c r="LGB4" s="223"/>
      <c r="LGC4" s="223"/>
      <c r="LGD4" s="223"/>
      <c r="LGE4" s="223"/>
      <c r="LGF4" s="223"/>
      <c r="LGG4" s="223"/>
      <c r="LGH4" s="223"/>
      <c r="LGI4" s="223"/>
      <c r="LGJ4" s="223"/>
      <c r="LGK4" s="224"/>
      <c r="LGL4" s="225"/>
      <c r="LGM4" s="226"/>
      <c r="LGN4" s="224"/>
      <c r="LGO4" s="225"/>
      <c r="LGP4" s="225"/>
      <c r="LGQ4" s="227"/>
      <c r="LGR4" s="228"/>
      <c r="LGS4" s="228"/>
      <c r="LGT4" s="229"/>
      <c r="LGU4" s="216"/>
      <c r="LGV4" s="219"/>
      <c r="LGW4" s="220"/>
      <c r="LGX4" s="217"/>
      <c r="LGY4" s="217"/>
      <c r="LGZ4" s="217"/>
      <c r="LHA4" s="217"/>
      <c r="LHB4" s="217"/>
      <c r="LHC4" s="221"/>
      <c r="LHD4" s="222"/>
      <c r="LHE4" s="220"/>
      <c r="LHF4" s="220"/>
      <c r="LHG4" s="220"/>
      <c r="LHH4" s="220"/>
      <c r="LHI4" s="223"/>
      <c r="LHJ4" s="223"/>
      <c r="LHK4" s="223"/>
      <c r="LHL4" s="223"/>
      <c r="LHM4" s="223"/>
      <c r="LHN4" s="223"/>
      <c r="LHO4" s="223"/>
      <c r="LHP4" s="223"/>
      <c r="LHQ4" s="223"/>
      <c r="LHR4" s="224"/>
      <c r="LHS4" s="225"/>
      <c r="LHT4" s="226"/>
      <c r="LHU4" s="224"/>
      <c r="LHV4" s="225"/>
      <c r="LHW4" s="225"/>
      <c r="LHX4" s="227"/>
      <c r="LHY4" s="228"/>
      <c r="LHZ4" s="228"/>
      <c r="LIA4" s="229"/>
      <c r="LIB4" s="216"/>
      <c r="LIC4" s="219"/>
      <c r="LID4" s="220"/>
      <c r="LIE4" s="217"/>
      <c r="LIF4" s="217"/>
      <c r="LIG4" s="217"/>
      <c r="LIH4" s="217"/>
      <c r="LII4" s="217"/>
      <c r="LIJ4" s="221"/>
      <c r="LIK4" s="222"/>
      <c r="LIL4" s="220"/>
      <c r="LIM4" s="220"/>
      <c r="LIN4" s="220"/>
      <c r="LIO4" s="220"/>
      <c r="LIP4" s="223"/>
      <c r="LIQ4" s="223"/>
      <c r="LIR4" s="223"/>
      <c r="LIS4" s="223"/>
      <c r="LIT4" s="223"/>
      <c r="LIU4" s="223"/>
      <c r="LIV4" s="223"/>
      <c r="LIW4" s="223"/>
      <c r="LIX4" s="223"/>
      <c r="LIY4" s="224"/>
      <c r="LIZ4" s="225"/>
      <c r="LJA4" s="226"/>
      <c r="LJB4" s="224"/>
      <c r="LJC4" s="225"/>
      <c r="LJD4" s="225"/>
      <c r="LJE4" s="227"/>
      <c r="LJF4" s="228"/>
      <c r="LJG4" s="228"/>
      <c r="LJH4" s="229"/>
      <c r="LJI4" s="216"/>
      <c r="LJJ4" s="219"/>
      <c r="LJK4" s="220"/>
      <c r="LJL4" s="217"/>
      <c r="LJM4" s="217"/>
      <c r="LJN4" s="217"/>
      <c r="LJO4" s="217"/>
      <c r="LJP4" s="217"/>
      <c r="LJQ4" s="221"/>
      <c r="LJR4" s="222"/>
      <c r="LJS4" s="220"/>
      <c r="LJT4" s="220"/>
      <c r="LJU4" s="220"/>
      <c r="LJV4" s="220"/>
      <c r="LJW4" s="223"/>
      <c r="LJX4" s="223"/>
      <c r="LJY4" s="223"/>
      <c r="LJZ4" s="223"/>
      <c r="LKA4" s="223"/>
      <c r="LKB4" s="223"/>
      <c r="LKC4" s="223"/>
      <c r="LKD4" s="223"/>
      <c r="LKE4" s="223"/>
      <c r="LKF4" s="224"/>
      <c r="LKG4" s="225"/>
      <c r="LKH4" s="226"/>
      <c r="LKI4" s="224"/>
      <c r="LKJ4" s="225"/>
      <c r="LKK4" s="225"/>
      <c r="LKL4" s="227"/>
      <c r="LKM4" s="228"/>
      <c r="LKN4" s="228"/>
      <c r="LKO4" s="229"/>
      <c r="LKP4" s="216"/>
      <c r="LKQ4" s="219"/>
      <c r="LKR4" s="220"/>
      <c r="LKS4" s="217"/>
      <c r="LKT4" s="217"/>
      <c r="LKU4" s="217"/>
      <c r="LKV4" s="217"/>
      <c r="LKW4" s="217"/>
      <c r="LKX4" s="221"/>
      <c r="LKY4" s="222"/>
      <c r="LKZ4" s="220"/>
      <c r="LLA4" s="220"/>
      <c r="LLB4" s="220"/>
      <c r="LLC4" s="220"/>
      <c r="LLD4" s="223"/>
      <c r="LLE4" s="223"/>
      <c r="LLF4" s="223"/>
      <c r="LLG4" s="223"/>
      <c r="LLH4" s="223"/>
      <c r="LLI4" s="223"/>
      <c r="LLJ4" s="223"/>
      <c r="LLK4" s="223"/>
      <c r="LLL4" s="223"/>
      <c r="LLM4" s="224"/>
      <c r="LLN4" s="225"/>
      <c r="LLO4" s="226"/>
      <c r="LLP4" s="224"/>
      <c r="LLQ4" s="225"/>
      <c r="LLR4" s="225"/>
      <c r="LLS4" s="227"/>
      <c r="LLT4" s="228"/>
      <c r="LLU4" s="228"/>
      <c r="LLV4" s="229"/>
      <c r="LLW4" s="216"/>
      <c r="LLX4" s="219"/>
      <c r="LLY4" s="220"/>
      <c r="LLZ4" s="217"/>
      <c r="LMA4" s="217"/>
      <c r="LMB4" s="217"/>
      <c r="LMC4" s="217"/>
      <c r="LMD4" s="217"/>
      <c r="LME4" s="221"/>
      <c r="LMF4" s="222"/>
      <c r="LMG4" s="220"/>
      <c r="LMH4" s="220"/>
      <c r="LMI4" s="220"/>
      <c r="LMJ4" s="220"/>
      <c r="LMK4" s="223"/>
      <c r="LML4" s="223"/>
      <c r="LMM4" s="223"/>
      <c r="LMN4" s="223"/>
      <c r="LMO4" s="223"/>
      <c r="LMP4" s="223"/>
      <c r="LMQ4" s="223"/>
      <c r="LMR4" s="223"/>
      <c r="LMS4" s="223"/>
      <c r="LMT4" s="224"/>
      <c r="LMU4" s="225"/>
      <c r="LMV4" s="226"/>
      <c r="LMW4" s="224"/>
      <c r="LMX4" s="225"/>
      <c r="LMY4" s="225"/>
      <c r="LMZ4" s="227"/>
      <c r="LNA4" s="228"/>
      <c r="LNB4" s="228"/>
      <c r="LNC4" s="229"/>
      <c r="LND4" s="216"/>
      <c r="LNE4" s="219"/>
      <c r="LNF4" s="220"/>
      <c r="LNG4" s="217"/>
      <c r="LNH4" s="217"/>
      <c r="LNI4" s="217"/>
      <c r="LNJ4" s="217"/>
      <c r="LNK4" s="217"/>
      <c r="LNL4" s="221"/>
      <c r="LNM4" s="222"/>
      <c r="LNN4" s="220"/>
      <c r="LNO4" s="220"/>
      <c r="LNP4" s="220"/>
      <c r="LNQ4" s="220"/>
      <c r="LNR4" s="223"/>
      <c r="LNS4" s="223"/>
      <c r="LNT4" s="223"/>
      <c r="LNU4" s="223"/>
      <c r="LNV4" s="223"/>
      <c r="LNW4" s="223"/>
      <c r="LNX4" s="223"/>
      <c r="LNY4" s="223"/>
      <c r="LNZ4" s="223"/>
      <c r="LOA4" s="224"/>
      <c r="LOB4" s="225"/>
      <c r="LOC4" s="226"/>
      <c r="LOD4" s="224"/>
      <c r="LOE4" s="225"/>
      <c r="LOF4" s="225"/>
      <c r="LOG4" s="227"/>
      <c r="LOH4" s="228"/>
      <c r="LOI4" s="228"/>
      <c r="LOJ4" s="229"/>
      <c r="LOK4" s="216"/>
      <c r="LOL4" s="219"/>
      <c r="LOM4" s="220"/>
      <c r="LON4" s="217"/>
      <c r="LOO4" s="217"/>
      <c r="LOP4" s="217"/>
      <c r="LOQ4" s="217"/>
      <c r="LOR4" s="217"/>
      <c r="LOS4" s="221"/>
      <c r="LOT4" s="222"/>
      <c r="LOU4" s="220"/>
      <c r="LOV4" s="220"/>
      <c r="LOW4" s="220"/>
      <c r="LOX4" s="220"/>
      <c r="LOY4" s="223"/>
      <c r="LOZ4" s="223"/>
      <c r="LPA4" s="223"/>
      <c r="LPB4" s="223"/>
      <c r="LPC4" s="223"/>
      <c r="LPD4" s="223"/>
      <c r="LPE4" s="223"/>
      <c r="LPF4" s="223"/>
      <c r="LPG4" s="223"/>
      <c r="LPH4" s="224"/>
      <c r="LPI4" s="225"/>
      <c r="LPJ4" s="226"/>
      <c r="LPK4" s="224"/>
      <c r="LPL4" s="225"/>
      <c r="LPM4" s="225"/>
      <c r="LPN4" s="227"/>
      <c r="LPO4" s="228"/>
      <c r="LPP4" s="228"/>
      <c r="LPQ4" s="229"/>
      <c r="LPR4" s="216"/>
      <c r="LPS4" s="219"/>
      <c r="LPT4" s="220"/>
      <c r="LPU4" s="217"/>
      <c r="LPV4" s="217"/>
      <c r="LPW4" s="217"/>
      <c r="LPX4" s="217"/>
      <c r="LPY4" s="217"/>
      <c r="LPZ4" s="221"/>
      <c r="LQA4" s="222"/>
      <c r="LQB4" s="220"/>
      <c r="LQC4" s="220"/>
      <c r="LQD4" s="220"/>
      <c r="LQE4" s="220"/>
      <c r="LQF4" s="223"/>
      <c r="LQG4" s="223"/>
      <c r="LQH4" s="223"/>
      <c r="LQI4" s="223"/>
      <c r="LQJ4" s="223"/>
      <c r="LQK4" s="223"/>
      <c r="LQL4" s="223"/>
      <c r="LQM4" s="223"/>
      <c r="LQN4" s="223"/>
      <c r="LQO4" s="224"/>
      <c r="LQP4" s="225"/>
      <c r="LQQ4" s="226"/>
      <c r="LQR4" s="224"/>
      <c r="LQS4" s="225"/>
      <c r="LQT4" s="225"/>
      <c r="LQU4" s="227"/>
      <c r="LQV4" s="228"/>
      <c r="LQW4" s="228"/>
      <c r="LQX4" s="229"/>
      <c r="LQY4" s="216"/>
      <c r="LQZ4" s="219"/>
      <c r="LRA4" s="220"/>
      <c r="LRB4" s="217"/>
      <c r="LRC4" s="217"/>
      <c r="LRD4" s="217"/>
      <c r="LRE4" s="217"/>
      <c r="LRF4" s="217"/>
      <c r="LRG4" s="221"/>
      <c r="LRH4" s="222"/>
      <c r="LRI4" s="220"/>
      <c r="LRJ4" s="220"/>
      <c r="LRK4" s="220"/>
      <c r="LRL4" s="220"/>
      <c r="LRM4" s="223"/>
      <c r="LRN4" s="223"/>
      <c r="LRO4" s="223"/>
      <c r="LRP4" s="223"/>
      <c r="LRQ4" s="223"/>
      <c r="LRR4" s="223"/>
      <c r="LRS4" s="223"/>
      <c r="LRT4" s="223"/>
      <c r="LRU4" s="223"/>
      <c r="LRV4" s="224"/>
      <c r="LRW4" s="225"/>
      <c r="LRX4" s="226"/>
      <c r="LRY4" s="224"/>
      <c r="LRZ4" s="225"/>
      <c r="LSA4" s="225"/>
      <c r="LSB4" s="227"/>
      <c r="LSC4" s="228"/>
      <c r="LSD4" s="228"/>
      <c r="LSE4" s="229"/>
      <c r="LSF4" s="216"/>
      <c r="LSG4" s="219"/>
      <c r="LSH4" s="220"/>
      <c r="LSI4" s="217"/>
      <c r="LSJ4" s="217"/>
      <c r="LSK4" s="217"/>
      <c r="LSL4" s="217"/>
      <c r="LSM4" s="217"/>
      <c r="LSN4" s="221"/>
      <c r="LSO4" s="222"/>
      <c r="LSP4" s="220"/>
      <c r="LSQ4" s="220"/>
      <c r="LSR4" s="220"/>
      <c r="LSS4" s="220"/>
      <c r="LST4" s="223"/>
      <c r="LSU4" s="223"/>
      <c r="LSV4" s="223"/>
      <c r="LSW4" s="223"/>
      <c r="LSX4" s="223"/>
      <c r="LSY4" s="223"/>
      <c r="LSZ4" s="223"/>
      <c r="LTA4" s="223"/>
      <c r="LTB4" s="223"/>
      <c r="LTC4" s="224"/>
      <c r="LTD4" s="225"/>
      <c r="LTE4" s="226"/>
      <c r="LTF4" s="224"/>
      <c r="LTG4" s="225"/>
      <c r="LTH4" s="225"/>
      <c r="LTI4" s="227"/>
      <c r="LTJ4" s="228"/>
      <c r="LTK4" s="228"/>
      <c r="LTL4" s="229"/>
      <c r="LTM4" s="216"/>
      <c r="LTN4" s="219"/>
      <c r="LTO4" s="220"/>
      <c r="LTP4" s="217"/>
      <c r="LTQ4" s="217"/>
      <c r="LTR4" s="217"/>
      <c r="LTS4" s="217"/>
      <c r="LTT4" s="217"/>
      <c r="LTU4" s="221"/>
      <c r="LTV4" s="222"/>
      <c r="LTW4" s="220"/>
      <c r="LTX4" s="220"/>
      <c r="LTY4" s="220"/>
      <c r="LTZ4" s="220"/>
      <c r="LUA4" s="223"/>
      <c r="LUB4" s="223"/>
      <c r="LUC4" s="223"/>
      <c r="LUD4" s="223"/>
      <c r="LUE4" s="223"/>
      <c r="LUF4" s="223"/>
      <c r="LUG4" s="223"/>
      <c r="LUH4" s="223"/>
      <c r="LUI4" s="223"/>
      <c r="LUJ4" s="224"/>
      <c r="LUK4" s="225"/>
      <c r="LUL4" s="226"/>
      <c r="LUM4" s="224"/>
      <c r="LUN4" s="225"/>
      <c r="LUO4" s="225"/>
      <c r="LUP4" s="227"/>
      <c r="LUQ4" s="228"/>
      <c r="LUR4" s="228"/>
      <c r="LUS4" s="229"/>
      <c r="LUT4" s="216"/>
      <c r="LUU4" s="219"/>
      <c r="LUV4" s="220"/>
      <c r="LUW4" s="217"/>
      <c r="LUX4" s="217"/>
      <c r="LUY4" s="217"/>
      <c r="LUZ4" s="217"/>
      <c r="LVA4" s="217"/>
      <c r="LVB4" s="221"/>
      <c r="LVC4" s="222"/>
      <c r="LVD4" s="220"/>
      <c r="LVE4" s="220"/>
      <c r="LVF4" s="220"/>
      <c r="LVG4" s="220"/>
      <c r="LVH4" s="223"/>
      <c r="LVI4" s="223"/>
      <c r="LVJ4" s="223"/>
      <c r="LVK4" s="223"/>
      <c r="LVL4" s="223"/>
      <c r="LVM4" s="223"/>
      <c r="LVN4" s="223"/>
      <c r="LVO4" s="223"/>
      <c r="LVP4" s="223"/>
      <c r="LVQ4" s="224"/>
      <c r="LVR4" s="225"/>
      <c r="LVS4" s="226"/>
      <c r="LVT4" s="224"/>
      <c r="LVU4" s="225"/>
      <c r="LVV4" s="225"/>
      <c r="LVW4" s="227"/>
      <c r="LVX4" s="228"/>
      <c r="LVY4" s="228"/>
      <c r="LVZ4" s="229"/>
      <c r="LWA4" s="216"/>
      <c r="LWB4" s="219"/>
      <c r="LWC4" s="220"/>
      <c r="LWD4" s="217"/>
      <c r="LWE4" s="217"/>
      <c r="LWF4" s="217"/>
      <c r="LWG4" s="217"/>
      <c r="LWH4" s="217"/>
      <c r="LWI4" s="221"/>
      <c r="LWJ4" s="222"/>
      <c r="LWK4" s="220"/>
      <c r="LWL4" s="220"/>
      <c r="LWM4" s="220"/>
      <c r="LWN4" s="220"/>
      <c r="LWO4" s="223"/>
      <c r="LWP4" s="223"/>
      <c r="LWQ4" s="223"/>
      <c r="LWR4" s="223"/>
      <c r="LWS4" s="223"/>
      <c r="LWT4" s="223"/>
      <c r="LWU4" s="223"/>
      <c r="LWV4" s="223"/>
      <c r="LWW4" s="223"/>
      <c r="LWX4" s="224"/>
      <c r="LWY4" s="225"/>
      <c r="LWZ4" s="226"/>
      <c r="LXA4" s="224"/>
      <c r="LXB4" s="225"/>
      <c r="LXC4" s="225"/>
      <c r="LXD4" s="227"/>
      <c r="LXE4" s="228"/>
      <c r="LXF4" s="228"/>
      <c r="LXG4" s="229"/>
      <c r="LXH4" s="216"/>
      <c r="LXI4" s="219"/>
      <c r="LXJ4" s="220"/>
      <c r="LXK4" s="217"/>
      <c r="LXL4" s="217"/>
      <c r="LXM4" s="217"/>
      <c r="LXN4" s="217"/>
      <c r="LXO4" s="217"/>
      <c r="LXP4" s="221"/>
      <c r="LXQ4" s="222"/>
      <c r="LXR4" s="220"/>
      <c r="LXS4" s="220"/>
      <c r="LXT4" s="220"/>
      <c r="LXU4" s="220"/>
      <c r="LXV4" s="223"/>
      <c r="LXW4" s="223"/>
      <c r="LXX4" s="223"/>
      <c r="LXY4" s="223"/>
      <c r="LXZ4" s="223"/>
      <c r="LYA4" s="223"/>
      <c r="LYB4" s="223"/>
      <c r="LYC4" s="223"/>
      <c r="LYD4" s="223"/>
      <c r="LYE4" s="224"/>
      <c r="LYF4" s="225"/>
      <c r="LYG4" s="226"/>
      <c r="LYH4" s="224"/>
      <c r="LYI4" s="225"/>
      <c r="LYJ4" s="225"/>
      <c r="LYK4" s="227"/>
      <c r="LYL4" s="228"/>
      <c r="LYM4" s="228"/>
      <c r="LYN4" s="229"/>
      <c r="LYO4" s="216"/>
      <c r="LYP4" s="219"/>
      <c r="LYQ4" s="220"/>
      <c r="LYR4" s="217"/>
      <c r="LYS4" s="217"/>
      <c r="LYT4" s="217"/>
      <c r="LYU4" s="217"/>
      <c r="LYV4" s="217"/>
      <c r="LYW4" s="221"/>
      <c r="LYX4" s="222"/>
      <c r="LYY4" s="220"/>
      <c r="LYZ4" s="220"/>
      <c r="LZA4" s="220"/>
      <c r="LZB4" s="220"/>
      <c r="LZC4" s="223"/>
      <c r="LZD4" s="223"/>
      <c r="LZE4" s="223"/>
      <c r="LZF4" s="223"/>
      <c r="LZG4" s="223"/>
      <c r="LZH4" s="223"/>
      <c r="LZI4" s="223"/>
      <c r="LZJ4" s="223"/>
      <c r="LZK4" s="223"/>
      <c r="LZL4" s="224"/>
      <c r="LZM4" s="225"/>
      <c r="LZN4" s="226"/>
      <c r="LZO4" s="224"/>
      <c r="LZP4" s="225"/>
      <c r="LZQ4" s="225"/>
      <c r="LZR4" s="227"/>
      <c r="LZS4" s="228"/>
      <c r="LZT4" s="228"/>
      <c r="LZU4" s="229"/>
      <c r="LZV4" s="216"/>
      <c r="LZW4" s="219"/>
      <c r="LZX4" s="220"/>
      <c r="LZY4" s="217"/>
      <c r="LZZ4" s="217"/>
      <c r="MAA4" s="217"/>
      <c r="MAB4" s="217"/>
      <c r="MAC4" s="217"/>
      <c r="MAD4" s="221"/>
      <c r="MAE4" s="222"/>
      <c r="MAF4" s="220"/>
      <c r="MAG4" s="220"/>
      <c r="MAH4" s="220"/>
      <c r="MAI4" s="220"/>
      <c r="MAJ4" s="223"/>
      <c r="MAK4" s="223"/>
      <c r="MAL4" s="223"/>
      <c r="MAM4" s="223"/>
      <c r="MAN4" s="223"/>
      <c r="MAO4" s="223"/>
      <c r="MAP4" s="223"/>
      <c r="MAQ4" s="223"/>
      <c r="MAR4" s="223"/>
      <c r="MAS4" s="224"/>
      <c r="MAT4" s="225"/>
      <c r="MAU4" s="226"/>
      <c r="MAV4" s="224"/>
      <c r="MAW4" s="225"/>
      <c r="MAX4" s="225"/>
      <c r="MAY4" s="227"/>
      <c r="MAZ4" s="228"/>
      <c r="MBA4" s="228"/>
      <c r="MBB4" s="229"/>
      <c r="MBC4" s="216"/>
      <c r="MBD4" s="219"/>
      <c r="MBE4" s="220"/>
      <c r="MBF4" s="217"/>
      <c r="MBG4" s="217"/>
      <c r="MBH4" s="217"/>
      <c r="MBI4" s="217"/>
      <c r="MBJ4" s="217"/>
      <c r="MBK4" s="221"/>
      <c r="MBL4" s="222"/>
      <c r="MBM4" s="220"/>
      <c r="MBN4" s="220"/>
      <c r="MBO4" s="220"/>
      <c r="MBP4" s="220"/>
      <c r="MBQ4" s="223"/>
      <c r="MBR4" s="223"/>
      <c r="MBS4" s="223"/>
      <c r="MBT4" s="223"/>
      <c r="MBU4" s="223"/>
      <c r="MBV4" s="223"/>
      <c r="MBW4" s="223"/>
      <c r="MBX4" s="223"/>
      <c r="MBY4" s="223"/>
      <c r="MBZ4" s="224"/>
      <c r="MCA4" s="225"/>
      <c r="MCB4" s="226"/>
      <c r="MCC4" s="224"/>
      <c r="MCD4" s="225"/>
      <c r="MCE4" s="225"/>
      <c r="MCF4" s="227"/>
      <c r="MCG4" s="228"/>
      <c r="MCH4" s="228"/>
      <c r="MCI4" s="229"/>
      <c r="MCJ4" s="216"/>
      <c r="MCK4" s="219"/>
      <c r="MCL4" s="220"/>
      <c r="MCM4" s="217"/>
      <c r="MCN4" s="217"/>
      <c r="MCO4" s="217"/>
      <c r="MCP4" s="217"/>
      <c r="MCQ4" s="217"/>
      <c r="MCR4" s="221"/>
      <c r="MCS4" s="222"/>
      <c r="MCT4" s="220"/>
      <c r="MCU4" s="220"/>
      <c r="MCV4" s="220"/>
      <c r="MCW4" s="220"/>
      <c r="MCX4" s="223"/>
      <c r="MCY4" s="223"/>
      <c r="MCZ4" s="223"/>
      <c r="MDA4" s="223"/>
      <c r="MDB4" s="223"/>
      <c r="MDC4" s="223"/>
      <c r="MDD4" s="223"/>
      <c r="MDE4" s="223"/>
      <c r="MDF4" s="223"/>
      <c r="MDG4" s="224"/>
      <c r="MDH4" s="225"/>
      <c r="MDI4" s="226"/>
      <c r="MDJ4" s="224"/>
      <c r="MDK4" s="225"/>
      <c r="MDL4" s="225"/>
      <c r="MDM4" s="227"/>
      <c r="MDN4" s="228"/>
      <c r="MDO4" s="228"/>
      <c r="MDP4" s="229"/>
      <c r="MDQ4" s="216"/>
      <c r="MDR4" s="219"/>
      <c r="MDS4" s="220"/>
      <c r="MDT4" s="217"/>
      <c r="MDU4" s="217"/>
      <c r="MDV4" s="217"/>
      <c r="MDW4" s="217"/>
      <c r="MDX4" s="217"/>
      <c r="MDY4" s="221"/>
      <c r="MDZ4" s="222"/>
      <c r="MEA4" s="220"/>
      <c r="MEB4" s="220"/>
      <c r="MEC4" s="220"/>
      <c r="MED4" s="220"/>
      <c r="MEE4" s="223"/>
      <c r="MEF4" s="223"/>
      <c r="MEG4" s="223"/>
      <c r="MEH4" s="223"/>
      <c r="MEI4" s="223"/>
      <c r="MEJ4" s="223"/>
      <c r="MEK4" s="223"/>
      <c r="MEL4" s="223"/>
      <c r="MEM4" s="223"/>
      <c r="MEN4" s="224"/>
      <c r="MEO4" s="225"/>
      <c r="MEP4" s="226"/>
      <c r="MEQ4" s="224"/>
      <c r="MER4" s="225"/>
      <c r="MES4" s="225"/>
      <c r="MET4" s="227"/>
      <c r="MEU4" s="228"/>
      <c r="MEV4" s="228"/>
      <c r="MEW4" s="229"/>
      <c r="MEX4" s="216"/>
      <c r="MEY4" s="219"/>
      <c r="MEZ4" s="220"/>
      <c r="MFA4" s="217"/>
      <c r="MFB4" s="217"/>
      <c r="MFC4" s="217"/>
      <c r="MFD4" s="217"/>
      <c r="MFE4" s="217"/>
      <c r="MFF4" s="221"/>
      <c r="MFG4" s="222"/>
      <c r="MFH4" s="220"/>
      <c r="MFI4" s="220"/>
      <c r="MFJ4" s="220"/>
      <c r="MFK4" s="220"/>
      <c r="MFL4" s="223"/>
      <c r="MFM4" s="223"/>
      <c r="MFN4" s="223"/>
      <c r="MFO4" s="223"/>
      <c r="MFP4" s="223"/>
      <c r="MFQ4" s="223"/>
      <c r="MFR4" s="223"/>
      <c r="MFS4" s="223"/>
      <c r="MFT4" s="223"/>
      <c r="MFU4" s="224"/>
      <c r="MFV4" s="225"/>
      <c r="MFW4" s="226"/>
      <c r="MFX4" s="224"/>
      <c r="MFY4" s="225"/>
      <c r="MFZ4" s="225"/>
      <c r="MGA4" s="227"/>
      <c r="MGB4" s="228"/>
      <c r="MGC4" s="228"/>
      <c r="MGD4" s="229"/>
      <c r="MGE4" s="216"/>
      <c r="MGF4" s="219"/>
      <c r="MGG4" s="220"/>
      <c r="MGH4" s="217"/>
      <c r="MGI4" s="217"/>
      <c r="MGJ4" s="217"/>
      <c r="MGK4" s="217"/>
      <c r="MGL4" s="217"/>
      <c r="MGM4" s="221"/>
      <c r="MGN4" s="222"/>
      <c r="MGO4" s="220"/>
      <c r="MGP4" s="220"/>
      <c r="MGQ4" s="220"/>
      <c r="MGR4" s="220"/>
      <c r="MGS4" s="223"/>
      <c r="MGT4" s="223"/>
      <c r="MGU4" s="223"/>
      <c r="MGV4" s="223"/>
      <c r="MGW4" s="223"/>
      <c r="MGX4" s="223"/>
      <c r="MGY4" s="223"/>
      <c r="MGZ4" s="223"/>
      <c r="MHA4" s="223"/>
      <c r="MHB4" s="224"/>
      <c r="MHC4" s="225"/>
      <c r="MHD4" s="226"/>
      <c r="MHE4" s="224"/>
      <c r="MHF4" s="225"/>
      <c r="MHG4" s="225"/>
      <c r="MHH4" s="227"/>
      <c r="MHI4" s="228"/>
      <c r="MHJ4" s="228"/>
      <c r="MHK4" s="229"/>
      <c r="MHL4" s="216"/>
      <c r="MHM4" s="219"/>
      <c r="MHN4" s="220"/>
      <c r="MHO4" s="217"/>
      <c r="MHP4" s="217"/>
      <c r="MHQ4" s="217"/>
      <c r="MHR4" s="217"/>
      <c r="MHS4" s="217"/>
      <c r="MHT4" s="221"/>
      <c r="MHU4" s="222"/>
      <c r="MHV4" s="220"/>
      <c r="MHW4" s="220"/>
      <c r="MHX4" s="220"/>
      <c r="MHY4" s="220"/>
      <c r="MHZ4" s="223"/>
      <c r="MIA4" s="223"/>
      <c r="MIB4" s="223"/>
      <c r="MIC4" s="223"/>
      <c r="MID4" s="223"/>
      <c r="MIE4" s="223"/>
      <c r="MIF4" s="223"/>
      <c r="MIG4" s="223"/>
      <c r="MIH4" s="223"/>
      <c r="MII4" s="224"/>
      <c r="MIJ4" s="225"/>
      <c r="MIK4" s="226"/>
      <c r="MIL4" s="224"/>
      <c r="MIM4" s="225"/>
      <c r="MIN4" s="225"/>
      <c r="MIO4" s="227"/>
      <c r="MIP4" s="228"/>
      <c r="MIQ4" s="228"/>
      <c r="MIR4" s="229"/>
      <c r="MIS4" s="216"/>
      <c r="MIT4" s="219"/>
      <c r="MIU4" s="220"/>
      <c r="MIV4" s="217"/>
      <c r="MIW4" s="217"/>
      <c r="MIX4" s="217"/>
      <c r="MIY4" s="217"/>
      <c r="MIZ4" s="217"/>
      <c r="MJA4" s="221"/>
      <c r="MJB4" s="222"/>
      <c r="MJC4" s="220"/>
      <c r="MJD4" s="220"/>
      <c r="MJE4" s="220"/>
      <c r="MJF4" s="220"/>
      <c r="MJG4" s="223"/>
      <c r="MJH4" s="223"/>
      <c r="MJI4" s="223"/>
      <c r="MJJ4" s="223"/>
      <c r="MJK4" s="223"/>
      <c r="MJL4" s="223"/>
      <c r="MJM4" s="223"/>
      <c r="MJN4" s="223"/>
      <c r="MJO4" s="223"/>
      <c r="MJP4" s="224"/>
      <c r="MJQ4" s="225"/>
      <c r="MJR4" s="226"/>
      <c r="MJS4" s="224"/>
      <c r="MJT4" s="225"/>
      <c r="MJU4" s="225"/>
      <c r="MJV4" s="227"/>
      <c r="MJW4" s="228"/>
      <c r="MJX4" s="228"/>
      <c r="MJY4" s="229"/>
      <c r="MJZ4" s="216"/>
      <c r="MKA4" s="219"/>
      <c r="MKB4" s="220"/>
      <c r="MKC4" s="217"/>
      <c r="MKD4" s="217"/>
      <c r="MKE4" s="217"/>
      <c r="MKF4" s="217"/>
      <c r="MKG4" s="217"/>
      <c r="MKH4" s="221"/>
      <c r="MKI4" s="222"/>
      <c r="MKJ4" s="220"/>
      <c r="MKK4" s="220"/>
      <c r="MKL4" s="220"/>
      <c r="MKM4" s="220"/>
      <c r="MKN4" s="223"/>
      <c r="MKO4" s="223"/>
      <c r="MKP4" s="223"/>
      <c r="MKQ4" s="223"/>
      <c r="MKR4" s="223"/>
      <c r="MKS4" s="223"/>
      <c r="MKT4" s="223"/>
      <c r="MKU4" s="223"/>
      <c r="MKV4" s="223"/>
      <c r="MKW4" s="224"/>
      <c r="MKX4" s="225"/>
      <c r="MKY4" s="226"/>
      <c r="MKZ4" s="224"/>
      <c r="MLA4" s="225"/>
      <c r="MLB4" s="225"/>
      <c r="MLC4" s="227"/>
      <c r="MLD4" s="228"/>
      <c r="MLE4" s="228"/>
      <c r="MLF4" s="229"/>
      <c r="MLG4" s="216"/>
      <c r="MLH4" s="219"/>
      <c r="MLI4" s="220"/>
      <c r="MLJ4" s="217"/>
      <c r="MLK4" s="217"/>
      <c r="MLL4" s="217"/>
      <c r="MLM4" s="217"/>
      <c r="MLN4" s="217"/>
      <c r="MLO4" s="221"/>
      <c r="MLP4" s="222"/>
      <c r="MLQ4" s="220"/>
      <c r="MLR4" s="220"/>
      <c r="MLS4" s="220"/>
      <c r="MLT4" s="220"/>
      <c r="MLU4" s="223"/>
      <c r="MLV4" s="223"/>
      <c r="MLW4" s="223"/>
      <c r="MLX4" s="223"/>
      <c r="MLY4" s="223"/>
      <c r="MLZ4" s="223"/>
      <c r="MMA4" s="223"/>
      <c r="MMB4" s="223"/>
      <c r="MMC4" s="223"/>
      <c r="MMD4" s="224"/>
      <c r="MME4" s="225"/>
      <c r="MMF4" s="226"/>
      <c r="MMG4" s="224"/>
      <c r="MMH4" s="225"/>
      <c r="MMI4" s="225"/>
      <c r="MMJ4" s="227"/>
      <c r="MMK4" s="228"/>
      <c r="MML4" s="228"/>
      <c r="MMM4" s="229"/>
      <c r="MMN4" s="216"/>
      <c r="MMO4" s="219"/>
      <c r="MMP4" s="220"/>
      <c r="MMQ4" s="217"/>
      <c r="MMR4" s="217"/>
      <c r="MMS4" s="217"/>
      <c r="MMT4" s="217"/>
      <c r="MMU4" s="217"/>
      <c r="MMV4" s="221"/>
      <c r="MMW4" s="222"/>
      <c r="MMX4" s="220"/>
      <c r="MMY4" s="220"/>
      <c r="MMZ4" s="220"/>
      <c r="MNA4" s="220"/>
      <c r="MNB4" s="223"/>
      <c r="MNC4" s="223"/>
      <c r="MND4" s="223"/>
      <c r="MNE4" s="223"/>
      <c r="MNF4" s="223"/>
      <c r="MNG4" s="223"/>
      <c r="MNH4" s="223"/>
      <c r="MNI4" s="223"/>
      <c r="MNJ4" s="223"/>
      <c r="MNK4" s="224"/>
      <c r="MNL4" s="225"/>
      <c r="MNM4" s="226"/>
      <c r="MNN4" s="224"/>
      <c r="MNO4" s="225"/>
      <c r="MNP4" s="225"/>
      <c r="MNQ4" s="227"/>
      <c r="MNR4" s="228"/>
      <c r="MNS4" s="228"/>
      <c r="MNT4" s="229"/>
      <c r="MNU4" s="216"/>
      <c r="MNV4" s="219"/>
      <c r="MNW4" s="220"/>
      <c r="MNX4" s="217"/>
      <c r="MNY4" s="217"/>
      <c r="MNZ4" s="217"/>
      <c r="MOA4" s="217"/>
      <c r="MOB4" s="217"/>
      <c r="MOC4" s="221"/>
      <c r="MOD4" s="222"/>
      <c r="MOE4" s="220"/>
      <c r="MOF4" s="220"/>
      <c r="MOG4" s="220"/>
      <c r="MOH4" s="220"/>
      <c r="MOI4" s="223"/>
      <c r="MOJ4" s="223"/>
      <c r="MOK4" s="223"/>
      <c r="MOL4" s="223"/>
      <c r="MOM4" s="223"/>
      <c r="MON4" s="223"/>
      <c r="MOO4" s="223"/>
      <c r="MOP4" s="223"/>
      <c r="MOQ4" s="223"/>
      <c r="MOR4" s="224"/>
      <c r="MOS4" s="225"/>
      <c r="MOT4" s="226"/>
      <c r="MOU4" s="224"/>
      <c r="MOV4" s="225"/>
      <c r="MOW4" s="225"/>
      <c r="MOX4" s="227"/>
      <c r="MOY4" s="228"/>
      <c r="MOZ4" s="228"/>
      <c r="MPA4" s="229"/>
      <c r="MPB4" s="216"/>
      <c r="MPC4" s="219"/>
      <c r="MPD4" s="220"/>
      <c r="MPE4" s="217"/>
      <c r="MPF4" s="217"/>
      <c r="MPG4" s="217"/>
      <c r="MPH4" s="217"/>
      <c r="MPI4" s="217"/>
      <c r="MPJ4" s="221"/>
      <c r="MPK4" s="222"/>
      <c r="MPL4" s="220"/>
      <c r="MPM4" s="220"/>
      <c r="MPN4" s="220"/>
      <c r="MPO4" s="220"/>
      <c r="MPP4" s="223"/>
      <c r="MPQ4" s="223"/>
      <c r="MPR4" s="223"/>
      <c r="MPS4" s="223"/>
      <c r="MPT4" s="223"/>
      <c r="MPU4" s="223"/>
      <c r="MPV4" s="223"/>
      <c r="MPW4" s="223"/>
      <c r="MPX4" s="223"/>
      <c r="MPY4" s="224"/>
      <c r="MPZ4" s="225"/>
      <c r="MQA4" s="226"/>
      <c r="MQB4" s="224"/>
      <c r="MQC4" s="225"/>
      <c r="MQD4" s="225"/>
      <c r="MQE4" s="227"/>
      <c r="MQF4" s="228"/>
      <c r="MQG4" s="228"/>
      <c r="MQH4" s="229"/>
      <c r="MQI4" s="216"/>
      <c r="MQJ4" s="219"/>
      <c r="MQK4" s="220"/>
      <c r="MQL4" s="217"/>
      <c r="MQM4" s="217"/>
      <c r="MQN4" s="217"/>
      <c r="MQO4" s="217"/>
      <c r="MQP4" s="217"/>
      <c r="MQQ4" s="221"/>
      <c r="MQR4" s="222"/>
      <c r="MQS4" s="220"/>
      <c r="MQT4" s="220"/>
      <c r="MQU4" s="220"/>
      <c r="MQV4" s="220"/>
      <c r="MQW4" s="223"/>
      <c r="MQX4" s="223"/>
      <c r="MQY4" s="223"/>
      <c r="MQZ4" s="223"/>
      <c r="MRA4" s="223"/>
      <c r="MRB4" s="223"/>
      <c r="MRC4" s="223"/>
      <c r="MRD4" s="223"/>
      <c r="MRE4" s="223"/>
      <c r="MRF4" s="224"/>
      <c r="MRG4" s="225"/>
      <c r="MRH4" s="226"/>
      <c r="MRI4" s="224"/>
      <c r="MRJ4" s="225"/>
      <c r="MRK4" s="225"/>
      <c r="MRL4" s="227"/>
      <c r="MRM4" s="228"/>
      <c r="MRN4" s="228"/>
      <c r="MRO4" s="229"/>
      <c r="MRP4" s="216"/>
      <c r="MRQ4" s="219"/>
      <c r="MRR4" s="220"/>
      <c r="MRS4" s="217"/>
      <c r="MRT4" s="217"/>
      <c r="MRU4" s="217"/>
      <c r="MRV4" s="217"/>
      <c r="MRW4" s="217"/>
      <c r="MRX4" s="221"/>
      <c r="MRY4" s="222"/>
      <c r="MRZ4" s="220"/>
      <c r="MSA4" s="220"/>
      <c r="MSB4" s="220"/>
      <c r="MSC4" s="220"/>
      <c r="MSD4" s="223"/>
      <c r="MSE4" s="223"/>
      <c r="MSF4" s="223"/>
      <c r="MSG4" s="223"/>
      <c r="MSH4" s="223"/>
      <c r="MSI4" s="223"/>
      <c r="MSJ4" s="223"/>
      <c r="MSK4" s="223"/>
      <c r="MSL4" s="223"/>
      <c r="MSM4" s="224"/>
      <c r="MSN4" s="225"/>
      <c r="MSO4" s="226"/>
      <c r="MSP4" s="224"/>
      <c r="MSQ4" s="225"/>
      <c r="MSR4" s="225"/>
      <c r="MSS4" s="227"/>
      <c r="MST4" s="228"/>
      <c r="MSU4" s="228"/>
      <c r="MSV4" s="229"/>
      <c r="MSW4" s="216"/>
      <c r="MSX4" s="219"/>
      <c r="MSY4" s="220"/>
      <c r="MSZ4" s="217"/>
      <c r="MTA4" s="217"/>
      <c r="MTB4" s="217"/>
      <c r="MTC4" s="217"/>
      <c r="MTD4" s="217"/>
      <c r="MTE4" s="221"/>
      <c r="MTF4" s="222"/>
      <c r="MTG4" s="220"/>
      <c r="MTH4" s="220"/>
      <c r="MTI4" s="220"/>
      <c r="MTJ4" s="220"/>
      <c r="MTK4" s="223"/>
      <c r="MTL4" s="223"/>
      <c r="MTM4" s="223"/>
      <c r="MTN4" s="223"/>
      <c r="MTO4" s="223"/>
      <c r="MTP4" s="223"/>
      <c r="MTQ4" s="223"/>
      <c r="MTR4" s="223"/>
      <c r="MTS4" s="223"/>
      <c r="MTT4" s="224"/>
      <c r="MTU4" s="225"/>
      <c r="MTV4" s="226"/>
      <c r="MTW4" s="224"/>
      <c r="MTX4" s="225"/>
      <c r="MTY4" s="225"/>
      <c r="MTZ4" s="227"/>
      <c r="MUA4" s="228"/>
      <c r="MUB4" s="228"/>
      <c r="MUC4" s="229"/>
      <c r="MUD4" s="216"/>
      <c r="MUE4" s="219"/>
      <c r="MUF4" s="220"/>
      <c r="MUG4" s="217"/>
      <c r="MUH4" s="217"/>
      <c r="MUI4" s="217"/>
      <c r="MUJ4" s="217"/>
      <c r="MUK4" s="217"/>
      <c r="MUL4" s="221"/>
      <c r="MUM4" s="222"/>
      <c r="MUN4" s="220"/>
      <c r="MUO4" s="220"/>
      <c r="MUP4" s="220"/>
      <c r="MUQ4" s="220"/>
      <c r="MUR4" s="223"/>
      <c r="MUS4" s="223"/>
      <c r="MUT4" s="223"/>
      <c r="MUU4" s="223"/>
      <c r="MUV4" s="223"/>
      <c r="MUW4" s="223"/>
      <c r="MUX4" s="223"/>
      <c r="MUY4" s="223"/>
      <c r="MUZ4" s="223"/>
      <c r="MVA4" s="224"/>
      <c r="MVB4" s="225"/>
      <c r="MVC4" s="226"/>
      <c r="MVD4" s="224"/>
      <c r="MVE4" s="225"/>
      <c r="MVF4" s="225"/>
      <c r="MVG4" s="227"/>
      <c r="MVH4" s="228"/>
      <c r="MVI4" s="228"/>
      <c r="MVJ4" s="229"/>
      <c r="MVK4" s="216"/>
      <c r="MVL4" s="219"/>
      <c r="MVM4" s="220"/>
      <c r="MVN4" s="217"/>
      <c r="MVO4" s="217"/>
      <c r="MVP4" s="217"/>
      <c r="MVQ4" s="217"/>
      <c r="MVR4" s="217"/>
      <c r="MVS4" s="221"/>
      <c r="MVT4" s="222"/>
      <c r="MVU4" s="220"/>
      <c r="MVV4" s="220"/>
      <c r="MVW4" s="220"/>
      <c r="MVX4" s="220"/>
      <c r="MVY4" s="223"/>
      <c r="MVZ4" s="223"/>
      <c r="MWA4" s="223"/>
      <c r="MWB4" s="223"/>
      <c r="MWC4" s="223"/>
      <c r="MWD4" s="223"/>
      <c r="MWE4" s="223"/>
      <c r="MWF4" s="223"/>
      <c r="MWG4" s="223"/>
      <c r="MWH4" s="224"/>
      <c r="MWI4" s="225"/>
      <c r="MWJ4" s="226"/>
      <c r="MWK4" s="224"/>
      <c r="MWL4" s="225"/>
      <c r="MWM4" s="225"/>
      <c r="MWN4" s="227"/>
      <c r="MWO4" s="228"/>
      <c r="MWP4" s="228"/>
      <c r="MWQ4" s="229"/>
      <c r="MWR4" s="216"/>
      <c r="MWS4" s="219"/>
      <c r="MWT4" s="220"/>
      <c r="MWU4" s="217"/>
      <c r="MWV4" s="217"/>
      <c r="MWW4" s="217"/>
      <c r="MWX4" s="217"/>
      <c r="MWY4" s="217"/>
      <c r="MWZ4" s="221"/>
      <c r="MXA4" s="222"/>
      <c r="MXB4" s="220"/>
      <c r="MXC4" s="220"/>
      <c r="MXD4" s="220"/>
      <c r="MXE4" s="220"/>
      <c r="MXF4" s="223"/>
      <c r="MXG4" s="223"/>
      <c r="MXH4" s="223"/>
      <c r="MXI4" s="223"/>
      <c r="MXJ4" s="223"/>
      <c r="MXK4" s="223"/>
      <c r="MXL4" s="223"/>
      <c r="MXM4" s="223"/>
      <c r="MXN4" s="223"/>
      <c r="MXO4" s="224"/>
      <c r="MXP4" s="225"/>
      <c r="MXQ4" s="226"/>
      <c r="MXR4" s="224"/>
      <c r="MXS4" s="225"/>
      <c r="MXT4" s="225"/>
      <c r="MXU4" s="227"/>
      <c r="MXV4" s="228"/>
      <c r="MXW4" s="228"/>
      <c r="MXX4" s="229"/>
      <c r="MXY4" s="216"/>
      <c r="MXZ4" s="219"/>
      <c r="MYA4" s="220"/>
      <c r="MYB4" s="217"/>
      <c r="MYC4" s="217"/>
      <c r="MYD4" s="217"/>
      <c r="MYE4" s="217"/>
      <c r="MYF4" s="217"/>
      <c r="MYG4" s="221"/>
      <c r="MYH4" s="222"/>
      <c r="MYI4" s="220"/>
      <c r="MYJ4" s="220"/>
      <c r="MYK4" s="220"/>
      <c r="MYL4" s="220"/>
      <c r="MYM4" s="223"/>
      <c r="MYN4" s="223"/>
      <c r="MYO4" s="223"/>
      <c r="MYP4" s="223"/>
      <c r="MYQ4" s="223"/>
      <c r="MYR4" s="223"/>
      <c r="MYS4" s="223"/>
      <c r="MYT4" s="223"/>
      <c r="MYU4" s="223"/>
      <c r="MYV4" s="224"/>
      <c r="MYW4" s="225"/>
      <c r="MYX4" s="226"/>
      <c r="MYY4" s="224"/>
      <c r="MYZ4" s="225"/>
      <c r="MZA4" s="225"/>
      <c r="MZB4" s="227"/>
      <c r="MZC4" s="228"/>
      <c r="MZD4" s="228"/>
      <c r="MZE4" s="229"/>
      <c r="MZF4" s="216"/>
      <c r="MZG4" s="219"/>
      <c r="MZH4" s="220"/>
      <c r="MZI4" s="217"/>
      <c r="MZJ4" s="217"/>
      <c r="MZK4" s="217"/>
      <c r="MZL4" s="217"/>
      <c r="MZM4" s="217"/>
      <c r="MZN4" s="221"/>
      <c r="MZO4" s="222"/>
      <c r="MZP4" s="220"/>
      <c r="MZQ4" s="220"/>
      <c r="MZR4" s="220"/>
      <c r="MZS4" s="220"/>
      <c r="MZT4" s="223"/>
      <c r="MZU4" s="223"/>
      <c r="MZV4" s="223"/>
      <c r="MZW4" s="223"/>
      <c r="MZX4" s="223"/>
      <c r="MZY4" s="223"/>
      <c r="MZZ4" s="223"/>
      <c r="NAA4" s="223"/>
      <c r="NAB4" s="223"/>
      <c r="NAC4" s="224"/>
      <c r="NAD4" s="225"/>
      <c r="NAE4" s="226"/>
      <c r="NAF4" s="224"/>
      <c r="NAG4" s="225"/>
      <c r="NAH4" s="225"/>
      <c r="NAI4" s="227"/>
      <c r="NAJ4" s="228"/>
      <c r="NAK4" s="228"/>
      <c r="NAL4" s="229"/>
      <c r="NAM4" s="216"/>
      <c r="NAN4" s="219"/>
      <c r="NAO4" s="220"/>
      <c r="NAP4" s="217"/>
      <c r="NAQ4" s="217"/>
      <c r="NAR4" s="217"/>
      <c r="NAS4" s="217"/>
      <c r="NAT4" s="217"/>
      <c r="NAU4" s="221"/>
      <c r="NAV4" s="222"/>
      <c r="NAW4" s="220"/>
      <c r="NAX4" s="220"/>
      <c r="NAY4" s="220"/>
      <c r="NAZ4" s="220"/>
      <c r="NBA4" s="223"/>
      <c r="NBB4" s="223"/>
      <c r="NBC4" s="223"/>
      <c r="NBD4" s="223"/>
      <c r="NBE4" s="223"/>
      <c r="NBF4" s="223"/>
      <c r="NBG4" s="223"/>
      <c r="NBH4" s="223"/>
      <c r="NBI4" s="223"/>
      <c r="NBJ4" s="224"/>
      <c r="NBK4" s="225"/>
      <c r="NBL4" s="226"/>
      <c r="NBM4" s="224"/>
      <c r="NBN4" s="225"/>
      <c r="NBO4" s="225"/>
      <c r="NBP4" s="227"/>
      <c r="NBQ4" s="228"/>
      <c r="NBR4" s="228"/>
      <c r="NBS4" s="229"/>
      <c r="NBT4" s="216"/>
      <c r="NBU4" s="219"/>
      <c r="NBV4" s="220"/>
      <c r="NBW4" s="217"/>
      <c r="NBX4" s="217"/>
      <c r="NBY4" s="217"/>
      <c r="NBZ4" s="217"/>
      <c r="NCA4" s="217"/>
      <c r="NCB4" s="221"/>
      <c r="NCC4" s="222"/>
      <c r="NCD4" s="220"/>
      <c r="NCE4" s="220"/>
      <c r="NCF4" s="220"/>
      <c r="NCG4" s="220"/>
      <c r="NCH4" s="223"/>
      <c r="NCI4" s="223"/>
      <c r="NCJ4" s="223"/>
      <c r="NCK4" s="223"/>
      <c r="NCL4" s="223"/>
      <c r="NCM4" s="223"/>
      <c r="NCN4" s="223"/>
      <c r="NCO4" s="223"/>
      <c r="NCP4" s="223"/>
      <c r="NCQ4" s="224"/>
      <c r="NCR4" s="225"/>
      <c r="NCS4" s="226"/>
      <c r="NCT4" s="224"/>
      <c r="NCU4" s="225"/>
      <c r="NCV4" s="225"/>
      <c r="NCW4" s="227"/>
      <c r="NCX4" s="228"/>
      <c r="NCY4" s="228"/>
      <c r="NCZ4" s="229"/>
      <c r="NDA4" s="216"/>
      <c r="NDB4" s="219"/>
      <c r="NDC4" s="220"/>
      <c r="NDD4" s="217"/>
      <c r="NDE4" s="217"/>
      <c r="NDF4" s="217"/>
      <c r="NDG4" s="217"/>
      <c r="NDH4" s="217"/>
      <c r="NDI4" s="221"/>
      <c r="NDJ4" s="222"/>
      <c r="NDK4" s="220"/>
      <c r="NDL4" s="220"/>
      <c r="NDM4" s="220"/>
      <c r="NDN4" s="220"/>
      <c r="NDO4" s="223"/>
      <c r="NDP4" s="223"/>
      <c r="NDQ4" s="223"/>
      <c r="NDR4" s="223"/>
      <c r="NDS4" s="223"/>
      <c r="NDT4" s="223"/>
      <c r="NDU4" s="223"/>
      <c r="NDV4" s="223"/>
      <c r="NDW4" s="223"/>
      <c r="NDX4" s="224"/>
      <c r="NDY4" s="225"/>
      <c r="NDZ4" s="226"/>
      <c r="NEA4" s="224"/>
      <c r="NEB4" s="225"/>
      <c r="NEC4" s="225"/>
      <c r="NED4" s="227"/>
      <c r="NEE4" s="228"/>
      <c r="NEF4" s="228"/>
      <c r="NEG4" s="229"/>
      <c r="NEH4" s="216"/>
      <c r="NEI4" s="219"/>
      <c r="NEJ4" s="220"/>
      <c r="NEK4" s="217"/>
      <c r="NEL4" s="217"/>
      <c r="NEM4" s="217"/>
      <c r="NEN4" s="217"/>
      <c r="NEO4" s="217"/>
      <c r="NEP4" s="221"/>
      <c r="NEQ4" s="222"/>
      <c r="NER4" s="220"/>
      <c r="NES4" s="220"/>
      <c r="NET4" s="220"/>
      <c r="NEU4" s="220"/>
      <c r="NEV4" s="223"/>
      <c r="NEW4" s="223"/>
      <c r="NEX4" s="223"/>
      <c r="NEY4" s="223"/>
      <c r="NEZ4" s="223"/>
      <c r="NFA4" s="223"/>
      <c r="NFB4" s="223"/>
      <c r="NFC4" s="223"/>
      <c r="NFD4" s="223"/>
      <c r="NFE4" s="224"/>
      <c r="NFF4" s="225"/>
      <c r="NFG4" s="226"/>
      <c r="NFH4" s="224"/>
      <c r="NFI4" s="225"/>
      <c r="NFJ4" s="225"/>
      <c r="NFK4" s="227"/>
      <c r="NFL4" s="228"/>
      <c r="NFM4" s="228"/>
      <c r="NFN4" s="229"/>
      <c r="NFO4" s="216"/>
      <c r="NFP4" s="219"/>
      <c r="NFQ4" s="220"/>
      <c r="NFR4" s="217"/>
      <c r="NFS4" s="217"/>
      <c r="NFT4" s="217"/>
      <c r="NFU4" s="217"/>
      <c r="NFV4" s="217"/>
      <c r="NFW4" s="221"/>
      <c r="NFX4" s="222"/>
      <c r="NFY4" s="220"/>
      <c r="NFZ4" s="220"/>
      <c r="NGA4" s="220"/>
      <c r="NGB4" s="220"/>
      <c r="NGC4" s="223"/>
      <c r="NGD4" s="223"/>
      <c r="NGE4" s="223"/>
      <c r="NGF4" s="223"/>
      <c r="NGG4" s="223"/>
      <c r="NGH4" s="223"/>
      <c r="NGI4" s="223"/>
      <c r="NGJ4" s="223"/>
      <c r="NGK4" s="223"/>
      <c r="NGL4" s="224"/>
      <c r="NGM4" s="225"/>
      <c r="NGN4" s="226"/>
      <c r="NGO4" s="224"/>
      <c r="NGP4" s="225"/>
      <c r="NGQ4" s="225"/>
      <c r="NGR4" s="227"/>
      <c r="NGS4" s="228"/>
      <c r="NGT4" s="228"/>
      <c r="NGU4" s="229"/>
      <c r="NGV4" s="216"/>
      <c r="NGW4" s="219"/>
      <c r="NGX4" s="220"/>
      <c r="NGY4" s="217"/>
      <c r="NGZ4" s="217"/>
      <c r="NHA4" s="217"/>
      <c r="NHB4" s="217"/>
      <c r="NHC4" s="217"/>
      <c r="NHD4" s="221"/>
      <c r="NHE4" s="222"/>
      <c r="NHF4" s="220"/>
      <c r="NHG4" s="220"/>
      <c r="NHH4" s="220"/>
      <c r="NHI4" s="220"/>
      <c r="NHJ4" s="223"/>
      <c r="NHK4" s="223"/>
      <c r="NHL4" s="223"/>
      <c r="NHM4" s="223"/>
      <c r="NHN4" s="223"/>
      <c r="NHO4" s="223"/>
      <c r="NHP4" s="223"/>
      <c r="NHQ4" s="223"/>
      <c r="NHR4" s="223"/>
      <c r="NHS4" s="224"/>
      <c r="NHT4" s="225"/>
      <c r="NHU4" s="226"/>
      <c r="NHV4" s="224"/>
      <c r="NHW4" s="225"/>
      <c r="NHX4" s="225"/>
      <c r="NHY4" s="227"/>
      <c r="NHZ4" s="228"/>
      <c r="NIA4" s="228"/>
      <c r="NIB4" s="229"/>
      <c r="NIC4" s="216"/>
      <c r="NID4" s="219"/>
      <c r="NIE4" s="220"/>
      <c r="NIF4" s="217"/>
      <c r="NIG4" s="217"/>
      <c r="NIH4" s="217"/>
      <c r="NII4" s="217"/>
      <c r="NIJ4" s="217"/>
      <c r="NIK4" s="221"/>
      <c r="NIL4" s="222"/>
      <c r="NIM4" s="220"/>
      <c r="NIN4" s="220"/>
      <c r="NIO4" s="220"/>
      <c r="NIP4" s="220"/>
      <c r="NIQ4" s="223"/>
      <c r="NIR4" s="223"/>
      <c r="NIS4" s="223"/>
      <c r="NIT4" s="223"/>
      <c r="NIU4" s="223"/>
      <c r="NIV4" s="223"/>
      <c r="NIW4" s="223"/>
      <c r="NIX4" s="223"/>
      <c r="NIY4" s="223"/>
      <c r="NIZ4" s="224"/>
      <c r="NJA4" s="225"/>
      <c r="NJB4" s="226"/>
      <c r="NJC4" s="224"/>
      <c r="NJD4" s="225"/>
      <c r="NJE4" s="225"/>
      <c r="NJF4" s="227"/>
      <c r="NJG4" s="228"/>
      <c r="NJH4" s="228"/>
      <c r="NJI4" s="229"/>
      <c r="NJJ4" s="216"/>
      <c r="NJK4" s="219"/>
      <c r="NJL4" s="220"/>
      <c r="NJM4" s="217"/>
      <c r="NJN4" s="217"/>
      <c r="NJO4" s="217"/>
      <c r="NJP4" s="217"/>
      <c r="NJQ4" s="217"/>
      <c r="NJR4" s="221"/>
      <c r="NJS4" s="222"/>
      <c r="NJT4" s="220"/>
      <c r="NJU4" s="220"/>
      <c r="NJV4" s="220"/>
      <c r="NJW4" s="220"/>
      <c r="NJX4" s="223"/>
      <c r="NJY4" s="223"/>
      <c r="NJZ4" s="223"/>
      <c r="NKA4" s="223"/>
      <c r="NKB4" s="223"/>
      <c r="NKC4" s="223"/>
      <c r="NKD4" s="223"/>
      <c r="NKE4" s="223"/>
      <c r="NKF4" s="223"/>
      <c r="NKG4" s="224"/>
      <c r="NKH4" s="225"/>
      <c r="NKI4" s="226"/>
      <c r="NKJ4" s="224"/>
      <c r="NKK4" s="225"/>
      <c r="NKL4" s="225"/>
      <c r="NKM4" s="227"/>
      <c r="NKN4" s="228"/>
      <c r="NKO4" s="228"/>
      <c r="NKP4" s="229"/>
      <c r="NKQ4" s="216"/>
      <c r="NKR4" s="219"/>
      <c r="NKS4" s="220"/>
      <c r="NKT4" s="217"/>
      <c r="NKU4" s="217"/>
      <c r="NKV4" s="217"/>
      <c r="NKW4" s="217"/>
      <c r="NKX4" s="217"/>
      <c r="NKY4" s="221"/>
      <c r="NKZ4" s="222"/>
      <c r="NLA4" s="220"/>
      <c r="NLB4" s="220"/>
      <c r="NLC4" s="220"/>
      <c r="NLD4" s="220"/>
      <c r="NLE4" s="223"/>
      <c r="NLF4" s="223"/>
      <c r="NLG4" s="223"/>
      <c r="NLH4" s="223"/>
      <c r="NLI4" s="223"/>
      <c r="NLJ4" s="223"/>
      <c r="NLK4" s="223"/>
      <c r="NLL4" s="223"/>
      <c r="NLM4" s="223"/>
      <c r="NLN4" s="224"/>
      <c r="NLO4" s="225"/>
      <c r="NLP4" s="226"/>
      <c r="NLQ4" s="224"/>
      <c r="NLR4" s="225"/>
      <c r="NLS4" s="225"/>
      <c r="NLT4" s="227"/>
      <c r="NLU4" s="228"/>
      <c r="NLV4" s="228"/>
      <c r="NLW4" s="229"/>
      <c r="NLX4" s="216"/>
      <c r="NLY4" s="219"/>
      <c r="NLZ4" s="220"/>
      <c r="NMA4" s="217"/>
      <c r="NMB4" s="217"/>
      <c r="NMC4" s="217"/>
      <c r="NMD4" s="217"/>
      <c r="NME4" s="217"/>
      <c r="NMF4" s="221"/>
      <c r="NMG4" s="222"/>
      <c r="NMH4" s="220"/>
      <c r="NMI4" s="220"/>
      <c r="NMJ4" s="220"/>
      <c r="NMK4" s="220"/>
      <c r="NML4" s="223"/>
      <c r="NMM4" s="223"/>
      <c r="NMN4" s="223"/>
      <c r="NMO4" s="223"/>
      <c r="NMP4" s="223"/>
      <c r="NMQ4" s="223"/>
      <c r="NMR4" s="223"/>
      <c r="NMS4" s="223"/>
      <c r="NMT4" s="223"/>
      <c r="NMU4" s="224"/>
      <c r="NMV4" s="225"/>
      <c r="NMW4" s="226"/>
      <c r="NMX4" s="224"/>
      <c r="NMY4" s="225"/>
      <c r="NMZ4" s="225"/>
      <c r="NNA4" s="227"/>
      <c r="NNB4" s="228"/>
      <c r="NNC4" s="228"/>
      <c r="NND4" s="229"/>
      <c r="NNE4" s="216"/>
      <c r="NNF4" s="219"/>
      <c r="NNG4" s="220"/>
      <c r="NNH4" s="217"/>
      <c r="NNI4" s="217"/>
      <c r="NNJ4" s="217"/>
      <c r="NNK4" s="217"/>
      <c r="NNL4" s="217"/>
      <c r="NNM4" s="221"/>
      <c r="NNN4" s="222"/>
      <c r="NNO4" s="220"/>
      <c r="NNP4" s="220"/>
      <c r="NNQ4" s="220"/>
      <c r="NNR4" s="220"/>
      <c r="NNS4" s="223"/>
      <c r="NNT4" s="223"/>
      <c r="NNU4" s="223"/>
      <c r="NNV4" s="223"/>
      <c r="NNW4" s="223"/>
      <c r="NNX4" s="223"/>
      <c r="NNY4" s="223"/>
      <c r="NNZ4" s="223"/>
      <c r="NOA4" s="223"/>
      <c r="NOB4" s="224"/>
      <c r="NOC4" s="225"/>
      <c r="NOD4" s="226"/>
      <c r="NOE4" s="224"/>
      <c r="NOF4" s="225"/>
      <c r="NOG4" s="225"/>
      <c r="NOH4" s="227"/>
      <c r="NOI4" s="228"/>
      <c r="NOJ4" s="228"/>
      <c r="NOK4" s="229"/>
      <c r="NOL4" s="216"/>
      <c r="NOM4" s="219"/>
      <c r="NON4" s="220"/>
      <c r="NOO4" s="217"/>
      <c r="NOP4" s="217"/>
      <c r="NOQ4" s="217"/>
      <c r="NOR4" s="217"/>
      <c r="NOS4" s="217"/>
      <c r="NOT4" s="221"/>
      <c r="NOU4" s="222"/>
      <c r="NOV4" s="220"/>
      <c r="NOW4" s="220"/>
      <c r="NOX4" s="220"/>
      <c r="NOY4" s="220"/>
      <c r="NOZ4" s="223"/>
      <c r="NPA4" s="223"/>
      <c r="NPB4" s="223"/>
      <c r="NPC4" s="223"/>
      <c r="NPD4" s="223"/>
      <c r="NPE4" s="223"/>
      <c r="NPF4" s="223"/>
      <c r="NPG4" s="223"/>
      <c r="NPH4" s="223"/>
      <c r="NPI4" s="224"/>
      <c r="NPJ4" s="225"/>
      <c r="NPK4" s="226"/>
      <c r="NPL4" s="224"/>
      <c r="NPM4" s="225"/>
      <c r="NPN4" s="225"/>
      <c r="NPO4" s="227"/>
      <c r="NPP4" s="228"/>
      <c r="NPQ4" s="228"/>
      <c r="NPR4" s="229"/>
      <c r="NPS4" s="216"/>
      <c r="NPT4" s="219"/>
      <c r="NPU4" s="220"/>
      <c r="NPV4" s="217"/>
      <c r="NPW4" s="217"/>
      <c r="NPX4" s="217"/>
      <c r="NPY4" s="217"/>
      <c r="NPZ4" s="217"/>
      <c r="NQA4" s="221"/>
      <c r="NQB4" s="222"/>
      <c r="NQC4" s="220"/>
      <c r="NQD4" s="220"/>
      <c r="NQE4" s="220"/>
      <c r="NQF4" s="220"/>
      <c r="NQG4" s="223"/>
      <c r="NQH4" s="223"/>
      <c r="NQI4" s="223"/>
      <c r="NQJ4" s="223"/>
      <c r="NQK4" s="223"/>
      <c r="NQL4" s="223"/>
      <c r="NQM4" s="223"/>
      <c r="NQN4" s="223"/>
      <c r="NQO4" s="223"/>
      <c r="NQP4" s="224"/>
      <c r="NQQ4" s="225"/>
      <c r="NQR4" s="226"/>
      <c r="NQS4" s="224"/>
      <c r="NQT4" s="225"/>
      <c r="NQU4" s="225"/>
      <c r="NQV4" s="227"/>
      <c r="NQW4" s="228"/>
      <c r="NQX4" s="228"/>
      <c r="NQY4" s="229"/>
      <c r="NQZ4" s="216"/>
      <c r="NRA4" s="219"/>
      <c r="NRB4" s="220"/>
      <c r="NRC4" s="217"/>
      <c r="NRD4" s="217"/>
      <c r="NRE4" s="217"/>
      <c r="NRF4" s="217"/>
      <c r="NRG4" s="217"/>
      <c r="NRH4" s="221"/>
      <c r="NRI4" s="222"/>
      <c r="NRJ4" s="220"/>
      <c r="NRK4" s="220"/>
      <c r="NRL4" s="220"/>
      <c r="NRM4" s="220"/>
      <c r="NRN4" s="223"/>
      <c r="NRO4" s="223"/>
      <c r="NRP4" s="223"/>
      <c r="NRQ4" s="223"/>
      <c r="NRR4" s="223"/>
      <c r="NRS4" s="223"/>
      <c r="NRT4" s="223"/>
      <c r="NRU4" s="223"/>
      <c r="NRV4" s="223"/>
      <c r="NRW4" s="224"/>
      <c r="NRX4" s="225"/>
      <c r="NRY4" s="226"/>
      <c r="NRZ4" s="224"/>
      <c r="NSA4" s="225"/>
      <c r="NSB4" s="225"/>
      <c r="NSC4" s="227"/>
      <c r="NSD4" s="228"/>
      <c r="NSE4" s="228"/>
      <c r="NSF4" s="229"/>
      <c r="NSG4" s="216"/>
      <c r="NSH4" s="219"/>
      <c r="NSI4" s="220"/>
      <c r="NSJ4" s="217"/>
      <c r="NSK4" s="217"/>
      <c r="NSL4" s="217"/>
      <c r="NSM4" s="217"/>
      <c r="NSN4" s="217"/>
      <c r="NSO4" s="221"/>
      <c r="NSP4" s="222"/>
      <c r="NSQ4" s="220"/>
      <c r="NSR4" s="220"/>
      <c r="NSS4" s="220"/>
      <c r="NST4" s="220"/>
      <c r="NSU4" s="223"/>
      <c r="NSV4" s="223"/>
      <c r="NSW4" s="223"/>
      <c r="NSX4" s="223"/>
      <c r="NSY4" s="223"/>
      <c r="NSZ4" s="223"/>
      <c r="NTA4" s="223"/>
      <c r="NTB4" s="223"/>
      <c r="NTC4" s="223"/>
      <c r="NTD4" s="224"/>
      <c r="NTE4" s="225"/>
      <c r="NTF4" s="226"/>
      <c r="NTG4" s="224"/>
      <c r="NTH4" s="225"/>
      <c r="NTI4" s="225"/>
      <c r="NTJ4" s="227"/>
      <c r="NTK4" s="228"/>
      <c r="NTL4" s="228"/>
      <c r="NTM4" s="229"/>
      <c r="NTN4" s="216"/>
      <c r="NTO4" s="219"/>
      <c r="NTP4" s="220"/>
      <c r="NTQ4" s="217"/>
      <c r="NTR4" s="217"/>
      <c r="NTS4" s="217"/>
      <c r="NTT4" s="217"/>
      <c r="NTU4" s="217"/>
      <c r="NTV4" s="221"/>
      <c r="NTW4" s="222"/>
      <c r="NTX4" s="220"/>
      <c r="NTY4" s="220"/>
      <c r="NTZ4" s="220"/>
      <c r="NUA4" s="220"/>
      <c r="NUB4" s="223"/>
      <c r="NUC4" s="223"/>
      <c r="NUD4" s="223"/>
      <c r="NUE4" s="223"/>
      <c r="NUF4" s="223"/>
      <c r="NUG4" s="223"/>
      <c r="NUH4" s="223"/>
      <c r="NUI4" s="223"/>
      <c r="NUJ4" s="223"/>
      <c r="NUK4" s="224"/>
      <c r="NUL4" s="225"/>
      <c r="NUM4" s="226"/>
      <c r="NUN4" s="224"/>
      <c r="NUO4" s="225"/>
      <c r="NUP4" s="225"/>
      <c r="NUQ4" s="227"/>
      <c r="NUR4" s="228"/>
      <c r="NUS4" s="228"/>
      <c r="NUT4" s="229"/>
      <c r="NUU4" s="216"/>
      <c r="NUV4" s="219"/>
      <c r="NUW4" s="220"/>
      <c r="NUX4" s="217"/>
      <c r="NUY4" s="217"/>
      <c r="NUZ4" s="217"/>
      <c r="NVA4" s="217"/>
      <c r="NVB4" s="217"/>
      <c r="NVC4" s="221"/>
      <c r="NVD4" s="222"/>
      <c r="NVE4" s="220"/>
      <c r="NVF4" s="220"/>
      <c r="NVG4" s="220"/>
      <c r="NVH4" s="220"/>
      <c r="NVI4" s="223"/>
      <c r="NVJ4" s="223"/>
      <c r="NVK4" s="223"/>
      <c r="NVL4" s="223"/>
      <c r="NVM4" s="223"/>
      <c r="NVN4" s="223"/>
      <c r="NVO4" s="223"/>
      <c r="NVP4" s="223"/>
      <c r="NVQ4" s="223"/>
      <c r="NVR4" s="224"/>
      <c r="NVS4" s="225"/>
      <c r="NVT4" s="226"/>
      <c r="NVU4" s="224"/>
      <c r="NVV4" s="225"/>
      <c r="NVW4" s="225"/>
      <c r="NVX4" s="227"/>
      <c r="NVY4" s="228"/>
      <c r="NVZ4" s="228"/>
      <c r="NWA4" s="229"/>
      <c r="NWB4" s="216"/>
      <c r="NWC4" s="219"/>
      <c r="NWD4" s="220"/>
      <c r="NWE4" s="217"/>
      <c r="NWF4" s="217"/>
      <c r="NWG4" s="217"/>
      <c r="NWH4" s="217"/>
      <c r="NWI4" s="217"/>
      <c r="NWJ4" s="221"/>
      <c r="NWK4" s="222"/>
      <c r="NWL4" s="220"/>
      <c r="NWM4" s="220"/>
      <c r="NWN4" s="220"/>
      <c r="NWO4" s="220"/>
      <c r="NWP4" s="223"/>
      <c r="NWQ4" s="223"/>
      <c r="NWR4" s="223"/>
      <c r="NWS4" s="223"/>
      <c r="NWT4" s="223"/>
      <c r="NWU4" s="223"/>
      <c r="NWV4" s="223"/>
      <c r="NWW4" s="223"/>
      <c r="NWX4" s="223"/>
      <c r="NWY4" s="224"/>
      <c r="NWZ4" s="225"/>
      <c r="NXA4" s="226"/>
      <c r="NXB4" s="224"/>
      <c r="NXC4" s="225"/>
      <c r="NXD4" s="225"/>
      <c r="NXE4" s="227"/>
      <c r="NXF4" s="228"/>
      <c r="NXG4" s="228"/>
      <c r="NXH4" s="229"/>
      <c r="NXI4" s="216"/>
      <c r="NXJ4" s="219"/>
      <c r="NXK4" s="220"/>
      <c r="NXL4" s="217"/>
      <c r="NXM4" s="217"/>
      <c r="NXN4" s="217"/>
      <c r="NXO4" s="217"/>
      <c r="NXP4" s="217"/>
      <c r="NXQ4" s="221"/>
      <c r="NXR4" s="222"/>
      <c r="NXS4" s="220"/>
      <c r="NXT4" s="220"/>
      <c r="NXU4" s="220"/>
      <c r="NXV4" s="220"/>
      <c r="NXW4" s="223"/>
      <c r="NXX4" s="223"/>
      <c r="NXY4" s="223"/>
      <c r="NXZ4" s="223"/>
      <c r="NYA4" s="223"/>
      <c r="NYB4" s="223"/>
      <c r="NYC4" s="223"/>
      <c r="NYD4" s="223"/>
      <c r="NYE4" s="223"/>
      <c r="NYF4" s="224"/>
      <c r="NYG4" s="225"/>
      <c r="NYH4" s="226"/>
      <c r="NYI4" s="224"/>
      <c r="NYJ4" s="225"/>
      <c r="NYK4" s="225"/>
      <c r="NYL4" s="227"/>
      <c r="NYM4" s="228"/>
      <c r="NYN4" s="228"/>
      <c r="NYO4" s="229"/>
      <c r="NYP4" s="216"/>
      <c r="NYQ4" s="219"/>
      <c r="NYR4" s="220"/>
      <c r="NYS4" s="217"/>
      <c r="NYT4" s="217"/>
      <c r="NYU4" s="217"/>
      <c r="NYV4" s="217"/>
      <c r="NYW4" s="217"/>
      <c r="NYX4" s="221"/>
      <c r="NYY4" s="222"/>
      <c r="NYZ4" s="220"/>
      <c r="NZA4" s="220"/>
      <c r="NZB4" s="220"/>
      <c r="NZC4" s="220"/>
      <c r="NZD4" s="223"/>
      <c r="NZE4" s="223"/>
      <c r="NZF4" s="223"/>
      <c r="NZG4" s="223"/>
      <c r="NZH4" s="223"/>
      <c r="NZI4" s="223"/>
      <c r="NZJ4" s="223"/>
      <c r="NZK4" s="223"/>
      <c r="NZL4" s="223"/>
      <c r="NZM4" s="224"/>
      <c r="NZN4" s="225"/>
      <c r="NZO4" s="226"/>
      <c r="NZP4" s="224"/>
      <c r="NZQ4" s="225"/>
      <c r="NZR4" s="225"/>
      <c r="NZS4" s="227"/>
      <c r="NZT4" s="228"/>
      <c r="NZU4" s="228"/>
      <c r="NZV4" s="229"/>
      <c r="NZW4" s="216"/>
      <c r="NZX4" s="219"/>
      <c r="NZY4" s="220"/>
      <c r="NZZ4" s="217"/>
      <c r="OAA4" s="217"/>
      <c r="OAB4" s="217"/>
      <c r="OAC4" s="217"/>
      <c r="OAD4" s="217"/>
      <c r="OAE4" s="221"/>
      <c r="OAF4" s="222"/>
      <c r="OAG4" s="220"/>
      <c r="OAH4" s="220"/>
      <c r="OAI4" s="220"/>
      <c r="OAJ4" s="220"/>
      <c r="OAK4" s="223"/>
      <c r="OAL4" s="223"/>
      <c r="OAM4" s="223"/>
      <c r="OAN4" s="223"/>
      <c r="OAO4" s="223"/>
      <c r="OAP4" s="223"/>
      <c r="OAQ4" s="223"/>
      <c r="OAR4" s="223"/>
      <c r="OAS4" s="223"/>
      <c r="OAT4" s="224"/>
      <c r="OAU4" s="225"/>
      <c r="OAV4" s="226"/>
      <c r="OAW4" s="224"/>
      <c r="OAX4" s="225"/>
      <c r="OAY4" s="225"/>
      <c r="OAZ4" s="227"/>
      <c r="OBA4" s="228"/>
      <c r="OBB4" s="228"/>
      <c r="OBC4" s="229"/>
      <c r="OBD4" s="216"/>
      <c r="OBE4" s="219"/>
      <c r="OBF4" s="220"/>
      <c r="OBG4" s="217"/>
      <c r="OBH4" s="217"/>
      <c r="OBI4" s="217"/>
      <c r="OBJ4" s="217"/>
      <c r="OBK4" s="217"/>
      <c r="OBL4" s="221"/>
      <c r="OBM4" s="222"/>
      <c r="OBN4" s="220"/>
      <c r="OBO4" s="220"/>
      <c r="OBP4" s="220"/>
      <c r="OBQ4" s="220"/>
      <c r="OBR4" s="223"/>
      <c r="OBS4" s="223"/>
      <c r="OBT4" s="223"/>
      <c r="OBU4" s="223"/>
      <c r="OBV4" s="223"/>
      <c r="OBW4" s="223"/>
      <c r="OBX4" s="223"/>
      <c r="OBY4" s="223"/>
      <c r="OBZ4" s="223"/>
      <c r="OCA4" s="224"/>
      <c r="OCB4" s="225"/>
      <c r="OCC4" s="226"/>
      <c r="OCD4" s="224"/>
      <c r="OCE4" s="225"/>
      <c r="OCF4" s="225"/>
      <c r="OCG4" s="227"/>
      <c r="OCH4" s="228"/>
      <c r="OCI4" s="228"/>
      <c r="OCJ4" s="229"/>
      <c r="OCK4" s="216"/>
      <c r="OCL4" s="219"/>
      <c r="OCM4" s="220"/>
      <c r="OCN4" s="217"/>
      <c r="OCO4" s="217"/>
      <c r="OCP4" s="217"/>
      <c r="OCQ4" s="217"/>
      <c r="OCR4" s="217"/>
      <c r="OCS4" s="221"/>
      <c r="OCT4" s="222"/>
      <c r="OCU4" s="220"/>
      <c r="OCV4" s="220"/>
      <c r="OCW4" s="220"/>
      <c r="OCX4" s="220"/>
      <c r="OCY4" s="223"/>
      <c r="OCZ4" s="223"/>
      <c r="ODA4" s="223"/>
      <c r="ODB4" s="223"/>
      <c r="ODC4" s="223"/>
      <c r="ODD4" s="223"/>
      <c r="ODE4" s="223"/>
      <c r="ODF4" s="223"/>
      <c r="ODG4" s="223"/>
      <c r="ODH4" s="224"/>
      <c r="ODI4" s="225"/>
      <c r="ODJ4" s="226"/>
      <c r="ODK4" s="224"/>
      <c r="ODL4" s="225"/>
      <c r="ODM4" s="225"/>
      <c r="ODN4" s="227"/>
      <c r="ODO4" s="228"/>
      <c r="ODP4" s="228"/>
      <c r="ODQ4" s="229"/>
      <c r="ODR4" s="216"/>
      <c r="ODS4" s="219"/>
      <c r="ODT4" s="220"/>
      <c r="ODU4" s="217"/>
      <c r="ODV4" s="217"/>
      <c r="ODW4" s="217"/>
      <c r="ODX4" s="217"/>
      <c r="ODY4" s="217"/>
      <c r="ODZ4" s="221"/>
      <c r="OEA4" s="222"/>
      <c r="OEB4" s="220"/>
      <c r="OEC4" s="220"/>
      <c r="OED4" s="220"/>
      <c r="OEE4" s="220"/>
      <c r="OEF4" s="223"/>
      <c r="OEG4" s="223"/>
      <c r="OEH4" s="223"/>
      <c r="OEI4" s="223"/>
      <c r="OEJ4" s="223"/>
      <c r="OEK4" s="223"/>
      <c r="OEL4" s="223"/>
      <c r="OEM4" s="223"/>
      <c r="OEN4" s="223"/>
      <c r="OEO4" s="224"/>
      <c r="OEP4" s="225"/>
      <c r="OEQ4" s="226"/>
      <c r="OER4" s="224"/>
      <c r="OES4" s="225"/>
      <c r="OET4" s="225"/>
      <c r="OEU4" s="227"/>
      <c r="OEV4" s="228"/>
      <c r="OEW4" s="228"/>
      <c r="OEX4" s="229"/>
      <c r="OEY4" s="216"/>
      <c r="OEZ4" s="219"/>
      <c r="OFA4" s="220"/>
      <c r="OFB4" s="217"/>
      <c r="OFC4" s="217"/>
      <c r="OFD4" s="217"/>
      <c r="OFE4" s="217"/>
      <c r="OFF4" s="217"/>
      <c r="OFG4" s="221"/>
      <c r="OFH4" s="222"/>
      <c r="OFI4" s="220"/>
      <c r="OFJ4" s="220"/>
      <c r="OFK4" s="220"/>
      <c r="OFL4" s="220"/>
      <c r="OFM4" s="223"/>
      <c r="OFN4" s="223"/>
      <c r="OFO4" s="223"/>
      <c r="OFP4" s="223"/>
      <c r="OFQ4" s="223"/>
      <c r="OFR4" s="223"/>
      <c r="OFS4" s="223"/>
      <c r="OFT4" s="223"/>
      <c r="OFU4" s="223"/>
      <c r="OFV4" s="224"/>
      <c r="OFW4" s="225"/>
      <c r="OFX4" s="226"/>
      <c r="OFY4" s="224"/>
      <c r="OFZ4" s="225"/>
      <c r="OGA4" s="225"/>
      <c r="OGB4" s="227"/>
      <c r="OGC4" s="228"/>
      <c r="OGD4" s="228"/>
      <c r="OGE4" s="229"/>
      <c r="OGF4" s="216"/>
      <c r="OGG4" s="219"/>
      <c r="OGH4" s="220"/>
      <c r="OGI4" s="217"/>
      <c r="OGJ4" s="217"/>
      <c r="OGK4" s="217"/>
      <c r="OGL4" s="217"/>
      <c r="OGM4" s="217"/>
      <c r="OGN4" s="221"/>
      <c r="OGO4" s="222"/>
      <c r="OGP4" s="220"/>
      <c r="OGQ4" s="220"/>
      <c r="OGR4" s="220"/>
      <c r="OGS4" s="220"/>
      <c r="OGT4" s="223"/>
      <c r="OGU4" s="223"/>
      <c r="OGV4" s="223"/>
      <c r="OGW4" s="223"/>
      <c r="OGX4" s="223"/>
      <c r="OGY4" s="223"/>
      <c r="OGZ4" s="223"/>
      <c r="OHA4" s="223"/>
      <c r="OHB4" s="223"/>
      <c r="OHC4" s="224"/>
      <c r="OHD4" s="225"/>
      <c r="OHE4" s="226"/>
      <c r="OHF4" s="224"/>
      <c r="OHG4" s="225"/>
      <c r="OHH4" s="225"/>
      <c r="OHI4" s="227"/>
      <c r="OHJ4" s="228"/>
      <c r="OHK4" s="228"/>
      <c r="OHL4" s="229"/>
      <c r="OHM4" s="216"/>
      <c r="OHN4" s="219"/>
      <c r="OHO4" s="220"/>
      <c r="OHP4" s="217"/>
      <c r="OHQ4" s="217"/>
      <c r="OHR4" s="217"/>
      <c r="OHS4" s="217"/>
      <c r="OHT4" s="217"/>
      <c r="OHU4" s="221"/>
      <c r="OHV4" s="222"/>
      <c r="OHW4" s="220"/>
      <c r="OHX4" s="220"/>
      <c r="OHY4" s="220"/>
      <c r="OHZ4" s="220"/>
      <c r="OIA4" s="223"/>
      <c r="OIB4" s="223"/>
      <c r="OIC4" s="223"/>
      <c r="OID4" s="223"/>
      <c r="OIE4" s="223"/>
      <c r="OIF4" s="223"/>
      <c r="OIG4" s="223"/>
      <c r="OIH4" s="223"/>
      <c r="OII4" s="223"/>
      <c r="OIJ4" s="224"/>
      <c r="OIK4" s="225"/>
      <c r="OIL4" s="226"/>
      <c r="OIM4" s="224"/>
      <c r="OIN4" s="225"/>
      <c r="OIO4" s="225"/>
      <c r="OIP4" s="227"/>
      <c r="OIQ4" s="228"/>
      <c r="OIR4" s="228"/>
      <c r="OIS4" s="229"/>
      <c r="OIT4" s="216"/>
      <c r="OIU4" s="219"/>
      <c r="OIV4" s="220"/>
      <c r="OIW4" s="217"/>
      <c r="OIX4" s="217"/>
      <c r="OIY4" s="217"/>
      <c r="OIZ4" s="217"/>
      <c r="OJA4" s="217"/>
      <c r="OJB4" s="221"/>
      <c r="OJC4" s="222"/>
      <c r="OJD4" s="220"/>
      <c r="OJE4" s="220"/>
      <c r="OJF4" s="220"/>
      <c r="OJG4" s="220"/>
      <c r="OJH4" s="223"/>
      <c r="OJI4" s="223"/>
      <c r="OJJ4" s="223"/>
      <c r="OJK4" s="223"/>
      <c r="OJL4" s="223"/>
      <c r="OJM4" s="223"/>
      <c r="OJN4" s="223"/>
      <c r="OJO4" s="223"/>
      <c r="OJP4" s="223"/>
      <c r="OJQ4" s="224"/>
      <c r="OJR4" s="225"/>
      <c r="OJS4" s="226"/>
      <c r="OJT4" s="224"/>
      <c r="OJU4" s="225"/>
      <c r="OJV4" s="225"/>
      <c r="OJW4" s="227"/>
      <c r="OJX4" s="228"/>
      <c r="OJY4" s="228"/>
      <c r="OJZ4" s="229"/>
      <c r="OKA4" s="216"/>
      <c r="OKB4" s="219"/>
      <c r="OKC4" s="220"/>
      <c r="OKD4" s="217"/>
      <c r="OKE4" s="217"/>
      <c r="OKF4" s="217"/>
      <c r="OKG4" s="217"/>
      <c r="OKH4" s="217"/>
      <c r="OKI4" s="221"/>
      <c r="OKJ4" s="222"/>
      <c r="OKK4" s="220"/>
      <c r="OKL4" s="220"/>
      <c r="OKM4" s="220"/>
      <c r="OKN4" s="220"/>
      <c r="OKO4" s="223"/>
      <c r="OKP4" s="223"/>
      <c r="OKQ4" s="223"/>
      <c r="OKR4" s="223"/>
      <c r="OKS4" s="223"/>
      <c r="OKT4" s="223"/>
      <c r="OKU4" s="223"/>
      <c r="OKV4" s="223"/>
      <c r="OKW4" s="223"/>
      <c r="OKX4" s="224"/>
      <c r="OKY4" s="225"/>
      <c r="OKZ4" s="226"/>
      <c r="OLA4" s="224"/>
      <c r="OLB4" s="225"/>
      <c r="OLC4" s="225"/>
      <c r="OLD4" s="227"/>
      <c r="OLE4" s="228"/>
      <c r="OLF4" s="228"/>
      <c r="OLG4" s="229"/>
      <c r="OLH4" s="216"/>
      <c r="OLI4" s="219"/>
      <c r="OLJ4" s="220"/>
      <c r="OLK4" s="217"/>
      <c r="OLL4" s="217"/>
      <c r="OLM4" s="217"/>
      <c r="OLN4" s="217"/>
      <c r="OLO4" s="217"/>
      <c r="OLP4" s="221"/>
      <c r="OLQ4" s="222"/>
      <c r="OLR4" s="220"/>
      <c r="OLS4" s="220"/>
      <c r="OLT4" s="220"/>
      <c r="OLU4" s="220"/>
      <c r="OLV4" s="223"/>
      <c r="OLW4" s="223"/>
      <c r="OLX4" s="223"/>
      <c r="OLY4" s="223"/>
      <c r="OLZ4" s="223"/>
      <c r="OMA4" s="223"/>
      <c r="OMB4" s="223"/>
      <c r="OMC4" s="223"/>
      <c r="OMD4" s="223"/>
      <c r="OME4" s="224"/>
      <c r="OMF4" s="225"/>
      <c r="OMG4" s="226"/>
      <c r="OMH4" s="224"/>
      <c r="OMI4" s="225"/>
      <c r="OMJ4" s="225"/>
      <c r="OMK4" s="227"/>
      <c r="OML4" s="228"/>
      <c r="OMM4" s="228"/>
      <c r="OMN4" s="229"/>
      <c r="OMO4" s="216"/>
      <c r="OMP4" s="219"/>
      <c r="OMQ4" s="220"/>
      <c r="OMR4" s="217"/>
      <c r="OMS4" s="217"/>
      <c r="OMT4" s="217"/>
      <c r="OMU4" s="217"/>
      <c r="OMV4" s="217"/>
      <c r="OMW4" s="221"/>
      <c r="OMX4" s="222"/>
      <c r="OMY4" s="220"/>
      <c r="OMZ4" s="220"/>
      <c r="ONA4" s="220"/>
      <c r="ONB4" s="220"/>
      <c r="ONC4" s="223"/>
      <c r="OND4" s="223"/>
      <c r="ONE4" s="223"/>
      <c r="ONF4" s="223"/>
      <c r="ONG4" s="223"/>
      <c r="ONH4" s="223"/>
      <c r="ONI4" s="223"/>
      <c r="ONJ4" s="223"/>
      <c r="ONK4" s="223"/>
      <c r="ONL4" s="224"/>
      <c r="ONM4" s="225"/>
      <c r="ONN4" s="226"/>
      <c r="ONO4" s="224"/>
      <c r="ONP4" s="225"/>
      <c r="ONQ4" s="225"/>
      <c r="ONR4" s="227"/>
      <c r="ONS4" s="228"/>
      <c r="ONT4" s="228"/>
      <c r="ONU4" s="229"/>
      <c r="ONV4" s="216"/>
      <c r="ONW4" s="219"/>
      <c r="ONX4" s="220"/>
      <c r="ONY4" s="217"/>
      <c r="ONZ4" s="217"/>
      <c r="OOA4" s="217"/>
      <c r="OOB4" s="217"/>
      <c r="OOC4" s="217"/>
      <c r="OOD4" s="221"/>
      <c r="OOE4" s="222"/>
      <c r="OOF4" s="220"/>
      <c r="OOG4" s="220"/>
      <c r="OOH4" s="220"/>
      <c r="OOI4" s="220"/>
      <c r="OOJ4" s="223"/>
      <c r="OOK4" s="223"/>
      <c r="OOL4" s="223"/>
      <c r="OOM4" s="223"/>
      <c r="OON4" s="223"/>
      <c r="OOO4" s="223"/>
      <c r="OOP4" s="223"/>
      <c r="OOQ4" s="223"/>
      <c r="OOR4" s="223"/>
      <c r="OOS4" s="224"/>
      <c r="OOT4" s="225"/>
      <c r="OOU4" s="226"/>
      <c r="OOV4" s="224"/>
      <c r="OOW4" s="225"/>
      <c r="OOX4" s="225"/>
      <c r="OOY4" s="227"/>
      <c r="OOZ4" s="228"/>
      <c r="OPA4" s="228"/>
      <c r="OPB4" s="229"/>
      <c r="OPC4" s="216"/>
      <c r="OPD4" s="219"/>
      <c r="OPE4" s="220"/>
      <c r="OPF4" s="217"/>
      <c r="OPG4" s="217"/>
      <c r="OPH4" s="217"/>
      <c r="OPI4" s="217"/>
      <c r="OPJ4" s="217"/>
      <c r="OPK4" s="221"/>
      <c r="OPL4" s="222"/>
      <c r="OPM4" s="220"/>
      <c r="OPN4" s="220"/>
      <c r="OPO4" s="220"/>
      <c r="OPP4" s="220"/>
      <c r="OPQ4" s="223"/>
      <c r="OPR4" s="223"/>
      <c r="OPS4" s="223"/>
      <c r="OPT4" s="223"/>
      <c r="OPU4" s="223"/>
      <c r="OPV4" s="223"/>
      <c r="OPW4" s="223"/>
      <c r="OPX4" s="223"/>
      <c r="OPY4" s="223"/>
      <c r="OPZ4" s="224"/>
      <c r="OQA4" s="225"/>
      <c r="OQB4" s="226"/>
      <c r="OQC4" s="224"/>
      <c r="OQD4" s="225"/>
      <c r="OQE4" s="225"/>
      <c r="OQF4" s="227"/>
      <c r="OQG4" s="228"/>
      <c r="OQH4" s="228"/>
      <c r="OQI4" s="229"/>
      <c r="OQJ4" s="216"/>
      <c r="OQK4" s="219"/>
      <c r="OQL4" s="220"/>
      <c r="OQM4" s="217"/>
      <c r="OQN4" s="217"/>
      <c r="OQO4" s="217"/>
      <c r="OQP4" s="217"/>
      <c r="OQQ4" s="217"/>
      <c r="OQR4" s="221"/>
      <c r="OQS4" s="222"/>
      <c r="OQT4" s="220"/>
      <c r="OQU4" s="220"/>
      <c r="OQV4" s="220"/>
      <c r="OQW4" s="220"/>
      <c r="OQX4" s="223"/>
      <c r="OQY4" s="223"/>
      <c r="OQZ4" s="223"/>
      <c r="ORA4" s="223"/>
      <c r="ORB4" s="223"/>
      <c r="ORC4" s="223"/>
      <c r="ORD4" s="223"/>
      <c r="ORE4" s="223"/>
      <c r="ORF4" s="223"/>
      <c r="ORG4" s="224"/>
      <c r="ORH4" s="225"/>
      <c r="ORI4" s="226"/>
      <c r="ORJ4" s="224"/>
      <c r="ORK4" s="225"/>
      <c r="ORL4" s="225"/>
      <c r="ORM4" s="227"/>
      <c r="ORN4" s="228"/>
      <c r="ORO4" s="228"/>
      <c r="ORP4" s="229"/>
      <c r="ORQ4" s="216"/>
      <c r="ORR4" s="219"/>
      <c r="ORS4" s="220"/>
      <c r="ORT4" s="217"/>
      <c r="ORU4" s="217"/>
      <c r="ORV4" s="217"/>
      <c r="ORW4" s="217"/>
      <c r="ORX4" s="217"/>
      <c r="ORY4" s="221"/>
      <c r="ORZ4" s="222"/>
      <c r="OSA4" s="220"/>
      <c r="OSB4" s="220"/>
      <c r="OSC4" s="220"/>
      <c r="OSD4" s="220"/>
      <c r="OSE4" s="223"/>
      <c r="OSF4" s="223"/>
      <c r="OSG4" s="223"/>
      <c r="OSH4" s="223"/>
      <c r="OSI4" s="223"/>
      <c r="OSJ4" s="223"/>
      <c r="OSK4" s="223"/>
      <c r="OSL4" s="223"/>
      <c r="OSM4" s="223"/>
      <c r="OSN4" s="224"/>
      <c r="OSO4" s="225"/>
      <c r="OSP4" s="226"/>
      <c r="OSQ4" s="224"/>
      <c r="OSR4" s="225"/>
      <c r="OSS4" s="225"/>
      <c r="OST4" s="227"/>
      <c r="OSU4" s="228"/>
      <c r="OSV4" s="228"/>
      <c r="OSW4" s="229"/>
      <c r="OSX4" s="216"/>
      <c r="OSY4" s="219"/>
      <c r="OSZ4" s="220"/>
      <c r="OTA4" s="217"/>
      <c r="OTB4" s="217"/>
      <c r="OTC4" s="217"/>
      <c r="OTD4" s="217"/>
      <c r="OTE4" s="217"/>
      <c r="OTF4" s="221"/>
      <c r="OTG4" s="222"/>
      <c r="OTH4" s="220"/>
      <c r="OTI4" s="220"/>
      <c r="OTJ4" s="220"/>
      <c r="OTK4" s="220"/>
      <c r="OTL4" s="223"/>
      <c r="OTM4" s="223"/>
      <c r="OTN4" s="223"/>
      <c r="OTO4" s="223"/>
      <c r="OTP4" s="223"/>
      <c r="OTQ4" s="223"/>
      <c r="OTR4" s="223"/>
      <c r="OTS4" s="223"/>
      <c r="OTT4" s="223"/>
      <c r="OTU4" s="224"/>
      <c r="OTV4" s="225"/>
      <c r="OTW4" s="226"/>
      <c r="OTX4" s="224"/>
      <c r="OTY4" s="225"/>
      <c r="OTZ4" s="225"/>
      <c r="OUA4" s="227"/>
      <c r="OUB4" s="228"/>
      <c r="OUC4" s="228"/>
      <c r="OUD4" s="229"/>
      <c r="OUE4" s="216"/>
      <c r="OUF4" s="219"/>
      <c r="OUG4" s="220"/>
      <c r="OUH4" s="217"/>
      <c r="OUI4" s="217"/>
      <c r="OUJ4" s="217"/>
      <c r="OUK4" s="217"/>
      <c r="OUL4" s="217"/>
      <c r="OUM4" s="221"/>
      <c r="OUN4" s="222"/>
      <c r="OUO4" s="220"/>
      <c r="OUP4" s="220"/>
      <c r="OUQ4" s="220"/>
      <c r="OUR4" s="220"/>
      <c r="OUS4" s="223"/>
      <c r="OUT4" s="223"/>
      <c r="OUU4" s="223"/>
      <c r="OUV4" s="223"/>
      <c r="OUW4" s="223"/>
      <c r="OUX4" s="223"/>
      <c r="OUY4" s="223"/>
      <c r="OUZ4" s="223"/>
      <c r="OVA4" s="223"/>
      <c r="OVB4" s="224"/>
      <c r="OVC4" s="225"/>
      <c r="OVD4" s="226"/>
      <c r="OVE4" s="224"/>
      <c r="OVF4" s="225"/>
      <c r="OVG4" s="225"/>
      <c r="OVH4" s="227"/>
      <c r="OVI4" s="228"/>
      <c r="OVJ4" s="228"/>
      <c r="OVK4" s="229"/>
      <c r="OVL4" s="216"/>
      <c r="OVM4" s="219"/>
      <c r="OVN4" s="220"/>
      <c r="OVO4" s="217"/>
      <c r="OVP4" s="217"/>
      <c r="OVQ4" s="217"/>
      <c r="OVR4" s="217"/>
      <c r="OVS4" s="217"/>
      <c r="OVT4" s="221"/>
      <c r="OVU4" s="222"/>
      <c r="OVV4" s="220"/>
      <c r="OVW4" s="220"/>
      <c r="OVX4" s="220"/>
      <c r="OVY4" s="220"/>
      <c r="OVZ4" s="223"/>
      <c r="OWA4" s="223"/>
      <c r="OWB4" s="223"/>
      <c r="OWC4" s="223"/>
      <c r="OWD4" s="223"/>
      <c r="OWE4" s="223"/>
      <c r="OWF4" s="223"/>
      <c r="OWG4" s="223"/>
      <c r="OWH4" s="223"/>
      <c r="OWI4" s="224"/>
      <c r="OWJ4" s="225"/>
      <c r="OWK4" s="226"/>
      <c r="OWL4" s="224"/>
      <c r="OWM4" s="225"/>
      <c r="OWN4" s="225"/>
      <c r="OWO4" s="227"/>
      <c r="OWP4" s="228"/>
      <c r="OWQ4" s="228"/>
      <c r="OWR4" s="229"/>
      <c r="OWS4" s="216"/>
      <c r="OWT4" s="219"/>
      <c r="OWU4" s="220"/>
      <c r="OWV4" s="217"/>
      <c r="OWW4" s="217"/>
      <c r="OWX4" s="217"/>
      <c r="OWY4" s="217"/>
      <c r="OWZ4" s="217"/>
      <c r="OXA4" s="221"/>
      <c r="OXB4" s="222"/>
      <c r="OXC4" s="220"/>
      <c r="OXD4" s="220"/>
      <c r="OXE4" s="220"/>
      <c r="OXF4" s="220"/>
      <c r="OXG4" s="223"/>
      <c r="OXH4" s="223"/>
      <c r="OXI4" s="223"/>
      <c r="OXJ4" s="223"/>
      <c r="OXK4" s="223"/>
      <c r="OXL4" s="223"/>
      <c r="OXM4" s="223"/>
      <c r="OXN4" s="223"/>
      <c r="OXO4" s="223"/>
      <c r="OXP4" s="224"/>
      <c r="OXQ4" s="225"/>
      <c r="OXR4" s="226"/>
      <c r="OXS4" s="224"/>
      <c r="OXT4" s="225"/>
      <c r="OXU4" s="225"/>
      <c r="OXV4" s="227"/>
      <c r="OXW4" s="228"/>
      <c r="OXX4" s="228"/>
      <c r="OXY4" s="229"/>
      <c r="OXZ4" s="216"/>
      <c r="OYA4" s="219"/>
      <c r="OYB4" s="220"/>
      <c r="OYC4" s="217"/>
      <c r="OYD4" s="217"/>
      <c r="OYE4" s="217"/>
      <c r="OYF4" s="217"/>
      <c r="OYG4" s="217"/>
      <c r="OYH4" s="221"/>
      <c r="OYI4" s="222"/>
      <c r="OYJ4" s="220"/>
      <c r="OYK4" s="220"/>
      <c r="OYL4" s="220"/>
      <c r="OYM4" s="220"/>
      <c r="OYN4" s="223"/>
      <c r="OYO4" s="223"/>
      <c r="OYP4" s="223"/>
      <c r="OYQ4" s="223"/>
      <c r="OYR4" s="223"/>
      <c r="OYS4" s="223"/>
      <c r="OYT4" s="223"/>
      <c r="OYU4" s="223"/>
      <c r="OYV4" s="223"/>
      <c r="OYW4" s="224"/>
      <c r="OYX4" s="225"/>
      <c r="OYY4" s="226"/>
      <c r="OYZ4" s="224"/>
      <c r="OZA4" s="225"/>
      <c r="OZB4" s="225"/>
      <c r="OZC4" s="227"/>
      <c r="OZD4" s="228"/>
      <c r="OZE4" s="228"/>
      <c r="OZF4" s="229"/>
      <c r="OZG4" s="216"/>
      <c r="OZH4" s="219"/>
      <c r="OZI4" s="220"/>
      <c r="OZJ4" s="217"/>
      <c r="OZK4" s="217"/>
      <c r="OZL4" s="217"/>
      <c r="OZM4" s="217"/>
      <c r="OZN4" s="217"/>
      <c r="OZO4" s="221"/>
      <c r="OZP4" s="222"/>
      <c r="OZQ4" s="220"/>
      <c r="OZR4" s="220"/>
      <c r="OZS4" s="220"/>
      <c r="OZT4" s="220"/>
      <c r="OZU4" s="223"/>
      <c r="OZV4" s="223"/>
      <c r="OZW4" s="223"/>
      <c r="OZX4" s="223"/>
      <c r="OZY4" s="223"/>
      <c r="OZZ4" s="223"/>
      <c r="PAA4" s="223"/>
      <c r="PAB4" s="223"/>
      <c r="PAC4" s="223"/>
      <c r="PAD4" s="224"/>
      <c r="PAE4" s="225"/>
      <c r="PAF4" s="226"/>
      <c r="PAG4" s="224"/>
      <c r="PAH4" s="225"/>
      <c r="PAI4" s="225"/>
      <c r="PAJ4" s="227"/>
      <c r="PAK4" s="228"/>
      <c r="PAL4" s="228"/>
      <c r="PAM4" s="229"/>
      <c r="PAN4" s="216"/>
      <c r="PAO4" s="219"/>
      <c r="PAP4" s="220"/>
      <c r="PAQ4" s="217"/>
      <c r="PAR4" s="217"/>
      <c r="PAS4" s="217"/>
      <c r="PAT4" s="217"/>
      <c r="PAU4" s="217"/>
      <c r="PAV4" s="221"/>
      <c r="PAW4" s="222"/>
      <c r="PAX4" s="220"/>
      <c r="PAY4" s="220"/>
      <c r="PAZ4" s="220"/>
      <c r="PBA4" s="220"/>
      <c r="PBB4" s="223"/>
      <c r="PBC4" s="223"/>
      <c r="PBD4" s="223"/>
      <c r="PBE4" s="223"/>
      <c r="PBF4" s="223"/>
      <c r="PBG4" s="223"/>
      <c r="PBH4" s="223"/>
      <c r="PBI4" s="223"/>
      <c r="PBJ4" s="223"/>
      <c r="PBK4" s="224"/>
      <c r="PBL4" s="225"/>
      <c r="PBM4" s="226"/>
      <c r="PBN4" s="224"/>
      <c r="PBO4" s="225"/>
      <c r="PBP4" s="225"/>
      <c r="PBQ4" s="227"/>
      <c r="PBR4" s="228"/>
      <c r="PBS4" s="228"/>
      <c r="PBT4" s="229"/>
      <c r="PBU4" s="216"/>
      <c r="PBV4" s="219"/>
      <c r="PBW4" s="220"/>
      <c r="PBX4" s="217"/>
      <c r="PBY4" s="217"/>
      <c r="PBZ4" s="217"/>
      <c r="PCA4" s="217"/>
      <c r="PCB4" s="217"/>
      <c r="PCC4" s="221"/>
      <c r="PCD4" s="222"/>
      <c r="PCE4" s="220"/>
      <c r="PCF4" s="220"/>
      <c r="PCG4" s="220"/>
      <c r="PCH4" s="220"/>
      <c r="PCI4" s="223"/>
      <c r="PCJ4" s="223"/>
      <c r="PCK4" s="223"/>
      <c r="PCL4" s="223"/>
      <c r="PCM4" s="223"/>
      <c r="PCN4" s="223"/>
      <c r="PCO4" s="223"/>
      <c r="PCP4" s="223"/>
      <c r="PCQ4" s="223"/>
      <c r="PCR4" s="224"/>
      <c r="PCS4" s="225"/>
      <c r="PCT4" s="226"/>
      <c r="PCU4" s="224"/>
      <c r="PCV4" s="225"/>
      <c r="PCW4" s="225"/>
      <c r="PCX4" s="227"/>
      <c r="PCY4" s="228"/>
      <c r="PCZ4" s="228"/>
      <c r="PDA4" s="229"/>
      <c r="PDB4" s="216"/>
      <c r="PDC4" s="219"/>
      <c r="PDD4" s="220"/>
      <c r="PDE4" s="217"/>
      <c r="PDF4" s="217"/>
      <c r="PDG4" s="217"/>
      <c r="PDH4" s="217"/>
      <c r="PDI4" s="217"/>
      <c r="PDJ4" s="221"/>
      <c r="PDK4" s="222"/>
      <c r="PDL4" s="220"/>
      <c r="PDM4" s="220"/>
      <c r="PDN4" s="220"/>
      <c r="PDO4" s="220"/>
      <c r="PDP4" s="223"/>
      <c r="PDQ4" s="223"/>
      <c r="PDR4" s="223"/>
      <c r="PDS4" s="223"/>
      <c r="PDT4" s="223"/>
      <c r="PDU4" s="223"/>
      <c r="PDV4" s="223"/>
      <c r="PDW4" s="223"/>
      <c r="PDX4" s="223"/>
      <c r="PDY4" s="224"/>
      <c r="PDZ4" s="225"/>
      <c r="PEA4" s="226"/>
      <c r="PEB4" s="224"/>
      <c r="PEC4" s="225"/>
      <c r="PED4" s="225"/>
      <c r="PEE4" s="227"/>
      <c r="PEF4" s="228"/>
      <c r="PEG4" s="228"/>
      <c r="PEH4" s="229"/>
      <c r="PEI4" s="216"/>
      <c r="PEJ4" s="219"/>
      <c r="PEK4" s="220"/>
      <c r="PEL4" s="217"/>
      <c r="PEM4" s="217"/>
      <c r="PEN4" s="217"/>
      <c r="PEO4" s="217"/>
      <c r="PEP4" s="217"/>
      <c r="PEQ4" s="221"/>
      <c r="PER4" s="222"/>
      <c r="PES4" s="220"/>
      <c r="PET4" s="220"/>
      <c r="PEU4" s="220"/>
      <c r="PEV4" s="220"/>
      <c r="PEW4" s="223"/>
      <c r="PEX4" s="223"/>
      <c r="PEY4" s="223"/>
      <c r="PEZ4" s="223"/>
      <c r="PFA4" s="223"/>
      <c r="PFB4" s="223"/>
      <c r="PFC4" s="223"/>
      <c r="PFD4" s="223"/>
      <c r="PFE4" s="223"/>
      <c r="PFF4" s="224"/>
      <c r="PFG4" s="225"/>
      <c r="PFH4" s="226"/>
      <c r="PFI4" s="224"/>
      <c r="PFJ4" s="225"/>
      <c r="PFK4" s="225"/>
      <c r="PFL4" s="227"/>
      <c r="PFM4" s="228"/>
      <c r="PFN4" s="228"/>
      <c r="PFO4" s="229"/>
      <c r="PFP4" s="216"/>
      <c r="PFQ4" s="219"/>
      <c r="PFR4" s="220"/>
      <c r="PFS4" s="217"/>
      <c r="PFT4" s="217"/>
      <c r="PFU4" s="217"/>
      <c r="PFV4" s="217"/>
      <c r="PFW4" s="217"/>
      <c r="PFX4" s="221"/>
      <c r="PFY4" s="222"/>
      <c r="PFZ4" s="220"/>
      <c r="PGA4" s="220"/>
      <c r="PGB4" s="220"/>
      <c r="PGC4" s="220"/>
      <c r="PGD4" s="223"/>
      <c r="PGE4" s="223"/>
      <c r="PGF4" s="223"/>
      <c r="PGG4" s="223"/>
      <c r="PGH4" s="223"/>
      <c r="PGI4" s="223"/>
      <c r="PGJ4" s="223"/>
      <c r="PGK4" s="223"/>
      <c r="PGL4" s="223"/>
      <c r="PGM4" s="224"/>
      <c r="PGN4" s="225"/>
      <c r="PGO4" s="226"/>
      <c r="PGP4" s="224"/>
      <c r="PGQ4" s="225"/>
      <c r="PGR4" s="225"/>
      <c r="PGS4" s="227"/>
      <c r="PGT4" s="228"/>
      <c r="PGU4" s="228"/>
      <c r="PGV4" s="229"/>
      <c r="PGW4" s="216"/>
      <c r="PGX4" s="219"/>
      <c r="PGY4" s="220"/>
      <c r="PGZ4" s="217"/>
      <c r="PHA4" s="217"/>
      <c r="PHB4" s="217"/>
      <c r="PHC4" s="217"/>
      <c r="PHD4" s="217"/>
      <c r="PHE4" s="221"/>
      <c r="PHF4" s="222"/>
      <c r="PHG4" s="220"/>
      <c r="PHH4" s="220"/>
      <c r="PHI4" s="220"/>
      <c r="PHJ4" s="220"/>
      <c r="PHK4" s="223"/>
      <c r="PHL4" s="223"/>
      <c r="PHM4" s="223"/>
      <c r="PHN4" s="223"/>
      <c r="PHO4" s="223"/>
      <c r="PHP4" s="223"/>
      <c r="PHQ4" s="223"/>
      <c r="PHR4" s="223"/>
      <c r="PHS4" s="223"/>
      <c r="PHT4" s="224"/>
      <c r="PHU4" s="225"/>
      <c r="PHV4" s="226"/>
      <c r="PHW4" s="224"/>
      <c r="PHX4" s="225"/>
      <c r="PHY4" s="225"/>
      <c r="PHZ4" s="227"/>
      <c r="PIA4" s="228"/>
      <c r="PIB4" s="228"/>
      <c r="PIC4" s="229"/>
      <c r="PID4" s="216"/>
      <c r="PIE4" s="219"/>
      <c r="PIF4" s="220"/>
      <c r="PIG4" s="217"/>
      <c r="PIH4" s="217"/>
      <c r="PII4" s="217"/>
      <c r="PIJ4" s="217"/>
      <c r="PIK4" s="217"/>
      <c r="PIL4" s="221"/>
      <c r="PIM4" s="222"/>
      <c r="PIN4" s="220"/>
      <c r="PIO4" s="220"/>
      <c r="PIP4" s="220"/>
      <c r="PIQ4" s="220"/>
      <c r="PIR4" s="223"/>
      <c r="PIS4" s="223"/>
      <c r="PIT4" s="223"/>
      <c r="PIU4" s="223"/>
      <c r="PIV4" s="223"/>
      <c r="PIW4" s="223"/>
      <c r="PIX4" s="223"/>
      <c r="PIY4" s="223"/>
      <c r="PIZ4" s="223"/>
      <c r="PJA4" s="224"/>
      <c r="PJB4" s="225"/>
      <c r="PJC4" s="226"/>
      <c r="PJD4" s="224"/>
      <c r="PJE4" s="225"/>
      <c r="PJF4" s="225"/>
      <c r="PJG4" s="227"/>
      <c r="PJH4" s="228"/>
      <c r="PJI4" s="228"/>
      <c r="PJJ4" s="229"/>
      <c r="PJK4" s="216"/>
      <c r="PJL4" s="219"/>
      <c r="PJM4" s="220"/>
      <c r="PJN4" s="217"/>
      <c r="PJO4" s="217"/>
      <c r="PJP4" s="217"/>
      <c r="PJQ4" s="217"/>
      <c r="PJR4" s="217"/>
      <c r="PJS4" s="221"/>
      <c r="PJT4" s="222"/>
      <c r="PJU4" s="220"/>
      <c r="PJV4" s="220"/>
      <c r="PJW4" s="220"/>
      <c r="PJX4" s="220"/>
      <c r="PJY4" s="223"/>
      <c r="PJZ4" s="223"/>
      <c r="PKA4" s="223"/>
      <c r="PKB4" s="223"/>
      <c r="PKC4" s="223"/>
      <c r="PKD4" s="223"/>
      <c r="PKE4" s="223"/>
      <c r="PKF4" s="223"/>
      <c r="PKG4" s="223"/>
      <c r="PKH4" s="224"/>
      <c r="PKI4" s="225"/>
      <c r="PKJ4" s="226"/>
      <c r="PKK4" s="224"/>
      <c r="PKL4" s="225"/>
      <c r="PKM4" s="225"/>
      <c r="PKN4" s="227"/>
      <c r="PKO4" s="228"/>
      <c r="PKP4" s="228"/>
      <c r="PKQ4" s="229"/>
      <c r="PKR4" s="216"/>
      <c r="PKS4" s="219"/>
      <c r="PKT4" s="220"/>
      <c r="PKU4" s="217"/>
      <c r="PKV4" s="217"/>
      <c r="PKW4" s="217"/>
      <c r="PKX4" s="217"/>
      <c r="PKY4" s="217"/>
      <c r="PKZ4" s="221"/>
      <c r="PLA4" s="222"/>
      <c r="PLB4" s="220"/>
      <c r="PLC4" s="220"/>
      <c r="PLD4" s="220"/>
      <c r="PLE4" s="220"/>
      <c r="PLF4" s="223"/>
      <c r="PLG4" s="223"/>
      <c r="PLH4" s="223"/>
      <c r="PLI4" s="223"/>
      <c r="PLJ4" s="223"/>
      <c r="PLK4" s="223"/>
      <c r="PLL4" s="223"/>
      <c r="PLM4" s="223"/>
      <c r="PLN4" s="223"/>
      <c r="PLO4" s="224"/>
      <c r="PLP4" s="225"/>
      <c r="PLQ4" s="226"/>
      <c r="PLR4" s="224"/>
      <c r="PLS4" s="225"/>
      <c r="PLT4" s="225"/>
      <c r="PLU4" s="227"/>
      <c r="PLV4" s="228"/>
      <c r="PLW4" s="228"/>
      <c r="PLX4" s="229"/>
      <c r="PLY4" s="216"/>
      <c r="PLZ4" s="219"/>
      <c r="PMA4" s="220"/>
      <c r="PMB4" s="217"/>
      <c r="PMC4" s="217"/>
      <c r="PMD4" s="217"/>
      <c r="PME4" s="217"/>
      <c r="PMF4" s="217"/>
      <c r="PMG4" s="221"/>
      <c r="PMH4" s="222"/>
      <c r="PMI4" s="220"/>
      <c r="PMJ4" s="220"/>
      <c r="PMK4" s="220"/>
      <c r="PML4" s="220"/>
      <c r="PMM4" s="223"/>
      <c r="PMN4" s="223"/>
      <c r="PMO4" s="223"/>
      <c r="PMP4" s="223"/>
      <c r="PMQ4" s="223"/>
      <c r="PMR4" s="223"/>
      <c r="PMS4" s="223"/>
      <c r="PMT4" s="223"/>
      <c r="PMU4" s="223"/>
      <c r="PMV4" s="224"/>
      <c r="PMW4" s="225"/>
      <c r="PMX4" s="226"/>
      <c r="PMY4" s="224"/>
      <c r="PMZ4" s="225"/>
      <c r="PNA4" s="225"/>
      <c r="PNB4" s="227"/>
      <c r="PNC4" s="228"/>
      <c r="PND4" s="228"/>
      <c r="PNE4" s="229"/>
      <c r="PNF4" s="216"/>
      <c r="PNG4" s="219"/>
      <c r="PNH4" s="220"/>
      <c r="PNI4" s="217"/>
      <c r="PNJ4" s="217"/>
      <c r="PNK4" s="217"/>
      <c r="PNL4" s="217"/>
      <c r="PNM4" s="217"/>
      <c r="PNN4" s="221"/>
      <c r="PNO4" s="222"/>
      <c r="PNP4" s="220"/>
      <c r="PNQ4" s="220"/>
      <c r="PNR4" s="220"/>
      <c r="PNS4" s="220"/>
      <c r="PNT4" s="223"/>
      <c r="PNU4" s="223"/>
      <c r="PNV4" s="223"/>
      <c r="PNW4" s="223"/>
      <c r="PNX4" s="223"/>
      <c r="PNY4" s="223"/>
      <c r="PNZ4" s="223"/>
      <c r="POA4" s="223"/>
      <c r="POB4" s="223"/>
      <c r="POC4" s="224"/>
      <c r="POD4" s="225"/>
      <c r="POE4" s="226"/>
      <c r="POF4" s="224"/>
      <c r="POG4" s="225"/>
      <c r="POH4" s="225"/>
      <c r="POI4" s="227"/>
      <c r="POJ4" s="228"/>
      <c r="POK4" s="228"/>
      <c r="POL4" s="229"/>
      <c r="POM4" s="216"/>
      <c r="PON4" s="219"/>
      <c r="POO4" s="220"/>
      <c r="POP4" s="217"/>
      <c r="POQ4" s="217"/>
      <c r="POR4" s="217"/>
      <c r="POS4" s="217"/>
      <c r="POT4" s="217"/>
      <c r="POU4" s="221"/>
      <c r="POV4" s="222"/>
      <c r="POW4" s="220"/>
      <c r="POX4" s="220"/>
      <c r="POY4" s="220"/>
      <c r="POZ4" s="220"/>
      <c r="PPA4" s="223"/>
      <c r="PPB4" s="223"/>
      <c r="PPC4" s="223"/>
      <c r="PPD4" s="223"/>
      <c r="PPE4" s="223"/>
      <c r="PPF4" s="223"/>
      <c r="PPG4" s="223"/>
      <c r="PPH4" s="223"/>
      <c r="PPI4" s="223"/>
      <c r="PPJ4" s="224"/>
      <c r="PPK4" s="225"/>
      <c r="PPL4" s="226"/>
      <c r="PPM4" s="224"/>
      <c r="PPN4" s="225"/>
      <c r="PPO4" s="225"/>
      <c r="PPP4" s="227"/>
      <c r="PPQ4" s="228"/>
      <c r="PPR4" s="228"/>
      <c r="PPS4" s="229"/>
      <c r="PPT4" s="216"/>
      <c r="PPU4" s="219"/>
      <c r="PPV4" s="220"/>
      <c r="PPW4" s="217"/>
      <c r="PPX4" s="217"/>
      <c r="PPY4" s="217"/>
      <c r="PPZ4" s="217"/>
      <c r="PQA4" s="217"/>
      <c r="PQB4" s="221"/>
      <c r="PQC4" s="222"/>
      <c r="PQD4" s="220"/>
      <c r="PQE4" s="220"/>
      <c r="PQF4" s="220"/>
      <c r="PQG4" s="220"/>
      <c r="PQH4" s="223"/>
      <c r="PQI4" s="223"/>
      <c r="PQJ4" s="223"/>
      <c r="PQK4" s="223"/>
      <c r="PQL4" s="223"/>
      <c r="PQM4" s="223"/>
      <c r="PQN4" s="223"/>
      <c r="PQO4" s="223"/>
      <c r="PQP4" s="223"/>
      <c r="PQQ4" s="224"/>
      <c r="PQR4" s="225"/>
      <c r="PQS4" s="226"/>
      <c r="PQT4" s="224"/>
      <c r="PQU4" s="225"/>
      <c r="PQV4" s="225"/>
      <c r="PQW4" s="227"/>
      <c r="PQX4" s="228"/>
      <c r="PQY4" s="228"/>
      <c r="PQZ4" s="229"/>
      <c r="PRA4" s="216"/>
      <c r="PRB4" s="219"/>
      <c r="PRC4" s="220"/>
      <c r="PRD4" s="217"/>
      <c r="PRE4" s="217"/>
      <c r="PRF4" s="217"/>
      <c r="PRG4" s="217"/>
      <c r="PRH4" s="217"/>
      <c r="PRI4" s="221"/>
      <c r="PRJ4" s="222"/>
      <c r="PRK4" s="220"/>
      <c r="PRL4" s="220"/>
      <c r="PRM4" s="220"/>
      <c r="PRN4" s="220"/>
      <c r="PRO4" s="223"/>
      <c r="PRP4" s="223"/>
      <c r="PRQ4" s="223"/>
      <c r="PRR4" s="223"/>
      <c r="PRS4" s="223"/>
      <c r="PRT4" s="223"/>
      <c r="PRU4" s="223"/>
      <c r="PRV4" s="223"/>
      <c r="PRW4" s="223"/>
      <c r="PRX4" s="224"/>
      <c r="PRY4" s="225"/>
      <c r="PRZ4" s="226"/>
      <c r="PSA4" s="224"/>
      <c r="PSB4" s="225"/>
      <c r="PSC4" s="225"/>
      <c r="PSD4" s="227"/>
      <c r="PSE4" s="228"/>
      <c r="PSF4" s="228"/>
      <c r="PSG4" s="229"/>
      <c r="PSH4" s="216"/>
      <c r="PSI4" s="219"/>
      <c r="PSJ4" s="220"/>
      <c r="PSK4" s="217"/>
      <c r="PSL4" s="217"/>
      <c r="PSM4" s="217"/>
      <c r="PSN4" s="217"/>
      <c r="PSO4" s="217"/>
      <c r="PSP4" s="221"/>
      <c r="PSQ4" s="222"/>
      <c r="PSR4" s="220"/>
      <c r="PSS4" s="220"/>
      <c r="PST4" s="220"/>
      <c r="PSU4" s="220"/>
      <c r="PSV4" s="223"/>
      <c r="PSW4" s="223"/>
      <c r="PSX4" s="223"/>
      <c r="PSY4" s="223"/>
      <c r="PSZ4" s="223"/>
      <c r="PTA4" s="223"/>
      <c r="PTB4" s="223"/>
      <c r="PTC4" s="223"/>
      <c r="PTD4" s="223"/>
      <c r="PTE4" s="224"/>
      <c r="PTF4" s="225"/>
      <c r="PTG4" s="226"/>
      <c r="PTH4" s="224"/>
      <c r="PTI4" s="225"/>
      <c r="PTJ4" s="225"/>
      <c r="PTK4" s="227"/>
      <c r="PTL4" s="228"/>
      <c r="PTM4" s="228"/>
      <c r="PTN4" s="229"/>
      <c r="PTO4" s="216"/>
      <c r="PTP4" s="219"/>
      <c r="PTQ4" s="220"/>
      <c r="PTR4" s="217"/>
      <c r="PTS4" s="217"/>
      <c r="PTT4" s="217"/>
      <c r="PTU4" s="217"/>
      <c r="PTV4" s="217"/>
      <c r="PTW4" s="221"/>
      <c r="PTX4" s="222"/>
      <c r="PTY4" s="220"/>
      <c r="PTZ4" s="220"/>
      <c r="PUA4" s="220"/>
      <c r="PUB4" s="220"/>
      <c r="PUC4" s="223"/>
      <c r="PUD4" s="223"/>
      <c r="PUE4" s="223"/>
      <c r="PUF4" s="223"/>
      <c r="PUG4" s="223"/>
      <c r="PUH4" s="223"/>
      <c r="PUI4" s="223"/>
      <c r="PUJ4" s="223"/>
      <c r="PUK4" s="223"/>
      <c r="PUL4" s="224"/>
      <c r="PUM4" s="225"/>
      <c r="PUN4" s="226"/>
      <c r="PUO4" s="224"/>
      <c r="PUP4" s="225"/>
      <c r="PUQ4" s="225"/>
      <c r="PUR4" s="227"/>
      <c r="PUS4" s="228"/>
      <c r="PUT4" s="228"/>
      <c r="PUU4" s="229"/>
      <c r="PUV4" s="216"/>
      <c r="PUW4" s="219"/>
      <c r="PUX4" s="220"/>
      <c r="PUY4" s="217"/>
      <c r="PUZ4" s="217"/>
      <c r="PVA4" s="217"/>
      <c r="PVB4" s="217"/>
      <c r="PVC4" s="217"/>
      <c r="PVD4" s="221"/>
      <c r="PVE4" s="222"/>
      <c r="PVF4" s="220"/>
      <c r="PVG4" s="220"/>
      <c r="PVH4" s="220"/>
      <c r="PVI4" s="220"/>
      <c r="PVJ4" s="223"/>
      <c r="PVK4" s="223"/>
      <c r="PVL4" s="223"/>
      <c r="PVM4" s="223"/>
      <c r="PVN4" s="223"/>
      <c r="PVO4" s="223"/>
      <c r="PVP4" s="223"/>
      <c r="PVQ4" s="223"/>
      <c r="PVR4" s="223"/>
      <c r="PVS4" s="224"/>
      <c r="PVT4" s="225"/>
      <c r="PVU4" s="226"/>
      <c r="PVV4" s="224"/>
      <c r="PVW4" s="225"/>
      <c r="PVX4" s="225"/>
      <c r="PVY4" s="227"/>
      <c r="PVZ4" s="228"/>
      <c r="PWA4" s="228"/>
      <c r="PWB4" s="229"/>
      <c r="PWC4" s="216"/>
      <c r="PWD4" s="219"/>
      <c r="PWE4" s="220"/>
      <c r="PWF4" s="217"/>
      <c r="PWG4" s="217"/>
      <c r="PWH4" s="217"/>
      <c r="PWI4" s="217"/>
      <c r="PWJ4" s="217"/>
      <c r="PWK4" s="221"/>
      <c r="PWL4" s="222"/>
      <c r="PWM4" s="220"/>
      <c r="PWN4" s="220"/>
      <c r="PWO4" s="220"/>
      <c r="PWP4" s="220"/>
      <c r="PWQ4" s="223"/>
      <c r="PWR4" s="223"/>
      <c r="PWS4" s="223"/>
      <c r="PWT4" s="223"/>
      <c r="PWU4" s="223"/>
      <c r="PWV4" s="223"/>
      <c r="PWW4" s="223"/>
      <c r="PWX4" s="223"/>
      <c r="PWY4" s="223"/>
      <c r="PWZ4" s="224"/>
      <c r="PXA4" s="225"/>
      <c r="PXB4" s="226"/>
      <c r="PXC4" s="224"/>
      <c r="PXD4" s="225"/>
      <c r="PXE4" s="225"/>
      <c r="PXF4" s="227"/>
      <c r="PXG4" s="228"/>
      <c r="PXH4" s="228"/>
      <c r="PXI4" s="229"/>
      <c r="PXJ4" s="216"/>
      <c r="PXK4" s="219"/>
      <c r="PXL4" s="220"/>
      <c r="PXM4" s="217"/>
      <c r="PXN4" s="217"/>
      <c r="PXO4" s="217"/>
      <c r="PXP4" s="217"/>
      <c r="PXQ4" s="217"/>
      <c r="PXR4" s="221"/>
      <c r="PXS4" s="222"/>
      <c r="PXT4" s="220"/>
      <c r="PXU4" s="220"/>
      <c r="PXV4" s="220"/>
      <c r="PXW4" s="220"/>
      <c r="PXX4" s="223"/>
      <c r="PXY4" s="223"/>
      <c r="PXZ4" s="223"/>
      <c r="PYA4" s="223"/>
      <c r="PYB4" s="223"/>
      <c r="PYC4" s="223"/>
      <c r="PYD4" s="223"/>
      <c r="PYE4" s="223"/>
      <c r="PYF4" s="223"/>
      <c r="PYG4" s="224"/>
      <c r="PYH4" s="225"/>
      <c r="PYI4" s="226"/>
      <c r="PYJ4" s="224"/>
      <c r="PYK4" s="225"/>
      <c r="PYL4" s="225"/>
      <c r="PYM4" s="227"/>
      <c r="PYN4" s="228"/>
      <c r="PYO4" s="228"/>
      <c r="PYP4" s="229"/>
      <c r="PYQ4" s="216"/>
      <c r="PYR4" s="219"/>
      <c r="PYS4" s="220"/>
      <c r="PYT4" s="217"/>
      <c r="PYU4" s="217"/>
      <c r="PYV4" s="217"/>
      <c r="PYW4" s="217"/>
      <c r="PYX4" s="217"/>
      <c r="PYY4" s="221"/>
      <c r="PYZ4" s="222"/>
      <c r="PZA4" s="220"/>
      <c r="PZB4" s="220"/>
      <c r="PZC4" s="220"/>
      <c r="PZD4" s="220"/>
      <c r="PZE4" s="223"/>
      <c r="PZF4" s="223"/>
      <c r="PZG4" s="223"/>
      <c r="PZH4" s="223"/>
      <c r="PZI4" s="223"/>
      <c r="PZJ4" s="223"/>
      <c r="PZK4" s="223"/>
      <c r="PZL4" s="223"/>
      <c r="PZM4" s="223"/>
      <c r="PZN4" s="224"/>
      <c r="PZO4" s="225"/>
      <c r="PZP4" s="226"/>
      <c r="PZQ4" s="224"/>
      <c r="PZR4" s="225"/>
      <c r="PZS4" s="225"/>
      <c r="PZT4" s="227"/>
      <c r="PZU4" s="228"/>
      <c r="PZV4" s="228"/>
      <c r="PZW4" s="229"/>
      <c r="PZX4" s="216"/>
      <c r="PZY4" s="219"/>
      <c r="PZZ4" s="220"/>
      <c r="QAA4" s="217"/>
      <c r="QAB4" s="217"/>
      <c r="QAC4" s="217"/>
      <c r="QAD4" s="217"/>
      <c r="QAE4" s="217"/>
      <c r="QAF4" s="221"/>
      <c r="QAG4" s="222"/>
      <c r="QAH4" s="220"/>
      <c r="QAI4" s="220"/>
      <c r="QAJ4" s="220"/>
      <c r="QAK4" s="220"/>
      <c r="QAL4" s="223"/>
      <c r="QAM4" s="223"/>
      <c r="QAN4" s="223"/>
      <c r="QAO4" s="223"/>
      <c r="QAP4" s="223"/>
      <c r="QAQ4" s="223"/>
      <c r="QAR4" s="223"/>
      <c r="QAS4" s="223"/>
      <c r="QAT4" s="223"/>
      <c r="QAU4" s="224"/>
      <c r="QAV4" s="225"/>
      <c r="QAW4" s="226"/>
      <c r="QAX4" s="224"/>
      <c r="QAY4" s="225"/>
      <c r="QAZ4" s="225"/>
      <c r="QBA4" s="227"/>
      <c r="QBB4" s="228"/>
      <c r="QBC4" s="228"/>
      <c r="QBD4" s="229"/>
      <c r="QBE4" s="216"/>
      <c r="QBF4" s="219"/>
      <c r="QBG4" s="220"/>
      <c r="QBH4" s="217"/>
      <c r="QBI4" s="217"/>
      <c r="QBJ4" s="217"/>
      <c r="QBK4" s="217"/>
      <c r="QBL4" s="217"/>
      <c r="QBM4" s="221"/>
      <c r="QBN4" s="222"/>
      <c r="QBO4" s="220"/>
      <c r="QBP4" s="220"/>
      <c r="QBQ4" s="220"/>
      <c r="QBR4" s="220"/>
      <c r="QBS4" s="223"/>
      <c r="QBT4" s="223"/>
      <c r="QBU4" s="223"/>
      <c r="QBV4" s="223"/>
      <c r="QBW4" s="223"/>
      <c r="QBX4" s="223"/>
      <c r="QBY4" s="223"/>
      <c r="QBZ4" s="223"/>
      <c r="QCA4" s="223"/>
      <c r="QCB4" s="224"/>
      <c r="QCC4" s="225"/>
      <c r="QCD4" s="226"/>
      <c r="QCE4" s="224"/>
      <c r="QCF4" s="225"/>
      <c r="QCG4" s="225"/>
      <c r="QCH4" s="227"/>
      <c r="QCI4" s="228"/>
      <c r="QCJ4" s="228"/>
      <c r="QCK4" s="229"/>
      <c r="QCL4" s="216"/>
      <c r="QCM4" s="219"/>
      <c r="QCN4" s="220"/>
      <c r="QCO4" s="217"/>
      <c r="QCP4" s="217"/>
      <c r="QCQ4" s="217"/>
      <c r="QCR4" s="217"/>
      <c r="QCS4" s="217"/>
      <c r="QCT4" s="221"/>
      <c r="QCU4" s="222"/>
      <c r="QCV4" s="220"/>
      <c r="QCW4" s="220"/>
      <c r="QCX4" s="220"/>
      <c r="QCY4" s="220"/>
      <c r="QCZ4" s="223"/>
      <c r="QDA4" s="223"/>
      <c r="QDB4" s="223"/>
      <c r="QDC4" s="223"/>
      <c r="QDD4" s="223"/>
      <c r="QDE4" s="223"/>
      <c r="QDF4" s="223"/>
      <c r="QDG4" s="223"/>
      <c r="QDH4" s="223"/>
      <c r="QDI4" s="224"/>
      <c r="QDJ4" s="225"/>
      <c r="QDK4" s="226"/>
      <c r="QDL4" s="224"/>
      <c r="QDM4" s="225"/>
      <c r="QDN4" s="225"/>
      <c r="QDO4" s="227"/>
      <c r="QDP4" s="228"/>
      <c r="QDQ4" s="228"/>
      <c r="QDR4" s="229"/>
      <c r="QDS4" s="216"/>
      <c r="QDT4" s="219"/>
      <c r="QDU4" s="220"/>
      <c r="QDV4" s="217"/>
      <c r="QDW4" s="217"/>
      <c r="QDX4" s="217"/>
      <c r="QDY4" s="217"/>
      <c r="QDZ4" s="217"/>
      <c r="QEA4" s="221"/>
      <c r="QEB4" s="222"/>
      <c r="QEC4" s="220"/>
      <c r="QED4" s="220"/>
      <c r="QEE4" s="220"/>
      <c r="QEF4" s="220"/>
      <c r="QEG4" s="223"/>
      <c r="QEH4" s="223"/>
      <c r="QEI4" s="223"/>
      <c r="QEJ4" s="223"/>
      <c r="QEK4" s="223"/>
      <c r="QEL4" s="223"/>
      <c r="QEM4" s="223"/>
      <c r="QEN4" s="223"/>
      <c r="QEO4" s="223"/>
      <c r="QEP4" s="224"/>
      <c r="QEQ4" s="225"/>
      <c r="QER4" s="226"/>
      <c r="QES4" s="224"/>
      <c r="QET4" s="225"/>
      <c r="QEU4" s="225"/>
      <c r="QEV4" s="227"/>
      <c r="QEW4" s="228"/>
      <c r="QEX4" s="228"/>
      <c r="QEY4" s="229"/>
      <c r="QEZ4" s="216"/>
      <c r="QFA4" s="219"/>
      <c r="QFB4" s="220"/>
      <c r="QFC4" s="217"/>
      <c r="QFD4" s="217"/>
      <c r="QFE4" s="217"/>
      <c r="QFF4" s="217"/>
      <c r="QFG4" s="217"/>
      <c r="QFH4" s="221"/>
      <c r="QFI4" s="222"/>
      <c r="QFJ4" s="220"/>
      <c r="QFK4" s="220"/>
      <c r="QFL4" s="220"/>
      <c r="QFM4" s="220"/>
      <c r="QFN4" s="223"/>
      <c r="QFO4" s="223"/>
      <c r="QFP4" s="223"/>
      <c r="QFQ4" s="223"/>
      <c r="QFR4" s="223"/>
      <c r="QFS4" s="223"/>
      <c r="QFT4" s="223"/>
      <c r="QFU4" s="223"/>
      <c r="QFV4" s="223"/>
      <c r="QFW4" s="224"/>
      <c r="QFX4" s="225"/>
      <c r="QFY4" s="226"/>
      <c r="QFZ4" s="224"/>
      <c r="QGA4" s="225"/>
      <c r="QGB4" s="225"/>
      <c r="QGC4" s="227"/>
      <c r="QGD4" s="228"/>
      <c r="QGE4" s="228"/>
      <c r="QGF4" s="229"/>
      <c r="QGG4" s="216"/>
      <c r="QGH4" s="219"/>
      <c r="QGI4" s="220"/>
      <c r="QGJ4" s="217"/>
      <c r="QGK4" s="217"/>
      <c r="QGL4" s="217"/>
      <c r="QGM4" s="217"/>
      <c r="QGN4" s="217"/>
      <c r="QGO4" s="221"/>
      <c r="QGP4" s="222"/>
      <c r="QGQ4" s="220"/>
      <c r="QGR4" s="220"/>
      <c r="QGS4" s="220"/>
      <c r="QGT4" s="220"/>
      <c r="QGU4" s="223"/>
      <c r="QGV4" s="223"/>
      <c r="QGW4" s="223"/>
      <c r="QGX4" s="223"/>
      <c r="QGY4" s="223"/>
      <c r="QGZ4" s="223"/>
      <c r="QHA4" s="223"/>
      <c r="QHB4" s="223"/>
      <c r="QHC4" s="223"/>
      <c r="QHD4" s="224"/>
      <c r="QHE4" s="225"/>
      <c r="QHF4" s="226"/>
      <c r="QHG4" s="224"/>
      <c r="QHH4" s="225"/>
      <c r="QHI4" s="225"/>
      <c r="QHJ4" s="227"/>
      <c r="QHK4" s="228"/>
      <c r="QHL4" s="228"/>
      <c r="QHM4" s="229"/>
      <c r="QHN4" s="216"/>
      <c r="QHO4" s="219"/>
      <c r="QHP4" s="220"/>
      <c r="QHQ4" s="217"/>
      <c r="QHR4" s="217"/>
      <c r="QHS4" s="217"/>
      <c r="QHT4" s="217"/>
      <c r="QHU4" s="217"/>
      <c r="QHV4" s="221"/>
      <c r="QHW4" s="222"/>
      <c r="QHX4" s="220"/>
      <c r="QHY4" s="220"/>
      <c r="QHZ4" s="220"/>
      <c r="QIA4" s="220"/>
      <c r="QIB4" s="223"/>
      <c r="QIC4" s="223"/>
      <c r="QID4" s="223"/>
      <c r="QIE4" s="223"/>
      <c r="QIF4" s="223"/>
      <c r="QIG4" s="223"/>
      <c r="QIH4" s="223"/>
      <c r="QII4" s="223"/>
      <c r="QIJ4" s="223"/>
      <c r="QIK4" s="224"/>
      <c r="QIL4" s="225"/>
      <c r="QIM4" s="226"/>
      <c r="QIN4" s="224"/>
      <c r="QIO4" s="225"/>
      <c r="QIP4" s="225"/>
      <c r="QIQ4" s="227"/>
      <c r="QIR4" s="228"/>
      <c r="QIS4" s="228"/>
      <c r="QIT4" s="229"/>
      <c r="QIU4" s="216"/>
      <c r="QIV4" s="219"/>
      <c r="QIW4" s="220"/>
      <c r="QIX4" s="217"/>
      <c r="QIY4" s="217"/>
      <c r="QIZ4" s="217"/>
      <c r="QJA4" s="217"/>
      <c r="QJB4" s="217"/>
      <c r="QJC4" s="221"/>
      <c r="QJD4" s="222"/>
      <c r="QJE4" s="220"/>
      <c r="QJF4" s="220"/>
      <c r="QJG4" s="220"/>
      <c r="QJH4" s="220"/>
      <c r="QJI4" s="223"/>
      <c r="QJJ4" s="223"/>
      <c r="QJK4" s="223"/>
      <c r="QJL4" s="223"/>
      <c r="QJM4" s="223"/>
      <c r="QJN4" s="223"/>
      <c r="QJO4" s="223"/>
      <c r="QJP4" s="223"/>
      <c r="QJQ4" s="223"/>
      <c r="QJR4" s="224"/>
      <c r="QJS4" s="225"/>
      <c r="QJT4" s="226"/>
      <c r="QJU4" s="224"/>
      <c r="QJV4" s="225"/>
      <c r="QJW4" s="225"/>
      <c r="QJX4" s="227"/>
      <c r="QJY4" s="228"/>
      <c r="QJZ4" s="228"/>
      <c r="QKA4" s="229"/>
      <c r="QKB4" s="216"/>
      <c r="QKC4" s="219"/>
      <c r="QKD4" s="220"/>
      <c r="QKE4" s="217"/>
      <c r="QKF4" s="217"/>
      <c r="QKG4" s="217"/>
      <c r="QKH4" s="217"/>
      <c r="QKI4" s="217"/>
      <c r="QKJ4" s="221"/>
      <c r="QKK4" s="222"/>
      <c r="QKL4" s="220"/>
      <c r="QKM4" s="220"/>
      <c r="QKN4" s="220"/>
      <c r="QKO4" s="220"/>
      <c r="QKP4" s="223"/>
      <c r="QKQ4" s="223"/>
      <c r="QKR4" s="223"/>
      <c r="QKS4" s="223"/>
      <c r="QKT4" s="223"/>
      <c r="QKU4" s="223"/>
      <c r="QKV4" s="223"/>
      <c r="QKW4" s="223"/>
      <c r="QKX4" s="223"/>
      <c r="QKY4" s="224"/>
      <c r="QKZ4" s="225"/>
      <c r="QLA4" s="226"/>
      <c r="QLB4" s="224"/>
      <c r="QLC4" s="225"/>
      <c r="QLD4" s="225"/>
      <c r="QLE4" s="227"/>
      <c r="QLF4" s="228"/>
      <c r="QLG4" s="228"/>
      <c r="QLH4" s="229"/>
      <c r="QLI4" s="216"/>
      <c r="QLJ4" s="219"/>
      <c r="QLK4" s="220"/>
      <c r="QLL4" s="217"/>
      <c r="QLM4" s="217"/>
      <c r="QLN4" s="217"/>
      <c r="QLO4" s="217"/>
      <c r="QLP4" s="217"/>
      <c r="QLQ4" s="221"/>
      <c r="QLR4" s="222"/>
      <c r="QLS4" s="220"/>
      <c r="QLT4" s="220"/>
      <c r="QLU4" s="220"/>
      <c r="QLV4" s="220"/>
      <c r="QLW4" s="223"/>
      <c r="QLX4" s="223"/>
      <c r="QLY4" s="223"/>
      <c r="QLZ4" s="223"/>
      <c r="QMA4" s="223"/>
      <c r="QMB4" s="223"/>
      <c r="QMC4" s="223"/>
      <c r="QMD4" s="223"/>
      <c r="QME4" s="223"/>
      <c r="QMF4" s="224"/>
      <c r="QMG4" s="225"/>
      <c r="QMH4" s="226"/>
      <c r="QMI4" s="224"/>
      <c r="QMJ4" s="225"/>
      <c r="QMK4" s="225"/>
      <c r="QML4" s="227"/>
      <c r="QMM4" s="228"/>
      <c r="QMN4" s="228"/>
      <c r="QMO4" s="229"/>
      <c r="QMP4" s="216"/>
      <c r="QMQ4" s="219"/>
      <c r="QMR4" s="220"/>
      <c r="QMS4" s="217"/>
      <c r="QMT4" s="217"/>
      <c r="QMU4" s="217"/>
      <c r="QMV4" s="217"/>
      <c r="QMW4" s="217"/>
      <c r="QMX4" s="221"/>
      <c r="QMY4" s="222"/>
      <c r="QMZ4" s="220"/>
      <c r="QNA4" s="220"/>
      <c r="QNB4" s="220"/>
      <c r="QNC4" s="220"/>
      <c r="QND4" s="223"/>
      <c r="QNE4" s="223"/>
      <c r="QNF4" s="223"/>
      <c r="QNG4" s="223"/>
      <c r="QNH4" s="223"/>
      <c r="QNI4" s="223"/>
      <c r="QNJ4" s="223"/>
      <c r="QNK4" s="223"/>
      <c r="QNL4" s="223"/>
      <c r="QNM4" s="224"/>
      <c r="QNN4" s="225"/>
      <c r="QNO4" s="226"/>
      <c r="QNP4" s="224"/>
      <c r="QNQ4" s="225"/>
      <c r="QNR4" s="225"/>
      <c r="QNS4" s="227"/>
      <c r="QNT4" s="228"/>
      <c r="QNU4" s="228"/>
      <c r="QNV4" s="229"/>
      <c r="QNW4" s="216"/>
      <c r="QNX4" s="219"/>
      <c r="QNY4" s="220"/>
      <c r="QNZ4" s="217"/>
      <c r="QOA4" s="217"/>
      <c r="QOB4" s="217"/>
      <c r="QOC4" s="217"/>
      <c r="QOD4" s="217"/>
      <c r="QOE4" s="221"/>
      <c r="QOF4" s="222"/>
      <c r="QOG4" s="220"/>
      <c r="QOH4" s="220"/>
      <c r="QOI4" s="220"/>
      <c r="QOJ4" s="220"/>
      <c r="QOK4" s="223"/>
      <c r="QOL4" s="223"/>
      <c r="QOM4" s="223"/>
      <c r="QON4" s="223"/>
      <c r="QOO4" s="223"/>
      <c r="QOP4" s="223"/>
      <c r="QOQ4" s="223"/>
      <c r="QOR4" s="223"/>
      <c r="QOS4" s="223"/>
      <c r="QOT4" s="224"/>
      <c r="QOU4" s="225"/>
      <c r="QOV4" s="226"/>
      <c r="QOW4" s="224"/>
      <c r="QOX4" s="225"/>
      <c r="QOY4" s="225"/>
      <c r="QOZ4" s="227"/>
      <c r="QPA4" s="228"/>
      <c r="QPB4" s="228"/>
      <c r="QPC4" s="229"/>
      <c r="QPD4" s="216"/>
      <c r="QPE4" s="219"/>
      <c r="QPF4" s="220"/>
      <c r="QPG4" s="217"/>
      <c r="QPH4" s="217"/>
      <c r="QPI4" s="217"/>
      <c r="QPJ4" s="217"/>
      <c r="QPK4" s="217"/>
      <c r="QPL4" s="221"/>
      <c r="QPM4" s="222"/>
      <c r="QPN4" s="220"/>
      <c r="QPO4" s="220"/>
      <c r="QPP4" s="220"/>
      <c r="QPQ4" s="220"/>
      <c r="QPR4" s="223"/>
      <c r="QPS4" s="223"/>
      <c r="QPT4" s="223"/>
      <c r="QPU4" s="223"/>
      <c r="QPV4" s="223"/>
      <c r="QPW4" s="223"/>
      <c r="QPX4" s="223"/>
      <c r="QPY4" s="223"/>
      <c r="QPZ4" s="223"/>
      <c r="QQA4" s="224"/>
      <c r="QQB4" s="225"/>
      <c r="QQC4" s="226"/>
      <c r="QQD4" s="224"/>
      <c r="QQE4" s="225"/>
      <c r="QQF4" s="225"/>
      <c r="QQG4" s="227"/>
      <c r="QQH4" s="228"/>
      <c r="QQI4" s="228"/>
      <c r="QQJ4" s="229"/>
      <c r="QQK4" s="216"/>
      <c r="QQL4" s="219"/>
      <c r="QQM4" s="220"/>
      <c r="QQN4" s="217"/>
      <c r="QQO4" s="217"/>
      <c r="QQP4" s="217"/>
      <c r="QQQ4" s="217"/>
      <c r="QQR4" s="217"/>
      <c r="QQS4" s="221"/>
      <c r="QQT4" s="222"/>
      <c r="QQU4" s="220"/>
      <c r="QQV4" s="220"/>
      <c r="QQW4" s="220"/>
      <c r="QQX4" s="220"/>
      <c r="QQY4" s="223"/>
      <c r="QQZ4" s="223"/>
      <c r="QRA4" s="223"/>
      <c r="QRB4" s="223"/>
      <c r="QRC4" s="223"/>
      <c r="QRD4" s="223"/>
      <c r="QRE4" s="223"/>
      <c r="QRF4" s="223"/>
      <c r="QRG4" s="223"/>
      <c r="QRH4" s="224"/>
      <c r="QRI4" s="225"/>
      <c r="QRJ4" s="226"/>
      <c r="QRK4" s="224"/>
      <c r="QRL4" s="225"/>
      <c r="QRM4" s="225"/>
      <c r="QRN4" s="227"/>
      <c r="QRO4" s="228"/>
      <c r="QRP4" s="228"/>
      <c r="QRQ4" s="229"/>
      <c r="QRR4" s="216"/>
      <c r="QRS4" s="219"/>
      <c r="QRT4" s="220"/>
      <c r="QRU4" s="217"/>
      <c r="QRV4" s="217"/>
      <c r="QRW4" s="217"/>
      <c r="QRX4" s="217"/>
      <c r="QRY4" s="217"/>
      <c r="QRZ4" s="221"/>
      <c r="QSA4" s="222"/>
      <c r="QSB4" s="220"/>
      <c r="QSC4" s="220"/>
      <c r="QSD4" s="220"/>
      <c r="QSE4" s="220"/>
      <c r="QSF4" s="223"/>
      <c r="QSG4" s="223"/>
      <c r="QSH4" s="223"/>
      <c r="QSI4" s="223"/>
      <c r="QSJ4" s="223"/>
      <c r="QSK4" s="223"/>
      <c r="QSL4" s="223"/>
      <c r="QSM4" s="223"/>
      <c r="QSN4" s="223"/>
      <c r="QSO4" s="224"/>
      <c r="QSP4" s="225"/>
      <c r="QSQ4" s="226"/>
      <c r="QSR4" s="224"/>
      <c r="QSS4" s="225"/>
      <c r="QST4" s="225"/>
      <c r="QSU4" s="227"/>
      <c r="QSV4" s="228"/>
      <c r="QSW4" s="228"/>
      <c r="QSX4" s="229"/>
      <c r="QSY4" s="216"/>
      <c r="QSZ4" s="219"/>
      <c r="QTA4" s="220"/>
      <c r="QTB4" s="217"/>
      <c r="QTC4" s="217"/>
      <c r="QTD4" s="217"/>
      <c r="QTE4" s="217"/>
      <c r="QTF4" s="217"/>
      <c r="QTG4" s="221"/>
      <c r="QTH4" s="222"/>
      <c r="QTI4" s="220"/>
      <c r="QTJ4" s="220"/>
      <c r="QTK4" s="220"/>
      <c r="QTL4" s="220"/>
      <c r="QTM4" s="223"/>
      <c r="QTN4" s="223"/>
      <c r="QTO4" s="223"/>
      <c r="QTP4" s="223"/>
      <c r="QTQ4" s="223"/>
      <c r="QTR4" s="223"/>
      <c r="QTS4" s="223"/>
      <c r="QTT4" s="223"/>
      <c r="QTU4" s="223"/>
      <c r="QTV4" s="224"/>
      <c r="QTW4" s="225"/>
      <c r="QTX4" s="226"/>
      <c r="QTY4" s="224"/>
      <c r="QTZ4" s="225"/>
      <c r="QUA4" s="225"/>
      <c r="QUB4" s="227"/>
      <c r="QUC4" s="228"/>
      <c r="QUD4" s="228"/>
      <c r="QUE4" s="229"/>
      <c r="QUF4" s="216"/>
      <c r="QUG4" s="219"/>
      <c r="QUH4" s="220"/>
      <c r="QUI4" s="217"/>
      <c r="QUJ4" s="217"/>
      <c r="QUK4" s="217"/>
      <c r="QUL4" s="217"/>
      <c r="QUM4" s="217"/>
      <c r="QUN4" s="221"/>
      <c r="QUO4" s="222"/>
      <c r="QUP4" s="220"/>
      <c r="QUQ4" s="220"/>
      <c r="QUR4" s="220"/>
      <c r="QUS4" s="220"/>
      <c r="QUT4" s="223"/>
      <c r="QUU4" s="223"/>
      <c r="QUV4" s="223"/>
      <c r="QUW4" s="223"/>
      <c r="QUX4" s="223"/>
      <c r="QUY4" s="223"/>
      <c r="QUZ4" s="223"/>
      <c r="QVA4" s="223"/>
      <c r="QVB4" s="223"/>
      <c r="QVC4" s="224"/>
      <c r="QVD4" s="225"/>
      <c r="QVE4" s="226"/>
      <c r="QVF4" s="224"/>
      <c r="QVG4" s="225"/>
      <c r="QVH4" s="225"/>
      <c r="QVI4" s="227"/>
      <c r="QVJ4" s="228"/>
      <c r="QVK4" s="228"/>
      <c r="QVL4" s="229"/>
      <c r="QVM4" s="216"/>
      <c r="QVN4" s="219"/>
      <c r="QVO4" s="220"/>
      <c r="QVP4" s="217"/>
      <c r="QVQ4" s="217"/>
      <c r="QVR4" s="217"/>
      <c r="QVS4" s="217"/>
      <c r="QVT4" s="217"/>
      <c r="QVU4" s="221"/>
      <c r="QVV4" s="222"/>
      <c r="QVW4" s="220"/>
      <c r="QVX4" s="220"/>
      <c r="QVY4" s="220"/>
      <c r="QVZ4" s="220"/>
      <c r="QWA4" s="223"/>
      <c r="QWB4" s="223"/>
      <c r="QWC4" s="223"/>
      <c r="QWD4" s="223"/>
      <c r="QWE4" s="223"/>
      <c r="QWF4" s="223"/>
      <c r="QWG4" s="223"/>
      <c r="QWH4" s="223"/>
      <c r="QWI4" s="223"/>
      <c r="QWJ4" s="224"/>
      <c r="QWK4" s="225"/>
      <c r="QWL4" s="226"/>
      <c r="QWM4" s="224"/>
      <c r="QWN4" s="225"/>
      <c r="QWO4" s="225"/>
      <c r="QWP4" s="227"/>
      <c r="QWQ4" s="228"/>
      <c r="QWR4" s="228"/>
      <c r="QWS4" s="229"/>
      <c r="QWT4" s="216"/>
      <c r="QWU4" s="219"/>
      <c r="QWV4" s="220"/>
      <c r="QWW4" s="217"/>
      <c r="QWX4" s="217"/>
      <c r="QWY4" s="217"/>
      <c r="QWZ4" s="217"/>
      <c r="QXA4" s="217"/>
      <c r="QXB4" s="221"/>
      <c r="QXC4" s="222"/>
      <c r="QXD4" s="220"/>
      <c r="QXE4" s="220"/>
      <c r="QXF4" s="220"/>
      <c r="QXG4" s="220"/>
      <c r="QXH4" s="223"/>
      <c r="QXI4" s="223"/>
      <c r="QXJ4" s="223"/>
      <c r="QXK4" s="223"/>
      <c r="QXL4" s="223"/>
      <c r="QXM4" s="223"/>
      <c r="QXN4" s="223"/>
      <c r="QXO4" s="223"/>
      <c r="QXP4" s="223"/>
      <c r="QXQ4" s="224"/>
      <c r="QXR4" s="225"/>
      <c r="QXS4" s="226"/>
      <c r="QXT4" s="224"/>
      <c r="QXU4" s="225"/>
      <c r="QXV4" s="225"/>
      <c r="QXW4" s="227"/>
      <c r="QXX4" s="228"/>
      <c r="QXY4" s="228"/>
      <c r="QXZ4" s="229"/>
      <c r="QYA4" s="216"/>
      <c r="QYB4" s="219"/>
      <c r="QYC4" s="220"/>
      <c r="QYD4" s="217"/>
      <c r="QYE4" s="217"/>
      <c r="QYF4" s="217"/>
      <c r="QYG4" s="217"/>
      <c r="QYH4" s="217"/>
      <c r="QYI4" s="221"/>
      <c r="QYJ4" s="222"/>
      <c r="QYK4" s="220"/>
      <c r="QYL4" s="220"/>
      <c r="QYM4" s="220"/>
      <c r="QYN4" s="220"/>
      <c r="QYO4" s="223"/>
      <c r="QYP4" s="223"/>
      <c r="QYQ4" s="223"/>
      <c r="QYR4" s="223"/>
      <c r="QYS4" s="223"/>
      <c r="QYT4" s="223"/>
      <c r="QYU4" s="223"/>
      <c r="QYV4" s="223"/>
      <c r="QYW4" s="223"/>
      <c r="QYX4" s="224"/>
      <c r="QYY4" s="225"/>
      <c r="QYZ4" s="226"/>
      <c r="QZA4" s="224"/>
      <c r="QZB4" s="225"/>
      <c r="QZC4" s="225"/>
      <c r="QZD4" s="227"/>
      <c r="QZE4" s="228"/>
      <c r="QZF4" s="228"/>
      <c r="QZG4" s="229"/>
      <c r="QZH4" s="216"/>
      <c r="QZI4" s="219"/>
      <c r="QZJ4" s="220"/>
      <c r="QZK4" s="217"/>
      <c r="QZL4" s="217"/>
      <c r="QZM4" s="217"/>
      <c r="QZN4" s="217"/>
      <c r="QZO4" s="217"/>
      <c r="QZP4" s="221"/>
      <c r="QZQ4" s="222"/>
      <c r="QZR4" s="220"/>
      <c r="QZS4" s="220"/>
      <c r="QZT4" s="220"/>
      <c r="QZU4" s="220"/>
      <c r="QZV4" s="223"/>
      <c r="QZW4" s="223"/>
      <c r="QZX4" s="223"/>
      <c r="QZY4" s="223"/>
      <c r="QZZ4" s="223"/>
      <c r="RAA4" s="223"/>
      <c r="RAB4" s="223"/>
      <c r="RAC4" s="223"/>
      <c r="RAD4" s="223"/>
      <c r="RAE4" s="224"/>
      <c r="RAF4" s="225"/>
      <c r="RAG4" s="226"/>
      <c r="RAH4" s="224"/>
      <c r="RAI4" s="225"/>
      <c r="RAJ4" s="225"/>
      <c r="RAK4" s="227"/>
      <c r="RAL4" s="228"/>
      <c r="RAM4" s="228"/>
      <c r="RAN4" s="229"/>
      <c r="RAO4" s="216"/>
      <c r="RAP4" s="219"/>
      <c r="RAQ4" s="220"/>
      <c r="RAR4" s="217"/>
      <c r="RAS4" s="217"/>
      <c r="RAT4" s="217"/>
      <c r="RAU4" s="217"/>
      <c r="RAV4" s="217"/>
      <c r="RAW4" s="221"/>
      <c r="RAX4" s="222"/>
      <c r="RAY4" s="220"/>
      <c r="RAZ4" s="220"/>
      <c r="RBA4" s="220"/>
      <c r="RBB4" s="220"/>
      <c r="RBC4" s="223"/>
      <c r="RBD4" s="223"/>
      <c r="RBE4" s="223"/>
      <c r="RBF4" s="223"/>
      <c r="RBG4" s="223"/>
      <c r="RBH4" s="223"/>
      <c r="RBI4" s="223"/>
      <c r="RBJ4" s="223"/>
      <c r="RBK4" s="223"/>
      <c r="RBL4" s="224"/>
      <c r="RBM4" s="225"/>
      <c r="RBN4" s="226"/>
      <c r="RBO4" s="224"/>
      <c r="RBP4" s="225"/>
      <c r="RBQ4" s="225"/>
      <c r="RBR4" s="227"/>
      <c r="RBS4" s="228"/>
      <c r="RBT4" s="228"/>
      <c r="RBU4" s="229"/>
      <c r="RBV4" s="216"/>
      <c r="RBW4" s="219"/>
      <c r="RBX4" s="220"/>
      <c r="RBY4" s="217"/>
      <c r="RBZ4" s="217"/>
      <c r="RCA4" s="217"/>
      <c r="RCB4" s="217"/>
      <c r="RCC4" s="217"/>
      <c r="RCD4" s="221"/>
      <c r="RCE4" s="222"/>
      <c r="RCF4" s="220"/>
      <c r="RCG4" s="220"/>
      <c r="RCH4" s="220"/>
      <c r="RCI4" s="220"/>
      <c r="RCJ4" s="223"/>
      <c r="RCK4" s="223"/>
      <c r="RCL4" s="223"/>
      <c r="RCM4" s="223"/>
      <c r="RCN4" s="223"/>
      <c r="RCO4" s="223"/>
      <c r="RCP4" s="223"/>
      <c r="RCQ4" s="223"/>
      <c r="RCR4" s="223"/>
      <c r="RCS4" s="224"/>
      <c r="RCT4" s="225"/>
      <c r="RCU4" s="226"/>
      <c r="RCV4" s="224"/>
      <c r="RCW4" s="225"/>
      <c r="RCX4" s="225"/>
      <c r="RCY4" s="227"/>
      <c r="RCZ4" s="228"/>
      <c r="RDA4" s="228"/>
      <c r="RDB4" s="229"/>
      <c r="RDC4" s="216"/>
      <c r="RDD4" s="219"/>
      <c r="RDE4" s="220"/>
      <c r="RDF4" s="217"/>
      <c r="RDG4" s="217"/>
      <c r="RDH4" s="217"/>
      <c r="RDI4" s="217"/>
      <c r="RDJ4" s="217"/>
      <c r="RDK4" s="221"/>
      <c r="RDL4" s="222"/>
      <c r="RDM4" s="220"/>
      <c r="RDN4" s="220"/>
      <c r="RDO4" s="220"/>
      <c r="RDP4" s="220"/>
      <c r="RDQ4" s="223"/>
      <c r="RDR4" s="223"/>
      <c r="RDS4" s="223"/>
      <c r="RDT4" s="223"/>
      <c r="RDU4" s="223"/>
      <c r="RDV4" s="223"/>
      <c r="RDW4" s="223"/>
      <c r="RDX4" s="223"/>
      <c r="RDY4" s="223"/>
      <c r="RDZ4" s="224"/>
      <c r="REA4" s="225"/>
      <c r="REB4" s="226"/>
      <c r="REC4" s="224"/>
      <c r="RED4" s="225"/>
      <c r="REE4" s="225"/>
      <c r="REF4" s="227"/>
      <c r="REG4" s="228"/>
      <c r="REH4" s="228"/>
      <c r="REI4" s="229"/>
      <c r="REJ4" s="216"/>
      <c r="REK4" s="219"/>
      <c r="REL4" s="220"/>
      <c r="REM4" s="217"/>
      <c r="REN4" s="217"/>
      <c r="REO4" s="217"/>
      <c r="REP4" s="217"/>
      <c r="REQ4" s="217"/>
      <c r="RER4" s="221"/>
      <c r="RES4" s="222"/>
      <c r="RET4" s="220"/>
      <c r="REU4" s="220"/>
      <c r="REV4" s="220"/>
      <c r="REW4" s="220"/>
      <c r="REX4" s="223"/>
      <c r="REY4" s="223"/>
      <c r="REZ4" s="223"/>
      <c r="RFA4" s="223"/>
      <c r="RFB4" s="223"/>
      <c r="RFC4" s="223"/>
      <c r="RFD4" s="223"/>
      <c r="RFE4" s="223"/>
      <c r="RFF4" s="223"/>
      <c r="RFG4" s="224"/>
      <c r="RFH4" s="225"/>
      <c r="RFI4" s="226"/>
      <c r="RFJ4" s="224"/>
      <c r="RFK4" s="225"/>
      <c r="RFL4" s="225"/>
      <c r="RFM4" s="227"/>
      <c r="RFN4" s="228"/>
      <c r="RFO4" s="228"/>
      <c r="RFP4" s="229"/>
      <c r="RFQ4" s="216"/>
      <c r="RFR4" s="219"/>
      <c r="RFS4" s="220"/>
      <c r="RFT4" s="217"/>
      <c r="RFU4" s="217"/>
      <c r="RFV4" s="217"/>
      <c r="RFW4" s="217"/>
      <c r="RFX4" s="217"/>
      <c r="RFY4" s="221"/>
      <c r="RFZ4" s="222"/>
      <c r="RGA4" s="220"/>
      <c r="RGB4" s="220"/>
      <c r="RGC4" s="220"/>
      <c r="RGD4" s="220"/>
      <c r="RGE4" s="223"/>
      <c r="RGF4" s="223"/>
      <c r="RGG4" s="223"/>
      <c r="RGH4" s="223"/>
      <c r="RGI4" s="223"/>
      <c r="RGJ4" s="223"/>
      <c r="RGK4" s="223"/>
      <c r="RGL4" s="223"/>
      <c r="RGM4" s="223"/>
      <c r="RGN4" s="224"/>
      <c r="RGO4" s="225"/>
      <c r="RGP4" s="226"/>
      <c r="RGQ4" s="224"/>
      <c r="RGR4" s="225"/>
      <c r="RGS4" s="225"/>
      <c r="RGT4" s="227"/>
      <c r="RGU4" s="228"/>
      <c r="RGV4" s="228"/>
      <c r="RGW4" s="229"/>
      <c r="RGX4" s="216"/>
      <c r="RGY4" s="219"/>
      <c r="RGZ4" s="220"/>
      <c r="RHA4" s="217"/>
      <c r="RHB4" s="217"/>
      <c r="RHC4" s="217"/>
      <c r="RHD4" s="217"/>
      <c r="RHE4" s="217"/>
      <c r="RHF4" s="221"/>
      <c r="RHG4" s="222"/>
      <c r="RHH4" s="220"/>
      <c r="RHI4" s="220"/>
      <c r="RHJ4" s="220"/>
      <c r="RHK4" s="220"/>
      <c r="RHL4" s="223"/>
      <c r="RHM4" s="223"/>
      <c r="RHN4" s="223"/>
      <c r="RHO4" s="223"/>
      <c r="RHP4" s="223"/>
      <c r="RHQ4" s="223"/>
      <c r="RHR4" s="223"/>
      <c r="RHS4" s="223"/>
      <c r="RHT4" s="223"/>
      <c r="RHU4" s="224"/>
      <c r="RHV4" s="225"/>
      <c r="RHW4" s="226"/>
      <c r="RHX4" s="224"/>
      <c r="RHY4" s="225"/>
      <c r="RHZ4" s="225"/>
      <c r="RIA4" s="227"/>
      <c r="RIB4" s="228"/>
      <c r="RIC4" s="228"/>
      <c r="RID4" s="229"/>
      <c r="RIE4" s="216"/>
      <c r="RIF4" s="219"/>
      <c r="RIG4" s="220"/>
      <c r="RIH4" s="217"/>
      <c r="RII4" s="217"/>
      <c r="RIJ4" s="217"/>
      <c r="RIK4" s="217"/>
      <c r="RIL4" s="217"/>
      <c r="RIM4" s="221"/>
      <c r="RIN4" s="222"/>
      <c r="RIO4" s="220"/>
      <c r="RIP4" s="220"/>
      <c r="RIQ4" s="220"/>
      <c r="RIR4" s="220"/>
      <c r="RIS4" s="223"/>
      <c r="RIT4" s="223"/>
      <c r="RIU4" s="223"/>
      <c r="RIV4" s="223"/>
      <c r="RIW4" s="223"/>
      <c r="RIX4" s="223"/>
      <c r="RIY4" s="223"/>
      <c r="RIZ4" s="223"/>
      <c r="RJA4" s="223"/>
      <c r="RJB4" s="224"/>
      <c r="RJC4" s="225"/>
      <c r="RJD4" s="226"/>
      <c r="RJE4" s="224"/>
      <c r="RJF4" s="225"/>
      <c r="RJG4" s="225"/>
      <c r="RJH4" s="227"/>
      <c r="RJI4" s="228"/>
      <c r="RJJ4" s="228"/>
      <c r="RJK4" s="229"/>
      <c r="RJL4" s="216"/>
      <c r="RJM4" s="219"/>
      <c r="RJN4" s="220"/>
      <c r="RJO4" s="217"/>
      <c r="RJP4" s="217"/>
      <c r="RJQ4" s="217"/>
      <c r="RJR4" s="217"/>
      <c r="RJS4" s="217"/>
      <c r="RJT4" s="221"/>
      <c r="RJU4" s="222"/>
      <c r="RJV4" s="220"/>
      <c r="RJW4" s="220"/>
      <c r="RJX4" s="220"/>
      <c r="RJY4" s="220"/>
      <c r="RJZ4" s="223"/>
      <c r="RKA4" s="223"/>
      <c r="RKB4" s="223"/>
      <c r="RKC4" s="223"/>
      <c r="RKD4" s="223"/>
      <c r="RKE4" s="223"/>
      <c r="RKF4" s="223"/>
      <c r="RKG4" s="223"/>
      <c r="RKH4" s="223"/>
      <c r="RKI4" s="224"/>
      <c r="RKJ4" s="225"/>
      <c r="RKK4" s="226"/>
      <c r="RKL4" s="224"/>
      <c r="RKM4" s="225"/>
      <c r="RKN4" s="225"/>
      <c r="RKO4" s="227"/>
      <c r="RKP4" s="228"/>
      <c r="RKQ4" s="228"/>
      <c r="RKR4" s="229"/>
      <c r="RKS4" s="216"/>
      <c r="RKT4" s="219"/>
      <c r="RKU4" s="220"/>
      <c r="RKV4" s="217"/>
      <c r="RKW4" s="217"/>
      <c r="RKX4" s="217"/>
      <c r="RKY4" s="217"/>
      <c r="RKZ4" s="217"/>
      <c r="RLA4" s="221"/>
      <c r="RLB4" s="222"/>
      <c r="RLC4" s="220"/>
      <c r="RLD4" s="220"/>
      <c r="RLE4" s="220"/>
      <c r="RLF4" s="220"/>
      <c r="RLG4" s="223"/>
      <c r="RLH4" s="223"/>
      <c r="RLI4" s="223"/>
      <c r="RLJ4" s="223"/>
      <c r="RLK4" s="223"/>
      <c r="RLL4" s="223"/>
      <c r="RLM4" s="223"/>
      <c r="RLN4" s="223"/>
      <c r="RLO4" s="223"/>
      <c r="RLP4" s="224"/>
      <c r="RLQ4" s="225"/>
      <c r="RLR4" s="226"/>
      <c r="RLS4" s="224"/>
      <c r="RLT4" s="225"/>
      <c r="RLU4" s="225"/>
      <c r="RLV4" s="227"/>
      <c r="RLW4" s="228"/>
      <c r="RLX4" s="228"/>
      <c r="RLY4" s="229"/>
      <c r="RLZ4" s="216"/>
      <c r="RMA4" s="219"/>
      <c r="RMB4" s="220"/>
      <c r="RMC4" s="217"/>
      <c r="RMD4" s="217"/>
      <c r="RME4" s="217"/>
      <c r="RMF4" s="217"/>
      <c r="RMG4" s="217"/>
      <c r="RMH4" s="221"/>
      <c r="RMI4" s="222"/>
      <c r="RMJ4" s="220"/>
      <c r="RMK4" s="220"/>
      <c r="RML4" s="220"/>
      <c r="RMM4" s="220"/>
      <c r="RMN4" s="223"/>
      <c r="RMO4" s="223"/>
      <c r="RMP4" s="223"/>
      <c r="RMQ4" s="223"/>
      <c r="RMR4" s="223"/>
      <c r="RMS4" s="223"/>
      <c r="RMT4" s="223"/>
      <c r="RMU4" s="223"/>
      <c r="RMV4" s="223"/>
      <c r="RMW4" s="224"/>
      <c r="RMX4" s="225"/>
      <c r="RMY4" s="226"/>
      <c r="RMZ4" s="224"/>
      <c r="RNA4" s="225"/>
      <c r="RNB4" s="225"/>
      <c r="RNC4" s="227"/>
      <c r="RND4" s="228"/>
      <c r="RNE4" s="228"/>
      <c r="RNF4" s="229"/>
      <c r="RNG4" s="216"/>
      <c r="RNH4" s="219"/>
      <c r="RNI4" s="220"/>
      <c r="RNJ4" s="217"/>
      <c r="RNK4" s="217"/>
      <c r="RNL4" s="217"/>
      <c r="RNM4" s="217"/>
      <c r="RNN4" s="217"/>
      <c r="RNO4" s="221"/>
      <c r="RNP4" s="222"/>
      <c r="RNQ4" s="220"/>
      <c r="RNR4" s="220"/>
      <c r="RNS4" s="220"/>
      <c r="RNT4" s="220"/>
      <c r="RNU4" s="223"/>
      <c r="RNV4" s="223"/>
      <c r="RNW4" s="223"/>
      <c r="RNX4" s="223"/>
      <c r="RNY4" s="223"/>
      <c r="RNZ4" s="223"/>
      <c r="ROA4" s="223"/>
      <c r="ROB4" s="223"/>
      <c r="ROC4" s="223"/>
      <c r="ROD4" s="224"/>
      <c r="ROE4" s="225"/>
      <c r="ROF4" s="226"/>
      <c r="ROG4" s="224"/>
      <c r="ROH4" s="225"/>
      <c r="ROI4" s="225"/>
      <c r="ROJ4" s="227"/>
      <c r="ROK4" s="228"/>
      <c r="ROL4" s="228"/>
      <c r="ROM4" s="229"/>
      <c r="RON4" s="216"/>
      <c r="ROO4" s="219"/>
      <c r="ROP4" s="220"/>
      <c r="ROQ4" s="217"/>
      <c r="ROR4" s="217"/>
      <c r="ROS4" s="217"/>
      <c r="ROT4" s="217"/>
      <c r="ROU4" s="217"/>
      <c r="ROV4" s="221"/>
      <c r="ROW4" s="222"/>
      <c r="ROX4" s="220"/>
      <c r="ROY4" s="220"/>
      <c r="ROZ4" s="220"/>
      <c r="RPA4" s="220"/>
      <c r="RPB4" s="223"/>
      <c r="RPC4" s="223"/>
      <c r="RPD4" s="223"/>
      <c r="RPE4" s="223"/>
      <c r="RPF4" s="223"/>
      <c r="RPG4" s="223"/>
      <c r="RPH4" s="223"/>
      <c r="RPI4" s="223"/>
      <c r="RPJ4" s="223"/>
      <c r="RPK4" s="224"/>
      <c r="RPL4" s="225"/>
      <c r="RPM4" s="226"/>
      <c r="RPN4" s="224"/>
      <c r="RPO4" s="225"/>
      <c r="RPP4" s="225"/>
      <c r="RPQ4" s="227"/>
      <c r="RPR4" s="228"/>
      <c r="RPS4" s="228"/>
      <c r="RPT4" s="229"/>
      <c r="RPU4" s="216"/>
      <c r="RPV4" s="219"/>
      <c r="RPW4" s="220"/>
      <c r="RPX4" s="217"/>
      <c r="RPY4" s="217"/>
      <c r="RPZ4" s="217"/>
      <c r="RQA4" s="217"/>
      <c r="RQB4" s="217"/>
      <c r="RQC4" s="221"/>
      <c r="RQD4" s="222"/>
      <c r="RQE4" s="220"/>
      <c r="RQF4" s="220"/>
      <c r="RQG4" s="220"/>
      <c r="RQH4" s="220"/>
      <c r="RQI4" s="223"/>
      <c r="RQJ4" s="223"/>
      <c r="RQK4" s="223"/>
      <c r="RQL4" s="223"/>
      <c r="RQM4" s="223"/>
      <c r="RQN4" s="223"/>
      <c r="RQO4" s="223"/>
      <c r="RQP4" s="223"/>
      <c r="RQQ4" s="223"/>
      <c r="RQR4" s="224"/>
      <c r="RQS4" s="225"/>
      <c r="RQT4" s="226"/>
      <c r="RQU4" s="224"/>
      <c r="RQV4" s="225"/>
      <c r="RQW4" s="225"/>
      <c r="RQX4" s="227"/>
      <c r="RQY4" s="228"/>
      <c r="RQZ4" s="228"/>
      <c r="RRA4" s="229"/>
      <c r="RRB4" s="216"/>
      <c r="RRC4" s="219"/>
      <c r="RRD4" s="220"/>
      <c r="RRE4" s="217"/>
      <c r="RRF4" s="217"/>
      <c r="RRG4" s="217"/>
      <c r="RRH4" s="217"/>
      <c r="RRI4" s="217"/>
      <c r="RRJ4" s="221"/>
      <c r="RRK4" s="222"/>
      <c r="RRL4" s="220"/>
      <c r="RRM4" s="220"/>
      <c r="RRN4" s="220"/>
      <c r="RRO4" s="220"/>
      <c r="RRP4" s="223"/>
      <c r="RRQ4" s="223"/>
      <c r="RRR4" s="223"/>
      <c r="RRS4" s="223"/>
      <c r="RRT4" s="223"/>
      <c r="RRU4" s="223"/>
      <c r="RRV4" s="223"/>
      <c r="RRW4" s="223"/>
      <c r="RRX4" s="223"/>
      <c r="RRY4" s="224"/>
      <c r="RRZ4" s="225"/>
      <c r="RSA4" s="226"/>
      <c r="RSB4" s="224"/>
      <c r="RSC4" s="225"/>
      <c r="RSD4" s="225"/>
      <c r="RSE4" s="227"/>
      <c r="RSF4" s="228"/>
      <c r="RSG4" s="228"/>
      <c r="RSH4" s="229"/>
      <c r="RSI4" s="216"/>
      <c r="RSJ4" s="219"/>
      <c r="RSK4" s="220"/>
      <c r="RSL4" s="217"/>
      <c r="RSM4" s="217"/>
      <c r="RSN4" s="217"/>
      <c r="RSO4" s="217"/>
      <c r="RSP4" s="217"/>
      <c r="RSQ4" s="221"/>
      <c r="RSR4" s="222"/>
      <c r="RSS4" s="220"/>
      <c r="RST4" s="220"/>
      <c r="RSU4" s="220"/>
      <c r="RSV4" s="220"/>
      <c r="RSW4" s="223"/>
      <c r="RSX4" s="223"/>
      <c r="RSY4" s="223"/>
      <c r="RSZ4" s="223"/>
      <c r="RTA4" s="223"/>
      <c r="RTB4" s="223"/>
      <c r="RTC4" s="223"/>
      <c r="RTD4" s="223"/>
      <c r="RTE4" s="223"/>
      <c r="RTF4" s="224"/>
      <c r="RTG4" s="225"/>
      <c r="RTH4" s="226"/>
      <c r="RTI4" s="224"/>
      <c r="RTJ4" s="225"/>
      <c r="RTK4" s="225"/>
      <c r="RTL4" s="227"/>
      <c r="RTM4" s="228"/>
      <c r="RTN4" s="228"/>
      <c r="RTO4" s="229"/>
      <c r="RTP4" s="216"/>
      <c r="RTQ4" s="219"/>
      <c r="RTR4" s="220"/>
      <c r="RTS4" s="217"/>
      <c r="RTT4" s="217"/>
      <c r="RTU4" s="217"/>
      <c r="RTV4" s="217"/>
      <c r="RTW4" s="217"/>
      <c r="RTX4" s="221"/>
      <c r="RTY4" s="222"/>
      <c r="RTZ4" s="220"/>
      <c r="RUA4" s="220"/>
      <c r="RUB4" s="220"/>
      <c r="RUC4" s="220"/>
      <c r="RUD4" s="223"/>
      <c r="RUE4" s="223"/>
      <c r="RUF4" s="223"/>
      <c r="RUG4" s="223"/>
      <c r="RUH4" s="223"/>
      <c r="RUI4" s="223"/>
      <c r="RUJ4" s="223"/>
      <c r="RUK4" s="223"/>
      <c r="RUL4" s="223"/>
      <c r="RUM4" s="224"/>
      <c r="RUN4" s="225"/>
      <c r="RUO4" s="226"/>
      <c r="RUP4" s="224"/>
      <c r="RUQ4" s="225"/>
      <c r="RUR4" s="225"/>
      <c r="RUS4" s="227"/>
      <c r="RUT4" s="228"/>
      <c r="RUU4" s="228"/>
      <c r="RUV4" s="229"/>
      <c r="RUW4" s="216"/>
      <c r="RUX4" s="219"/>
      <c r="RUY4" s="220"/>
      <c r="RUZ4" s="217"/>
      <c r="RVA4" s="217"/>
      <c r="RVB4" s="217"/>
      <c r="RVC4" s="217"/>
      <c r="RVD4" s="217"/>
      <c r="RVE4" s="221"/>
      <c r="RVF4" s="222"/>
      <c r="RVG4" s="220"/>
      <c r="RVH4" s="220"/>
      <c r="RVI4" s="220"/>
      <c r="RVJ4" s="220"/>
      <c r="RVK4" s="223"/>
      <c r="RVL4" s="223"/>
      <c r="RVM4" s="223"/>
      <c r="RVN4" s="223"/>
      <c r="RVO4" s="223"/>
      <c r="RVP4" s="223"/>
      <c r="RVQ4" s="223"/>
      <c r="RVR4" s="223"/>
      <c r="RVS4" s="223"/>
      <c r="RVT4" s="224"/>
      <c r="RVU4" s="225"/>
      <c r="RVV4" s="226"/>
      <c r="RVW4" s="224"/>
      <c r="RVX4" s="225"/>
      <c r="RVY4" s="225"/>
      <c r="RVZ4" s="227"/>
      <c r="RWA4" s="228"/>
      <c r="RWB4" s="228"/>
      <c r="RWC4" s="229"/>
      <c r="RWD4" s="216"/>
      <c r="RWE4" s="219"/>
      <c r="RWF4" s="220"/>
      <c r="RWG4" s="217"/>
      <c r="RWH4" s="217"/>
      <c r="RWI4" s="217"/>
      <c r="RWJ4" s="217"/>
      <c r="RWK4" s="217"/>
      <c r="RWL4" s="221"/>
      <c r="RWM4" s="222"/>
      <c r="RWN4" s="220"/>
      <c r="RWO4" s="220"/>
      <c r="RWP4" s="220"/>
      <c r="RWQ4" s="220"/>
      <c r="RWR4" s="223"/>
      <c r="RWS4" s="223"/>
      <c r="RWT4" s="223"/>
      <c r="RWU4" s="223"/>
      <c r="RWV4" s="223"/>
      <c r="RWW4" s="223"/>
      <c r="RWX4" s="223"/>
      <c r="RWY4" s="223"/>
      <c r="RWZ4" s="223"/>
      <c r="RXA4" s="224"/>
      <c r="RXB4" s="225"/>
      <c r="RXC4" s="226"/>
      <c r="RXD4" s="224"/>
      <c r="RXE4" s="225"/>
      <c r="RXF4" s="225"/>
      <c r="RXG4" s="227"/>
      <c r="RXH4" s="228"/>
      <c r="RXI4" s="228"/>
      <c r="RXJ4" s="229"/>
      <c r="RXK4" s="216"/>
      <c r="RXL4" s="219"/>
      <c r="RXM4" s="220"/>
      <c r="RXN4" s="217"/>
      <c r="RXO4" s="217"/>
      <c r="RXP4" s="217"/>
      <c r="RXQ4" s="217"/>
      <c r="RXR4" s="217"/>
      <c r="RXS4" s="221"/>
      <c r="RXT4" s="222"/>
      <c r="RXU4" s="220"/>
      <c r="RXV4" s="220"/>
      <c r="RXW4" s="220"/>
      <c r="RXX4" s="220"/>
      <c r="RXY4" s="223"/>
      <c r="RXZ4" s="223"/>
      <c r="RYA4" s="223"/>
      <c r="RYB4" s="223"/>
      <c r="RYC4" s="223"/>
      <c r="RYD4" s="223"/>
      <c r="RYE4" s="223"/>
      <c r="RYF4" s="223"/>
      <c r="RYG4" s="223"/>
      <c r="RYH4" s="224"/>
      <c r="RYI4" s="225"/>
      <c r="RYJ4" s="226"/>
      <c r="RYK4" s="224"/>
      <c r="RYL4" s="225"/>
      <c r="RYM4" s="225"/>
      <c r="RYN4" s="227"/>
      <c r="RYO4" s="228"/>
      <c r="RYP4" s="228"/>
      <c r="RYQ4" s="229"/>
      <c r="RYR4" s="216"/>
      <c r="RYS4" s="219"/>
      <c r="RYT4" s="220"/>
      <c r="RYU4" s="217"/>
      <c r="RYV4" s="217"/>
      <c r="RYW4" s="217"/>
      <c r="RYX4" s="217"/>
      <c r="RYY4" s="217"/>
      <c r="RYZ4" s="221"/>
      <c r="RZA4" s="222"/>
      <c r="RZB4" s="220"/>
      <c r="RZC4" s="220"/>
      <c r="RZD4" s="220"/>
      <c r="RZE4" s="220"/>
      <c r="RZF4" s="223"/>
      <c r="RZG4" s="223"/>
      <c r="RZH4" s="223"/>
      <c r="RZI4" s="223"/>
      <c r="RZJ4" s="223"/>
      <c r="RZK4" s="223"/>
      <c r="RZL4" s="223"/>
      <c r="RZM4" s="223"/>
      <c r="RZN4" s="223"/>
      <c r="RZO4" s="224"/>
      <c r="RZP4" s="225"/>
      <c r="RZQ4" s="226"/>
      <c r="RZR4" s="224"/>
      <c r="RZS4" s="225"/>
      <c r="RZT4" s="225"/>
      <c r="RZU4" s="227"/>
      <c r="RZV4" s="228"/>
      <c r="RZW4" s="228"/>
      <c r="RZX4" s="229"/>
      <c r="RZY4" s="216"/>
      <c r="RZZ4" s="219"/>
      <c r="SAA4" s="220"/>
      <c r="SAB4" s="217"/>
      <c r="SAC4" s="217"/>
      <c r="SAD4" s="217"/>
      <c r="SAE4" s="217"/>
      <c r="SAF4" s="217"/>
      <c r="SAG4" s="221"/>
      <c r="SAH4" s="222"/>
      <c r="SAI4" s="220"/>
      <c r="SAJ4" s="220"/>
      <c r="SAK4" s="220"/>
      <c r="SAL4" s="220"/>
      <c r="SAM4" s="223"/>
      <c r="SAN4" s="223"/>
      <c r="SAO4" s="223"/>
      <c r="SAP4" s="223"/>
      <c r="SAQ4" s="223"/>
      <c r="SAR4" s="223"/>
      <c r="SAS4" s="223"/>
      <c r="SAT4" s="223"/>
      <c r="SAU4" s="223"/>
      <c r="SAV4" s="224"/>
      <c r="SAW4" s="225"/>
      <c r="SAX4" s="226"/>
      <c r="SAY4" s="224"/>
      <c r="SAZ4" s="225"/>
      <c r="SBA4" s="225"/>
      <c r="SBB4" s="227"/>
      <c r="SBC4" s="228"/>
      <c r="SBD4" s="228"/>
      <c r="SBE4" s="229"/>
      <c r="SBF4" s="216"/>
      <c r="SBG4" s="219"/>
      <c r="SBH4" s="220"/>
      <c r="SBI4" s="217"/>
      <c r="SBJ4" s="217"/>
      <c r="SBK4" s="217"/>
      <c r="SBL4" s="217"/>
      <c r="SBM4" s="217"/>
      <c r="SBN4" s="221"/>
      <c r="SBO4" s="222"/>
      <c r="SBP4" s="220"/>
      <c r="SBQ4" s="220"/>
      <c r="SBR4" s="220"/>
      <c r="SBS4" s="220"/>
      <c r="SBT4" s="223"/>
      <c r="SBU4" s="223"/>
      <c r="SBV4" s="223"/>
      <c r="SBW4" s="223"/>
      <c r="SBX4" s="223"/>
      <c r="SBY4" s="223"/>
      <c r="SBZ4" s="223"/>
      <c r="SCA4" s="223"/>
      <c r="SCB4" s="223"/>
      <c r="SCC4" s="224"/>
      <c r="SCD4" s="225"/>
      <c r="SCE4" s="226"/>
      <c r="SCF4" s="224"/>
      <c r="SCG4" s="225"/>
      <c r="SCH4" s="225"/>
      <c r="SCI4" s="227"/>
      <c r="SCJ4" s="228"/>
      <c r="SCK4" s="228"/>
      <c r="SCL4" s="229"/>
      <c r="SCM4" s="216"/>
      <c r="SCN4" s="219"/>
      <c r="SCO4" s="220"/>
      <c r="SCP4" s="217"/>
      <c r="SCQ4" s="217"/>
      <c r="SCR4" s="217"/>
      <c r="SCS4" s="217"/>
      <c r="SCT4" s="217"/>
      <c r="SCU4" s="221"/>
      <c r="SCV4" s="222"/>
      <c r="SCW4" s="220"/>
      <c r="SCX4" s="220"/>
      <c r="SCY4" s="220"/>
      <c r="SCZ4" s="220"/>
      <c r="SDA4" s="223"/>
      <c r="SDB4" s="223"/>
      <c r="SDC4" s="223"/>
      <c r="SDD4" s="223"/>
      <c r="SDE4" s="223"/>
      <c r="SDF4" s="223"/>
      <c r="SDG4" s="223"/>
      <c r="SDH4" s="223"/>
      <c r="SDI4" s="223"/>
      <c r="SDJ4" s="224"/>
      <c r="SDK4" s="225"/>
      <c r="SDL4" s="226"/>
      <c r="SDM4" s="224"/>
      <c r="SDN4" s="225"/>
      <c r="SDO4" s="225"/>
      <c r="SDP4" s="227"/>
      <c r="SDQ4" s="228"/>
      <c r="SDR4" s="228"/>
      <c r="SDS4" s="229"/>
      <c r="SDT4" s="216"/>
      <c r="SDU4" s="219"/>
      <c r="SDV4" s="220"/>
      <c r="SDW4" s="217"/>
      <c r="SDX4" s="217"/>
      <c r="SDY4" s="217"/>
      <c r="SDZ4" s="217"/>
      <c r="SEA4" s="217"/>
      <c r="SEB4" s="221"/>
      <c r="SEC4" s="222"/>
      <c r="SED4" s="220"/>
      <c r="SEE4" s="220"/>
      <c r="SEF4" s="220"/>
      <c r="SEG4" s="220"/>
      <c r="SEH4" s="223"/>
      <c r="SEI4" s="223"/>
      <c r="SEJ4" s="223"/>
      <c r="SEK4" s="223"/>
      <c r="SEL4" s="223"/>
      <c r="SEM4" s="223"/>
      <c r="SEN4" s="223"/>
      <c r="SEO4" s="223"/>
      <c r="SEP4" s="223"/>
      <c r="SEQ4" s="224"/>
      <c r="SER4" s="225"/>
      <c r="SES4" s="226"/>
      <c r="SET4" s="224"/>
      <c r="SEU4" s="225"/>
      <c r="SEV4" s="225"/>
      <c r="SEW4" s="227"/>
      <c r="SEX4" s="228"/>
      <c r="SEY4" s="228"/>
      <c r="SEZ4" s="229"/>
      <c r="SFA4" s="216"/>
      <c r="SFB4" s="219"/>
      <c r="SFC4" s="220"/>
      <c r="SFD4" s="217"/>
      <c r="SFE4" s="217"/>
      <c r="SFF4" s="217"/>
      <c r="SFG4" s="217"/>
      <c r="SFH4" s="217"/>
      <c r="SFI4" s="221"/>
      <c r="SFJ4" s="222"/>
      <c r="SFK4" s="220"/>
      <c r="SFL4" s="220"/>
      <c r="SFM4" s="220"/>
      <c r="SFN4" s="220"/>
      <c r="SFO4" s="223"/>
      <c r="SFP4" s="223"/>
      <c r="SFQ4" s="223"/>
      <c r="SFR4" s="223"/>
      <c r="SFS4" s="223"/>
      <c r="SFT4" s="223"/>
      <c r="SFU4" s="223"/>
      <c r="SFV4" s="223"/>
      <c r="SFW4" s="223"/>
      <c r="SFX4" s="224"/>
      <c r="SFY4" s="225"/>
      <c r="SFZ4" s="226"/>
      <c r="SGA4" s="224"/>
      <c r="SGB4" s="225"/>
      <c r="SGC4" s="225"/>
      <c r="SGD4" s="227"/>
      <c r="SGE4" s="228"/>
      <c r="SGF4" s="228"/>
      <c r="SGG4" s="229"/>
      <c r="SGH4" s="216"/>
      <c r="SGI4" s="219"/>
      <c r="SGJ4" s="220"/>
      <c r="SGK4" s="217"/>
      <c r="SGL4" s="217"/>
      <c r="SGM4" s="217"/>
      <c r="SGN4" s="217"/>
      <c r="SGO4" s="217"/>
      <c r="SGP4" s="221"/>
      <c r="SGQ4" s="222"/>
      <c r="SGR4" s="220"/>
      <c r="SGS4" s="220"/>
      <c r="SGT4" s="220"/>
      <c r="SGU4" s="220"/>
      <c r="SGV4" s="223"/>
      <c r="SGW4" s="223"/>
      <c r="SGX4" s="223"/>
      <c r="SGY4" s="223"/>
      <c r="SGZ4" s="223"/>
      <c r="SHA4" s="223"/>
      <c r="SHB4" s="223"/>
      <c r="SHC4" s="223"/>
      <c r="SHD4" s="223"/>
      <c r="SHE4" s="224"/>
      <c r="SHF4" s="225"/>
      <c r="SHG4" s="226"/>
      <c r="SHH4" s="224"/>
      <c r="SHI4" s="225"/>
      <c r="SHJ4" s="225"/>
      <c r="SHK4" s="227"/>
      <c r="SHL4" s="228"/>
      <c r="SHM4" s="228"/>
      <c r="SHN4" s="229"/>
      <c r="SHO4" s="216"/>
      <c r="SHP4" s="219"/>
      <c r="SHQ4" s="220"/>
      <c r="SHR4" s="217"/>
      <c r="SHS4" s="217"/>
      <c r="SHT4" s="217"/>
      <c r="SHU4" s="217"/>
      <c r="SHV4" s="217"/>
      <c r="SHW4" s="221"/>
      <c r="SHX4" s="222"/>
      <c r="SHY4" s="220"/>
      <c r="SHZ4" s="220"/>
      <c r="SIA4" s="220"/>
      <c r="SIB4" s="220"/>
      <c r="SIC4" s="223"/>
      <c r="SID4" s="223"/>
      <c r="SIE4" s="223"/>
      <c r="SIF4" s="223"/>
      <c r="SIG4" s="223"/>
      <c r="SIH4" s="223"/>
      <c r="SII4" s="223"/>
      <c r="SIJ4" s="223"/>
      <c r="SIK4" s="223"/>
      <c r="SIL4" s="224"/>
      <c r="SIM4" s="225"/>
      <c r="SIN4" s="226"/>
      <c r="SIO4" s="224"/>
      <c r="SIP4" s="225"/>
      <c r="SIQ4" s="225"/>
      <c r="SIR4" s="227"/>
      <c r="SIS4" s="228"/>
      <c r="SIT4" s="228"/>
      <c r="SIU4" s="229"/>
      <c r="SIV4" s="216"/>
      <c r="SIW4" s="219"/>
      <c r="SIX4" s="220"/>
      <c r="SIY4" s="217"/>
      <c r="SIZ4" s="217"/>
      <c r="SJA4" s="217"/>
      <c r="SJB4" s="217"/>
      <c r="SJC4" s="217"/>
      <c r="SJD4" s="221"/>
      <c r="SJE4" s="222"/>
      <c r="SJF4" s="220"/>
      <c r="SJG4" s="220"/>
      <c r="SJH4" s="220"/>
      <c r="SJI4" s="220"/>
      <c r="SJJ4" s="223"/>
      <c r="SJK4" s="223"/>
      <c r="SJL4" s="223"/>
      <c r="SJM4" s="223"/>
      <c r="SJN4" s="223"/>
      <c r="SJO4" s="223"/>
      <c r="SJP4" s="223"/>
      <c r="SJQ4" s="223"/>
      <c r="SJR4" s="223"/>
      <c r="SJS4" s="224"/>
      <c r="SJT4" s="225"/>
      <c r="SJU4" s="226"/>
      <c r="SJV4" s="224"/>
      <c r="SJW4" s="225"/>
      <c r="SJX4" s="225"/>
      <c r="SJY4" s="227"/>
      <c r="SJZ4" s="228"/>
      <c r="SKA4" s="228"/>
      <c r="SKB4" s="229"/>
      <c r="SKC4" s="216"/>
      <c r="SKD4" s="219"/>
      <c r="SKE4" s="220"/>
      <c r="SKF4" s="217"/>
      <c r="SKG4" s="217"/>
      <c r="SKH4" s="217"/>
      <c r="SKI4" s="217"/>
      <c r="SKJ4" s="217"/>
      <c r="SKK4" s="221"/>
      <c r="SKL4" s="222"/>
      <c r="SKM4" s="220"/>
      <c r="SKN4" s="220"/>
      <c r="SKO4" s="220"/>
      <c r="SKP4" s="220"/>
      <c r="SKQ4" s="223"/>
      <c r="SKR4" s="223"/>
      <c r="SKS4" s="223"/>
      <c r="SKT4" s="223"/>
      <c r="SKU4" s="223"/>
      <c r="SKV4" s="223"/>
      <c r="SKW4" s="223"/>
      <c r="SKX4" s="223"/>
      <c r="SKY4" s="223"/>
      <c r="SKZ4" s="224"/>
      <c r="SLA4" s="225"/>
      <c r="SLB4" s="226"/>
      <c r="SLC4" s="224"/>
      <c r="SLD4" s="225"/>
      <c r="SLE4" s="225"/>
      <c r="SLF4" s="227"/>
      <c r="SLG4" s="228"/>
      <c r="SLH4" s="228"/>
      <c r="SLI4" s="229"/>
      <c r="SLJ4" s="216"/>
      <c r="SLK4" s="219"/>
      <c r="SLL4" s="220"/>
      <c r="SLM4" s="217"/>
      <c r="SLN4" s="217"/>
      <c r="SLO4" s="217"/>
      <c r="SLP4" s="217"/>
      <c r="SLQ4" s="217"/>
      <c r="SLR4" s="221"/>
      <c r="SLS4" s="222"/>
      <c r="SLT4" s="220"/>
      <c r="SLU4" s="220"/>
      <c r="SLV4" s="220"/>
      <c r="SLW4" s="220"/>
      <c r="SLX4" s="223"/>
      <c r="SLY4" s="223"/>
      <c r="SLZ4" s="223"/>
      <c r="SMA4" s="223"/>
      <c r="SMB4" s="223"/>
      <c r="SMC4" s="223"/>
      <c r="SMD4" s="223"/>
      <c r="SME4" s="223"/>
      <c r="SMF4" s="223"/>
      <c r="SMG4" s="224"/>
      <c r="SMH4" s="225"/>
      <c r="SMI4" s="226"/>
      <c r="SMJ4" s="224"/>
      <c r="SMK4" s="225"/>
      <c r="SML4" s="225"/>
      <c r="SMM4" s="227"/>
      <c r="SMN4" s="228"/>
      <c r="SMO4" s="228"/>
      <c r="SMP4" s="229"/>
      <c r="SMQ4" s="216"/>
      <c r="SMR4" s="219"/>
      <c r="SMS4" s="220"/>
      <c r="SMT4" s="217"/>
      <c r="SMU4" s="217"/>
      <c r="SMV4" s="217"/>
      <c r="SMW4" s="217"/>
      <c r="SMX4" s="217"/>
      <c r="SMY4" s="221"/>
      <c r="SMZ4" s="222"/>
      <c r="SNA4" s="220"/>
      <c r="SNB4" s="220"/>
      <c r="SNC4" s="220"/>
      <c r="SND4" s="220"/>
      <c r="SNE4" s="223"/>
      <c r="SNF4" s="223"/>
      <c r="SNG4" s="223"/>
      <c r="SNH4" s="223"/>
      <c r="SNI4" s="223"/>
      <c r="SNJ4" s="223"/>
      <c r="SNK4" s="223"/>
      <c r="SNL4" s="223"/>
      <c r="SNM4" s="223"/>
      <c r="SNN4" s="224"/>
      <c r="SNO4" s="225"/>
      <c r="SNP4" s="226"/>
      <c r="SNQ4" s="224"/>
      <c r="SNR4" s="225"/>
      <c r="SNS4" s="225"/>
      <c r="SNT4" s="227"/>
      <c r="SNU4" s="228"/>
      <c r="SNV4" s="228"/>
      <c r="SNW4" s="229"/>
      <c r="SNX4" s="216"/>
      <c r="SNY4" s="219"/>
      <c r="SNZ4" s="220"/>
      <c r="SOA4" s="217"/>
      <c r="SOB4" s="217"/>
      <c r="SOC4" s="217"/>
      <c r="SOD4" s="217"/>
      <c r="SOE4" s="217"/>
      <c r="SOF4" s="221"/>
      <c r="SOG4" s="222"/>
      <c r="SOH4" s="220"/>
      <c r="SOI4" s="220"/>
      <c r="SOJ4" s="220"/>
      <c r="SOK4" s="220"/>
      <c r="SOL4" s="223"/>
      <c r="SOM4" s="223"/>
      <c r="SON4" s="223"/>
      <c r="SOO4" s="223"/>
      <c r="SOP4" s="223"/>
      <c r="SOQ4" s="223"/>
      <c r="SOR4" s="223"/>
      <c r="SOS4" s="223"/>
      <c r="SOT4" s="223"/>
      <c r="SOU4" s="224"/>
      <c r="SOV4" s="225"/>
      <c r="SOW4" s="226"/>
      <c r="SOX4" s="224"/>
      <c r="SOY4" s="225"/>
      <c r="SOZ4" s="225"/>
      <c r="SPA4" s="227"/>
      <c r="SPB4" s="228"/>
      <c r="SPC4" s="228"/>
      <c r="SPD4" s="229"/>
      <c r="SPE4" s="216"/>
      <c r="SPF4" s="219"/>
      <c r="SPG4" s="220"/>
      <c r="SPH4" s="217"/>
      <c r="SPI4" s="217"/>
      <c r="SPJ4" s="217"/>
      <c r="SPK4" s="217"/>
      <c r="SPL4" s="217"/>
      <c r="SPM4" s="221"/>
      <c r="SPN4" s="222"/>
      <c r="SPO4" s="220"/>
      <c r="SPP4" s="220"/>
      <c r="SPQ4" s="220"/>
      <c r="SPR4" s="220"/>
      <c r="SPS4" s="223"/>
      <c r="SPT4" s="223"/>
      <c r="SPU4" s="223"/>
      <c r="SPV4" s="223"/>
      <c r="SPW4" s="223"/>
      <c r="SPX4" s="223"/>
      <c r="SPY4" s="223"/>
      <c r="SPZ4" s="223"/>
      <c r="SQA4" s="223"/>
      <c r="SQB4" s="224"/>
      <c r="SQC4" s="225"/>
      <c r="SQD4" s="226"/>
      <c r="SQE4" s="224"/>
      <c r="SQF4" s="225"/>
      <c r="SQG4" s="225"/>
      <c r="SQH4" s="227"/>
      <c r="SQI4" s="228"/>
      <c r="SQJ4" s="228"/>
      <c r="SQK4" s="229"/>
      <c r="SQL4" s="216"/>
      <c r="SQM4" s="219"/>
      <c r="SQN4" s="220"/>
      <c r="SQO4" s="217"/>
      <c r="SQP4" s="217"/>
      <c r="SQQ4" s="217"/>
      <c r="SQR4" s="217"/>
      <c r="SQS4" s="217"/>
      <c r="SQT4" s="221"/>
      <c r="SQU4" s="222"/>
      <c r="SQV4" s="220"/>
      <c r="SQW4" s="220"/>
      <c r="SQX4" s="220"/>
      <c r="SQY4" s="220"/>
      <c r="SQZ4" s="223"/>
      <c r="SRA4" s="223"/>
      <c r="SRB4" s="223"/>
      <c r="SRC4" s="223"/>
      <c r="SRD4" s="223"/>
      <c r="SRE4" s="223"/>
      <c r="SRF4" s="223"/>
      <c r="SRG4" s="223"/>
      <c r="SRH4" s="223"/>
      <c r="SRI4" s="224"/>
      <c r="SRJ4" s="225"/>
      <c r="SRK4" s="226"/>
      <c r="SRL4" s="224"/>
      <c r="SRM4" s="225"/>
      <c r="SRN4" s="225"/>
      <c r="SRO4" s="227"/>
      <c r="SRP4" s="228"/>
      <c r="SRQ4" s="228"/>
      <c r="SRR4" s="229"/>
      <c r="SRS4" s="216"/>
      <c r="SRT4" s="219"/>
      <c r="SRU4" s="220"/>
      <c r="SRV4" s="217"/>
      <c r="SRW4" s="217"/>
      <c r="SRX4" s="217"/>
      <c r="SRY4" s="217"/>
      <c r="SRZ4" s="217"/>
      <c r="SSA4" s="221"/>
      <c r="SSB4" s="222"/>
      <c r="SSC4" s="220"/>
      <c r="SSD4" s="220"/>
      <c r="SSE4" s="220"/>
      <c r="SSF4" s="220"/>
      <c r="SSG4" s="223"/>
      <c r="SSH4" s="223"/>
      <c r="SSI4" s="223"/>
      <c r="SSJ4" s="223"/>
      <c r="SSK4" s="223"/>
      <c r="SSL4" s="223"/>
      <c r="SSM4" s="223"/>
      <c r="SSN4" s="223"/>
      <c r="SSO4" s="223"/>
      <c r="SSP4" s="224"/>
      <c r="SSQ4" s="225"/>
      <c r="SSR4" s="226"/>
      <c r="SSS4" s="224"/>
      <c r="SST4" s="225"/>
      <c r="SSU4" s="225"/>
      <c r="SSV4" s="227"/>
      <c r="SSW4" s="228"/>
      <c r="SSX4" s="228"/>
      <c r="SSY4" s="229"/>
      <c r="SSZ4" s="216"/>
      <c r="STA4" s="219"/>
      <c r="STB4" s="220"/>
      <c r="STC4" s="217"/>
      <c r="STD4" s="217"/>
      <c r="STE4" s="217"/>
      <c r="STF4" s="217"/>
      <c r="STG4" s="217"/>
      <c r="STH4" s="221"/>
      <c r="STI4" s="222"/>
      <c r="STJ4" s="220"/>
      <c r="STK4" s="220"/>
      <c r="STL4" s="220"/>
      <c r="STM4" s="220"/>
      <c r="STN4" s="223"/>
      <c r="STO4" s="223"/>
      <c r="STP4" s="223"/>
      <c r="STQ4" s="223"/>
      <c r="STR4" s="223"/>
      <c r="STS4" s="223"/>
      <c r="STT4" s="223"/>
      <c r="STU4" s="223"/>
      <c r="STV4" s="223"/>
      <c r="STW4" s="224"/>
      <c r="STX4" s="225"/>
      <c r="STY4" s="226"/>
      <c r="STZ4" s="224"/>
      <c r="SUA4" s="225"/>
      <c r="SUB4" s="225"/>
      <c r="SUC4" s="227"/>
      <c r="SUD4" s="228"/>
      <c r="SUE4" s="228"/>
      <c r="SUF4" s="229"/>
      <c r="SUG4" s="216"/>
      <c r="SUH4" s="219"/>
      <c r="SUI4" s="220"/>
      <c r="SUJ4" s="217"/>
      <c r="SUK4" s="217"/>
      <c r="SUL4" s="217"/>
      <c r="SUM4" s="217"/>
      <c r="SUN4" s="217"/>
      <c r="SUO4" s="221"/>
      <c r="SUP4" s="222"/>
      <c r="SUQ4" s="220"/>
      <c r="SUR4" s="220"/>
      <c r="SUS4" s="220"/>
      <c r="SUT4" s="220"/>
      <c r="SUU4" s="223"/>
      <c r="SUV4" s="223"/>
      <c r="SUW4" s="223"/>
      <c r="SUX4" s="223"/>
      <c r="SUY4" s="223"/>
      <c r="SUZ4" s="223"/>
      <c r="SVA4" s="223"/>
      <c r="SVB4" s="223"/>
      <c r="SVC4" s="223"/>
      <c r="SVD4" s="224"/>
      <c r="SVE4" s="225"/>
      <c r="SVF4" s="226"/>
      <c r="SVG4" s="224"/>
      <c r="SVH4" s="225"/>
      <c r="SVI4" s="225"/>
      <c r="SVJ4" s="227"/>
      <c r="SVK4" s="228"/>
      <c r="SVL4" s="228"/>
      <c r="SVM4" s="229"/>
      <c r="SVN4" s="216"/>
      <c r="SVO4" s="219"/>
      <c r="SVP4" s="220"/>
      <c r="SVQ4" s="217"/>
      <c r="SVR4" s="217"/>
      <c r="SVS4" s="217"/>
      <c r="SVT4" s="217"/>
      <c r="SVU4" s="217"/>
      <c r="SVV4" s="221"/>
      <c r="SVW4" s="222"/>
      <c r="SVX4" s="220"/>
      <c r="SVY4" s="220"/>
      <c r="SVZ4" s="220"/>
      <c r="SWA4" s="220"/>
      <c r="SWB4" s="223"/>
      <c r="SWC4" s="223"/>
      <c r="SWD4" s="223"/>
      <c r="SWE4" s="223"/>
      <c r="SWF4" s="223"/>
      <c r="SWG4" s="223"/>
      <c r="SWH4" s="223"/>
      <c r="SWI4" s="223"/>
      <c r="SWJ4" s="223"/>
      <c r="SWK4" s="224"/>
      <c r="SWL4" s="225"/>
      <c r="SWM4" s="226"/>
      <c r="SWN4" s="224"/>
      <c r="SWO4" s="225"/>
      <c r="SWP4" s="225"/>
      <c r="SWQ4" s="227"/>
      <c r="SWR4" s="228"/>
      <c r="SWS4" s="228"/>
      <c r="SWT4" s="229"/>
      <c r="SWU4" s="216"/>
      <c r="SWV4" s="219"/>
      <c r="SWW4" s="220"/>
      <c r="SWX4" s="217"/>
      <c r="SWY4" s="217"/>
      <c r="SWZ4" s="217"/>
      <c r="SXA4" s="217"/>
      <c r="SXB4" s="217"/>
      <c r="SXC4" s="221"/>
      <c r="SXD4" s="222"/>
      <c r="SXE4" s="220"/>
      <c r="SXF4" s="220"/>
      <c r="SXG4" s="220"/>
      <c r="SXH4" s="220"/>
      <c r="SXI4" s="223"/>
      <c r="SXJ4" s="223"/>
      <c r="SXK4" s="223"/>
      <c r="SXL4" s="223"/>
      <c r="SXM4" s="223"/>
      <c r="SXN4" s="223"/>
      <c r="SXO4" s="223"/>
      <c r="SXP4" s="223"/>
      <c r="SXQ4" s="223"/>
      <c r="SXR4" s="224"/>
      <c r="SXS4" s="225"/>
      <c r="SXT4" s="226"/>
      <c r="SXU4" s="224"/>
      <c r="SXV4" s="225"/>
      <c r="SXW4" s="225"/>
      <c r="SXX4" s="227"/>
      <c r="SXY4" s="228"/>
      <c r="SXZ4" s="228"/>
      <c r="SYA4" s="229"/>
      <c r="SYB4" s="216"/>
      <c r="SYC4" s="219"/>
      <c r="SYD4" s="220"/>
      <c r="SYE4" s="217"/>
      <c r="SYF4" s="217"/>
      <c r="SYG4" s="217"/>
      <c r="SYH4" s="217"/>
      <c r="SYI4" s="217"/>
      <c r="SYJ4" s="221"/>
      <c r="SYK4" s="222"/>
      <c r="SYL4" s="220"/>
      <c r="SYM4" s="220"/>
      <c r="SYN4" s="220"/>
      <c r="SYO4" s="220"/>
      <c r="SYP4" s="223"/>
      <c r="SYQ4" s="223"/>
      <c r="SYR4" s="223"/>
      <c r="SYS4" s="223"/>
      <c r="SYT4" s="223"/>
      <c r="SYU4" s="223"/>
      <c r="SYV4" s="223"/>
      <c r="SYW4" s="223"/>
      <c r="SYX4" s="223"/>
      <c r="SYY4" s="224"/>
      <c r="SYZ4" s="225"/>
      <c r="SZA4" s="226"/>
      <c r="SZB4" s="224"/>
      <c r="SZC4" s="225"/>
      <c r="SZD4" s="225"/>
      <c r="SZE4" s="227"/>
      <c r="SZF4" s="228"/>
      <c r="SZG4" s="228"/>
      <c r="SZH4" s="229"/>
      <c r="SZI4" s="216"/>
      <c r="SZJ4" s="219"/>
      <c r="SZK4" s="220"/>
      <c r="SZL4" s="217"/>
      <c r="SZM4" s="217"/>
      <c r="SZN4" s="217"/>
      <c r="SZO4" s="217"/>
      <c r="SZP4" s="217"/>
      <c r="SZQ4" s="221"/>
      <c r="SZR4" s="222"/>
      <c r="SZS4" s="220"/>
      <c r="SZT4" s="220"/>
      <c r="SZU4" s="220"/>
      <c r="SZV4" s="220"/>
      <c r="SZW4" s="223"/>
      <c r="SZX4" s="223"/>
      <c r="SZY4" s="223"/>
      <c r="SZZ4" s="223"/>
      <c r="TAA4" s="223"/>
      <c r="TAB4" s="223"/>
      <c r="TAC4" s="223"/>
      <c r="TAD4" s="223"/>
      <c r="TAE4" s="223"/>
      <c r="TAF4" s="224"/>
      <c r="TAG4" s="225"/>
      <c r="TAH4" s="226"/>
      <c r="TAI4" s="224"/>
      <c r="TAJ4" s="225"/>
      <c r="TAK4" s="225"/>
      <c r="TAL4" s="227"/>
      <c r="TAM4" s="228"/>
      <c r="TAN4" s="228"/>
      <c r="TAO4" s="229"/>
      <c r="TAP4" s="216"/>
      <c r="TAQ4" s="219"/>
      <c r="TAR4" s="220"/>
      <c r="TAS4" s="217"/>
      <c r="TAT4" s="217"/>
      <c r="TAU4" s="217"/>
      <c r="TAV4" s="217"/>
      <c r="TAW4" s="217"/>
      <c r="TAX4" s="221"/>
      <c r="TAY4" s="222"/>
      <c r="TAZ4" s="220"/>
      <c r="TBA4" s="220"/>
      <c r="TBB4" s="220"/>
      <c r="TBC4" s="220"/>
      <c r="TBD4" s="223"/>
      <c r="TBE4" s="223"/>
      <c r="TBF4" s="223"/>
      <c r="TBG4" s="223"/>
      <c r="TBH4" s="223"/>
      <c r="TBI4" s="223"/>
      <c r="TBJ4" s="223"/>
      <c r="TBK4" s="223"/>
      <c r="TBL4" s="223"/>
      <c r="TBM4" s="224"/>
      <c r="TBN4" s="225"/>
      <c r="TBO4" s="226"/>
      <c r="TBP4" s="224"/>
      <c r="TBQ4" s="225"/>
      <c r="TBR4" s="225"/>
      <c r="TBS4" s="227"/>
      <c r="TBT4" s="228"/>
      <c r="TBU4" s="228"/>
      <c r="TBV4" s="229"/>
      <c r="TBW4" s="216"/>
      <c r="TBX4" s="219"/>
      <c r="TBY4" s="220"/>
      <c r="TBZ4" s="217"/>
      <c r="TCA4" s="217"/>
      <c r="TCB4" s="217"/>
      <c r="TCC4" s="217"/>
      <c r="TCD4" s="217"/>
      <c r="TCE4" s="221"/>
      <c r="TCF4" s="222"/>
      <c r="TCG4" s="220"/>
      <c r="TCH4" s="220"/>
      <c r="TCI4" s="220"/>
      <c r="TCJ4" s="220"/>
      <c r="TCK4" s="223"/>
      <c r="TCL4" s="223"/>
      <c r="TCM4" s="223"/>
      <c r="TCN4" s="223"/>
      <c r="TCO4" s="223"/>
      <c r="TCP4" s="223"/>
      <c r="TCQ4" s="223"/>
      <c r="TCR4" s="223"/>
      <c r="TCS4" s="223"/>
      <c r="TCT4" s="224"/>
      <c r="TCU4" s="225"/>
      <c r="TCV4" s="226"/>
      <c r="TCW4" s="224"/>
      <c r="TCX4" s="225"/>
      <c r="TCY4" s="225"/>
      <c r="TCZ4" s="227"/>
      <c r="TDA4" s="228"/>
      <c r="TDB4" s="228"/>
      <c r="TDC4" s="229"/>
      <c r="TDD4" s="216"/>
      <c r="TDE4" s="219"/>
      <c r="TDF4" s="220"/>
      <c r="TDG4" s="217"/>
      <c r="TDH4" s="217"/>
      <c r="TDI4" s="217"/>
      <c r="TDJ4" s="217"/>
      <c r="TDK4" s="217"/>
      <c r="TDL4" s="221"/>
      <c r="TDM4" s="222"/>
      <c r="TDN4" s="220"/>
      <c r="TDO4" s="220"/>
      <c r="TDP4" s="220"/>
      <c r="TDQ4" s="220"/>
      <c r="TDR4" s="223"/>
      <c r="TDS4" s="223"/>
      <c r="TDT4" s="223"/>
      <c r="TDU4" s="223"/>
      <c r="TDV4" s="223"/>
      <c r="TDW4" s="223"/>
      <c r="TDX4" s="223"/>
      <c r="TDY4" s="223"/>
      <c r="TDZ4" s="223"/>
      <c r="TEA4" s="224"/>
      <c r="TEB4" s="225"/>
      <c r="TEC4" s="226"/>
      <c r="TED4" s="224"/>
      <c r="TEE4" s="225"/>
      <c r="TEF4" s="225"/>
      <c r="TEG4" s="227"/>
      <c r="TEH4" s="228"/>
      <c r="TEI4" s="228"/>
      <c r="TEJ4" s="229"/>
      <c r="TEK4" s="216"/>
      <c r="TEL4" s="219"/>
      <c r="TEM4" s="220"/>
      <c r="TEN4" s="217"/>
      <c r="TEO4" s="217"/>
      <c r="TEP4" s="217"/>
      <c r="TEQ4" s="217"/>
      <c r="TER4" s="217"/>
      <c r="TES4" s="221"/>
      <c r="TET4" s="222"/>
      <c r="TEU4" s="220"/>
      <c r="TEV4" s="220"/>
      <c r="TEW4" s="220"/>
      <c r="TEX4" s="220"/>
      <c r="TEY4" s="223"/>
      <c r="TEZ4" s="223"/>
      <c r="TFA4" s="223"/>
      <c r="TFB4" s="223"/>
      <c r="TFC4" s="223"/>
      <c r="TFD4" s="223"/>
      <c r="TFE4" s="223"/>
      <c r="TFF4" s="223"/>
      <c r="TFG4" s="223"/>
      <c r="TFH4" s="224"/>
      <c r="TFI4" s="225"/>
      <c r="TFJ4" s="226"/>
      <c r="TFK4" s="224"/>
      <c r="TFL4" s="225"/>
      <c r="TFM4" s="225"/>
      <c r="TFN4" s="227"/>
      <c r="TFO4" s="228"/>
      <c r="TFP4" s="228"/>
      <c r="TFQ4" s="229"/>
      <c r="TFR4" s="216"/>
      <c r="TFS4" s="219"/>
      <c r="TFT4" s="220"/>
      <c r="TFU4" s="217"/>
      <c r="TFV4" s="217"/>
      <c r="TFW4" s="217"/>
      <c r="TFX4" s="217"/>
      <c r="TFY4" s="217"/>
      <c r="TFZ4" s="221"/>
      <c r="TGA4" s="222"/>
      <c r="TGB4" s="220"/>
      <c r="TGC4" s="220"/>
      <c r="TGD4" s="220"/>
      <c r="TGE4" s="220"/>
      <c r="TGF4" s="223"/>
      <c r="TGG4" s="223"/>
      <c r="TGH4" s="223"/>
      <c r="TGI4" s="223"/>
      <c r="TGJ4" s="223"/>
      <c r="TGK4" s="223"/>
      <c r="TGL4" s="223"/>
      <c r="TGM4" s="223"/>
      <c r="TGN4" s="223"/>
      <c r="TGO4" s="224"/>
      <c r="TGP4" s="225"/>
      <c r="TGQ4" s="226"/>
      <c r="TGR4" s="224"/>
      <c r="TGS4" s="225"/>
      <c r="TGT4" s="225"/>
      <c r="TGU4" s="227"/>
      <c r="TGV4" s="228"/>
      <c r="TGW4" s="228"/>
      <c r="TGX4" s="229"/>
      <c r="TGY4" s="216"/>
      <c r="TGZ4" s="219"/>
      <c r="THA4" s="220"/>
      <c r="THB4" s="217"/>
      <c r="THC4" s="217"/>
      <c r="THD4" s="217"/>
      <c r="THE4" s="217"/>
      <c r="THF4" s="217"/>
      <c r="THG4" s="221"/>
      <c r="THH4" s="222"/>
      <c r="THI4" s="220"/>
      <c r="THJ4" s="220"/>
      <c r="THK4" s="220"/>
      <c r="THL4" s="220"/>
      <c r="THM4" s="223"/>
      <c r="THN4" s="223"/>
      <c r="THO4" s="223"/>
      <c r="THP4" s="223"/>
      <c r="THQ4" s="223"/>
      <c r="THR4" s="223"/>
      <c r="THS4" s="223"/>
      <c r="THT4" s="223"/>
      <c r="THU4" s="223"/>
      <c r="THV4" s="224"/>
      <c r="THW4" s="225"/>
      <c r="THX4" s="226"/>
      <c r="THY4" s="224"/>
      <c r="THZ4" s="225"/>
      <c r="TIA4" s="225"/>
      <c r="TIB4" s="227"/>
      <c r="TIC4" s="228"/>
      <c r="TID4" s="228"/>
      <c r="TIE4" s="229"/>
      <c r="TIF4" s="216"/>
      <c r="TIG4" s="219"/>
      <c r="TIH4" s="220"/>
      <c r="TII4" s="217"/>
      <c r="TIJ4" s="217"/>
      <c r="TIK4" s="217"/>
      <c r="TIL4" s="217"/>
      <c r="TIM4" s="217"/>
      <c r="TIN4" s="221"/>
      <c r="TIO4" s="222"/>
      <c r="TIP4" s="220"/>
      <c r="TIQ4" s="220"/>
      <c r="TIR4" s="220"/>
      <c r="TIS4" s="220"/>
      <c r="TIT4" s="223"/>
      <c r="TIU4" s="223"/>
      <c r="TIV4" s="223"/>
      <c r="TIW4" s="223"/>
      <c r="TIX4" s="223"/>
      <c r="TIY4" s="223"/>
      <c r="TIZ4" s="223"/>
      <c r="TJA4" s="223"/>
      <c r="TJB4" s="223"/>
      <c r="TJC4" s="224"/>
      <c r="TJD4" s="225"/>
      <c r="TJE4" s="226"/>
      <c r="TJF4" s="224"/>
      <c r="TJG4" s="225"/>
      <c r="TJH4" s="225"/>
      <c r="TJI4" s="227"/>
      <c r="TJJ4" s="228"/>
      <c r="TJK4" s="228"/>
      <c r="TJL4" s="229"/>
      <c r="TJM4" s="216"/>
      <c r="TJN4" s="219"/>
      <c r="TJO4" s="220"/>
      <c r="TJP4" s="217"/>
      <c r="TJQ4" s="217"/>
      <c r="TJR4" s="217"/>
      <c r="TJS4" s="217"/>
      <c r="TJT4" s="217"/>
      <c r="TJU4" s="221"/>
      <c r="TJV4" s="222"/>
      <c r="TJW4" s="220"/>
      <c r="TJX4" s="220"/>
      <c r="TJY4" s="220"/>
      <c r="TJZ4" s="220"/>
      <c r="TKA4" s="223"/>
      <c r="TKB4" s="223"/>
      <c r="TKC4" s="223"/>
      <c r="TKD4" s="223"/>
      <c r="TKE4" s="223"/>
      <c r="TKF4" s="223"/>
      <c r="TKG4" s="223"/>
      <c r="TKH4" s="223"/>
      <c r="TKI4" s="223"/>
      <c r="TKJ4" s="224"/>
      <c r="TKK4" s="225"/>
      <c r="TKL4" s="226"/>
      <c r="TKM4" s="224"/>
      <c r="TKN4" s="225"/>
      <c r="TKO4" s="225"/>
      <c r="TKP4" s="227"/>
      <c r="TKQ4" s="228"/>
      <c r="TKR4" s="228"/>
      <c r="TKS4" s="229"/>
      <c r="TKT4" s="216"/>
      <c r="TKU4" s="219"/>
      <c r="TKV4" s="220"/>
      <c r="TKW4" s="217"/>
      <c r="TKX4" s="217"/>
      <c r="TKY4" s="217"/>
      <c r="TKZ4" s="217"/>
      <c r="TLA4" s="217"/>
      <c r="TLB4" s="221"/>
      <c r="TLC4" s="222"/>
      <c r="TLD4" s="220"/>
      <c r="TLE4" s="220"/>
      <c r="TLF4" s="220"/>
      <c r="TLG4" s="220"/>
      <c r="TLH4" s="223"/>
      <c r="TLI4" s="223"/>
      <c r="TLJ4" s="223"/>
      <c r="TLK4" s="223"/>
      <c r="TLL4" s="223"/>
      <c r="TLM4" s="223"/>
      <c r="TLN4" s="223"/>
      <c r="TLO4" s="223"/>
      <c r="TLP4" s="223"/>
      <c r="TLQ4" s="224"/>
      <c r="TLR4" s="225"/>
      <c r="TLS4" s="226"/>
      <c r="TLT4" s="224"/>
      <c r="TLU4" s="225"/>
      <c r="TLV4" s="225"/>
      <c r="TLW4" s="227"/>
      <c r="TLX4" s="228"/>
      <c r="TLY4" s="228"/>
      <c r="TLZ4" s="229"/>
      <c r="TMA4" s="216"/>
      <c r="TMB4" s="219"/>
      <c r="TMC4" s="220"/>
      <c r="TMD4" s="217"/>
      <c r="TME4" s="217"/>
      <c r="TMF4" s="217"/>
      <c r="TMG4" s="217"/>
      <c r="TMH4" s="217"/>
      <c r="TMI4" s="221"/>
      <c r="TMJ4" s="222"/>
      <c r="TMK4" s="220"/>
      <c r="TML4" s="220"/>
      <c r="TMM4" s="220"/>
      <c r="TMN4" s="220"/>
      <c r="TMO4" s="223"/>
      <c r="TMP4" s="223"/>
      <c r="TMQ4" s="223"/>
      <c r="TMR4" s="223"/>
      <c r="TMS4" s="223"/>
      <c r="TMT4" s="223"/>
      <c r="TMU4" s="223"/>
      <c r="TMV4" s="223"/>
      <c r="TMW4" s="223"/>
      <c r="TMX4" s="224"/>
      <c r="TMY4" s="225"/>
      <c r="TMZ4" s="226"/>
      <c r="TNA4" s="224"/>
      <c r="TNB4" s="225"/>
      <c r="TNC4" s="225"/>
      <c r="TND4" s="227"/>
      <c r="TNE4" s="228"/>
      <c r="TNF4" s="228"/>
      <c r="TNG4" s="229"/>
      <c r="TNH4" s="216"/>
      <c r="TNI4" s="219"/>
      <c r="TNJ4" s="220"/>
      <c r="TNK4" s="217"/>
      <c r="TNL4" s="217"/>
      <c r="TNM4" s="217"/>
      <c r="TNN4" s="217"/>
      <c r="TNO4" s="217"/>
      <c r="TNP4" s="221"/>
      <c r="TNQ4" s="222"/>
      <c r="TNR4" s="220"/>
      <c r="TNS4" s="220"/>
      <c r="TNT4" s="220"/>
      <c r="TNU4" s="220"/>
      <c r="TNV4" s="223"/>
      <c r="TNW4" s="223"/>
      <c r="TNX4" s="223"/>
      <c r="TNY4" s="223"/>
      <c r="TNZ4" s="223"/>
      <c r="TOA4" s="223"/>
      <c r="TOB4" s="223"/>
      <c r="TOC4" s="223"/>
      <c r="TOD4" s="223"/>
      <c r="TOE4" s="224"/>
      <c r="TOF4" s="225"/>
      <c r="TOG4" s="226"/>
      <c r="TOH4" s="224"/>
      <c r="TOI4" s="225"/>
      <c r="TOJ4" s="225"/>
      <c r="TOK4" s="227"/>
      <c r="TOL4" s="228"/>
      <c r="TOM4" s="228"/>
      <c r="TON4" s="229"/>
      <c r="TOO4" s="216"/>
      <c r="TOP4" s="219"/>
      <c r="TOQ4" s="220"/>
      <c r="TOR4" s="217"/>
      <c r="TOS4" s="217"/>
      <c r="TOT4" s="217"/>
      <c r="TOU4" s="217"/>
      <c r="TOV4" s="217"/>
      <c r="TOW4" s="221"/>
      <c r="TOX4" s="222"/>
      <c r="TOY4" s="220"/>
      <c r="TOZ4" s="220"/>
      <c r="TPA4" s="220"/>
      <c r="TPB4" s="220"/>
      <c r="TPC4" s="223"/>
      <c r="TPD4" s="223"/>
      <c r="TPE4" s="223"/>
      <c r="TPF4" s="223"/>
      <c r="TPG4" s="223"/>
      <c r="TPH4" s="223"/>
      <c r="TPI4" s="223"/>
      <c r="TPJ4" s="223"/>
      <c r="TPK4" s="223"/>
      <c r="TPL4" s="224"/>
      <c r="TPM4" s="225"/>
      <c r="TPN4" s="226"/>
      <c r="TPO4" s="224"/>
      <c r="TPP4" s="225"/>
      <c r="TPQ4" s="225"/>
      <c r="TPR4" s="227"/>
      <c r="TPS4" s="228"/>
      <c r="TPT4" s="228"/>
      <c r="TPU4" s="229"/>
      <c r="TPV4" s="216"/>
      <c r="TPW4" s="219"/>
      <c r="TPX4" s="220"/>
      <c r="TPY4" s="217"/>
      <c r="TPZ4" s="217"/>
      <c r="TQA4" s="217"/>
      <c r="TQB4" s="217"/>
      <c r="TQC4" s="217"/>
      <c r="TQD4" s="221"/>
      <c r="TQE4" s="222"/>
      <c r="TQF4" s="220"/>
      <c r="TQG4" s="220"/>
      <c r="TQH4" s="220"/>
      <c r="TQI4" s="220"/>
      <c r="TQJ4" s="223"/>
      <c r="TQK4" s="223"/>
      <c r="TQL4" s="223"/>
      <c r="TQM4" s="223"/>
      <c r="TQN4" s="223"/>
      <c r="TQO4" s="223"/>
      <c r="TQP4" s="223"/>
      <c r="TQQ4" s="223"/>
      <c r="TQR4" s="223"/>
      <c r="TQS4" s="224"/>
      <c r="TQT4" s="225"/>
      <c r="TQU4" s="226"/>
      <c r="TQV4" s="224"/>
      <c r="TQW4" s="225"/>
      <c r="TQX4" s="225"/>
      <c r="TQY4" s="227"/>
      <c r="TQZ4" s="228"/>
      <c r="TRA4" s="228"/>
      <c r="TRB4" s="229"/>
      <c r="TRC4" s="216"/>
      <c r="TRD4" s="219"/>
      <c r="TRE4" s="220"/>
      <c r="TRF4" s="217"/>
      <c r="TRG4" s="217"/>
      <c r="TRH4" s="217"/>
      <c r="TRI4" s="217"/>
      <c r="TRJ4" s="217"/>
      <c r="TRK4" s="221"/>
      <c r="TRL4" s="222"/>
      <c r="TRM4" s="220"/>
      <c r="TRN4" s="220"/>
      <c r="TRO4" s="220"/>
      <c r="TRP4" s="220"/>
      <c r="TRQ4" s="223"/>
      <c r="TRR4" s="223"/>
      <c r="TRS4" s="223"/>
      <c r="TRT4" s="223"/>
      <c r="TRU4" s="223"/>
      <c r="TRV4" s="223"/>
      <c r="TRW4" s="223"/>
      <c r="TRX4" s="223"/>
      <c r="TRY4" s="223"/>
      <c r="TRZ4" s="224"/>
      <c r="TSA4" s="225"/>
      <c r="TSB4" s="226"/>
      <c r="TSC4" s="224"/>
      <c r="TSD4" s="225"/>
      <c r="TSE4" s="225"/>
      <c r="TSF4" s="227"/>
      <c r="TSG4" s="228"/>
      <c r="TSH4" s="228"/>
      <c r="TSI4" s="229"/>
      <c r="TSJ4" s="216"/>
      <c r="TSK4" s="219"/>
      <c r="TSL4" s="220"/>
      <c r="TSM4" s="217"/>
      <c r="TSN4" s="217"/>
      <c r="TSO4" s="217"/>
      <c r="TSP4" s="217"/>
      <c r="TSQ4" s="217"/>
      <c r="TSR4" s="221"/>
      <c r="TSS4" s="222"/>
      <c r="TST4" s="220"/>
      <c r="TSU4" s="220"/>
      <c r="TSV4" s="220"/>
      <c r="TSW4" s="220"/>
      <c r="TSX4" s="223"/>
      <c r="TSY4" s="223"/>
      <c r="TSZ4" s="223"/>
      <c r="TTA4" s="223"/>
      <c r="TTB4" s="223"/>
      <c r="TTC4" s="223"/>
      <c r="TTD4" s="223"/>
      <c r="TTE4" s="223"/>
      <c r="TTF4" s="223"/>
      <c r="TTG4" s="224"/>
      <c r="TTH4" s="225"/>
      <c r="TTI4" s="226"/>
      <c r="TTJ4" s="224"/>
      <c r="TTK4" s="225"/>
      <c r="TTL4" s="225"/>
      <c r="TTM4" s="227"/>
      <c r="TTN4" s="228"/>
      <c r="TTO4" s="228"/>
      <c r="TTP4" s="229"/>
      <c r="TTQ4" s="216"/>
      <c r="TTR4" s="219"/>
      <c r="TTS4" s="220"/>
      <c r="TTT4" s="217"/>
      <c r="TTU4" s="217"/>
      <c r="TTV4" s="217"/>
      <c r="TTW4" s="217"/>
      <c r="TTX4" s="217"/>
      <c r="TTY4" s="221"/>
      <c r="TTZ4" s="222"/>
      <c r="TUA4" s="220"/>
      <c r="TUB4" s="220"/>
      <c r="TUC4" s="220"/>
      <c r="TUD4" s="220"/>
      <c r="TUE4" s="223"/>
      <c r="TUF4" s="223"/>
      <c r="TUG4" s="223"/>
      <c r="TUH4" s="223"/>
      <c r="TUI4" s="223"/>
      <c r="TUJ4" s="223"/>
      <c r="TUK4" s="223"/>
      <c r="TUL4" s="223"/>
      <c r="TUM4" s="223"/>
      <c r="TUN4" s="224"/>
      <c r="TUO4" s="225"/>
      <c r="TUP4" s="226"/>
      <c r="TUQ4" s="224"/>
      <c r="TUR4" s="225"/>
      <c r="TUS4" s="225"/>
      <c r="TUT4" s="227"/>
      <c r="TUU4" s="228"/>
      <c r="TUV4" s="228"/>
      <c r="TUW4" s="229"/>
      <c r="TUX4" s="216"/>
      <c r="TUY4" s="219"/>
      <c r="TUZ4" s="220"/>
      <c r="TVA4" s="217"/>
      <c r="TVB4" s="217"/>
      <c r="TVC4" s="217"/>
      <c r="TVD4" s="217"/>
      <c r="TVE4" s="217"/>
      <c r="TVF4" s="221"/>
      <c r="TVG4" s="222"/>
      <c r="TVH4" s="220"/>
      <c r="TVI4" s="220"/>
      <c r="TVJ4" s="220"/>
      <c r="TVK4" s="220"/>
      <c r="TVL4" s="223"/>
      <c r="TVM4" s="223"/>
      <c r="TVN4" s="223"/>
      <c r="TVO4" s="223"/>
      <c r="TVP4" s="223"/>
      <c r="TVQ4" s="223"/>
      <c r="TVR4" s="223"/>
      <c r="TVS4" s="223"/>
      <c r="TVT4" s="223"/>
      <c r="TVU4" s="224"/>
      <c r="TVV4" s="225"/>
      <c r="TVW4" s="226"/>
      <c r="TVX4" s="224"/>
      <c r="TVY4" s="225"/>
      <c r="TVZ4" s="225"/>
      <c r="TWA4" s="227"/>
      <c r="TWB4" s="228"/>
      <c r="TWC4" s="228"/>
      <c r="TWD4" s="229"/>
      <c r="TWE4" s="216"/>
      <c r="TWF4" s="219"/>
      <c r="TWG4" s="220"/>
      <c r="TWH4" s="217"/>
      <c r="TWI4" s="217"/>
      <c r="TWJ4" s="217"/>
      <c r="TWK4" s="217"/>
      <c r="TWL4" s="217"/>
      <c r="TWM4" s="221"/>
      <c r="TWN4" s="222"/>
      <c r="TWO4" s="220"/>
      <c r="TWP4" s="220"/>
      <c r="TWQ4" s="220"/>
      <c r="TWR4" s="220"/>
      <c r="TWS4" s="223"/>
      <c r="TWT4" s="223"/>
      <c r="TWU4" s="223"/>
      <c r="TWV4" s="223"/>
      <c r="TWW4" s="223"/>
      <c r="TWX4" s="223"/>
      <c r="TWY4" s="223"/>
      <c r="TWZ4" s="223"/>
      <c r="TXA4" s="223"/>
      <c r="TXB4" s="224"/>
      <c r="TXC4" s="225"/>
      <c r="TXD4" s="226"/>
      <c r="TXE4" s="224"/>
      <c r="TXF4" s="225"/>
      <c r="TXG4" s="225"/>
      <c r="TXH4" s="227"/>
      <c r="TXI4" s="228"/>
      <c r="TXJ4" s="228"/>
      <c r="TXK4" s="229"/>
      <c r="TXL4" s="216"/>
      <c r="TXM4" s="219"/>
      <c r="TXN4" s="220"/>
      <c r="TXO4" s="217"/>
      <c r="TXP4" s="217"/>
      <c r="TXQ4" s="217"/>
      <c r="TXR4" s="217"/>
      <c r="TXS4" s="217"/>
      <c r="TXT4" s="221"/>
      <c r="TXU4" s="222"/>
      <c r="TXV4" s="220"/>
      <c r="TXW4" s="220"/>
      <c r="TXX4" s="220"/>
      <c r="TXY4" s="220"/>
      <c r="TXZ4" s="223"/>
      <c r="TYA4" s="223"/>
      <c r="TYB4" s="223"/>
      <c r="TYC4" s="223"/>
      <c r="TYD4" s="223"/>
      <c r="TYE4" s="223"/>
      <c r="TYF4" s="223"/>
      <c r="TYG4" s="223"/>
      <c r="TYH4" s="223"/>
      <c r="TYI4" s="224"/>
      <c r="TYJ4" s="225"/>
      <c r="TYK4" s="226"/>
      <c r="TYL4" s="224"/>
      <c r="TYM4" s="225"/>
      <c r="TYN4" s="225"/>
      <c r="TYO4" s="227"/>
      <c r="TYP4" s="228"/>
      <c r="TYQ4" s="228"/>
      <c r="TYR4" s="229"/>
      <c r="TYS4" s="216"/>
      <c r="TYT4" s="219"/>
      <c r="TYU4" s="220"/>
      <c r="TYV4" s="217"/>
      <c r="TYW4" s="217"/>
      <c r="TYX4" s="217"/>
      <c r="TYY4" s="217"/>
      <c r="TYZ4" s="217"/>
      <c r="TZA4" s="221"/>
      <c r="TZB4" s="222"/>
      <c r="TZC4" s="220"/>
      <c r="TZD4" s="220"/>
      <c r="TZE4" s="220"/>
      <c r="TZF4" s="220"/>
      <c r="TZG4" s="223"/>
      <c r="TZH4" s="223"/>
      <c r="TZI4" s="223"/>
      <c r="TZJ4" s="223"/>
      <c r="TZK4" s="223"/>
      <c r="TZL4" s="223"/>
      <c r="TZM4" s="223"/>
      <c r="TZN4" s="223"/>
      <c r="TZO4" s="223"/>
      <c r="TZP4" s="224"/>
      <c r="TZQ4" s="225"/>
      <c r="TZR4" s="226"/>
      <c r="TZS4" s="224"/>
      <c r="TZT4" s="225"/>
      <c r="TZU4" s="225"/>
      <c r="TZV4" s="227"/>
      <c r="TZW4" s="228"/>
      <c r="TZX4" s="228"/>
      <c r="TZY4" s="229"/>
      <c r="TZZ4" s="216"/>
      <c r="UAA4" s="219"/>
      <c r="UAB4" s="220"/>
      <c r="UAC4" s="217"/>
      <c r="UAD4" s="217"/>
      <c r="UAE4" s="217"/>
      <c r="UAF4" s="217"/>
      <c r="UAG4" s="217"/>
      <c r="UAH4" s="221"/>
      <c r="UAI4" s="222"/>
      <c r="UAJ4" s="220"/>
      <c r="UAK4" s="220"/>
      <c r="UAL4" s="220"/>
      <c r="UAM4" s="220"/>
      <c r="UAN4" s="223"/>
      <c r="UAO4" s="223"/>
      <c r="UAP4" s="223"/>
      <c r="UAQ4" s="223"/>
      <c r="UAR4" s="223"/>
      <c r="UAS4" s="223"/>
      <c r="UAT4" s="223"/>
      <c r="UAU4" s="223"/>
      <c r="UAV4" s="223"/>
      <c r="UAW4" s="224"/>
      <c r="UAX4" s="225"/>
      <c r="UAY4" s="226"/>
      <c r="UAZ4" s="224"/>
      <c r="UBA4" s="225"/>
      <c r="UBB4" s="225"/>
      <c r="UBC4" s="227"/>
      <c r="UBD4" s="228"/>
      <c r="UBE4" s="228"/>
      <c r="UBF4" s="229"/>
      <c r="UBG4" s="216"/>
      <c r="UBH4" s="219"/>
      <c r="UBI4" s="220"/>
      <c r="UBJ4" s="217"/>
      <c r="UBK4" s="217"/>
      <c r="UBL4" s="217"/>
      <c r="UBM4" s="217"/>
      <c r="UBN4" s="217"/>
      <c r="UBO4" s="221"/>
      <c r="UBP4" s="222"/>
      <c r="UBQ4" s="220"/>
      <c r="UBR4" s="220"/>
      <c r="UBS4" s="220"/>
      <c r="UBT4" s="220"/>
      <c r="UBU4" s="223"/>
      <c r="UBV4" s="223"/>
      <c r="UBW4" s="223"/>
      <c r="UBX4" s="223"/>
      <c r="UBY4" s="223"/>
      <c r="UBZ4" s="223"/>
      <c r="UCA4" s="223"/>
      <c r="UCB4" s="223"/>
      <c r="UCC4" s="223"/>
      <c r="UCD4" s="224"/>
      <c r="UCE4" s="225"/>
      <c r="UCF4" s="226"/>
      <c r="UCG4" s="224"/>
      <c r="UCH4" s="225"/>
      <c r="UCI4" s="225"/>
      <c r="UCJ4" s="227"/>
      <c r="UCK4" s="228"/>
      <c r="UCL4" s="228"/>
      <c r="UCM4" s="229"/>
      <c r="UCN4" s="216"/>
      <c r="UCO4" s="219"/>
      <c r="UCP4" s="220"/>
      <c r="UCQ4" s="217"/>
      <c r="UCR4" s="217"/>
      <c r="UCS4" s="217"/>
      <c r="UCT4" s="217"/>
      <c r="UCU4" s="217"/>
      <c r="UCV4" s="221"/>
      <c r="UCW4" s="222"/>
      <c r="UCX4" s="220"/>
      <c r="UCY4" s="220"/>
      <c r="UCZ4" s="220"/>
      <c r="UDA4" s="220"/>
      <c r="UDB4" s="223"/>
      <c r="UDC4" s="223"/>
      <c r="UDD4" s="223"/>
      <c r="UDE4" s="223"/>
      <c r="UDF4" s="223"/>
      <c r="UDG4" s="223"/>
      <c r="UDH4" s="223"/>
      <c r="UDI4" s="223"/>
      <c r="UDJ4" s="223"/>
      <c r="UDK4" s="224"/>
      <c r="UDL4" s="225"/>
      <c r="UDM4" s="226"/>
      <c r="UDN4" s="224"/>
      <c r="UDO4" s="225"/>
      <c r="UDP4" s="225"/>
      <c r="UDQ4" s="227"/>
      <c r="UDR4" s="228"/>
      <c r="UDS4" s="228"/>
      <c r="UDT4" s="229"/>
      <c r="UDU4" s="216"/>
      <c r="UDV4" s="219"/>
      <c r="UDW4" s="220"/>
      <c r="UDX4" s="217"/>
      <c r="UDY4" s="217"/>
      <c r="UDZ4" s="217"/>
      <c r="UEA4" s="217"/>
      <c r="UEB4" s="217"/>
      <c r="UEC4" s="221"/>
      <c r="UED4" s="222"/>
      <c r="UEE4" s="220"/>
      <c r="UEF4" s="220"/>
      <c r="UEG4" s="220"/>
      <c r="UEH4" s="220"/>
      <c r="UEI4" s="223"/>
      <c r="UEJ4" s="223"/>
      <c r="UEK4" s="223"/>
      <c r="UEL4" s="223"/>
      <c r="UEM4" s="223"/>
      <c r="UEN4" s="223"/>
      <c r="UEO4" s="223"/>
      <c r="UEP4" s="223"/>
      <c r="UEQ4" s="223"/>
      <c r="UER4" s="224"/>
      <c r="UES4" s="225"/>
      <c r="UET4" s="226"/>
      <c r="UEU4" s="224"/>
      <c r="UEV4" s="225"/>
      <c r="UEW4" s="225"/>
      <c r="UEX4" s="227"/>
      <c r="UEY4" s="228"/>
      <c r="UEZ4" s="228"/>
      <c r="UFA4" s="229"/>
      <c r="UFB4" s="216"/>
      <c r="UFC4" s="219"/>
      <c r="UFD4" s="220"/>
      <c r="UFE4" s="217"/>
      <c r="UFF4" s="217"/>
      <c r="UFG4" s="217"/>
      <c r="UFH4" s="217"/>
      <c r="UFI4" s="217"/>
      <c r="UFJ4" s="221"/>
      <c r="UFK4" s="222"/>
      <c r="UFL4" s="220"/>
      <c r="UFM4" s="220"/>
      <c r="UFN4" s="220"/>
      <c r="UFO4" s="220"/>
      <c r="UFP4" s="223"/>
      <c r="UFQ4" s="223"/>
      <c r="UFR4" s="223"/>
      <c r="UFS4" s="223"/>
      <c r="UFT4" s="223"/>
      <c r="UFU4" s="223"/>
      <c r="UFV4" s="223"/>
      <c r="UFW4" s="223"/>
      <c r="UFX4" s="223"/>
      <c r="UFY4" s="224"/>
      <c r="UFZ4" s="225"/>
      <c r="UGA4" s="226"/>
      <c r="UGB4" s="224"/>
      <c r="UGC4" s="225"/>
      <c r="UGD4" s="225"/>
      <c r="UGE4" s="227"/>
      <c r="UGF4" s="228"/>
      <c r="UGG4" s="228"/>
      <c r="UGH4" s="229"/>
      <c r="UGI4" s="216"/>
      <c r="UGJ4" s="219"/>
      <c r="UGK4" s="220"/>
      <c r="UGL4" s="217"/>
      <c r="UGM4" s="217"/>
      <c r="UGN4" s="217"/>
      <c r="UGO4" s="217"/>
      <c r="UGP4" s="217"/>
      <c r="UGQ4" s="221"/>
      <c r="UGR4" s="222"/>
      <c r="UGS4" s="220"/>
      <c r="UGT4" s="220"/>
      <c r="UGU4" s="220"/>
      <c r="UGV4" s="220"/>
      <c r="UGW4" s="223"/>
      <c r="UGX4" s="223"/>
      <c r="UGY4" s="223"/>
      <c r="UGZ4" s="223"/>
      <c r="UHA4" s="223"/>
      <c r="UHB4" s="223"/>
      <c r="UHC4" s="223"/>
      <c r="UHD4" s="223"/>
      <c r="UHE4" s="223"/>
      <c r="UHF4" s="224"/>
      <c r="UHG4" s="225"/>
      <c r="UHH4" s="226"/>
      <c r="UHI4" s="224"/>
      <c r="UHJ4" s="225"/>
      <c r="UHK4" s="225"/>
      <c r="UHL4" s="227"/>
      <c r="UHM4" s="228"/>
      <c r="UHN4" s="228"/>
      <c r="UHO4" s="229"/>
      <c r="UHP4" s="216"/>
      <c r="UHQ4" s="219"/>
      <c r="UHR4" s="220"/>
      <c r="UHS4" s="217"/>
      <c r="UHT4" s="217"/>
      <c r="UHU4" s="217"/>
      <c r="UHV4" s="217"/>
      <c r="UHW4" s="217"/>
      <c r="UHX4" s="221"/>
      <c r="UHY4" s="222"/>
      <c r="UHZ4" s="220"/>
      <c r="UIA4" s="220"/>
      <c r="UIB4" s="220"/>
      <c r="UIC4" s="220"/>
      <c r="UID4" s="223"/>
      <c r="UIE4" s="223"/>
      <c r="UIF4" s="223"/>
      <c r="UIG4" s="223"/>
      <c r="UIH4" s="223"/>
      <c r="UII4" s="223"/>
      <c r="UIJ4" s="223"/>
      <c r="UIK4" s="223"/>
      <c r="UIL4" s="223"/>
      <c r="UIM4" s="224"/>
      <c r="UIN4" s="225"/>
      <c r="UIO4" s="226"/>
      <c r="UIP4" s="224"/>
      <c r="UIQ4" s="225"/>
      <c r="UIR4" s="225"/>
      <c r="UIS4" s="227"/>
      <c r="UIT4" s="228"/>
      <c r="UIU4" s="228"/>
      <c r="UIV4" s="229"/>
      <c r="UIW4" s="216"/>
      <c r="UIX4" s="219"/>
      <c r="UIY4" s="220"/>
      <c r="UIZ4" s="217"/>
      <c r="UJA4" s="217"/>
      <c r="UJB4" s="217"/>
      <c r="UJC4" s="217"/>
      <c r="UJD4" s="217"/>
      <c r="UJE4" s="221"/>
      <c r="UJF4" s="222"/>
      <c r="UJG4" s="220"/>
      <c r="UJH4" s="220"/>
      <c r="UJI4" s="220"/>
      <c r="UJJ4" s="220"/>
      <c r="UJK4" s="223"/>
      <c r="UJL4" s="223"/>
      <c r="UJM4" s="223"/>
      <c r="UJN4" s="223"/>
      <c r="UJO4" s="223"/>
      <c r="UJP4" s="223"/>
      <c r="UJQ4" s="223"/>
      <c r="UJR4" s="223"/>
      <c r="UJS4" s="223"/>
      <c r="UJT4" s="224"/>
      <c r="UJU4" s="225"/>
      <c r="UJV4" s="226"/>
      <c r="UJW4" s="224"/>
      <c r="UJX4" s="225"/>
      <c r="UJY4" s="225"/>
      <c r="UJZ4" s="227"/>
      <c r="UKA4" s="228"/>
      <c r="UKB4" s="228"/>
      <c r="UKC4" s="229"/>
      <c r="UKD4" s="216"/>
      <c r="UKE4" s="219"/>
      <c r="UKF4" s="220"/>
      <c r="UKG4" s="217"/>
      <c r="UKH4" s="217"/>
      <c r="UKI4" s="217"/>
      <c r="UKJ4" s="217"/>
      <c r="UKK4" s="217"/>
      <c r="UKL4" s="221"/>
      <c r="UKM4" s="222"/>
      <c r="UKN4" s="220"/>
      <c r="UKO4" s="220"/>
      <c r="UKP4" s="220"/>
      <c r="UKQ4" s="220"/>
      <c r="UKR4" s="223"/>
      <c r="UKS4" s="223"/>
      <c r="UKT4" s="223"/>
      <c r="UKU4" s="223"/>
      <c r="UKV4" s="223"/>
      <c r="UKW4" s="223"/>
      <c r="UKX4" s="223"/>
      <c r="UKY4" s="223"/>
      <c r="UKZ4" s="223"/>
      <c r="ULA4" s="224"/>
      <c r="ULB4" s="225"/>
      <c r="ULC4" s="226"/>
      <c r="ULD4" s="224"/>
      <c r="ULE4" s="225"/>
      <c r="ULF4" s="225"/>
      <c r="ULG4" s="227"/>
      <c r="ULH4" s="228"/>
      <c r="ULI4" s="228"/>
      <c r="ULJ4" s="229"/>
      <c r="ULK4" s="216"/>
      <c r="ULL4" s="219"/>
      <c r="ULM4" s="220"/>
      <c r="ULN4" s="217"/>
      <c r="ULO4" s="217"/>
      <c r="ULP4" s="217"/>
      <c r="ULQ4" s="217"/>
      <c r="ULR4" s="217"/>
      <c r="ULS4" s="221"/>
      <c r="ULT4" s="222"/>
      <c r="ULU4" s="220"/>
      <c r="ULV4" s="220"/>
      <c r="ULW4" s="220"/>
      <c r="ULX4" s="220"/>
      <c r="ULY4" s="223"/>
      <c r="ULZ4" s="223"/>
      <c r="UMA4" s="223"/>
      <c r="UMB4" s="223"/>
      <c r="UMC4" s="223"/>
      <c r="UMD4" s="223"/>
      <c r="UME4" s="223"/>
      <c r="UMF4" s="223"/>
      <c r="UMG4" s="223"/>
      <c r="UMH4" s="224"/>
      <c r="UMI4" s="225"/>
      <c r="UMJ4" s="226"/>
      <c r="UMK4" s="224"/>
      <c r="UML4" s="225"/>
      <c r="UMM4" s="225"/>
      <c r="UMN4" s="227"/>
      <c r="UMO4" s="228"/>
      <c r="UMP4" s="228"/>
      <c r="UMQ4" s="229"/>
      <c r="UMR4" s="216"/>
      <c r="UMS4" s="219"/>
      <c r="UMT4" s="220"/>
      <c r="UMU4" s="217"/>
      <c r="UMV4" s="217"/>
      <c r="UMW4" s="217"/>
      <c r="UMX4" s="217"/>
      <c r="UMY4" s="217"/>
      <c r="UMZ4" s="221"/>
      <c r="UNA4" s="222"/>
      <c r="UNB4" s="220"/>
      <c r="UNC4" s="220"/>
      <c r="UND4" s="220"/>
      <c r="UNE4" s="220"/>
      <c r="UNF4" s="223"/>
      <c r="UNG4" s="223"/>
      <c r="UNH4" s="223"/>
      <c r="UNI4" s="223"/>
      <c r="UNJ4" s="223"/>
      <c r="UNK4" s="223"/>
      <c r="UNL4" s="223"/>
      <c r="UNM4" s="223"/>
      <c r="UNN4" s="223"/>
      <c r="UNO4" s="224"/>
      <c r="UNP4" s="225"/>
      <c r="UNQ4" s="226"/>
      <c r="UNR4" s="224"/>
      <c r="UNS4" s="225"/>
      <c r="UNT4" s="225"/>
      <c r="UNU4" s="227"/>
      <c r="UNV4" s="228"/>
      <c r="UNW4" s="228"/>
      <c r="UNX4" s="229"/>
      <c r="UNY4" s="216"/>
      <c r="UNZ4" s="219"/>
      <c r="UOA4" s="220"/>
      <c r="UOB4" s="217"/>
      <c r="UOC4" s="217"/>
      <c r="UOD4" s="217"/>
      <c r="UOE4" s="217"/>
      <c r="UOF4" s="217"/>
      <c r="UOG4" s="221"/>
      <c r="UOH4" s="222"/>
      <c r="UOI4" s="220"/>
      <c r="UOJ4" s="220"/>
      <c r="UOK4" s="220"/>
      <c r="UOL4" s="220"/>
      <c r="UOM4" s="223"/>
      <c r="UON4" s="223"/>
      <c r="UOO4" s="223"/>
      <c r="UOP4" s="223"/>
      <c r="UOQ4" s="223"/>
      <c r="UOR4" s="223"/>
      <c r="UOS4" s="223"/>
      <c r="UOT4" s="223"/>
      <c r="UOU4" s="223"/>
      <c r="UOV4" s="224"/>
      <c r="UOW4" s="225"/>
      <c r="UOX4" s="226"/>
      <c r="UOY4" s="224"/>
      <c r="UOZ4" s="225"/>
      <c r="UPA4" s="225"/>
      <c r="UPB4" s="227"/>
      <c r="UPC4" s="228"/>
      <c r="UPD4" s="228"/>
      <c r="UPE4" s="229"/>
      <c r="UPF4" s="216"/>
      <c r="UPG4" s="219"/>
      <c r="UPH4" s="220"/>
      <c r="UPI4" s="217"/>
      <c r="UPJ4" s="217"/>
      <c r="UPK4" s="217"/>
      <c r="UPL4" s="217"/>
      <c r="UPM4" s="217"/>
      <c r="UPN4" s="221"/>
      <c r="UPO4" s="222"/>
      <c r="UPP4" s="220"/>
      <c r="UPQ4" s="220"/>
      <c r="UPR4" s="220"/>
      <c r="UPS4" s="220"/>
      <c r="UPT4" s="223"/>
      <c r="UPU4" s="223"/>
      <c r="UPV4" s="223"/>
      <c r="UPW4" s="223"/>
      <c r="UPX4" s="223"/>
      <c r="UPY4" s="223"/>
      <c r="UPZ4" s="223"/>
      <c r="UQA4" s="223"/>
      <c r="UQB4" s="223"/>
      <c r="UQC4" s="224"/>
      <c r="UQD4" s="225"/>
      <c r="UQE4" s="226"/>
      <c r="UQF4" s="224"/>
      <c r="UQG4" s="225"/>
      <c r="UQH4" s="225"/>
      <c r="UQI4" s="227"/>
      <c r="UQJ4" s="228"/>
      <c r="UQK4" s="228"/>
      <c r="UQL4" s="229"/>
      <c r="UQM4" s="216"/>
      <c r="UQN4" s="219"/>
      <c r="UQO4" s="220"/>
      <c r="UQP4" s="217"/>
      <c r="UQQ4" s="217"/>
      <c r="UQR4" s="217"/>
      <c r="UQS4" s="217"/>
      <c r="UQT4" s="217"/>
      <c r="UQU4" s="221"/>
      <c r="UQV4" s="222"/>
      <c r="UQW4" s="220"/>
      <c r="UQX4" s="220"/>
      <c r="UQY4" s="220"/>
      <c r="UQZ4" s="220"/>
      <c r="URA4" s="223"/>
      <c r="URB4" s="223"/>
      <c r="URC4" s="223"/>
      <c r="URD4" s="223"/>
      <c r="URE4" s="223"/>
      <c r="URF4" s="223"/>
      <c r="URG4" s="223"/>
      <c r="URH4" s="223"/>
      <c r="URI4" s="223"/>
      <c r="URJ4" s="224"/>
      <c r="URK4" s="225"/>
      <c r="URL4" s="226"/>
      <c r="URM4" s="224"/>
      <c r="URN4" s="225"/>
      <c r="URO4" s="225"/>
      <c r="URP4" s="227"/>
      <c r="URQ4" s="228"/>
      <c r="URR4" s="228"/>
      <c r="URS4" s="229"/>
      <c r="URT4" s="216"/>
      <c r="URU4" s="219"/>
      <c r="URV4" s="220"/>
      <c r="URW4" s="217"/>
      <c r="URX4" s="217"/>
      <c r="URY4" s="217"/>
      <c r="URZ4" s="217"/>
      <c r="USA4" s="217"/>
      <c r="USB4" s="221"/>
      <c r="USC4" s="222"/>
      <c r="USD4" s="220"/>
      <c r="USE4" s="220"/>
      <c r="USF4" s="220"/>
      <c r="USG4" s="220"/>
      <c r="USH4" s="223"/>
      <c r="USI4" s="223"/>
      <c r="USJ4" s="223"/>
      <c r="USK4" s="223"/>
      <c r="USL4" s="223"/>
      <c r="USM4" s="223"/>
      <c r="USN4" s="223"/>
      <c r="USO4" s="223"/>
      <c r="USP4" s="223"/>
      <c r="USQ4" s="224"/>
      <c r="USR4" s="225"/>
      <c r="USS4" s="226"/>
      <c r="UST4" s="224"/>
      <c r="USU4" s="225"/>
      <c r="USV4" s="225"/>
      <c r="USW4" s="227"/>
      <c r="USX4" s="228"/>
      <c r="USY4" s="228"/>
      <c r="USZ4" s="229"/>
      <c r="UTA4" s="216"/>
      <c r="UTB4" s="219"/>
      <c r="UTC4" s="220"/>
      <c r="UTD4" s="217"/>
      <c r="UTE4" s="217"/>
      <c r="UTF4" s="217"/>
      <c r="UTG4" s="217"/>
      <c r="UTH4" s="217"/>
      <c r="UTI4" s="221"/>
      <c r="UTJ4" s="222"/>
      <c r="UTK4" s="220"/>
      <c r="UTL4" s="220"/>
      <c r="UTM4" s="220"/>
      <c r="UTN4" s="220"/>
      <c r="UTO4" s="223"/>
      <c r="UTP4" s="223"/>
      <c r="UTQ4" s="223"/>
      <c r="UTR4" s="223"/>
      <c r="UTS4" s="223"/>
      <c r="UTT4" s="223"/>
      <c r="UTU4" s="223"/>
      <c r="UTV4" s="223"/>
      <c r="UTW4" s="223"/>
      <c r="UTX4" s="224"/>
      <c r="UTY4" s="225"/>
      <c r="UTZ4" s="226"/>
      <c r="UUA4" s="224"/>
      <c r="UUB4" s="225"/>
      <c r="UUC4" s="225"/>
      <c r="UUD4" s="227"/>
      <c r="UUE4" s="228"/>
      <c r="UUF4" s="228"/>
      <c r="UUG4" s="229"/>
      <c r="UUH4" s="216"/>
      <c r="UUI4" s="219"/>
      <c r="UUJ4" s="220"/>
      <c r="UUK4" s="217"/>
      <c r="UUL4" s="217"/>
      <c r="UUM4" s="217"/>
      <c r="UUN4" s="217"/>
      <c r="UUO4" s="217"/>
      <c r="UUP4" s="221"/>
      <c r="UUQ4" s="222"/>
      <c r="UUR4" s="220"/>
      <c r="UUS4" s="220"/>
      <c r="UUT4" s="220"/>
      <c r="UUU4" s="220"/>
      <c r="UUV4" s="223"/>
      <c r="UUW4" s="223"/>
      <c r="UUX4" s="223"/>
      <c r="UUY4" s="223"/>
      <c r="UUZ4" s="223"/>
      <c r="UVA4" s="223"/>
      <c r="UVB4" s="223"/>
      <c r="UVC4" s="223"/>
      <c r="UVD4" s="223"/>
      <c r="UVE4" s="224"/>
      <c r="UVF4" s="225"/>
      <c r="UVG4" s="226"/>
      <c r="UVH4" s="224"/>
      <c r="UVI4" s="225"/>
      <c r="UVJ4" s="225"/>
      <c r="UVK4" s="227"/>
      <c r="UVL4" s="228"/>
      <c r="UVM4" s="228"/>
      <c r="UVN4" s="229"/>
      <c r="UVO4" s="216"/>
      <c r="UVP4" s="219"/>
      <c r="UVQ4" s="220"/>
      <c r="UVR4" s="217"/>
      <c r="UVS4" s="217"/>
      <c r="UVT4" s="217"/>
      <c r="UVU4" s="217"/>
      <c r="UVV4" s="217"/>
      <c r="UVW4" s="221"/>
      <c r="UVX4" s="222"/>
      <c r="UVY4" s="220"/>
      <c r="UVZ4" s="220"/>
      <c r="UWA4" s="220"/>
      <c r="UWB4" s="220"/>
      <c r="UWC4" s="223"/>
      <c r="UWD4" s="223"/>
      <c r="UWE4" s="223"/>
      <c r="UWF4" s="223"/>
      <c r="UWG4" s="223"/>
      <c r="UWH4" s="223"/>
      <c r="UWI4" s="223"/>
      <c r="UWJ4" s="223"/>
      <c r="UWK4" s="223"/>
      <c r="UWL4" s="224"/>
      <c r="UWM4" s="225"/>
      <c r="UWN4" s="226"/>
      <c r="UWO4" s="224"/>
      <c r="UWP4" s="225"/>
      <c r="UWQ4" s="225"/>
      <c r="UWR4" s="227"/>
      <c r="UWS4" s="228"/>
      <c r="UWT4" s="228"/>
      <c r="UWU4" s="229"/>
      <c r="UWV4" s="216"/>
      <c r="UWW4" s="219"/>
      <c r="UWX4" s="220"/>
      <c r="UWY4" s="217"/>
      <c r="UWZ4" s="217"/>
      <c r="UXA4" s="217"/>
      <c r="UXB4" s="217"/>
      <c r="UXC4" s="217"/>
      <c r="UXD4" s="221"/>
      <c r="UXE4" s="222"/>
      <c r="UXF4" s="220"/>
      <c r="UXG4" s="220"/>
      <c r="UXH4" s="220"/>
      <c r="UXI4" s="220"/>
      <c r="UXJ4" s="223"/>
      <c r="UXK4" s="223"/>
      <c r="UXL4" s="223"/>
      <c r="UXM4" s="223"/>
      <c r="UXN4" s="223"/>
      <c r="UXO4" s="223"/>
      <c r="UXP4" s="223"/>
      <c r="UXQ4" s="223"/>
      <c r="UXR4" s="223"/>
      <c r="UXS4" s="224"/>
      <c r="UXT4" s="225"/>
      <c r="UXU4" s="226"/>
      <c r="UXV4" s="224"/>
      <c r="UXW4" s="225"/>
      <c r="UXX4" s="225"/>
      <c r="UXY4" s="227"/>
      <c r="UXZ4" s="228"/>
      <c r="UYA4" s="228"/>
      <c r="UYB4" s="229"/>
      <c r="UYC4" s="216"/>
      <c r="UYD4" s="219"/>
      <c r="UYE4" s="220"/>
      <c r="UYF4" s="217"/>
      <c r="UYG4" s="217"/>
      <c r="UYH4" s="217"/>
      <c r="UYI4" s="217"/>
      <c r="UYJ4" s="217"/>
      <c r="UYK4" s="221"/>
      <c r="UYL4" s="222"/>
      <c r="UYM4" s="220"/>
      <c r="UYN4" s="220"/>
      <c r="UYO4" s="220"/>
      <c r="UYP4" s="220"/>
      <c r="UYQ4" s="223"/>
      <c r="UYR4" s="223"/>
      <c r="UYS4" s="223"/>
      <c r="UYT4" s="223"/>
      <c r="UYU4" s="223"/>
      <c r="UYV4" s="223"/>
      <c r="UYW4" s="223"/>
      <c r="UYX4" s="223"/>
      <c r="UYY4" s="223"/>
      <c r="UYZ4" s="224"/>
      <c r="UZA4" s="225"/>
      <c r="UZB4" s="226"/>
      <c r="UZC4" s="224"/>
      <c r="UZD4" s="225"/>
      <c r="UZE4" s="225"/>
      <c r="UZF4" s="227"/>
      <c r="UZG4" s="228"/>
      <c r="UZH4" s="228"/>
      <c r="UZI4" s="229"/>
      <c r="UZJ4" s="216"/>
      <c r="UZK4" s="219"/>
      <c r="UZL4" s="220"/>
      <c r="UZM4" s="217"/>
      <c r="UZN4" s="217"/>
      <c r="UZO4" s="217"/>
      <c r="UZP4" s="217"/>
      <c r="UZQ4" s="217"/>
      <c r="UZR4" s="221"/>
      <c r="UZS4" s="222"/>
      <c r="UZT4" s="220"/>
      <c r="UZU4" s="220"/>
      <c r="UZV4" s="220"/>
      <c r="UZW4" s="220"/>
      <c r="UZX4" s="223"/>
      <c r="UZY4" s="223"/>
      <c r="UZZ4" s="223"/>
      <c r="VAA4" s="223"/>
      <c r="VAB4" s="223"/>
      <c r="VAC4" s="223"/>
      <c r="VAD4" s="223"/>
      <c r="VAE4" s="223"/>
      <c r="VAF4" s="223"/>
      <c r="VAG4" s="224"/>
      <c r="VAH4" s="225"/>
      <c r="VAI4" s="226"/>
      <c r="VAJ4" s="224"/>
      <c r="VAK4" s="225"/>
      <c r="VAL4" s="225"/>
      <c r="VAM4" s="227"/>
      <c r="VAN4" s="228"/>
      <c r="VAO4" s="228"/>
      <c r="VAP4" s="229"/>
      <c r="VAQ4" s="216"/>
      <c r="VAR4" s="219"/>
      <c r="VAS4" s="220"/>
      <c r="VAT4" s="217"/>
      <c r="VAU4" s="217"/>
      <c r="VAV4" s="217"/>
      <c r="VAW4" s="217"/>
      <c r="VAX4" s="217"/>
      <c r="VAY4" s="221"/>
      <c r="VAZ4" s="222"/>
      <c r="VBA4" s="220"/>
      <c r="VBB4" s="220"/>
      <c r="VBC4" s="220"/>
      <c r="VBD4" s="220"/>
      <c r="VBE4" s="223"/>
      <c r="VBF4" s="223"/>
      <c r="VBG4" s="223"/>
      <c r="VBH4" s="223"/>
      <c r="VBI4" s="223"/>
      <c r="VBJ4" s="223"/>
      <c r="VBK4" s="223"/>
      <c r="VBL4" s="223"/>
      <c r="VBM4" s="223"/>
      <c r="VBN4" s="224"/>
      <c r="VBO4" s="225"/>
      <c r="VBP4" s="226"/>
      <c r="VBQ4" s="224"/>
      <c r="VBR4" s="225"/>
      <c r="VBS4" s="225"/>
      <c r="VBT4" s="227"/>
      <c r="VBU4" s="228"/>
      <c r="VBV4" s="228"/>
      <c r="VBW4" s="229"/>
      <c r="VBX4" s="216"/>
      <c r="VBY4" s="219"/>
      <c r="VBZ4" s="220"/>
      <c r="VCA4" s="217"/>
      <c r="VCB4" s="217"/>
      <c r="VCC4" s="217"/>
      <c r="VCD4" s="217"/>
      <c r="VCE4" s="217"/>
      <c r="VCF4" s="221"/>
      <c r="VCG4" s="222"/>
      <c r="VCH4" s="220"/>
      <c r="VCI4" s="220"/>
      <c r="VCJ4" s="220"/>
      <c r="VCK4" s="220"/>
      <c r="VCL4" s="223"/>
      <c r="VCM4" s="223"/>
      <c r="VCN4" s="223"/>
      <c r="VCO4" s="223"/>
      <c r="VCP4" s="223"/>
      <c r="VCQ4" s="223"/>
      <c r="VCR4" s="223"/>
      <c r="VCS4" s="223"/>
      <c r="VCT4" s="223"/>
      <c r="VCU4" s="224"/>
      <c r="VCV4" s="225"/>
      <c r="VCW4" s="226"/>
      <c r="VCX4" s="224"/>
      <c r="VCY4" s="225"/>
      <c r="VCZ4" s="225"/>
      <c r="VDA4" s="227"/>
      <c r="VDB4" s="228"/>
      <c r="VDC4" s="228"/>
      <c r="VDD4" s="229"/>
      <c r="VDE4" s="216"/>
      <c r="VDF4" s="219"/>
      <c r="VDG4" s="220"/>
      <c r="VDH4" s="217"/>
      <c r="VDI4" s="217"/>
      <c r="VDJ4" s="217"/>
      <c r="VDK4" s="217"/>
      <c r="VDL4" s="217"/>
      <c r="VDM4" s="221"/>
      <c r="VDN4" s="222"/>
      <c r="VDO4" s="220"/>
      <c r="VDP4" s="220"/>
      <c r="VDQ4" s="220"/>
      <c r="VDR4" s="220"/>
      <c r="VDS4" s="223"/>
      <c r="VDT4" s="223"/>
      <c r="VDU4" s="223"/>
      <c r="VDV4" s="223"/>
      <c r="VDW4" s="223"/>
      <c r="VDX4" s="223"/>
      <c r="VDY4" s="223"/>
      <c r="VDZ4" s="223"/>
      <c r="VEA4" s="223"/>
      <c r="VEB4" s="224"/>
      <c r="VEC4" s="225"/>
      <c r="VED4" s="226"/>
      <c r="VEE4" s="224"/>
      <c r="VEF4" s="225"/>
      <c r="VEG4" s="225"/>
      <c r="VEH4" s="227"/>
      <c r="VEI4" s="228"/>
      <c r="VEJ4" s="228"/>
      <c r="VEK4" s="229"/>
      <c r="VEL4" s="216"/>
      <c r="VEM4" s="219"/>
      <c r="VEN4" s="220"/>
      <c r="VEO4" s="217"/>
      <c r="VEP4" s="217"/>
      <c r="VEQ4" s="217"/>
      <c r="VER4" s="217"/>
      <c r="VES4" s="217"/>
      <c r="VET4" s="221"/>
      <c r="VEU4" s="222"/>
      <c r="VEV4" s="220"/>
      <c r="VEW4" s="220"/>
      <c r="VEX4" s="220"/>
      <c r="VEY4" s="220"/>
      <c r="VEZ4" s="223"/>
      <c r="VFA4" s="223"/>
      <c r="VFB4" s="223"/>
      <c r="VFC4" s="223"/>
      <c r="VFD4" s="223"/>
      <c r="VFE4" s="223"/>
      <c r="VFF4" s="223"/>
      <c r="VFG4" s="223"/>
      <c r="VFH4" s="223"/>
      <c r="VFI4" s="224"/>
      <c r="VFJ4" s="225"/>
      <c r="VFK4" s="226"/>
      <c r="VFL4" s="224"/>
      <c r="VFM4" s="225"/>
      <c r="VFN4" s="225"/>
      <c r="VFO4" s="227"/>
      <c r="VFP4" s="228"/>
      <c r="VFQ4" s="228"/>
      <c r="VFR4" s="229"/>
      <c r="VFS4" s="216"/>
      <c r="VFT4" s="219"/>
      <c r="VFU4" s="220"/>
      <c r="VFV4" s="217"/>
      <c r="VFW4" s="217"/>
      <c r="VFX4" s="217"/>
      <c r="VFY4" s="217"/>
      <c r="VFZ4" s="217"/>
      <c r="VGA4" s="221"/>
      <c r="VGB4" s="222"/>
      <c r="VGC4" s="220"/>
      <c r="VGD4" s="220"/>
      <c r="VGE4" s="220"/>
      <c r="VGF4" s="220"/>
      <c r="VGG4" s="223"/>
      <c r="VGH4" s="223"/>
      <c r="VGI4" s="223"/>
      <c r="VGJ4" s="223"/>
      <c r="VGK4" s="223"/>
      <c r="VGL4" s="223"/>
      <c r="VGM4" s="223"/>
      <c r="VGN4" s="223"/>
      <c r="VGO4" s="223"/>
      <c r="VGP4" s="224"/>
      <c r="VGQ4" s="225"/>
      <c r="VGR4" s="226"/>
      <c r="VGS4" s="224"/>
      <c r="VGT4" s="225"/>
      <c r="VGU4" s="225"/>
      <c r="VGV4" s="227"/>
      <c r="VGW4" s="228"/>
      <c r="VGX4" s="228"/>
      <c r="VGY4" s="229"/>
      <c r="VGZ4" s="216"/>
      <c r="VHA4" s="219"/>
      <c r="VHB4" s="220"/>
      <c r="VHC4" s="217"/>
      <c r="VHD4" s="217"/>
      <c r="VHE4" s="217"/>
      <c r="VHF4" s="217"/>
      <c r="VHG4" s="217"/>
      <c r="VHH4" s="221"/>
      <c r="VHI4" s="222"/>
      <c r="VHJ4" s="220"/>
      <c r="VHK4" s="220"/>
      <c r="VHL4" s="220"/>
      <c r="VHM4" s="220"/>
      <c r="VHN4" s="223"/>
      <c r="VHO4" s="223"/>
      <c r="VHP4" s="223"/>
      <c r="VHQ4" s="223"/>
      <c r="VHR4" s="223"/>
      <c r="VHS4" s="223"/>
      <c r="VHT4" s="223"/>
      <c r="VHU4" s="223"/>
      <c r="VHV4" s="223"/>
      <c r="VHW4" s="224"/>
      <c r="VHX4" s="225"/>
      <c r="VHY4" s="226"/>
      <c r="VHZ4" s="224"/>
      <c r="VIA4" s="225"/>
      <c r="VIB4" s="225"/>
      <c r="VIC4" s="227"/>
      <c r="VID4" s="228"/>
      <c r="VIE4" s="228"/>
      <c r="VIF4" s="229"/>
      <c r="VIG4" s="216"/>
      <c r="VIH4" s="219"/>
      <c r="VII4" s="220"/>
      <c r="VIJ4" s="217"/>
      <c r="VIK4" s="217"/>
      <c r="VIL4" s="217"/>
      <c r="VIM4" s="217"/>
      <c r="VIN4" s="217"/>
      <c r="VIO4" s="221"/>
      <c r="VIP4" s="222"/>
      <c r="VIQ4" s="220"/>
      <c r="VIR4" s="220"/>
      <c r="VIS4" s="220"/>
      <c r="VIT4" s="220"/>
      <c r="VIU4" s="223"/>
      <c r="VIV4" s="223"/>
      <c r="VIW4" s="223"/>
      <c r="VIX4" s="223"/>
      <c r="VIY4" s="223"/>
      <c r="VIZ4" s="223"/>
      <c r="VJA4" s="223"/>
      <c r="VJB4" s="223"/>
      <c r="VJC4" s="223"/>
      <c r="VJD4" s="224"/>
      <c r="VJE4" s="225"/>
      <c r="VJF4" s="226"/>
      <c r="VJG4" s="224"/>
      <c r="VJH4" s="225"/>
      <c r="VJI4" s="225"/>
      <c r="VJJ4" s="227"/>
      <c r="VJK4" s="228"/>
      <c r="VJL4" s="228"/>
      <c r="VJM4" s="229"/>
      <c r="VJN4" s="216"/>
      <c r="VJO4" s="219"/>
      <c r="VJP4" s="220"/>
      <c r="VJQ4" s="217"/>
      <c r="VJR4" s="217"/>
      <c r="VJS4" s="217"/>
      <c r="VJT4" s="217"/>
      <c r="VJU4" s="217"/>
      <c r="VJV4" s="221"/>
      <c r="VJW4" s="222"/>
      <c r="VJX4" s="220"/>
      <c r="VJY4" s="220"/>
      <c r="VJZ4" s="220"/>
      <c r="VKA4" s="220"/>
      <c r="VKB4" s="223"/>
      <c r="VKC4" s="223"/>
      <c r="VKD4" s="223"/>
      <c r="VKE4" s="223"/>
      <c r="VKF4" s="223"/>
      <c r="VKG4" s="223"/>
      <c r="VKH4" s="223"/>
      <c r="VKI4" s="223"/>
      <c r="VKJ4" s="223"/>
      <c r="VKK4" s="224"/>
      <c r="VKL4" s="225"/>
      <c r="VKM4" s="226"/>
      <c r="VKN4" s="224"/>
      <c r="VKO4" s="225"/>
      <c r="VKP4" s="225"/>
      <c r="VKQ4" s="227"/>
      <c r="VKR4" s="228"/>
      <c r="VKS4" s="228"/>
      <c r="VKT4" s="229"/>
      <c r="VKU4" s="216"/>
      <c r="VKV4" s="219"/>
      <c r="VKW4" s="220"/>
      <c r="VKX4" s="217"/>
      <c r="VKY4" s="217"/>
      <c r="VKZ4" s="217"/>
      <c r="VLA4" s="217"/>
      <c r="VLB4" s="217"/>
      <c r="VLC4" s="221"/>
      <c r="VLD4" s="222"/>
      <c r="VLE4" s="220"/>
      <c r="VLF4" s="220"/>
      <c r="VLG4" s="220"/>
      <c r="VLH4" s="220"/>
      <c r="VLI4" s="223"/>
      <c r="VLJ4" s="223"/>
      <c r="VLK4" s="223"/>
      <c r="VLL4" s="223"/>
      <c r="VLM4" s="223"/>
      <c r="VLN4" s="223"/>
      <c r="VLO4" s="223"/>
      <c r="VLP4" s="223"/>
      <c r="VLQ4" s="223"/>
      <c r="VLR4" s="224"/>
      <c r="VLS4" s="225"/>
      <c r="VLT4" s="226"/>
      <c r="VLU4" s="224"/>
      <c r="VLV4" s="225"/>
      <c r="VLW4" s="225"/>
      <c r="VLX4" s="227"/>
      <c r="VLY4" s="228"/>
      <c r="VLZ4" s="228"/>
      <c r="VMA4" s="229"/>
      <c r="VMB4" s="216"/>
      <c r="VMC4" s="219"/>
      <c r="VMD4" s="220"/>
      <c r="VME4" s="217"/>
      <c r="VMF4" s="217"/>
      <c r="VMG4" s="217"/>
      <c r="VMH4" s="217"/>
      <c r="VMI4" s="217"/>
      <c r="VMJ4" s="221"/>
      <c r="VMK4" s="222"/>
      <c r="VML4" s="220"/>
      <c r="VMM4" s="220"/>
      <c r="VMN4" s="220"/>
      <c r="VMO4" s="220"/>
      <c r="VMP4" s="223"/>
      <c r="VMQ4" s="223"/>
      <c r="VMR4" s="223"/>
      <c r="VMS4" s="223"/>
      <c r="VMT4" s="223"/>
      <c r="VMU4" s="223"/>
      <c r="VMV4" s="223"/>
      <c r="VMW4" s="223"/>
      <c r="VMX4" s="223"/>
      <c r="VMY4" s="224"/>
      <c r="VMZ4" s="225"/>
      <c r="VNA4" s="226"/>
      <c r="VNB4" s="224"/>
      <c r="VNC4" s="225"/>
      <c r="VND4" s="225"/>
      <c r="VNE4" s="227"/>
      <c r="VNF4" s="228"/>
      <c r="VNG4" s="228"/>
      <c r="VNH4" s="229"/>
      <c r="VNI4" s="216"/>
      <c r="VNJ4" s="219"/>
      <c r="VNK4" s="220"/>
      <c r="VNL4" s="217"/>
      <c r="VNM4" s="217"/>
      <c r="VNN4" s="217"/>
      <c r="VNO4" s="217"/>
      <c r="VNP4" s="217"/>
      <c r="VNQ4" s="221"/>
      <c r="VNR4" s="222"/>
      <c r="VNS4" s="220"/>
      <c r="VNT4" s="220"/>
      <c r="VNU4" s="220"/>
      <c r="VNV4" s="220"/>
      <c r="VNW4" s="223"/>
      <c r="VNX4" s="223"/>
      <c r="VNY4" s="223"/>
      <c r="VNZ4" s="223"/>
      <c r="VOA4" s="223"/>
      <c r="VOB4" s="223"/>
      <c r="VOC4" s="223"/>
      <c r="VOD4" s="223"/>
      <c r="VOE4" s="223"/>
      <c r="VOF4" s="224"/>
      <c r="VOG4" s="225"/>
      <c r="VOH4" s="226"/>
      <c r="VOI4" s="224"/>
      <c r="VOJ4" s="225"/>
      <c r="VOK4" s="225"/>
      <c r="VOL4" s="227"/>
      <c r="VOM4" s="228"/>
      <c r="VON4" s="228"/>
      <c r="VOO4" s="229"/>
      <c r="VOP4" s="216"/>
      <c r="VOQ4" s="219"/>
      <c r="VOR4" s="220"/>
      <c r="VOS4" s="217"/>
      <c r="VOT4" s="217"/>
      <c r="VOU4" s="217"/>
      <c r="VOV4" s="217"/>
      <c r="VOW4" s="217"/>
      <c r="VOX4" s="221"/>
      <c r="VOY4" s="222"/>
      <c r="VOZ4" s="220"/>
      <c r="VPA4" s="220"/>
      <c r="VPB4" s="220"/>
      <c r="VPC4" s="220"/>
      <c r="VPD4" s="223"/>
      <c r="VPE4" s="223"/>
      <c r="VPF4" s="223"/>
      <c r="VPG4" s="223"/>
      <c r="VPH4" s="223"/>
      <c r="VPI4" s="223"/>
      <c r="VPJ4" s="223"/>
      <c r="VPK4" s="223"/>
      <c r="VPL4" s="223"/>
      <c r="VPM4" s="224"/>
      <c r="VPN4" s="225"/>
      <c r="VPO4" s="226"/>
      <c r="VPP4" s="224"/>
      <c r="VPQ4" s="225"/>
      <c r="VPR4" s="225"/>
      <c r="VPS4" s="227"/>
      <c r="VPT4" s="228"/>
      <c r="VPU4" s="228"/>
      <c r="VPV4" s="229"/>
      <c r="VPW4" s="216"/>
      <c r="VPX4" s="219"/>
      <c r="VPY4" s="220"/>
      <c r="VPZ4" s="217"/>
      <c r="VQA4" s="217"/>
      <c r="VQB4" s="217"/>
      <c r="VQC4" s="217"/>
      <c r="VQD4" s="217"/>
      <c r="VQE4" s="221"/>
      <c r="VQF4" s="222"/>
      <c r="VQG4" s="220"/>
      <c r="VQH4" s="220"/>
      <c r="VQI4" s="220"/>
      <c r="VQJ4" s="220"/>
      <c r="VQK4" s="223"/>
      <c r="VQL4" s="223"/>
      <c r="VQM4" s="223"/>
      <c r="VQN4" s="223"/>
      <c r="VQO4" s="223"/>
      <c r="VQP4" s="223"/>
      <c r="VQQ4" s="223"/>
      <c r="VQR4" s="223"/>
      <c r="VQS4" s="223"/>
      <c r="VQT4" s="224"/>
      <c r="VQU4" s="225"/>
      <c r="VQV4" s="226"/>
      <c r="VQW4" s="224"/>
      <c r="VQX4" s="225"/>
      <c r="VQY4" s="225"/>
      <c r="VQZ4" s="227"/>
      <c r="VRA4" s="228"/>
      <c r="VRB4" s="228"/>
      <c r="VRC4" s="229"/>
      <c r="VRD4" s="216"/>
      <c r="VRE4" s="219"/>
      <c r="VRF4" s="220"/>
      <c r="VRG4" s="217"/>
      <c r="VRH4" s="217"/>
      <c r="VRI4" s="217"/>
      <c r="VRJ4" s="217"/>
      <c r="VRK4" s="217"/>
      <c r="VRL4" s="221"/>
      <c r="VRM4" s="222"/>
      <c r="VRN4" s="220"/>
      <c r="VRO4" s="220"/>
      <c r="VRP4" s="220"/>
      <c r="VRQ4" s="220"/>
      <c r="VRR4" s="223"/>
      <c r="VRS4" s="223"/>
      <c r="VRT4" s="223"/>
      <c r="VRU4" s="223"/>
      <c r="VRV4" s="223"/>
      <c r="VRW4" s="223"/>
      <c r="VRX4" s="223"/>
      <c r="VRY4" s="223"/>
      <c r="VRZ4" s="223"/>
      <c r="VSA4" s="224"/>
      <c r="VSB4" s="225"/>
      <c r="VSC4" s="226"/>
      <c r="VSD4" s="224"/>
      <c r="VSE4" s="225"/>
      <c r="VSF4" s="225"/>
      <c r="VSG4" s="227"/>
      <c r="VSH4" s="228"/>
      <c r="VSI4" s="228"/>
      <c r="VSJ4" s="229"/>
      <c r="VSK4" s="216"/>
      <c r="VSL4" s="219"/>
      <c r="VSM4" s="220"/>
      <c r="VSN4" s="217"/>
      <c r="VSO4" s="217"/>
      <c r="VSP4" s="217"/>
      <c r="VSQ4" s="217"/>
      <c r="VSR4" s="217"/>
      <c r="VSS4" s="221"/>
      <c r="VST4" s="222"/>
      <c r="VSU4" s="220"/>
      <c r="VSV4" s="220"/>
      <c r="VSW4" s="220"/>
      <c r="VSX4" s="220"/>
      <c r="VSY4" s="223"/>
      <c r="VSZ4" s="223"/>
      <c r="VTA4" s="223"/>
      <c r="VTB4" s="223"/>
      <c r="VTC4" s="223"/>
      <c r="VTD4" s="223"/>
      <c r="VTE4" s="223"/>
      <c r="VTF4" s="223"/>
      <c r="VTG4" s="223"/>
      <c r="VTH4" s="224"/>
      <c r="VTI4" s="225"/>
      <c r="VTJ4" s="226"/>
      <c r="VTK4" s="224"/>
      <c r="VTL4" s="225"/>
      <c r="VTM4" s="225"/>
      <c r="VTN4" s="227"/>
      <c r="VTO4" s="228"/>
      <c r="VTP4" s="228"/>
      <c r="VTQ4" s="229"/>
      <c r="VTR4" s="216"/>
      <c r="VTS4" s="219"/>
      <c r="VTT4" s="220"/>
      <c r="VTU4" s="217"/>
      <c r="VTV4" s="217"/>
      <c r="VTW4" s="217"/>
      <c r="VTX4" s="217"/>
      <c r="VTY4" s="217"/>
      <c r="VTZ4" s="221"/>
      <c r="VUA4" s="222"/>
      <c r="VUB4" s="220"/>
      <c r="VUC4" s="220"/>
      <c r="VUD4" s="220"/>
      <c r="VUE4" s="220"/>
      <c r="VUF4" s="223"/>
      <c r="VUG4" s="223"/>
      <c r="VUH4" s="223"/>
      <c r="VUI4" s="223"/>
      <c r="VUJ4" s="223"/>
      <c r="VUK4" s="223"/>
      <c r="VUL4" s="223"/>
      <c r="VUM4" s="223"/>
      <c r="VUN4" s="223"/>
      <c r="VUO4" s="224"/>
      <c r="VUP4" s="225"/>
      <c r="VUQ4" s="226"/>
      <c r="VUR4" s="224"/>
      <c r="VUS4" s="225"/>
      <c r="VUT4" s="225"/>
      <c r="VUU4" s="227"/>
      <c r="VUV4" s="228"/>
      <c r="VUW4" s="228"/>
      <c r="VUX4" s="229"/>
      <c r="VUY4" s="216"/>
      <c r="VUZ4" s="219"/>
      <c r="VVA4" s="220"/>
      <c r="VVB4" s="217"/>
      <c r="VVC4" s="217"/>
      <c r="VVD4" s="217"/>
      <c r="VVE4" s="217"/>
      <c r="VVF4" s="217"/>
      <c r="VVG4" s="221"/>
      <c r="VVH4" s="222"/>
      <c r="VVI4" s="220"/>
      <c r="VVJ4" s="220"/>
      <c r="VVK4" s="220"/>
      <c r="VVL4" s="220"/>
      <c r="VVM4" s="223"/>
      <c r="VVN4" s="223"/>
      <c r="VVO4" s="223"/>
      <c r="VVP4" s="223"/>
      <c r="VVQ4" s="223"/>
      <c r="VVR4" s="223"/>
      <c r="VVS4" s="223"/>
      <c r="VVT4" s="223"/>
      <c r="VVU4" s="223"/>
      <c r="VVV4" s="224"/>
      <c r="VVW4" s="225"/>
      <c r="VVX4" s="226"/>
      <c r="VVY4" s="224"/>
      <c r="VVZ4" s="225"/>
      <c r="VWA4" s="225"/>
      <c r="VWB4" s="227"/>
      <c r="VWC4" s="228"/>
      <c r="VWD4" s="228"/>
      <c r="VWE4" s="229"/>
      <c r="VWF4" s="216"/>
      <c r="VWG4" s="219"/>
      <c r="VWH4" s="220"/>
      <c r="VWI4" s="217"/>
      <c r="VWJ4" s="217"/>
      <c r="VWK4" s="217"/>
      <c r="VWL4" s="217"/>
      <c r="VWM4" s="217"/>
      <c r="VWN4" s="221"/>
      <c r="VWO4" s="222"/>
      <c r="VWP4" s="220"/>
      <c r="VWQ4" s="220"/>
      <c r="VWR4" s="220"/>
      <c r="VWS4" s="220"/>
      <c r="VWT4" s="223"/>
      <c r="VWU4" s="223"/>
      <c r="VWV4" s="223"/>
      <c r="VWW4" s="223"/>
      <c r="VWX4" s="223"/>
      <c r="VWY4" s="223"/>
      <c r="VWZ4" s="223"/>
      <c r="VXA4" s="223"/>
      <c r="VXB4" s="223"/>
      <c r="VXC4" s="224"/>
      <c r="VXD4" s="225"/>
      <c r="VXE4" s="226"/>
      <c r="VXF4" s="224"/>
      <c r="VXG4" s="225"/>
      <c r="VXH4" s="225"/>
      <c r="VXI4" s="227"/>
      <c r="VXJ4" s="228"/>
      <c r="VXK4" s="228"/>
      <c r="VXL4" s="229"/>
      <c r="VXM4" s="216"/>
      <c r="VXN4" s="219"/>
      <c r="VXO4" s="220"/>
      <c r="VXP4" s="217"/>
      <c r="VXQ4" s="217"/>
      <c r="VXR4" s="217"/>
      <c r="VXS4" s="217"/>
      <c r="VXT4" s="217"/>
      <c r="VXU4" s="221"/>
      <c r="VXV4" s="222"/>
      <c r="VXW4" s="220"/>
      <c r="VXX4" s="220"/>
      <c r="VXY4" s="220"/>
      <c r="VXZ4" s="220"/>
      <c r="VYA4" s="223"/>
      <c r="VYB4" s="223"/>
      <c r="VYC4" s="223"/>
      <c r="VYD4" s="223"/>
      <c r="VYE4" s="223"/>
      <c r="VYF4" s="223"/>
      <c r="VYG4" s="223"/>
      <c r="VYH4" s="223"/>
      <c r="VYI4" s="223"/>
      <c r="VYJ4" s="224"/>
      <c r="VYK4" s="225"/>
      <c r="VYL4" s="226"/>
      <c r="VYM4" s="224"/>
      <c r="VYN4" s="225"/>
      <c r="VYO4" s="225"/>
      <c r="VYP4" s="227"/>
      <c r="VYQ4" s="228"/>
      <c r="VYR4" s="228"/>
      <c r="VYS4" s="229"/>
      <c r="VYT4" s="216"/>
      <c r="VYU4" s="219"/>
      <c r="VYV4" s="220"/>
      <c r="VYW4" s="217"/>
      <c r="VYX4" s="217"/>
      <c r="VYY4" s="217"/>
      <c r="VYZ4" s="217"/>
      <c r="VZA4" s="217"/>
      <c r="VZB4" s="221"/>
      <c r="VZC4" s="222"/>
      <c r="VZD4" s="220"/>
      <c r="VZE4" s="220"/>
      <c r="VZF4" s="220"/>
      <c r="VZG4" s="220"/>
      <c r="VZH4" s="223"/>
      <c r="VZI4" s="223"/>
      <c r="VZJ4" s="223"/>
      <c r="VZK4" s="223"/>
      <c r="VZL4" s="223"/>
      <c r="VZM4" s="223"/>
      <c r="VZN4" s="223"/>
      <c r="VZO4" s="223"/>
      <c r="VZP4" s="223"/>
      <c r="VZQ4" s="224"/>
      <c r="VZR4" s="225"/>
      <c r="VZS4" s="226"/>
      <c r="VZT4" s="224"/>
      <c r="VZU4" s="225"/>
      <c r="VZV4" s="225"/>
      <c r="VZW4" s="227"/>
      <c r="VZX4" s="228"/>
      <c r="VZY4" s="228"/>
      <c r="VZZ4" s="229"/>
      <c r="WAA4" s="216"/>
      <c r="WAB4" s="219"/>
      <c r="WAC4" s="220"/>
      <c r="WAD4" s="217"/>
      <c r="WAE4" s="217"/>
      <c r="WAF4" s="217"/>
      <c r="WAG4" s="217"/>
      <c r="WAH4" s="217"/>
      <c r="WAI4" s="221"/>
      <c r="WAJ4" s="222"/>
      <c r="WAK4" s="220"/>
      <c r="WAL4" s="220"/>
      <c r="WAM4" s="220"/>
      <c r="WAN4" s="220"/>
      <c r="WAO4" s="223"/>
      <c r="WAP4" s="223"/>
      <c r="WAQ4" s="223"/>
      <c r="WAR4" s="223"/>
      <c r="WAS4" s="223"/>
      <c r="WAT4" s="223"/>
      <c r="WAU4" s="223"/>
      <c r="WAV4" s="223"/>
      <c r="WAW4" s="223"/>
      <c r="WAX4" s="224"/>
      <c r="WAY4" s="225"/>
      <c r="WAZ4" s="226"/>
      <c r="WBA4" s="224"/>
      <c r="WBB4" s="225"/>
      <c r="WBC4" s="225"/>
      <c r="WBD4" s="227"/>
      <c r="WBE4" s="228"/>
      <c r="WBF4" s="228"/>
      <c r="WBG4" s="229"/>
      <c r="WBH4" s="216"/>
      <c r="WBI4" s="219"/>
      <c r="WBJ4" s="220"/>
      <c r="WBK4" s="217"/>
      <c r="WBL4" s="217"/>
      <c r="WBM4" s="217"/>
      <c r="WBN4" s="217"/>
      <c r="WBO4" s="217"/>
      <c r="WBP4" s="221"/>
      <c r="WBQ4" s="222"/>
      <c r="WBR4" s="220"/>
      <c r="WBS4" s="220"/>
      <c r="WBT4" s="220"/>
      <c r="WBU4" s="220"/>
      <c r="WBV4" s="223"/>
      <c r="WBW4" s="223"/>
      <c r="WBX4" s="223"/>
      <c r="WBY4" s="223"/>
      <c r="WBZ4" s="223"/>
      <c r="WCA4" s="223"/>
      <c r="WCB4" s="223"/>
      <c r="WCC4" s="223"/>
      <c r="WCD4" s="223"/>
      <c r="WCE4" s="224"/>
      <c r="WCF4" s="225"/>
      <c r="WCG4" s="226"/>
      <c r="WCH4" s="224"/>
      <c r="WCI4" s="225"/>
      <c r="WCJ4" s="225"/>
      <c r="WCK4" s="227"/>
      <c r="WCL4" s="228"/>
      <c r="WCM4" s="228"/>
      <c r="WCN4" s="229"/>
      <c r="WCO4" s="216"/>
      <c r="WCP4" s="219"/>
      <c r="WCQ4" s="220"/>
      <c r="WCR4" s="217"/>
      <c r="WCS4" s="217"/>
      <c r="WCT4" s="217"/>
      <c r="WCU4" s="217"/>
      <c r="WCV4" s="217"/>
      <c r="WCW4" s="221"/>
      <c r="WCX4" s="222"/>
      <c r="WCY4" s="220"/>
      <c r="WCZ4" s="220"/>
      <c r="WDA4" s="220"/>
      <c r="WDB4" s="220"/>
      <c r="WDC4" s="223"/>
      <c r="WDD4" s="223"/>
      <c r="WDE4" s="223"/>
      <c r="WDF4" s="223"/>
      <c r="WDG4" s="223"/>
      <c r="WDH4" s="223"/>
      <c r="WDI4" s="223"/>
      <c r="WDJ4" s="223"/>
      <c r="WDK4" s="223"/>
      <c r="WDL4" s="224"/>
      <c r="WDM4" s="225"/>
      <c r="WDN4" s="226"/>
      <c r="WDO4" s="224"/>
      <c r="WDP4" s="225"/>
      <c r="WDQ4" s="225"/>
      <c r="WDR4" s="227"/>
      <c r="WDS4" s="228"/>
      <c r="WDT4" s="228"/>
      <c r="WDU4" s="229"/>
      <c r="WDV4" s="216"/>
      <c r="WDW4" s="219"/>
      <c r="WDX4" s="220"/>
      <c r="WDY4" s="217"/>
      <c r="WDZ4" s="217"/>
      <c r="WEA4" s="217"/>
      <c r="WEB4" s="217"/>
      <c r="WEC4" s="217"/>
      <c r="WED4" s="221"/>
      <c r="WEE4" s="222"/>
      <c r="WEF4" s="220"/>
      <c r="WEG4" s="220"/>
      <c r="WEH4" s="220"/>
      <c r="WEI4" s="220"/>
      <c r="WEJ4" s="223"/>
      <c r="WEK4" s="223"/>
      <c r="WEL4" s="223"/>
      <c r="WEM4" s="223"/>
      <c r="WEN4" s="223"/>
      <c r="WEO4" s="223"/>
      <c r="WEP4" s="223"/>
      <c r="WEQ4" s="223"/>
      <c r="WER4" s="223"/>
      <c r="WES4" s="224"/>
      <c r="WET4" s="225"/>
      <c r="WEU4" s="226"/>
      <c r="WEV4" s="224"/>
      <c r="WEW4" s="225"/>
      <c r="WEX4" s="225"/>
      <c r="WEY4" s="227"/>
      <c r="WEZ4" s="228"/>
      <c r="WFA4" s="228"/>
      <c r="WFB4" s="229"/>
      <c r="WFC4" s="216"/>
      <c r="WFD4" s="219"/>
      <c r="WFE4" s="220"/>
      <c r="WFF4" s="217"/>
      <c r="WFG4" s="217"/>
      <c r="WFH4" s="217"/>
      <c r="WFI4" s="217"/>
      <c r="WFJ4" s="217"/>
      <c r="WFK4" s="221"/>
      <c r="WFL4" s="222"/>
      <c r="WFM4" s="220"/>
      <c r="WFN4" s="220"/>
      <c r="WFO4" s="220"/>
      <c r="WFP4" s="220"/>
      <c r="WFQ4" s="223"/>
      <c r="WFR4" s="223"/>
      <c r="WFS4" s="223"/>
      <c r="WFT4" s="223"/>
      <c r="WFU4" s="223"/>
      <c r="WFV4" s="223"/>
      <c r="WFW4" s="223"/>
      <c r="WFX4" s="223"/>
      <c r="WFY4" s="223"/>
      <c r="WFZ4" s="224"/>
      <c r="WGA4" s="225"/>
      <c r="WGB4" s="226"/>
      <c r="WGC4" s="224"/>
      <c r="WGD4" s="225"/>
      <c r="WGE4" s="225"/>
      <c r="WGF4" s="227"/>
      <c r="WGG4" s="228"/>
      <c r="WGH4" s="228"/>
      <c r="WGI4" s="229"/>
      <c r="WGJ4" s="216"/>
      <c r="WGK4" s="219"/>
      <c r="WGL4" s="220"/>
      <c r="WGM4" s="217"/>
      <c r="WGN4" s="217"/>
      <c r="WGO4" s="217"/>
      <c r="WGP4" s="217"/>
      <c r="WGQ4" s="217"/>
      <c r="WGR4" s="221"/>
      <c r="WGS4" s="222"/>
      <c r="WGT4" s="220"/>
      <c r="WGU4" s="220"/>
      <c r="WGV4" s="220"/>
      <c r="WGW4" s="220"/>
      <c r="WGX4" s="223"/>
      <c r="WGY4" s="223"/>
      <c r="WGZ4" s="223"/>
      <c r="WHA4" s="223"/>
      <c r="WHB4" s="223"/>
      <c r="WHC4" s="223"/>
      <c r="WHD4" s="223"/>
      <c r="WHE4" s="223"/>
      <c r="WHF4" s="223"/>
      <c r="WHG4" s="224"/>
      <c r="WHH4" s="225"/>
      <c r="WHI4" s="226"/>
      <c r="WHJ4" s="224"/>
      <c r="WHK4" s="225"/>
      <c r="WHL4" s="225"/>
      <c r="WHM4" s="227"/>
      <c r="WHN4" s="228"/>
      <c r="WHO4" s="228"/>
      <c r="WHP4" s="229"/>
      <c r="WHQ4" s="216"/>
      <c r="WHR4" s="219"/>
      <c r="WHS4" s="220"/>
      <c r="WHT4" s="217"/>
      <c r="WHU4" s="217"/>
      <c r="WHV4" s="217"/>
      <c r="WHW4" s="217"/>
      <c r="WHX4" s="217"/>
      <c r="WHY4" s="221"/>
      <c r="WHZ4" s="222"/>
      <c r="WIA4" s="220"/>
      <c r="WIB4" s="220"/>
      <c r="WIC4" s="220"/>
      <c r="WID4" s="220"/>
      <c r="WIE4" s="223"/>
      <c r="WIF4" s="223"/>
      <c r="WIG4" s="223"/>
      <c r="WIH4" s="223"/>
      <c r="WII4" s="223"/>
      <c r="WIJ4" s="223"/>
      <c r="WIK4" s="223"/>
      <c r="WIL4" s="223"/>
      <c r="WIM4" s="223"/>
      <c r="WIN4" s="224"/>
      <c r="WIO4" s="225"/>
      <c r="WIP4" s="226"/>
      <c r="WIQ4" s="224"/>
      <c r="WIR4" s="225"/>
      <c r="WIS4" s="225"/>
      <c r="WIT4" s="227"/>
      <c r="WIU4" s="228"/>
      <c r="WIV4" s="228"/>
      <c r="WIW4" s="229"/>
      <c r="WIX4" s="216"/>
      <c r="WIY4" s="219"/>
      <c r="WIZ4" s="220"/>
      <c r="WJA4" s="217"/>
      <c r="WJB4" s="217"/>
      <c r="WJC4" s="217"/>
      <c r="WJD4" s="217"/>
      <c r="WJE4" s="217"/>
      <c r="WJF4" s="221"/>
      <c r="WJG4" s="222"/>
      <c r="WJH4" s="220"/>
      <c r="WJI4" s="220"/>
      <c r="WJJ4" s="220"/>
      <c r="WJK4" s="220"/>
      <c r="WJL4" s="223"/>
      <c r="WJM4" s="223"/>
      <c r="WJN4" s="223"/>
      <c r="WJO4" s="223"/>
      <c r="WJP4" s="223"/>
      <c r="WJQ4" s="223"/>
      <c r="WJR4" s="223"/>
      <c r="WJS4" s="223"/>
      <c r="WJT4" s="223"/>
      <c r="WJU4" s="224"/>
      <c r="WJV4" s="225"/>
      <c r="WJW4" s="226"/>
      <c r="WJX4" s="224"/>
      <c r="WJY4" s="225"/>
      <c r="WJZ4" s="225"/>
      <c r="WKA4" s="227"/>
      <c r="WKB4" s="228"/>
      <c r="WKC4" s="228"/>
      <c r="WKD4" s="229"/>
      <c r="WKE4" s="216"/>
      <c r="WKF4" s="219"/>
      <c r="WKG4" s="220"/>
      <c r="WKH4" s="217"/>
      <c r="WKI4" s="217"/>
      <c r="WKJ4" s="217"/>
      <c r="WKK4" s="217"/>
      <c r="WKL4" s="217"/>
      <c r="WKM4" s="221"/>
      <c r="WKN4" s="222"/>
      <c r="WKO4" s="220"/>
      <c r="WKP4" s="220"/>
      <c r="WKQ4" s="220"/>
      <c r="WKR4" s="220"/>
      <c r="WKS4" s="223"/>
      <c r="WKT4" s="223"/>
      <c r="WKU4" s="223"/>
      <c r="WKV4" s="223"/>
      <c r="WKW4" s="223"/>
      <c r="WKX4" s="223"/>
      <c r="WKY4" s="223"/>
      <c r="WKZ4" s="223"/>
      <c r="WLA4" s="223"/>
      <c r="WLB4" s="224"/>
      <c r="WLC4" s="225"/>
      <c r="WLD4" s="226"/>
      <c r="WLE4" s="224"/>
      <c r="WLF4" s="225"/>
      <c r="WLG4" s="225"/>
      <c r="WLH4" s="227"/>
      <c r="WLI4" s="228"/>
      <c r="WLJ4" s="228"/>
      <c r="WLK4" s="229"/>
      <c r="WLL4" s="216"/>
      <c r="WLM4" s="219"/>
      <c r="WLN4" s="220"/>
      <c r="WLO4" s="217"/>
      <c r="WLP4" s="217"/>
      <c r="WLQ4" s="217"/>
      <c r="WLR4" s="217"/>
      <c r="WLS4" s="217"/>
      <c r="WLT4" s="221"/>
      <c r="WLU4" s="222"/>
      <c r="WLV4" s="220"/>
      <c r="WLW4" s="220"/>
      <c r="WLX4" s="220"/>
      <c r="WLY4" s="220"/>
      <c r="WLZ4" s="223"/>
      <c r="WMA4" s="223"/>
      <c r="WMB4" s="223"/>
      <c r="WMC4" s="223"/>
      <c r="WMD4" s="223"/>
      <c r="WME4" s="223"/>
      <c r="WMF4" s="223"/>
      <c r="WMG4" s="223"/>
      <c r="WMH4" s="223"/>
      <c r="WMI4" s="224"/>
      <c r="WMJ4" s="225"/>
      <c r="WMK4" s="226"/>
      <c r="WML4" s="224"/>
      <c r="WMM4" s="225"/>
      <c r="WMN4" s="225"/>
      <c r="WMO4" s="227"/>
      <c r="WMP4" s="228"/>
      <c r="WMQ4" s="228"/>
      <c r="WMR4" s="229"/>
      <c r="WMS4" s="216"/>
      <c r="WMT4" s="219"/>
      <c r="WMU4" s="220"/>
      <c r="WMV4" s="217"/>
      <c r="WMW4" s="217"/>
      <c r="WMX4" s="217"/>
      <c r="WMY4" s="217"/>
      <c r="WMZ4" s="217"/>
      <c r="WNA4" s="221"/>
      <c r="WNB4" s="222"/>
      <c r="WNC4" s="220"/>
      <c r="WND4" s="220"/>
      <c r="WNE4" s="220"/>
      <c r="WNF4" s="220"/>
      <c r="WNG4" s="223"/>
      <c r="WNH4" s="223"/>
      <c r="WNI4" s="223"/>
      <c r="WNJ4" s="223"/>
      <c r="WNK4" s="223"/>
      <c r="WNL4" s="223"/>
      <c r="WNM4" s="223"/>
      <c r="WNN4" s="223"/>
      <c r="WNO4" s="223"/>
      <c r="WNP4" s="224"/>
      <c r="WNQ4" s="225"/>
      <c r="WNR4" s="226"/>
      <c r="WNS4" s="224"/>
      <c r="WNT4" s="225"/>
      <c r="WNU4" s="225"/>
      <c r="WNV4" s="227"/>
      <c r="WNW4" s="228"/>
      <c r="WNX4" s="228"/>
      <c r="WNY4" s="229"/>
      <c r="WNZ4" s="216"/>
      <c r="WOA4" s="219"/>
      <c r="WOB4" s="220"/>
      <c r="WOC4" s="217"/>
      <c r="WOD4" s="217"/>
      <c r="WOE4" s="217"/>
      <c r="WOF4" s="217"/>
      <c r="WOG4" s="217"/>
      <c r="WOH4" s="221"/>
      <c r="WOI4" s="222"/>
      <c r="WOJ4" s="220"/>
      <c r="WOK4" s="220"/>
      <c r="WOL4" s="220"/>
      <c r="WOM4" s="220"/>
      <c r="WON4" s="223"/>
      <c r="WOO4" s="223"/>
      <c r="WOP4" s="223"/>
      <c r="WOQ4" s="223"/>
      <c r="WOR4" s="223"/>
      <c r="WOS4" s="223"/>
      <c r="WOT4" s="223"/>
      <c r="WOU4" s="223"/>
      <c r="WOV4" s="223"/>
      <c r="WOW4" s="224"/>
      <c r="WOX4" s="225"/>
      <c r="WOY4" s="226"/>
      <c r="WOZ4" s="224"/>
      <c r="WPA4" s="225"/>
      <c r="WPB4" s="225"/>
      <c r="WPC4" s="227"/>
      <c r="WPD4" s="228"/>
      <c r="WPE4" s="228"/>
      <c r="WPF4" s="229"/>
      <c r="WPG4" s="216"/>
      <c r="WPH4" s="219"/>
      <c r="WPI4" s="220"/>
      <c r="WPJ4" s="217"/>
      <c r="WPK4" s="217"/>
      <c r="WPL4" s="217"/>
      <c r="WPM4" s="217"/>
      <c r="WPN4" s="217"/>
      <c r="WPO4" s="221"/>
      <c r="WPP4" s="222"/>
      <c r="WPQ4" s="220"/>
      <c r="WPR4" s="220"/>
      <c r="WPS4" s="220"/>
      <c r="WPT4" s="220"/>
      <c r="WPU4" s="223"/>
      <c r="WPV4" s="223"/>
      <c r="WPW4" s="223"/>
      <c r="WPX4" s="223"/>
      <c r="WPY4" s="223"/>
      <c r="WPZ4" s="223"/>
      <c r="WQA4" s="223"/>
      <c r="WQB4" s="223"/>
      <c r="WQC4" s="223"/>
      <c r="WQD4" s="224"/>
      <c r="WQE4" s="225"/>
      <c r="WQF4" s="226"/>
      <c r="WQG4" s="224"/>
      <c r="WQH4" s="225"/>
      <c r="WQI4" s="225"/>
      <c r="WQJ4" s="227"/>
      <c r="WQK4" s="228"/>
      <c r="WQL4" s="228"/>
      <c r="WQM4" s="229"/>
      <c r="WQN4" s="216"/>
      <c r="WQO4" s="219"/>
      <c r="WQP4" s="220"/>
      <c r="WQQ4" s="217"/>
      <c r="WQR4" s="217"/>
      <c r="WQS4" s="217"/>
      <c r="WQT4" s="217"/>
      <c r="WQU4" s="217"/>
      <c r="WQV4" s="221"/>
      <c r="WQW4" s="222"/>
      <c r="WQX4" s="220"/>
      <c r="WQY4" s="220"/>
      <c r="WQZ4" s="220"/>
      <c r="WRA4" s="220"/>
      <c r="WRB4" s="223"/>
      <c r="WRC4" s="223"/>
      <c r="WRD4" s="223"/>
      <c r="WRE4" s="223"/>
      <c r="WRF4" s="223"/>
      <c r="WRG4" s="223"/>
      <c r="WRH4" s="223"/>
      <c r="WRI4" s="223"/>
      <c r="WRJ4" s="223"/>
      <c r="WRK4" s="224"/>
      <c r="WRL4" s="225"/>
      <c r="WRM4" s="226"/>
      <c r="WRN4" s="224"/>
      <c r="WRO4" s="225"/>
      <c r="WRP4" s="225"/>
      <c r="WRQ4" s="227"/>
      <c r="WRR4" s="228"/>
      <c r="WRS4" s="228"/>
      <c r="WRT4" s="229"/>
      <c r="WRU4" s="216"/>
      <c r="WRV4" s="219"/>
      <c r="WRW4" s="220"/>
      <c r="WRX4" s="217"/>
      <c r="WRY4" s="217"/>
      <c r="WRZ4" s="217"/>
      <c r="WSA4" s="217"/>
      <c r="WSB4" s="217"/>
      <c r="WSC4" s="221"/>
      <c r="WSD4" s="222"/>
      <c r="WSE4" s="220"/>
      <c r="WSF4" s="220"/>
      <c r="WSG4" s="220"/>
      <c r="WSH4" s="220"/>
      <c r="WSI4" s="223"/>
      <c r="WSJ4" s="223"/>
      <c r="WSK4" s="223"/>
      <c r="WSL4" s="223"/>
      <c r="WSM4" s="223"/>
      <c r="WSN4" s="223"/>
      <c r="WSO4" s="223"/>
      <c r="WSP4" s="223"/>
      <c r="WSQ4" s="223"/>
      <c r="WSR4" s="224"/>
      <c r="WSS4" s="225"/>
      <c r="WST4" s="226"/>
      <c r="WSU4" s="224"/>
      <c r="WSV4" s="225"/>
      <c r="WSW4" s="225"/>
      <c r="WSX4" s="227"/>
      <c r="WSY4" s="228"/>
      <c r="WSZ4" s="228"/>
      <c r="WTA4" s="229"/>
      <c r="WTB4" s="216"/>
      <c r="WTC4" s="219"/>
      <c r="WTD4" s="220"/>
      <c r="WTE4" s="217"/>
      <c r="WTF4" s="217"/>
      <c r="WTG4" s="217"/>
      <c r="WTH4" s="217"/>
      <c r="WTI4" s="217"/>
      <c r="WTJ4" s="221"/>
      <c r="WTK4" s="222"/>
      <c r="WTL4" s="220"/>
      <c r="WTM4" s="220"/>
      <c r="WTN4" s="220"/>
      <c r="WTO4" s="220"/>
      <c r="WTP4" s="223"/>
      <c r="WTQ4" s="223"/>
      <c r="WTR4" s="223"/>
      <c r="WTS4" s="223"/>
      <c r="WTT4" s="223"/>
      <c r="WTU4" s="223"/>
      <c r="WTV4" s="223"/>
      <c r="WTW4" s="223"/>
      <c r="WTX4" s="223"/>
      <c r="WTY4" s="224"/>
      <c r="WTZ4" s="225"/>
      <c r="WUA4" s="226"/>
      <c r="WUB4" s="224"/>
      <c r="WUC4" s="225"/>
      <c r="WUD4" s="225"/>
      <c r="WUE4" s="227"/>
      <c r="WUF4" s="228"/>
      <c r="WUG4" s="228"/>
      <c r="WUH4" s="229"/>
      <c r="WUI4" s="216"/>
      <c r="WUJ4" s="219"/>
      <c r="WUK4" s="220"/>
      <c r="WUL4" s="217"/>
      <c r="WUM4" s="217"/>
      <c r="WUN4" s="217"/>
      <c r="WUO4" s="217"/>
      <c r="WUP4" s="217"/>
      <c r="WUQ4" s="221"/>
      <c r="WUR4" s="222"/>
      <c r="WUS4" s="220"/>
      <c r="WUT4" s="220"/>
      <c r="WUU4" s="220"/>
      <c r="WUV4" s="220"/>
      <c r="WUW4" s="223"/>
      <c r="WUX4" s="223"/>
      <c r="WUY4" s="223"/>
      <c r="WUZ4" s="223"/>
      <c r="WVA4" s="223"/>
      <c r="WVB4" s="223"/>
      <c r="WVC4" s="223"/>
      <c r="WVD4" s="223"/>
      <c r="WVE4" s="223"/>
      <c r="WVF4" s="224"/>
      <c r="WVG4" s="225"/>
      <c r="WVH4" s="226"/>
      <c r="WVI4" s="224"/>
      <c r="WVJ4" s="225"/>
      <c r="WVK4" s="225"/>
      <c r="WVL4" s="227"/>
      <c r="WVM4" s="228"/>
      <c r="WVN4" s="228"/>
      <c r="WVO4" s="229"/>
      <c r="WVP4" s="216"/>
      <c r="WVQ4" s="219"/>
      <c r="WVR4" s="220"/>
      <c r="WVS4" s="217"/>
      <c r="WVT4" s="217"/>
      <c r="WVU4" s="217"/>
      <c r="WVV4" s="217"/>
      <c r="WVW4" s="217"/>
      <c r="WVX4" s="221"/>
      <c r="WVY4" s="222"/>
      <c r="WVZ4" s="220"/>
      <c r="WWA4" s="220"/>
      <c r="WWB4" s="220"/>
      <c r="WWC4" s="220"/>
      <c r="WWD4" s="223"/>
      <c r="WWE4" s="223"/>
      <c r="WWF4" s="223"/>
      <c r="WWG4" s="223"/>
      <c r="WWH4" s="223"/>
      <c r="WWI4" s="223"/>
      <c r="WWJ4" s="223"/>
      <c r="WWK4" s="223"/>
      <c r="WWL4" s="223"/>
      <c r="WWM4" s="224"/>
      <c r="WWN4" s="225"/>
      <c r="WWO4" s="226"/>
      <c r="WWP4" s="224"/>
      <c r="WWQ4" s="225"/>
      <c r="WWR4" s="225"/>
      <c r="WWS4" s="227"/>
      <c r="WWT4" s="228"/>
      <c r="WWU4" s="228"/>
      <c r="WWV4" s="229"/>
      <c r="WWW4" s="216"/>
      <c r="WWX4" s="219"/>
      <c r="WWY4" s="220"/>
      <c r="WWZ4" s="217"/>
      <c r="WXA4" s="217"/>
      <c r="WXB4" s="217"/>
      <c r="WXC4" s="217"/>
      <c r="WXD4" s="217"/>
      <c r="WXE4" s="221"/>
      <c r="WXF4" s="222"/>
      <c r="WXG4" s="220"/>
      <c r="WXH4" s="220"/>
      <c r="WXI4" s="220"/>
      <c r="WXJ4" s="220"/>
      <c r="WXK4" s="223"/>
      <c r="WXL4" s="223"/>
      <c r="WXM4" s="223"/>
      <c r="WXN4" s="223"/>
      <c r="WXO4" s="223"/>
      <c r="WXP4" s="223"/>
      <c r="WXQ4" s="223"/>
      <c r="WXR4" s="223"/>
      <c r="WXS4" s="223"/>
      <c r="WXT4" s="224"/>
      <c r="WXU4" s="225"/>
      <c r="WXV4" s="226"/>
      <c r="WXW4" s="224"/>
      <c r="WXX4" s="225"/>
      <c r="WXY4" s="225"/>
      <c r="WXZ4" s="227"/>
      <c r="WYA4" s="228"/>
      <c r="WYB4" s="228"/>
      <c r="WYC4" s="229"/>
      <c r="WYD4" s="216"/>
      <c r="WYE4" s="219"/>
      <c r="WYF4" s="220"/>
      <c r="WYG4" s="217"/>
      <c r="WYH4" s="217"/>
      <c r="WYI4" s="217"/>
      <c r="WYJ4" s="217"/>
      <c r="WYK4" s="217"/>
      <c r="WYL4" s="221"/>
      <c r="WYM4" s="222"/>
      <c r="WYN4" s="220"/>
      <c r="WYO4" s="220"/>
      <c r="WYP4" s="220"/>
      <c r="WYQ4" s="220"/>
      <c r="WYR4" s="223"/>
      <c r="WYS4" s="223"/>
      <c r="WYT4" s="223"/>
      <c r="WYU4" s="223"/>
      <c r="WYV4" s="223"/>
      <c r="WYW4" s="223"/>
      <c r="WYX4" s="223"/>
      <c r="WYY4" s="223"/>
      <c r="WYZ4" s="223"/>
      <c r="WZA4" s="224"/>
      <c r="WZB4" s="225"/>
      <c r="WZC4" s="226"/>
      <c r="WZD4" s="224"/>
      <c r="WZE4" s="225"/>
      <c r="WZF4" s="225"/>
      <c r="WZG4" s="227"/>
      <c r="WZH4" s="228"/>
      <c r="WZI4" s="228"/>
      <c r="WZJ4" s="229"/>
      <c r="WZK4" s="216"/>
      <c r="WZL4" s="219"/>
      <c r="WZM4" s="220"/>
      <c r="WZN4" s="217"/>
      <c r="WZO4" s="217"/>
      <c r="WZP4" s="217"/>
      <c r="WZQ4" s="217"/>
      <c r="WZR4" s="217"/>
      <c r="WZS4" s="221"/>
      <c r="WZT4" s="222"/>
      <c r="WZU4" s="220"/>
      <c r="WZV4" s="220"/>
      <c r="WZW4" s="220"/>
      <c r="WZX4" s="220"/>
      <c r="WZY4" s="223"/>
      <c r="WZZ4" s="223"/>
      <c r="XAA4" s="223"/>
      <c r="XAB4" s="223"/>
      <c r="XAC4" s="223"/>
      <c r="XAD4" s="223"/>
      <c r="XAE4" s="223"/>
      <c r="XAF4" s="223"/>
      <c r="XAG4" s="223"/>
      <c r="XAH4" s="224"/>
      <c r="XAI4" s="225"/>
      <c r="XAJ4" s="226"/>
      <c r="XAK4" s="224"/>
      <c r="XAL4" s="225"/>
      <c r="XAM4" s="225"/>
      <c r="XAN4" s="227"/>
      <c r="XAO4" s="228"/>
      <c r="XAP4" s="228"/>
      <c r="XAQ4" s="229"/>
      <c r="XAR4" s="216"/>
      <c r="XAS4" s="219"/>
      <c r="XAT4" s="220"/>
      <c r="XAU4" s="217"/>
      <c r="XAV4" s="217"/>
      <c r="XAW4" s="217"/>
      <c r="XAX4" s="217"/>
      <c r="XAY4" s="217"/>
      <c r="XAZ4" s="221"/>
      <c r="XBA4" s="222"/>
      <c r="XBB4" s="220"/>
      <c r="XBC4" s="220"/>
      <c r="XBD4" s="220"/>
      <c r="XBE4" s="220"/>
      <c r="XBF4" s="223"/>
      <c r="XBG4" s="223"/>
      <c r="XBH4" s="223"/>
      <c r="XBI4" s="223"/>
      <c r="XBJ4" s="223"/>
      <c r="XBK4" s="223"/>
      <c r="XBL4" s="223"/>
      <c r="XBM4" s="223"/>
      <c r="XBN4" s="223"/>
      <c r="XBO4" s="224"/>
      <c r="XBP4" s="225"/>
      <c r="XBQ4" s="226"/>
      <c r="XBR4" s="224"/>
      <c r="XBS4" s="225"/>
      <c r="XBT4" s="225"/>
      <c r="XBU4" s="227"/>
      <c r="XBV4" s="228"/>
      <c r="XBW4" s="228"/>
      <c r="XBX4" s="229"/>
      <c r="XBY4" s="216"/>
      <c r="XBZ4" s="219"/>
      <c r="XCA4" s="220"/>
      <c r="XCB4" s="217"/>
      <c r="XCC4" s="217"/>
      <c r="XCD4" s="217"/>
      <c r="XCE4" s="217"/>
      <c r="XCF4" s="217"/>
      <c r="XCG4" s="221"/>
      <c r="XCH4" s="222"/>
      <c r="XCI4" s="220"/>
      <c r="XCJ4" s="220"/>
      <c r="XCK4" s="220"/>
      <c r="XCL4" s="220"/>
      <c r="XCM4" s="223"/>
      <c r="XCN4" s="223"/>
      <c r="XCO4" s="223"/>
      <c r="XCP4" s="223"/>
      <c r="XCQ4" s="223"/>
      <c r="XCR4" s="223"/>
      <c r="XCS4" s="223"/>
      <c r="XCT4" s="223"/>
      <c r="XCU4" s="223"/>
      <c r="XCV4" s="224"/>
      <c r="XCW4" s="225"/>
      <c r="XCX4" s="226"/>
      <c r="XCY4" s="224"/>
      <c r="XCZ4" s="225"/>
      <c r="XDA4" s="225"/>
      <c r="XDB4" s="227"/>
      <c r="XDC4" s="228"/>
      <c r="XDD4" s="228"/>
      <c r="XDE4" s="229"/>
      <c r="XDF4" s="216"/>
      <c r="XDG4" s="219"/>
      <c r="XDH4" s="220"/>
      <c r="XDI4" s="217"/>
      <c r="XDJ4" s="217"/>
      <c r="XDK4" s="217"/>
      <c r="XDL4" s="217"/>
      <c r="XDM4" s="217"/>
      <c r="XDN4" s="221"/>
      <c r="XDO4" s="222"/>
      <c r="XDP4" s="220"/>
      <c r="XDQ4" s="220"/>
      <c r="XDR4" s="220"/>
      <c r="XDS4" s="220"/>
      <c r="XDT4" s="223"/>
      <c r="XDU4" s="223"/>
      <c r="XDV4" s="223"/>
      <c r="XDW4" s="223"/>
      <c r="XDX4" s="223"/>
      <c r="XDY4" s="223"/>
      <c r="XDZ4" s="223"/>
      <c r="XEA4" s="223"/>
      <c r="XEB4" s="223"/>
      <c r="XEC4" s="224"/>
      <c r="XED4" s="225"/>
      <c r="XEE4" s="226"/>
      <c r="XEF4" s="224"/>
      <c r="XEG4" s="225"/>
      <c r="XEH4" s="225"/>
      <c r="XEI4" s="227"/>
      <c r="XEJ4" s="228"/>
      <c r="XEK4" s="228"/>
      <c r="XEL4" s="229"/>
      <c r="XEM4" s="216"/>
      <c r="XEN4" s="219"/>
      <c r="XEO4" s="220"/>
      <c r="XEP4" s="217"/>
      <c r="XEQ4" s="217"/>
      <c r="XER4" s="217"/>
      <c r="XES4" s="217"/>
      <c r="XET4" s="217"/>
      <c r="XEU4" s="221"/>
      <c r="XEV4" s="222"/>
      <c r="XEW4" s="220"/>
      <c r="XEX4" s="220"/>
      <c r="XEY4" s="220"/>
      <c r="XEZ4" s="220"/>
      <c r="XFA4" s="223"/>
      <c r="XFB4" s="223"/>
    </row>
    <row r="5" spans="1:16382" outlineLevel="1" x14ac:dyDescent="0.25">
      <c r="A5" t="s">
        <v>1945</v>
      </c>
      <c r="B5" t="s">
        <v>1410</v>
      </c>
      <c r="C5" s="3" t="s">
        <v>16</v>
      </c>
      <c r="D5">
        <v>37516</v>
      </c>
      <c r="F5" t="s">
        <v>1629</v>
      </c>
      <c r="G5">
        <v>6115</v>
      </c>
      <c r="H5" t="s">
        <v>19</v>
      </c>
      <c r="I5" s="214"/>
      <c r="J5" s="5" t="str">
        <f>IF(Table1[[#This Row],[FY24 Budget]]&gt;25000,"Yes","No")</f>
        <v>No</v>
      </c>
      <c r="K5" s="460"/>
      <c r="L5" s="3"/>
      <c r="M5" s="3"/>
      <c r="N5" s="3"/>
      <c r="O5" s="463">
        <v>0</v>
      </c>
      <c r="P5" s="1">
        <v>5000</v>
      </c>
      <c r="Q5" s="1"/>
      <c r="R5" s="463">
        <v>12000</v>
      </c>
      <c r="S5" s="463"/>
      <c r="T5" s="463"/>
      <c r="U5" s="463">
        <v>17000</v>
      </c>
      <c r="V5" s="463"/>
      <c r="W5" s="11" t="s">
        <v>1946</v>
      </c>
      <c r="X5" s="225">
        <v>45839</v>
      </c>
      <c r="Y5" s="225">
        <v>46203</v>
      </c>
      <c r="Z5" s="11" t="s">
        <v>1947</v>
      </c>
      <c r="AA5" s="11" t="s">
        <v>1948</v>
      </c>
      <c r="AB5" s="11" t="s">
        <v>1949</v>
      </c>
      <c r="AC5" s="225">
        <v>46204</v>
      </c>
      <c r="AD5" s="239" t="s">
        <v>178</v>
      </c>
      <c r="AE5" s="474" t="s">
        <v>1950</v>
      </c>
    </row>
    <row r="6" spans="1:16382" ht="17.45" customHeight="1" outlineLevel="1" x14ac:dyDescent="0.25">
      <c r="A6" t="s">
        <v>1951</v>
      </c>
      <c r="B6" t="s">
        <v>1952</v>
      </c>
      <c r="C6" s="3" t="s">
        <v>16</v>
      </c>
      <c r="D6">
        <v>37540</v>
      </c>
      <c r="F6" t="s">
        <v>1629</v>
      </c>
      <c r="G6">
        <v>6115</v>
      </c>
      <c r="H6" t="s">
        <v>32</v>
      </c>
      <c r="I6" s="47" t="s">
        <v>1953</v>
      </c>
      <c r="J6" s="5" t="s">
        <v>174</v>
      </c>
      <c r="K6" s="3"/>
      <c r="L6" s="3"/>
      <c r="M6" s="3"/>
      <c r="N6" s="3"/>
      <c r="O6" s="237">
        <v>0</v>
      </c>
      <c r="P6" s="237">
        <v>15000</v>
      </c>
      <c r="Q6" s="237"/>
      <c r="R6" s="237">
        <v>5000</v>
      </c>
      <c r="S6" s="237"/>
      <c r="T6" s="237"/>
      <c r="U6" s="237">
        <v>3000</v>
      </c>
      <c r="V6" s="237"/>
      <c r="W6" s="15" t="s">
        <v>1954</v>
      </c>
      <c r="X6" s="225">
        <v>45839</v>
      </c>
      <c r="Y6" s="225">
        <v>46203</v>
      </c>
      <c r="Z6" s="15" t="s">
        <v>1955</v>
      </c>
      <c r="AA6" s="15" t="s">
        <v>1956</v>
      </c>
      <c r="AB6" s="15" t="s">
        <v>1957</v>
      </c>
      <c r="AC6" s="225">
        <v>46204</v>
      </c>
      <c r="AD6" s="239" t="s">
        <v>178</v>
      </c>
      <c r="AE6" s="174"/>
    </row>
    <row r="7" spans="1:16382" ht="17.45" customHeight="1" outlineLevel="1" x14ac:dyDescent="0.25">
      <c r="A7" t="s">
        <v>1958</v>
      </c>
      <c r="B7" t="s">
        <v>1959</v>
      </c>
      <c r="C7" s="3" t="s">
        <v>16</v>
      </c>
      <c r="D7">
        <v>37540</v>
      </c>
      <c r="F7" t="s">
        <v>1629</v>
      </c>
      <c r="G7">
        <v>6115</v>
      </c>
      <c r="H7" t="s">
        <v>19</v>
      </c>
      <c r="I7" s="47" t="s">
        <v>1953</v>
      </c>
      <c r="J7" s="5" t="str">
        <f>IF(Table1[[#This Row],[FY24 Budget]]&gt;25000,"Yes","No")</f>
        <v>No</v>
      </c>
      <c r="K7" s="460"/>
      <c r="L7" s="460"/>
      <c r="M7" s="460"/>
      <c r="N7" s="460"/>
      <c r="O7" s="1">
        <v>0</v>
      </c>
      <c r="P7" s="1">
        <v>15000</v>
      </c>
      <c r="Q7" s="1"/>
      <c r="R7" s="463">
        <v>20000</v>
      </c>
      <c r="S7" s="463"/>
      <c r="T7" s="463"/>
      <c r="U7" s="463">
        <v>15000</v>
      </c>
      <c r="V7" s="463"/>
      <c r="W7" s="11" t="s">
        <v>1960</v>
      </c>
      <c r="X7" s="225">
        <v>45839</v>
      </c>
      <c r="Y7" s="225">
        <v>46203</v>
      </c>
      <c r="Z7" s="11" t="s">
        <v>1961</v>
      </c>
      <c r="AA7" s="11" t="s">
        <v>1962</v>
      </c>
      <c r="AB7" s="11" t="s">
        <v>1963</v>
      </c>
      <c r="AC7" s="225">
        <v>46204</v>
      </c>
      <c r="AD7" s="239" t="s">
        <v>178</v>
      </c>
      <c r="AE7" s="174"/>
    </row>
    <row r="8" spans="1:16382" outlineLevel="1" x14ac:dyDescent="0.25">
      <c r="A8" t="s">
        <v>1964</v>
      </c>
      <c r="B8" t="s">
        <v>1952</v>
      </c>
      <c r="C8" s="3" t="s">
        <v>16</v>
      </c>
      <c r="D8" s="217">
        <v>37540</v>
      </c>
      <c r="F8" t="s">
        <v>1629</v>
      </c>
      <c r="G8">
        <v>6115</v>
      </c>
      <c r="H8" s="217" t="s">
        <v>32</v>
      </c>
      <c r="I8" s="47" t="s">
        <v>192</v>
      </c>
      <c r="J8" s="5" t="str">
        <f>IF(Table1[[#This Row],[FY24 Budget]]&gt;25000,"Yes","No")</f>
        <v>Yes</v>
      </c>
      <c r="K8" s="460"/>
      <c r="L8" s="3"/>
      <c r="M8" s="3"/>
      <c r="N8" s="3"/>
      <c r="O8" s="463">
        <v>0</v>
      </c>
      <c r="P8" s="1">
        <v>15000</v>
      </c>
      <c r="Q8" s="1"/>
      <c r="R8" s="463">
        <v>5000</v>
      </c>
      <c r="S8" s="463"/>
      <c r="T8" s="463"/>
      <c r="U8" s="463">
        <v>5000</v>
      </c>
      <c r="V8" s="463"/>
      <c r="W8" s="11" t="s">
        <v>1965</v>
      </c>
      <c r="X8" s="225">
        <v>45839</v>
      </c>
      <c r="Y8" s="225">
        <v>46203</v>
      </c>
      <c r="Z8" s="11" t="s">
        <v>1966</v>
      </c>
      <c r="AA8" s="11" t="s">
        <v>1967</v>
      </c>
      <c r="AB8" s="11" t="s">
        <v>1968</v>
      </c>
      <c r="AC8" s="225">
        <v>46204</v>
      </c>
      <c r="AD8" s="239" t="s">
        <v>178</v>
      </c>
      <c r="AE8" s="174"/>
    </row>
    <row r="9" spans="1:16382" x14ac:dyDescent="0.25">
      <c r="A9" s="55"/>
      <c r="B9" s="55"/>
      <c r="C9" s="55"/>
      <c r="D9" s="55"/>
      <c r="E9" s="55"/>
      <c r="F9" s="55"/>
      <c r="G9" s="55"/>
      <c r="H9" s="55"/>
      <c r="I9" s="55"/>
      <c r="J9" s="55"/>
      <c r="K9" s="55"/>
      <c r="L9" s="55"/>
      <c r="M9" s="55"/>
      <c r="N9" s="55"/>
      <c r="O9" s="56"/>
      <c r="P9" s="56"/>
    </row>
    <row r="15" spans="1:16382" x14ac:dyDescent="0.25">
      <c r="A15" s="442" t="s">
        <v>1969</v>
      </c>
    </row>
    <row r="16" spans="1:16382" outlineLevel="1" x14ac:dyDescent="0.25">
      <c r="A16" s="216" t="s">
        <v>1970</v>
      </c>
      <c r="B16" t="s">
        <v>1971</v>
      </c>
      <c r="C16" s="220" t="s">
        <v>16</v>
      </c>
      <c r="D16" s="217">
        <v>37520</v>
      </c>
      <c r="F16" t="s">
        <v>21</v>
      </c>
      <c r="G16" s="217">
        <v>6115</v>
      </c>
      <c r="H16" s="217" t="s">
        <v>19</v>
      </c>
      <c r="I16" s="236"/>
      <c r="J16" s="222" t="s">
        <v>174</v>
      </c>
      <c r="K16" s="220"/>
      <c r="L16" s="220"/>
      <c r="M16" s="220"/>
      <c r="N16" s="220"/>
      <c r="O16" s="223">
        <v>0</v>
      </c>
      <c r="P16" s="223">
        <v>20000</v>
      </c>
      <c r="Q16" s="223">
        <v>0</v>
      </c>
      <c r="R16" s="223"/>
      <c r="S16" s="223"/>
      <c r="T16" s="223"/>
      <c r="U16" s="223"/>
      <c r="V16" s="223"/>
      <c r="W16" s="238" t="s">
        <v>1972</v>
      </c>
      <c r="X16" s="225">
        <v>45108</v>
      </c>
      <c r="Y16" s="225">
        <v>45473</v>
      </c>
      <c r="Z16" s="238" t="s">
        <v>1973</v>
      </c>
      <c r="AA16" s="238" t="s">
        <v>234</v>
      </c>
      <c r="AB16" s="238"/>
      <c r="AC16" s="225">
        <v>45444</v>
      </c>
      <c r="AD16" s="239" t="s">
        <v>178</v>
      </c>
      <c r="AE16" s="227" t="s">
        <v>1974</v>
      </c>
      <c r="AF16" s="216"/>
      <c r="AG16" s="219"/>
      <c r="AH16" s="220"/>
      <c r="AI16" s="217"/>
      <c r="AJ16" s="217"/>
      <c r="AK16" s="217"/>
      <c r="AL16" s="217"/>
      <c r="AM16" s="217"/>
      <c r="AN16" s="221"/>
      <c r="AO16" s="222"/>
      <c r="AP16" s="220"/>
      <c r="AQ16" s="220"/>
      <c r="AR16" s="220"/>
      <c r="AS16" s="220"/>
      <c r="AT16" s="223"/>
      <c r="AU16" s="223"/>
      <c r="AV16" s="223"/>
      <c r="AW16" s="223"/>
      <c r="AX16" s="223"/>
      <c r="AY16" s="223"/>
      <c r="AZ16" s="223"/>
      <c r="BA16" s="223"/>
      <c r="BB16" s="223"/>
      <c r="BC16" s="224"/>
      <c r="BD16" s="225"/>
      <c r="BE16" s="226"/>
      <c r="BF16" s="224"/>
      <c r="BG16" s="225"/>
      <c r="BH16" s="225"/>
      <c r="BI16" s="227"/>
      <c r="BJ16" s="228"/>
      <c r="BK16" s="228"/>
      <c r="BL16" s="229"/>
      <c r="BM16" s="216"/>
      <c r="BN16" s="219"/>
      <c r="BO16" s="220"/>
      <c r="BP16" s="217"/>
      <c r="BQ16" s="217"/>
      <c r="BR16" s="217"/>
      <c r="BS16" s="217"/>
      <c r="BT16" s="217"/>
      <c r="BU16" s="221"/>
      <c r="BV16" s="222"/>
      <c r="BW16" s="220"/>
      <c r="BX16" s="220"/>
      <c r="BY16" s="220"/>
      <c r="BZ16" s="220"/>
      <c r="CA16" s="223"/>
      <c r="CB16" s="223"/>
      <c r="CC16" s="223"/>
      <c r="CD16" s="223"/>
      <c r="CE16" s="223"/>
      <c r="CF16" s="223"/>
      <c r="CG16" s="223"/>
      <c r="CH16" s="223"/>
      <c r="CI16" s="223"/>
      <c r="CJ16" s="224"/>
      <c r="CK16" s="225"/>
      <c r="CL16" s="226"/>
      <c r="CM16" s="224"/>
      <c r="CN16" s="225"/>
      <c r="CO16" s="225"/>
      <c r="CP16" s="227"/>
      <c r="CQ16" s="228"/>
      <c r="CR16" s="228"/>
      <c r="CS16" s="229"/>
      <c r="CT16" s="216"/>
      <c r="CU16" s="219"/>
      <c r="CV16" s="220"/>
      <c r="CW16" s="217"/>
      <c r="CX16" s="217"/>
      <c r="CY16" s="217"/>
      <c r="CZ16" s="217"/>
      <c r="DA16" s="217"/>
      <c r="DB16" s="221"/>
      <c r="DC16" s="222"/>
      <c r="DD16" s="220"/>
      <c r="DE16" s="220"/>
      <c r="DF16" s="220"/>
      <c r="DG16" s="220"/>
      <c r="DH16" s="223"/>
      <c r="DI16" s="223"/>
      <c r="DJ16" s="223"/>
      <c r="DK16" s="223"/>
      <c r="DL16" s="223"/>
      <c r="DM16" s="223"/>
      <c r="DN16" s="223"/>
      <c r="DO16" s="223"/>
      <c r="DP16" s="223"/>
      <c r="DQ16" s="224"/>
      <c r="DR16" s="225"/>
      <c r="DS16" s="226"/>
      <c r="DT16" s="224"/>
      <c r="DU16" s="225"/>
      <c r="DV16" s="225"/>
      <c r="DW16" s="227"/>
      <c r="DX16" s="228"/>
      <c r="DY16" s="228"/>
      <c r="DZ16" s="229"/>
      <c r="EA16" s="216"/>
      <c r="EB16" s="219"/>
      <c r="EC16" s="220"/>
      <c r="ED16" s="217"/>
      <c r="EE16" s="217"/>
      <c r="EF16" s="217"/>
      <c r="EG16" s="217"/>
      <c r="EH16" s="217"/>
      <c r="EI16" s="221"/>
      <c r="EJ16" s="222"/>
      <c r="EK16" s="220"/>
      <c r="EL16" s="220"/>
      <c r="EM16" s="220"/>
      <c r="EN16" s="220"/>
      <c r="EO16" s="223"/>
      <c r="EP16" s="223"/>
      <c r="EQ16" s="223"/>
      <c r="ER16" s="223"/>
      <c r="ES16" s="223"/>
      <c r="ET16" s="223"/>
      <c r="EU16" s="223"/>
      <c r="EV16" s="223"/>
      <c r="EW16" s="223"/>
      <c r="EX16" s="224"/>
      <c r="EY16" s="225"/>
      <c r="EZ16" s="226"/>
      <c r="FA16" s="224"/>
      <c r="FB16" s="225"/>
      <c r="FC16" s="225"/>
      <c r="FD16" s="227"/>
      <c r="FE16" s="228"/>
      <c r="FF16" s="228"/>
      <c r="FG16" s="229"/>
      <c r="FH16" s="216"/>
      <c r="FI16" s="219"/>
      <c r="FJ16" s="220"/>
      <c r="FK16" s="217"/>
      <c r="FL16" s="217"/>
      <c r="FM16" s="217"/>
      <c r="FN16" s="217"/>
      <c r="FO16" s="217"/>
      <c r="FP16" s="221"/>
      <c r="FQ16" s="222"/>
      <c r="FR16" s="220"/>
      <c r="FS16" s="220"/>
      <c r="FT16" s="220"/>
      <c r="FU16" s="220"/>
      <c r="FV16" s="223"/>
      <c r="FW16" s="223"/>
      <c r="FX16" s="223"/>
      <c r="FY16" s="223"/>
      <c r="FZ16" s="223"/>
      <c r="GA16" s="223"/>
      <c r="GB16" s="223"/>
      <c r="GC16" s="223"/>
      <c r="GD16" s="223"/>
      <c r="GE16" s="224"/>
      <c r="GF16" s="225"/>
      <c r="GG16" s="226"/>
      <c r="GH16" s="224"/>
      <c r="GI16" s="225"/>
      <c r="GJ16" s="225"/>
      <c r="GK16" s="227"/>
      <c r="GL16" s="228"/>
      <c r="GM16" s="228"/>
      <c r="GN16" s="229"/>
      <c r="GO16" s="216"/>
      <c r="GP16" s="219"/>
      <c r="GQ16" s="220"/>
      <c r="GR16" s="217"/>
      <c r="GS16" s="217"/>
      <c r="GT16" s="217"/>
      <c r="GU16" s="217"/>
      <c r="GV16" s="217"/>
      <c r="GW16" s="221"/>
      <c r="GX16" s="222"/>
      <c r="GY16" s="220"/>
      <c r="GZ16" s="220"/>
      <c r="HA16" s="220"/>
      <c r="HB16" s="220"/>
      <c r="HC16" s="223"/>
      <c r="HD16" s="223"/>
      <c r="HE16" s="223"/>
      <c r="HF16" s="223"/>
      <c r="HG16" s="223"/>
      <c r="HH16" s="223"/>
      <c r="HI16" s="223"/>
      <c r="HJ16" s="223"/>
      <c r="HK16" s="223"/>
      <c r="HL16" s="224"/>
      <c r="HM16" s="225"/>
      <c r="HN16" s="226"/>
      <c r="HO16" s="224"/>
      <c r="HP16" s="225"/>
      <c r="HQ16" s="225"/>
      <c r="HR16" s="227"/>
      <c r="HS16" s="228"/>
      <c r="HT16" s="228"/>
      <c r="HU16" s="229"/>
      <c r="HV16" s="216"/>
      <c r="HW16" s="219"/>
      <c r="HX16" s="220"/>
      <c r="HY16" s="217"/>
      <c r="HZ16" s="217"/>
      <c r="IA16" s="217"/>
      <c r="IB16" s="217"/>
      <c r="IC16" s="217"/>
      <c r="ID16" s="221"/>
      <c r="IE16" s="222"/>
      <c r="IF16" s="220"/>
      <c r="IG16" s="220"/>
      <c r="IH16" s="220"/>
      <c r="II16" s="220"/>
      <c r="IJ16" s="223"/>
      <c r="IK16" s="223"/>
      <c r="IL16" s="223"/>
      <c r="IM16" s="223"/>
      <c r="IN16" s="223"/>
      <c r="IO16" s="223"/>
      <c r="IP16" s="223"/>
      <c r="IQ16" s="223"/>
      <c r="IR16" s="223"/>
      <c r="IS16" s="224"/>
      <c r="IT16" s="225"/>
      <c r="IU16" s="226"/>
      <c r="IV16" s="224"/>
      <c r="IW16" s="225"/>
      <c r="IX16" s="225"/>
      <c r="IY16" s="227"/>
      <c r="IZ16" s="228"/>
      <c r="JA16" s="228"/>
      <c r="JB16" s="229"/>
      <c r="JC16" s="216"/>
      <c r="JD16" s="219"/>
      <c r="JE16" s="220"/>
      <c r="JF16" s="217"/>
      <c r="JG16" s="217"/>
      <c r="JH16" s="217"/>
      <c r="JI16" s="217"/>
      <c r="JJ16" s="217"/>
      <c r="JK16" s="221"/>
      <c r="JL16" s="222"/>
      <c r="JM16" s="220"/>
      <c r="JN16" s="220"/>
      <c r="JO16" s="220"/>
      <c r="JP16" s="220"/>
      <c r="JQ16" s="223"/>
      <c r="JR16" s="223"/>
      <c r="JS16" s="223"/>
      <c r="JT16" s="223"/>
      <c r="JU16" s="223"/>
      <c r="JV16" s="223"/>
      <c r="JW16" s="223"/>
      <c r="JX16" s="223"/>
      <c r="JY16" s="223"/>
      <c r="JZ16" s="224"/>
      <c r="KA16" s="225"/>
      <c r="KB16" s="226"/>
      <c r="KC16" s="224"/>
      <c r="KD16" s="225"/>
      <c r="KE16" s="225"/>
      <c r="KF16" s="227"/>
      <c r="KG16" s="228"/>
      <c r="KH16" s="228"/>
      <c r="KI16" s="229"/>
      <c r="KJ16" s="216"/>
      <c r="KK16" s="219"/>
      <c r="KL16" s="220"/>
      <c r="KM16" s="217"/>
      <c r="KN16" s="217"/>
      <c r="KO16" s="217"/>
      <c r="KP16" s="217"/>
      <c r="KQ16" s="217"/>
      <c r="KR16" s="221"/>
      <c r="KS16" s="222"/>
      <c r="KT16" s="220"/>
      <c r="KU16" s="220"/>
      <c r="KV16" s="220"/>
      <c r="KW16" s="220"/>
      <c r="KX16" s="223"/>
      <c r="KY16" s="223"/>
      <c r="KZ16" s="223"/>
      <c r="LA16" s="223"/>
      <c r="LB16" s="223"/>
      <c r="LC16" s="223"/>
      <c r="LD16" s="223"/>
      <c r="LE16" s="223"/>
      <c r="LF16" s="223"/>
      <c r="LG16" s="224"/>
      <c r="LH16" s="225"/>
      <c r="LI16" s="226"/>
      <c r="LJ16" s="224"/>
      <c r="LK16" s="225"/>
      <c r="LL16" s="225"/>
      <c r="LM16" s="227"/>
      <c r="LN16" s="228"/>
      <c r="LO16" s="228"/>
      <c r="LP16" s="229"/>
      <c r="LQ16" s="216"/>
      <c r="LR16" s="219"/>
      <c r="LS16" s="220"/>
      <c r="LT16" s="217"/>
      <c r="LU16" s="217"/>
      <c r="LV16" s="217"/>
      <c r="LW16" s="217"/>
      <c r="LX16" s="217"/>
      <c r="LY16" s="221"/>
      <c r="LZ16" s="222"/>
      <c r="MA16" s="220"/>
      <c r="MB16" s="220"/>
      <c r="MC16" s="220"/>
      <c r="MD16" s="220"/>
      <c r="ME16" s="223"/>
      <c r="MF16" s="223"/>
      <c r="MG16" s="223"/>
      <c r="MH16" s="223"/>
      <c r="MI16" s="223"/>
      <c r="MJ16" s="223"/>
      <c r="MK16" s="223"/>
      <c r="ML16" s="223"/>
      <c r="MM16" s="223"/>
      <c r="MN16" s="224"/>
      <c r="MO16" s="225"/>
      <c r="MP16" s="226"/>
      <c r="MQ16" s="224"/>
      <c r="MR16" s="225"/>
      <c r="MS16" s="225"/>
      <c r="MT16" s="227"/>
      <c r="MU16" s="228"/>
      <c r="MV16" s="228"/>
      <c r="MW16" s="229"/>
      <c r="MX16" s="216"/>
      <c r="MY16" s="219"/>
      <c r="MZ16" s="220"/>
      <c r="NA16" s="217"/>
      <c r="NB16" s="217"/>
      <c r="NC16" s="217"/>
      <c r="ND16" s="217"/>
      <c r="NE16" s="217"/>
      <c r="NF16" s="221"/>
      <c r="NG16" s="222"/>
      <c r="NH16" s="220"/>
      <c r="NI16" s="220"/>
      <c r="NJ16" s="220"/>
      <c r="NK16" s="220"/>
      <c r="NL16" s="223"/>
      <c r="NM16" s="223"/>
      <c r="NN16" s="223"/>
      <c r="NO16" s="223"/>
      <c r="NP16" s="223"/>
      <c r="NQ16" s="223"/>
      <c r="NR16" s="223"/>
      <c r="NS16" s="223"/>
      <c r="NT16" s="223"/>
      <c r="NU16" s="224"/>
      <c r="NV16" s="225"/>
      <c r="NW16" s="226"/>
      <c r="NX16" s="224"/>
      <c r="NY16" s="225"/>
      <c r="NZ16" s="225"/>
      <c r="OA16" s="227"/>
      <c r="OB16" s="228"/>
      <c r="OC16" s="228"/>
      <c r="OD16" s="229"/>
      <c r="OE16" s="216"/>
      <c r="OF16" s="219"/>
      <c r="OG16" s="220"/>
      <c r="OH16" s="217"/>
      <c r="OI16" s="217"/>
      <c r="OJ16" s="217"/>
      <c r="OK16" s="217"/>
      <c r="OL16" s="217"/>
      <c r="OM16" s="221"/>
      <c r="ON16" s="222"/>
      <c r="OO16" s="220"/>
      <c r="OP16" s="220"/>
      <c r="OQ16" s="220"/>
      <c r="OR16" s="220"/>
      <c r="OS16" s="223"/>
      <c r="OT16" s="223"/>
      <c r="OU16" s="223"/>
      <c r="OV16" s="223"/>
      <c r="OW16" s="223"/>
      <c r="OX16" s="223"/>
      <c r="OY16" s="223"/>
      <c r="OZ16" s="223"/>
      <c r="PA16" s="223"/>
      <c r="PB16" s="224"/>
      <c r="PC16" s="225"/>
      <c r="PD16" s="226"/>
      <c r="PE16" s="224"/>
      <c r="PF16" s="225"/>
      <c r="PG16" s="225"/>
      <c r="PH16" s="227"/>
      <c r="PI16" s="228"/>
      <c r="PJ16" s="228"/>
      <c r="PK16" s="229"/>
      <c r="PL16" s="216"/>
      <c r="PM16" s="219"/>
      <c r="PN16" s="220"/>
      <c r="PO16" s="217"/>
      <c r="PP16" s="217"/>
      <c r="PQ16" s="217"/>
      <c r="PR16" s="217"/>
      <c r="PS16" s="217"/>
      <c r="PT16" s="221"/>
      <c r="PU16" s="222"/>
      <c r="PV16" s="220"/>
      <c r="PW16" s="220"/>
      <c r="PX16" s="220"/>
      <c r="PY16" s="220"/>
      <c r="PZ16" s="223"/>
      <c r="QA16" s="223"/>
      <c r="QB16" s="223"/>
      <c r="QC16" s="223"/>
      <c r="QD16" s="223"/>
      <c r="QE16" s="223"/>
      <c r="QF16" s="223"/>
      <c r="QG16" s="223"/>
      <c r="QH16" s="223"/>
      <c r="QI16" s="224"/>
      <c r="QJ16" s="225"/>
      <c r="QK16" s="226"/>
      <c r="QL16" s="224"/>
      <c r="QM16" s="225"/>
      <c r="QN16" s="225"/>
      <c r="QO16" s="227"/>
      <c r="QP16" s="228"/>
      <c r="QQ16" s="228"/>
      <c r="QR16" s="229"/>
      <c r="QS16" s="216"/>
      <c r="QT16" s="219"/>
      <c r="QU16" s="220"/>
      <c r="QV16" s="217"/>
      <c r="QW16" s="217"/>
      <c r="QX16" s="217"/>
      <c r="QY16" s="217"/>
      <c r="QZ16" s="217"/>
      <c r="RA16" s="221"/>
      <c r="RB16" s="222"/>
      <c r="RC16" s="220"/>
      <c r="RD16" s="220"/>
      <c r="RE16" s="220"/>
      <c r="RF16" s="220"/>
      <c r="RG16" s="223"/>
      <c r="RH16" s="223"/>
      <c r="RI16" s="223"/>
      <c r="RJ16" s="223"/>
      <c r="RK16" s="223"/>
      <c r="RL16" s="223"/>
      <c r="RM16" s="223"/>
      <c r="RN16" s="223"/>
      <c r="RO16" s="223"/>
      <c r="RP16" s="224"/>
      <c r="RQ16" s="225"/>
      <c r="RR16" s="226"/>
      <c r="RS16" s="224"/>
      <c r="RT16" s="225"/>
      <c r="RU16" s="225"/>
      <c r="RV16" s="227"/>
      <c r="RW16" s="228"/>
      <c r="RX16" s="228"/>
      <c r="RY16" s="229"/>
      <c r="RZ16" s="216"/>
      <c r="SA16" s="219"/>
      <c r="SB16" s="220"/>
      <c r="SC16" s="217"/>
      <c r="SD16" s="217"/>
      <c r="SE16" s="217"/>
      <c r="SF16" s="217"/>
      <c r="SG16" s="217"/>
      <c r="SH16" s="221"/>
      <c r="SI16" s="222"/>
      <c r="SJ16" s="220"/>
      <c r="SK16" s="220"/>
      <c r="SL16" s="220"/>
      <c r="SM16" s="220"/>
      <c r="SN16" s="223"/>
      <c r="SO16" s="223"/>
      <c r="SP16" s="223"/>
      <c r="SQ16" s="223"/>
      <c r="SR16" s="223"/>
      <c r="SS16" s="223"/>
      <c r="ST16" s="223"/>
      <c r="SU16" s="223"/>
      <c r="SV16" s="223"/>
      <c r="SW16" s="224"/>
      <c r="SX16" s="225"/>
      <c r="SY16" s="226"/>
      <c r="SZ16" s="224"/>
      <c r="TA16" s="225"/>
      <c r="TB16" s="225"/>
      <c r="TC16" s="227"/>
      <c r="TD16" s="228"/>
      <c r="TE16" s="228"/>
      <c r="TF16" s="229"/>
      <c r="TG16" s="216"/>
      <c r="TH16" s="219"/>
      <c r="TI16" s="220"/>
      <c r="TJ16" s="217"/>
      <c r="TK16" s="217"/>
      <c r="TL16" s="217"/>
      <c r="TM16" s="217"/>
      <c r="TN16" s="217"/>
      <c r="TO16" s="221"/>
      <c r="TP16" s="222"/>
      <c r="TQ16" s="220"/>
      <c r="TR16" s="220"/>
      <c r="TS16" s="220"/>
      <c r="TT16" s="220"/>
      <c r="TU16" s="223"/>
      <c r="TV16" s="223"/>
      <c r="TW16" s="223"/>
      <c r="TX16" s="223"/>
      <c r="TY16" s="223"/>
      <c r="TZ16" s="223"/>
      <c r="UA16" s="223"/>
      <c r="UB16" s="223"/>
      <c r="UC16" s="223"/>
      <c r="UD16" s="224"/>
      <c r="UE16" s="225"/>
      <c r="UF16" s="226"/>
      <c r="UG16" s="224"/>
      <c r="UH16" s="225"/>
      <c r="UI16" s="225"/>
      <c r="UJ16" s="227"/>
      <c r="UK16" s="228"/>
      <c r="UL16" s="228"/>
      <c r="UM16" s="229"/>
      <c r="UN16" s="216"/>
      <c r="UO16" s="219"/>
      <c r="UP16" s="220"/>
      <c r="UQ16" s="217"/>
      <c r="UR16" s="217"/>
      <c r="US16" s="217"/>
      <c r="UT16" s="217"/>
      <c r="UU16" s="217"/>
      <c r="UV16" s="221"/>
      <c r="UW16" s="222"/>
      <c r="UX16" s="220"/>
      <c r="UY16" s="220"/>
      <c r="UZ16" s="220"/>
      <c r="VA16" s="220"/>
      <c r="VB16" s="223"/>
      <c r="VC16" s="223"/>
      <c r="VD16" s="223"/>
      <c r="VE16" s="223"/>
      <c r="VF16" s="223"/>
      <c r="VG16" s="223"/>
      <c r="VH16" s="223"/>
      <c r="VI16" s="223"/>
      <c r="VJ16" s="223"/>
      <c r="VK16" s="224"/>
      <c r="VL16" s="225"/>
      <c r="VM16" s="226"/>
      <c r="VN16" s="224"/>
      <c r="VO16" s="225"/>
      <c r="VP16" s="225"/>
      <c r="VQ16" s="227"/>
      <c r="VR16" s="228"/>
      <c r="VS16" s="228"/>
      <c r="VT16" s="229"/>
      <c r="VU16" s="216"/>
      <c r="VV16" s="219"/>
      <c r="VW16" s="220"/>
      <c r="VX16" s="217"/>
      <c r="VY16" s="217"/>
      <c r="VZ16" s="217"/>
      <c r="WA16" s="217"/>
      <c r="WB16" s="217"/>
      <c r="WC16" s="221"/>
      <c r="WD16" s="222"/>
      <c r="WE16" s="220"/>
      <c r="WF16" s="220"/>
      <c r="WG16" s="220"/>
      <c r="WH16" s="220"/>
      <c r="WI16" s="223"/>
      <c r="WJ16" s="223"/>
      <c r="WK16" s="223"/>
      <c r="WL16" s="223"/>
      <c r="WM16" s="223"/>
      <c r="WN16" s="223"/>
      <c r="WO16" s="223"/>
      <c r="WP16" s="223"/>
      <c r="WQ16" s="223"/>
      <c r="WR16" s="224"/>
      <c r="WS16" s="225"/>
      <c r="WT16" s="226"/>
      <c r="WU16" s="224"/>
      <c r="WV16" s="225"/>
      <c r="WW16" s="225"/>
      <c r="WX16" s="227"/>
      <c r="WY16" s="228"/>
      <c r="WZ16" s="228"/>
      <c r="XA16" s="229"/>
      <c r="XB16" s="216"/>
      <c r="XC16" s="219"/>
      <c r="XD16" s="220"/>
      <c r="XE16" s="217"/>
      <c r="XF16" s="217"/>
      <c r="XG16" s="217"/>
      <c r="XH16" s="217"/>
      <c r="XI16" s="217"/>
      <c r="XJ16" s="221"/>
      <c r="XK16" s="222"/>
      <c r="XL16" s="220"/>
      <c r="XM16" s="220"/>
      <c r="XN16" s="220"/>
      <c r="XO16" s="220"/>
      <c r="XP16" s="223"/>
      <c r="XQ16" s="223"/>
      <c r="XR16" s="223"/>
      <c r="XS16" s="223"/>
      <c r="XT16" s="223"/>
      <c r="XU16" s="223"/>
      <c r="XV16" s="223"/>
      <c r="XW16" s="223"/>
      <c r="XX16" s="223"/>
      <c r="XY16" s="224"/>
      <c r="XZ16" s="225"/>
      <c r="YA16" s="226"/>
      <c r="YB16" s="224"/>
      <c r="YC16" s="225"/>
      <c r="YD16" s="225"/>
      <c r="YE16" s="227"/>
      <c r="YF16" s="228"/>
      <c r="YG16" s="228"/>
      <c r="YH16" s="229"/>
      <c r="YI16" s="216"/>
      <c r="YJ16" s="219"/>
      <c r="YK16" s="220"/>
      <c r="YL16" s="217"/>
      <c r="YM16" s="217"/>
      <c r="YN16" s="217"/>
      <c r="YO16" s="217"/>
      <c r="YP16" s="217"/>
      <c r="YQ16" s="221"/>
      <c r="YR16" s="222"/>
      <c r="YS16" s="220"/>
      <c r="YT16" s="220"/>
      <c r="YU16" s="220"/>
      <c r="YV16" s="220"/>
      <c r="YW16" s="223"/>
      <c r="YX16" s="223"/>
      <c r="YY16" s="223"/>
      <c r="YZ16" s="223"/>
      <c r="ZA16" s="223"/>
      <c r="ZB16" s="223"/>
      <c r="ZC16" s="223"/>
      <c r="ZD16" s="223"/>
      <c r="ZE16" s="223"/>
      <c r="ZF16" s="224"/>
      <c r="ZG16" s="225"/>
      <c r="ZH16" s="226"/>
      <c r="ZI16" s="224"/>
      <c r="ZJ16" s="225"/>
      <c r="ZK16" s="225"/>
      <c r="ZL16" s="227"/>
      <c r="ZM16" s="228"/>
      <c r="ZN16" s="228"/>
      <c r="ZO16" s="229"/>
      <c r="ZP16" s="216"/>
      <c r="ZQ16" s="219"/>
      <c r="ZR16" s="220"/>
      <c r="ZS16" s="217"/>
      <c r="ZT16" s="217"/>
      <c r="ZU16" s="217"/>
      <c r="ZV16" s="217"/>
      <c r="ZW16" s="217"/>
      <c r="ZX16" s="221"/>
      <c r="ZY16" s="222"/>
      <c r="ZZ16" s="220"/>
      <c r="AAA16" s="220"/>
      <c r="AAB16" s="220"/>
      <c r="AAC16" s="220"/>
      <c r="AAD16" s="223"/>
      <c r="AAE16" s="223"/>
      <c r="AAF16" s="223"/>
      <c r="AAG16" s="223"/>
      <c r="AAH16" s="223"/>
      <c r="AAI16" s="223"/>
      <c r="AAJ16" s="223"/>
      <c r="AAK16" s="223"/>
      <c r="AAL16" s="223"/>
      <c r="AAM16" s="224"/>
      <c r="AAN16" s="225"/>
      <c r="AAO16" s="226"/>
      <c r="AAP16" s="224"/>
      <c r="AAQ16" s="225"/>
      <c r="AAR16" s="225"/>
      <c r="AAS16" s="227"/>
      <c r="AAT16" s="228"/>
      <c r="AAU16" s="228"/>
      <c r="AAV16" s="229"/>
      <c r="AAW16" s="216"/>
      <c r="AAX16" s="219"/>
      <c r="AAY16" s="220"/>
      <c r="AAZ16" s="217"/>
      <c r="ABA16" s="217"/>
      <c r="ABB16" s="217"/>
      <c r="ABC16" s="217"/>
      <c r="ABD16" s="217"/>
      <c r="ABE16" s="221"/>
      <c r="ABF16" s="222"/>
      <c r="ABG16" s="220"/>
      <c r="ABH16" s="220"/>
      <c r="ABI16" s="220"/>
      <c r="ABJ16" s="220"/>
      <c r="ABK16" s="223"/>
      <c r="ABL16" s="223"/>
      <c r="ABM16" s="223"/>
      <c r="ABN16" s="223"/>
      <c r="ABO16" s="223"/>
      <c r="ABP16" s="223"/>
      <c r="ABQ16" s="223"/>
      <c r="ABR16" s="223"/>
      <c r="ABS16" s="223"/>
      <c r="ABT16" s="224"/>
      <c r="ABU16" s="225"/>
      <c r="ABV16" s="226"/>
      <c r="ABW16" s="224"/>
      <c r="ABX16" s="225"/>
      <c r="ABY16" s="225"/>
      <c r="ABZ16" s="227"/>
      <c r="ACA16" s="228"/>
      <c r="ACB16" s="228"/>
      <c r="ACC16" s="229"/>
      <c r="ACD16" s="216"/>
      <c r="ACE16" s="219"/>
      <c r="ACF16" s="220"/>
      <c r="ACG16" s="217"/>
      <c r="ACH16" s="217"/>
      <c r="ACI16" s="217"/>
      <c r="ACJ16" s="217"/>
      <c r="ACK16" s="217"/>
      <c r="ACL16" s="221"/>
      <c r="ACM16" s="222"/>
      <c r="ACN16" s="220"/>
      <c r="ACO16" s="220"/>
      <c r="ACP16" s="220"/>
      <c r="ACQ16" s="220"/>
      <c r="ACR16" s="223"/>
      <c r="ACS16" s="223"/>
      <c r="ACT16" s="223"/>
      <c r="ACU16" s="223"/>
      <c r="ACV16" s="223"/>
      <c r="ACW16" s="223"/>
      <c r="ACX16" s="223"/>
      <c r="ACY16" s="223"/>
      <c r="ACZ16" s="223"/>
      <c r="ADA16" s="224"/>
      <c r="ADB16" s="225"/>
      <c r="ADC16" s="226"/>
      <c r="ADD16" s="224"/>
      <c r="ADE16" s="225"/>
      <c r="ADF16" s="225"/>
      <c r="ADG16" s="227"/>
      <c r="ADH16" s="228"/>
      <c r="ADI16" s="228"/>
      <c r="ADJ16" s="229"/>
      <c r="ADK16" s="216"/>
      <c r="ADL16" s="219"/>
      <c r="ADM16" s="220"/>
      <c r="ADN16" s="217"/>
      <c r="ADO16" s="217"/>
      <c r="ADP16" s="217"/>
      <c r="ADQ16" s="217"/>
      <c r="ADR16" s="217"/>
      <c r="ADS16" s="221"/>
      <c r="ADT16" s="222"/>
      <c r="ADU16" s="220"/>
      <c r="ADV16" s="220"/>
      <c r="ADW16" s="220"/>
      <c r="ADX16" s="220"/>
      <c r="ADY16" s="223"/>
      <c r="ADZ16" s="223"/>
      <c r="AEA16" s="223"/>
      <c r="AEB16" s="223"/>
      <c r="AEC16" s="223"/>
      <c r="AED16" s="223"/>
      <c r="AEE16" s="223"/>
      <c r="AEF16" s="223"/>
      <c r="AEG16" s="223"/>
      <c r="AEH16" s="224"/>
      <c r="AEI16" s="225"/>
      <c r="AEJ16" s="226"/>
      <c r="AEK16" s="224"/>
      <c r="AEL16" s="225"/>
      <c r="AEM16" s="225"/>
      <c r="AEN16" s="227"/>
      <c r="AEO16" s="228"/>
      <c r="AEP16" s="228"/>
      <c r="AEQ16" s="229"/>
      <c r="AER16" s="216"/>
      <c r="AES16" s="219"/>
      <c r="AET16" s="220"/>
      <c r="AEU16" s="217"/>
      <c r="AEV16" s="217"/>
      <c r="AEW16" s="217"/>
      <c r="AEX16" s="217"/>
      <c r="AEY16" s="217"/>
      <c r="AEZ16" s="221"/>
      <c r="AFA16" s="222"/>
      <c r="AFB16" s="220"/>
      <c r="AFC16" s="220"/>
      <c r="AFD16" s="220"/>
      <c r="AFE16" s="220"/>
      <c r="AFF16" s="223"/>
      <c r="AFG16" s="223"/>
      <c r="AFH16" s="223"/>
      <c r="AFI16" s="223"/>
      <c r="AFJ16" s="223"/>
      <c r="AFK16" s="223"/>
      <c r="AFL16" s="223"/>
      <c r="AFM16" s="223"/>
      <c r="AFN16" s="223"/>
      <c r="AFO16" s="224"/>
      <c r="AFP16" s="225"/>
      <c r="AFQ16" s="226"/>
      <c r="AFR16" s="224"/>
      <c r="AFS16" s="225"/>
      <c r="AFT16" s="225"/>
      <c r="AFU16" s="227"/>
      <c r="AFV16" s="228"/>
      <c r="AFW16" s="228"/>
      <c r="AFX16" s="229"/>
      <c r="AFY16" s="216"/>
      <c r="AFZ16" s="219"/>
      <c r="AGA16" s="220"/>
      <c r="AGB16" s="217"/>
      <c r="AGC16" s="217"/>
      <c r="AGD16" s="217"/>
      <c r="AGE16" s="217"/>
      <c r="AGF16" s="217"/>
      <c r="AGG16" s="221"/>
      <c r="AGH16" s="222"/>
      <c r="AGI16" s="220"/>
      <c r="AGJ16" s="220"/>
      <c r="AGK16" s="220"/>
      <c r="AGL16" s="220"/>
      <c r="AGM16" s="223"/>
      <c r="AGN16" s="223"/>
      <c r="AGO16" s="223"/>
      <c r="AGP16" s="223"/>
      <c r="AGQ16" s="223"/>
      <c r="AGR16" s="223"/>
      <c r="AGS16" s="223"/>
      <c r="AGT16" s="223"/>
      <c r="AGU16" s="223"/>
      <c r="AGV16" s="224"/>
      <c r="AGW16" s="225"/>
      <c r="AGX16" s="226"/>
      <c r="AGY16" s="224"/>
      <c r="AGZ16" s="225"/>
      <c r="AHA16" s="225"/>
      <c r="AHB16" s="227"/>
      <c r="AHC16" s="228"/>
      <c r="AHD16" s="228"/>
      <c r="AHE16" s="229"/>
      <c r="AHF16" s="216"/>
      <c r="AHG16" s="219"/>
      <c r="AHH16" s="220"/>
      <c r="AHI16" s="217"/>
      <c r="AHJ16" s="217"/>
      <c r="AHK16" s="217"/>
      <c r="AHL16" s="217"/>
      <c r="AHM16" s="217"/>
      <c r="AHN16" s="221"/>
      <c r="AHO16" s="222"/>
      <c r="AHP16" s="220"/>
      <c r="AHQ16" s="220"/>
      <c r="AHR16" s="220"/>
      <c r="AHS16" s="220"/>
      <c r="AHT16" s="223"/>
      <c r="AHU16" s="223"/>
      <c r="AHV16" s="223"/>
      <c r="AHW16" s="223"/>
      <c r="AHX16" s="223"/>
      <c r="AHY16" s="223"/>
      <c r="AHZ16" s="223"/>
      <c r="AIA16" s="223"/>
      <c r="AIB16" s="223"/>
      <c r="AIC16" s="224"/>
      <c r="AID16" s="225"/>
      <c r="AIE16" s="226"/>
      <c r="AIF16" s="224"/>
      <c r="AIG16" s="225"/>
      <c r="AIH16" s="225"/>
      <c r="AII16" s="227"/>
      <c r="AIJ16" s="228"/>
      <c r="AIK16" s="228"/>
      <c r="AIL16" s="229"/>
      <c r="AIM16" s="216"/>
      <c r="AIN16" s="219"/>
      <c r="AIO16" s="220"/>
      <c r="AIP16" s="217"/>
      <c r="AIQ16" s="217"/>
      <c r="AIR16" s="217"/>
      <c r="AIS16" s="217"/>
      <c r="AIT16" s="217"/>
      <c r="AIU16" s="221"/>
      <c r="AIV16" s="222"/>
      <c r="AIW16" s="220"/>
      <c r="AIX16" s="220"/>
      <c r="AIY16" s="220"/>
      <c r="AIZ16" s="220"/>
      <c r="AJA16" s="223"/>
      <c r="AJB16" s="223"/>
      <c r="AJC16" s="223"/>
      <c r="AJD16" s="223"/>
      <c r="AJE16" s="223"/>
      <c r="AJF16" s="223"/>
      <c r="AJG16" s="223"/>
      <c r="AJH16" s="223"/>
      <c r="AJI16" s="223"/>
      <c r="AJJ16" s="224"/>
      <c r="AJK16" s="225"/>
      <c r="AJL16" s="226"/>
      <c r="AJM16" s="224"/>
      <c r="AJN16" s="225"/>
      <c r="AJO16" s="225"/>
      <c r="AJP16" s="227"/>
      <c r="AJQ16" s="228"/>
      <c r="AJR16" s="228"/>
      <c r="AJS16" s="229"/>
      <c r="AJT16" s="216"/>
      <c r="AJU16" s="219"/>
      <c r="AJV16" s="220"/>
      <c r="AJW16" s="217"/>
      <c r="AJX16" s="217"/>
      <c r="AJY16" s="217"/>
      <c r="AJZ16" s="217"/>
      <c r="AKA16" s="217"/>
      <c r="AKB16" s="221"/>
      <c r="AKC16" s="222"/>
      <c r="AKD16" s="220"/>
      <c r="AKE16" s="220"/>
      <c r="AKF16" s="220"/>
      <c r="AKG16" s="220"/>
      <c r="AKH16" s="223"/>
      <c r="AKI16" s="223"/>
      <c r="AKJ16" s="223"/>
      <c r="AKK16" s="223"/>
      <c r="AKL16" s="223"/>
      <c r="AKM16" s="223"/>
      <c r="AKN16" s="223"/>
      <c r="AKO16" s="223"/>
      <c r="AKP16" s="223"/>
      <c r="AKQ16" s="224"/>
      <c r="AKR16" s="225"/>
      <c r="AKS16" s="226"/>
      <c r="AKT16" s="224"/>
      <c r="AKU16" s="225"/>
      <c r="AKV16" s="225"/>
      <c r="AKW16" s="227"/>
      <c r="AKX16" s="228"/>
      <c r="AKY16" s="228"/>
      <c r="AKZ16" s="229"/>
      <c r="ALA16" s="216"/>
      <c r="ALB16" s="219"/>
      <c r="ALC16" s="220"/>
      <c r="ALD16" s="217"/>
      <c r="ALE16" s="217"/>
      <c r="ALF16" s="217"/>
      <c r="ALG16" s="217"/>
      <c r="ALH16" s="217"/>
      <c r="ALI16" s="221"/>
      <c r="ALJ16" s="222"/>
      <c r="ALK16" s="220"/>
      <c r="ALL16" s="220"/>
      <c r="ALM16" s="220"/>
      <c r="ALN16" s="220"/>
      <c r="ALO16" s="223"/>
      <c r="ALP16" s="223"/>
      <c r="ALQ16" s="223"/>
      <c r="ALR16" s="223"/>
      <c r="ALS16" s="223"/>
      <c r="ALT16" s="223"/>
      <c r="ALU16" s="223"/>
      <c r="ALV16" s="223"/>
      <c r="ALW16" s="223"/>
      <c r="ALX16" s="224"/>
      <c r="ALY16" s="225"/>
      <c r="ALZ16" s="226"/>
      <c r="AMA16" s="224"/>
      <c r="AMB16" s="225"/>
      <c r="AMC16" s="225"/>
      <c r="AMD16" s="227"/>
      <c r="AME16" s="228"/>
      <c r="AMF16" s="228"/>
      <c r="AMG16" s="229"/>
      <c r="AMH16" s="216"/>
      <c r="AMI16" s="219"/>
      <c r="AMJ16" s="220"/>
      <c r="AMK16" s="217"/>
      <c r="AML16" s="217"/>
      <c r="AMM16" s="217"/>
      <c r="AMN16" s="217"/>
      <c r="AMO16" s="217"/>
      <c r="AMP16" s="221"/>
      <c r="AMQ16" s="222"/>
      <c r="AMR16" s="220"/>
      <c r="AMS16" s="220"/>
      <c r="AMT16" s="220"/>
      <c r="AMU16" s="220"/>
      <c r="AMV16" s="223"/>
      <c r="AMW16" s="223"/>
      <c r="AMX16" s="223"/>
      <c r="AMY16" s="223"/>
      <c r="AMZ16" s="223"/>
      <c r="ANA16" s="223"/>
      <c r="ANB16" s="223"/>
      <c r="ANC16" s="223"/>
      <c r="AND16" s="223"/>
      <c r="ANE16" s="224"/>
      <c r="ANF16" s="225"/>
      <c r="ANG16" s="226"/>
      <c r="ANH16" s="224"/>
      <c r="ANI16" s="225"/>
      <c r="ANJ16" s="225"/>
      <c r="ANK16" s="227"/>
      <c r="ANL16" s="228"/>
      <c r="ANM16" s="228"/>
      <c r="ANN16" s="229"/>
      <c r="ANO16" s="216"/>
      <c r="ANP16" s="219"/>
      <c r="ANQ16" s="220"/>
      <c r="ANR16" s="217"/>
      <c r="ANS16" s="217"/>
      <c r="ANT16" s="217"/>
      <c r="ANU16" s="217"/>
      <c r="ANV16" s="217"/>
      <c r="ANW16" s="221"/>
      <c r="ANX16" s="222"/>
      <c r="ANY16" s="220"/>
      <c r="ANZ16" s="220"/>
      <c r="AOA16" s="220"/>
      <c r="AOB16" s="220"/>
      <c r="AOC16" s="223"/>
      <c r="AOD16" s="223"/>
      <c r="AOE16" s="223"/>
      <c r="AOF16" s="223"/>
      <c r="AOG16" s="223"/>
      <c r="AOH16" s="223"/>
      <c r="AOI16" s="223"/>
      <c r="AOJ16" s="223"/>
      <c r="AOK16" s="223"/>
      <c r="AOL16" s="224"/>
      <c r="AOM16" s="225"/>
      <c r="AON16" s="226"/>
      <c r="AOO16" s="224"/>
      <c r="AOP16" s="225"/>
      <c r="AOQ16" s="225"/>
      <c r="AOR16" s="227"/>
      <c r="AOS16" s="228"/>
      <c r="AOT16" s="228"/>
      <c r="AOU16" s="229"/>
      <c r="AOV16" s="216"/>
      <c r="AOW16" s="219"/>
      <c r="AOX16" s="220"/>
      <c r="AOY16" s="217"/>
      <c r="AOZ16" s="217"/>
      <c r="APA16" s="217"/>
      <c r="APB16" s="217"/>
      <c r="APC16" s="217"/>
      <c r="APD16" s="221"/>
      <c r="APE16" s="222"/>
      <c r="APF16" s="220"/>
      <c r="APG16" s="220"/>
      <c r="APH16" s="220"/>
      <c r="API16" s="220"/>
      <c r="APJ16" s="223"/>
      <c r="APK16" s="223"/>
      <c r="APL16" s="223"/>
      <c r="APM16" s="223"/>
      <c r="APN16" s="223"/>
      <c r="APO16" s="223"/>
      <c r="APP16" s="223"/>
      <c r="APQ16" s="223"/>
      <c r="APR16" s="223"/>
      <c r="APS16" s="224"/>
      <c r="APT16" s="225"/>
      <c r="APU16" s="226"/>
      <c r="APV16" s="224"/>
      <c r="APW16" s="225"/>
      <c r="APX16" s="225"/>
      <c r="APY16" s="227"/>
      <c r="APZ16" s="228"/>
      <c r="AQA16" s="228"/>
      <c r="AQB16" s="229"/>
      <c r="AQC16" s="216"/>
      <c r="AQD16" s="219"/>
      <c r="AQE16" s="220"/>
      <c r="AQF16" s="217"/>
      <c r="AQG16" s="217"/>
      <c r="AQH16" s="217"/>
      <c r="AQI16" s="217"/>
      <c r="AQJ16" s="217"/>
      <c r="AQK16" s="221"/>
      <c r="AQL16" s="222"/>
      <c r="AQM16" s="220"/>
      <c r="AQN16" s="220"/>
      <c r="AQO16" s="220"/>
      <c r="AQP16" s="220"/>
      <c r="AQQ16" s="223"/>
      <c r="AQR16" s="223"/>
      <c r="AQS16" s="223"/>
      <c r="AQT16" s="223"/>
      <c r="AQU16" s="223"/>
      <c r="AQV16" s="223"/>
      <c r="AQW16" s="223"/>
      <c r="AQX16" s="223"/>
      <c r="AQY16" s="223"/>
      <c r="AQZ16" s="224"/>
      <c r="ARA16" s="225"/>
      <c r="ARB16" s="226"/>
      <c r="ARC16" s="224"/>
      <c r="ARD16" s="225"/>
      <c r="ARE16" s="225"/>
      <c r="ARF16" s="227"/>
      <c r="ARG16" s="228"/>
      <c r="ARH16" s="228"/>
      <c r="ARI16" s="229"/>
      <c r="ARJ16" s="216"/>
      <c r="ARK16" s="219"/>
      <c r="ARL16" s="220"/>
      <c r="ARM16" s="217"/>
      <c r="ARN16" s="217"/>
      <c r="ARO16" s="217"/>
      <c r="ARP16" s="217"/>
      <c r="ARQ16" s="217"/>
      <c r="ARR16" s="221"/>
      <c r="ARS16" s="222"/>
      <c r="ART16" s="220"/>
      <c r="ARU16" s="220"/>
      <c r="ARV16" s="220"/>
      <c r="ARW16" s="220"/>
      <c r="ARX16" s="223"/>
      <c r="ARY16" s="223"/>
      <c r="ARZ16" s="223"/>
      <c r="ASA16" s="223"/>
      <c r="ASB16" s="223"/>
      <c r="ASC16" s="223"/>
      <c r="ASD16" s="223"/>
      <c r="ASE16" s="223"/>
      <c r="ASF16" s="223"/>
      <c r="ASG16" s="224"/>
      <c r="ASH16" s="225"/>
      <c r="ASI16" s="226"/>
      <c r="ASJ16" s="224"/>
      <c r="ASK16" s="225"/>
      <c r="ASL16" s="225"/>
      <c r="ASM16" s="227"/>
      <c r="ASN16" s="228"/>
      <c r="ASO16" s="228"/>
      <c r="ASP16" s="229"/>
      <c r="ASQ16" s="216"/>
      <c r="ASR16" s="219"/>
      <c r="ASS16" s="220"/>
      <c r="AST16" s="217"/>
      <c r="ASU16" s="217"/>
      <c r="ASV16" s="217"/>
      <c r="ASW16" s="217"/>
      <c r="ASX16" s="217"/>
      <c r="ASY16" s="221"/>
      <c r="ASZ16" s="222"/>
      <c r="ATA16" s="220"/>
      <c r="ATB16" s="220"/>
      <c r="ATC16" s="220"/>
      <c r="ATD16" s="220"/>
      <c r="ATE16" s="223"/>
      <c r="ATF16" s="223"/>
      <c r="ATG16" s="223"/>
      <c r="ATH16" s="223"/>
      <c r="ATI16" s="223"/>
      <c r="ATJ16" s="223"/>
      <c r="ATK16" s="223"/>
      <c r="ATL16" s="223"/>
      <c r="ATM16" s="223"/>
      <c r="ATN16" s="224"/>
      <c r="ATO16" s="225"/>
      <c r="ATP16" s="226"/>
      <c r="ATQ16" s="224"/>
      <c r="ATR16" s="225"/>
      <c r="ATS16" s="225"/>
      <c r="ATT16" s="227"/>
      <c r="ATU16" s="228"/>
      <c r="ATV16" s="228"/>
      <c r="ATW16" s="229"/>
      <c r="ATX16" s="216"/>
      <c r="ATY16" s="219"/>
      <c r="ATZ16" s="220"/>
      <c r="AUA16" s="217"/>
      <c r="AUB16" s="217"/>
      <c r="AUC16" s="217"/>
      <c r="AUD16" s="217"/>
      <c r="AUE16" s="217"/>
      <c r="AUF16" s="221"/>
      <c r="AUG16" s="222"/>
      <c r="AUH16" s="220"/>
      <c r="AUI16" s="220"/>
      <c r="AUJ16" s="220"/>
      <c r="AUK16" s="220"/>
      <c r="AUL16" s="223"/>
      <c r="AUM16" s="223"/>
      <c r="AUN16" s="223"/>
      <c r="AUO16" s="223"/>
      <c r="AUP16" s="223"/>
      <c r="AUQ16" s="223"/>
      <c r="AUR16" s="223"/>
      <c r="AUS16" s="223"/>
      <c r="AUT16" s="223"/>
      <c r="AUU16" s="224"/>
      <c r="AUV16" s="225"/>
      <c r="AUW16" s="226"/>
      <c r="AUX16" s="224"/>
      <c r="AUY16" s="225"/>
      <c r="AUZ16" s="225"/>
      <c r="AVA16" s="227"/>
      <c r="AVB16" s="228"/>
      <c r="AVC16" s="228"/>
      <c r="AVD16" s="229"/>
      <c r="AVE16" s="216"/>
      <c r="AVF16" s="219"/>
      <c r="AVG16" s="220"/>
      <c r="AVH16" s="217"/>
      <c r="AVI16" s="217"/>
      <c r="AVJ16" s="217"/>
      <c r="AVK16" s="217"/>
      <c r="AVL16" s="217"/>
      <c r="AVM16" s="221"/>
      <c r="AVN16" s="222"/>
      <c r="AVO16" s="220"/>
      <c r="AVP16" s="220"/>
      <c r="AVQ16" s="220"/>
      <c r="AVR16" s="220"/>
      <c r="AVS16" s="223"/>
      <c r="AVT16" s="223"/>
      <c r="AVU16" s="223"/>
      <c r="AVV16" s="223"/>
      <c r="AVW16" s="223"/>
      <c r="AVX16" s="223"/>
      <c r="AVY16" s="223"/>
      <c r="AVZ16" s="223"/>
      <c r="AWA16" s="223"/>
      <c r="AWB16" s="224"/>
      <c r="AWC16" s="225"/>
      <c r="AWD16" s="226"/>
      <c r="AWE16" s="224"/>
      <c r="AWF16" s="225"/>
      <c r="AWG16" s="225"/>
      <c r="AWH16" s="227"/>
      <c r="AWI16" s="228"/>
      <c r="AWJ16" s="228"/>
      <c r="AWK16" s="229"/>
      <c r="AWL16" s="216"/>
      <c r="AWM16" s="219"/>
      <c r="AWN16" s="220"/>
      <c r="AWO16" s="217"/>
      <c r="AWP16" s="217"/>
      <c r="AWQ16" s="217"/>
      <c r="AWR16" s="217"/>
      <c r="AWS16" s="217"/>
      <c r="AWT16" s="221"/>
      <c r="AWU16" s="222"/>
      <c r="AWV16" s="220"/>
      <c r="AWW16" s="220"/>
      <c r="AWX16" s="220"/>
      <c r="AWY16" s="220"/>
      <c r="AWZ16" s="223"/>
      <c r="AXA16" s="223"/>
      <c r="AXB16" s="223"/>
      <c r="AXC16" s="223"/>
      <c r="AXD16" s="223"/>
      <c r="AXE16" s="223"/>
      <c r="AXF16" s="223"/>
      <c r="AXG16" s="223"/>
      <c r="AXH16" s="223"/>
      <c r="AXI16" s="224"/>
      <c r="AXJ16" s="225"/>
      <c r="AXK16" s="226"/>
      <c r="AXL16" s="224"/>
      <c r="AXM16" s="225"/>
      <c r="AXN16" s="225"/>
      <c r="AXO16" s="227"/>
      <c r="AXP16" s="228"/>
      <c r="AXQ16" s="228"/>
      <c r="AXR16" s="229"/>
      <c r="AXS16" s="216"/>
      <c r="AXT16" s="219"/>
      <c r="AXU16" s="220"/>
      <c r="AXV16" s="217"/>
      <c r="AXW16" s="217"/>
      <c r="AXX16" s="217"/>
      <c r="AXY16" s="217"/>
      <c r="AXZ16" s="217"/>
      <c r="AYA16" s="221"/>
      <c r="AYB16" s="222"/>
      <c r="AYC16" s="220"/>
      <c r="AYD16" s="220"/>
      <c r="AYE16" s="220"/>
      <c r="AYF16" s="220"/>
      <c r="AYG16" s="223"/>
      <c r="AYH16" s="223"/>
      <c r="AYI16" s="223"/>
      <c r="AYJ16" s="223"/>
      <c r="AYK16" s="223"/>
      <c r="AYL16" s="223"/>
      <c r="AYM16" s="223"/>
      <c r="AYN16" s="223"/>
      <c r="AYO16" s="223"/>
      <c r="AYP16" s="224"/>
      <c r="AYQ16" s="225"/>
      <c r="AYR16" s="226"/>
      <c r="AYS16" s="224"/>
      <c r="AYT16" s="225"/>
      <c r="AYU16" s="225"/>
      <c r="AYV16" s="227"/>
      <c r="AYW16" s="228"/>
      <c r="AYX16" s="228"/>
      <c r="AYY16" s="229"/>
      <c r="AYZ16" s="216"/>
      <c r="AZA16" s="219"/>
      <c r="AZB16" s="220"/>
      <c r="AZC16" s="217"/>
      <c r="AZD16" s="217"/>
      <c r="AZE16" s="217"/>
      <c r="AZF16" s="217"/>
      <c r="AZG16" s="217"/>
      <c r="AZH16" s="221"/>
      <c r="AZI16" s="222"/>
      <c r="AZJ16" s="220"/>
      <c r="AZK16" s="220"/>
      <c r="AZL16" s="220"/>
      <c r="AZM16" s="220"/>
      <c r="AZN16" s="223"/>
      <c r="AZO16" s="223"/>
      <c r="AZP16" s="223"/>
      <c r="AZQ16" s="223"/>
      <c r="AZR16" s="223"/>
      <c r="AZS16" s="223"/>
      <c r="AZT16" s="223"/>
      <c r="AZU16" s="223"/>
      <c r="AZV16" s="223"/>
      <c r="AZW16" s="224"/>
      <c r="AZX16" s="225"/>
      <c r="AZY16" s="226"/>
      <c r="AZZ16" s="224"/>
      <c r="BAA16" s="225"/>
      <c r="BAB16" s="225"/>
      <c r="BAC16" s="227"/>
      <c r="BAD16" s="228"/>
      <c r="BAE16" s="228"/>
      <c r="BAF16" s="229"/>
      <c r="BAG16" s="216"/>
      <c r="BAH16" s="219"/>
      <c r="BAI16" s="220"/>
      <c r="BAJ16" s="217"/>
      <c r="BAK16" s="217"/>
      <c r="BAL16" s="217"/>
      <c r="BAM16" s="217"/>
      <c r="BAN16" s="217"/>
      <c r="BAO16" s="221"/>
      <c r="BAP16" s="222"/>
      <c r="BAQ16" s="220"/>
      <c r="BAR16" s="220"/>
      <c r="BAS16" s="220"/>
      <c r="BAT16" s="220"/>
      <c r="BAU16" s="223"/>
      <c r="BAV16" s="223"/>
      <c r="BAW16" s="223"/>
      <c r="BAX16" s="223"/>
      <c r="BAY16" s="223"/>
      <c r="BAZ16" s="223"/>
      <c r="BBA16" s="223"/>
      <c r="BBB16" s="223"/>
      <c r="BBC16" s="223"/>
      <c r="BBD16" s="224"/>
      <c r="BBE16" s="225"/>
      <c r="BBF16" s="226"/>
      <c r="BBG16" s="224"/>
      <c r="BBH16" s="225"/>
      <c r="BBI16" s="225"/>
      <c r="BBJ16" s="227"/>
      <c r="BBK16" s="228"/>
      <c r="BBL16" s="228"/>
      <c r="BBM16" s="229"/>
      <c r="BBN16" s="216"/>
      <c r="BBO16" s="219"/>
      <c r="BBP16" s="220"/>
      <c r="BBQ16" s="217"/>
      <c r="BBR16" s="217"/>
      <c r="BBS16" s="217"/>
      <c r="BBT16" s="217"/>
      <c r="BBU16" s="217"/>
      <c r="BBV16" s="221"/>
      <c r="BBW16" s="222"/>
      <c r="BBX16" s="220"/>
      <c r="BBY16" s="220"/>
      <c r="BBZ16" s="220"/>
      <c r="BCA16" s="220"/>
      <c r="BCB16" s="223"/>
      <c r="BCC16" s="223"/>
      <c r="BCD16" s="223"/>
      <c r="BCE16" s="223"/>
      <c r="BCF16" s="223"/>
      <c r="BCG16" s="223"/>
      <c r="BCH16" s="223"/>
      <c r="BCI16" s="223"/>
      <c r="BCJ16" s="223"/>
      <c r="BCK16" s="224"/>
      <c r="BCL16" s="225"/>
      <c r="BCM16" s="226"/>
      <c r="BCN16" s="224"/>
      <c r="BCO16" s="225"/>
      <c r="BCP16" s="225"/>
      <c r="BCQ16" s="227"/>
      <c r="BCR16" s="228"/>
      <c r="BCS16" s="228"/>
      <c r="BCT16" s="229"/>
      <c r="BCU16" s="216"/>
      <c r="BCV16" s="219"/>
      <c r="BCW16" s="220"/>
      <c r="BCX16" s="217"/>
      <c r="BCY16" s="217"/>
      <c r="BCZ16" s="217"/>
      <c r="BDA16" s="217"/>
      <c r="BDB16" s="217"/>
      <c r="BDC16" s="221"/>
      <c r="BDD16" s="222"/>
      <c r="BDE16" s="220"/>
      <c r="BDF16" s="220"/>
      <c r="BDG16" s="220"/>
      <c r="BDH16" s="220"/>
      <c r="BDI16" s="223"/>
      <c r="BDJ16" s="223"/>
      <c r="BDK16" s="223"/>
      <c r="BDL16" s="223"/>
      <c r="BDM16" s="223"/>
      <c r="BDN16" s="223"/>
      <c r="BDO16" s="223"/>
      <c r="BDP16" s="223"/>
      <c r="BDQ16" s="223"/>
      <c r="BDR16" s="224"/>
      <c r="BDS16" s="225"/>
      <c r="BDT16" s="226"/>
      <c r="BDU16" s="224"/>
      <c r="BDV16" s="225"/>
      <c r="BDW16" s="225"/>
      <c r="BDX16" s="227"/>
      <c r="BDY16" s="228"/>
      <c r="BDZ16" s="228"/>
      <c r="BEA16" s="229"/>
      <c r="BEB16" s="216"/>
      <c r="BEC16" s="219"/>
      <c r="BED16" s="220"/>
      <c r="BEE16" s="217"/>
      <c r="BEF16" s="217"/>
      <c r="BEG16" s="217"/>
      <c r="BEH16" s="217"/>
      <c r="BEI16" s="217"/>
      <c r="BEJ16" s="221"/>
      <c r="BEK16" s="222"/>
      <c r="BEL16" s="220"/>
      <c r="BEM16" s="220"/>
      <c r="BEN16" s="220"/>
      <c r="BEO16" s="220"/>
      <c r="BEP16" s="223"/>
      <c r="BEQ16" s="223"/>
      <c r="BER16" s="223"/>
      <c r="BES16" s="223"/>
      <c r="BET16" s="223"/>
      <c r="BEU16" s="223"/>
      <c r="BEV16" s="223"/>
      <c r="BEW16" s="223"/>
      <c r="BEX16" s="223"/>
      <c r="BEY16" s="224"/>
      <c r="BEZ16" s="225"/>
      <c r="BFA16" s="226"/>
      <c r="BFB16" s="224"/>
      <c r="BFC16" s="225"/>
      <c r="BFD16" s="225"/>
      <c r="BFE16" s="227"/>
      <c r="BFF16" s="228"/>
      <c r="BFG16" s="228"/>
      <c r="BFH16" s="229"/>
      <c r="BFI16" s="216"/>
      <c r="BFJ16" s="219"/>
      <c r="BFK16" s="220"/>
      <c r="BFL16" s="217"/>
      <c r="BFM16" s="217"/>
      <c r="BFN16" s="217"/>
      <c r="BFO16" s="217"/>
      <c r="BFP16" s="217"/>
      <c r="BFQ16" s="221"/>
      <c r="BFR16" s="222"/>
      <c r="BFS16" s="220"/>
      <c r="BFT16" s="220"/>
      <c r="BFU16" s="220"/>
      <c r="BFV16" s="220"/>
      <c r="BFW16" s="223"/>
      <c r="BFX16" s="223"/>
      <c r="BFY16" s="223"/>
      <c r="BFZ16" s="223"/>
      <c r="BGA16" s="223"/>
      <c r="BGB16" s="223"/>
      <c r="BGC16" s="223"/>
      <c r="BGD16" s="223"/>
      <c r="BGE16" s="223"/>
      <c r="BGF16" s="224"/>
      <c r="BGG16" s="225"/>
      <c r="BGH16" s="226"/>
      <c r="BGI16" s="224"/>
      <c r="BGJ16" s="225"/>
      <c r="BGK16" s="225"/>
      <c r="BGL16" s="227"/>
      <c r="BGM16" s="228"/>
      <c r="BGN16" s="228"/>
      <c r="BGO16" s="229"/>
      <c r="BGP16" s="216"/>
      <c r="BGQ16" s="219"/>
      <c r="BGR16" s="220"/>
      <c r="BGS16" s="217"/>
      <c r="BGT16" s="217"/>
      <c r="BGU16" s="217"/>
      <c r="BGV16" s="217"/>
      <c r="BGW16" s="217"/>
      <c r="BGX16" s="221"/>
      <c r="BGY16" s="222"/>
      <c r="BGZ16" s="220"/>
      <c r="BHA16" s="220"/>
      <c r="BHB16" s="220"/>
      <c r="BHC16" s="220"/>
      <c r="BHD16" s="223"/>
      <c r="BHE16" s="223"/>
      <c r="BHF16" s="223"/>
      <c r="BHG16" s="223"/>
      <c r="BHH16" s="223"/>
      <c r="BHI16" s="223"/>
      <c r="BHJ16" s="223"/>
      <c r="BHK16" s="223"/>
      <c r="BHL16" s="223"/>
      <c r="BHM16" s="224"/>
      <c r="BHN16" s="225"/>
      <c r="BHO16" s="226"/>
      <c r="BHP16" s="224"/>
      <c r="BHQ16" s="225"/>
      <c r="BHR16" s="225"/>
      <c r="BHS16" s="227"/>
      <c r="BHT16" s="228"/>
      <c r="BHU16" s="228"/>
      <c r="BHV16" s="229"/>
      <c r="BHW16" s="216"/>
      <c r="BHX16" s="219"/>
      <c r="BHY16" s="220"/>
      <c r="BHZ16" s="217"/>
      <c r="BIA16" s="217"/>
      <c r="BIB16" s="217"/>
      <c r="BIC16" s="217"/>
      <c r="BID16" s="217"/>
      <c r="BIE16" s="221"/>
      <c r="BIF16" s="222"/>
      <c r="BIG16" s="220"/>
      <c r="BIH16" s="220"/>
      <c r="BII16" s="220"/>
      <c r="BIJ16" s="220"/>
      <c r="BIK16" s="223"/>
      <c r="BIL16" s="223"/>
      <c r="BIM16" s="223"/>
      <c r="BIN16" s="223"/>
      <c r="BIO16" s="223"/>
      <c r="BIP16" s="223"/>
      <c r="BIQ16" s="223"/>
      <c r="BIR16" s="223"/>
      <c r="BIS16" s="223"/>
      <c r="BIT16" s="224"/>
      <c r="BIU16" s="225"/>
      <c r="BIV16" s="226"/>
      <c r="BIW16" s="224"/>
      <c r="BIX16" s="225"/>
      <c r="BIY16" s="225"/>
      <c r="BIZ16" s="227"/>
      <c r="BJA16" s="228"/>
      <c r="BJB16" s="228"/>
      <c r="BJC16" s="229"/>
      <c r="BJD16" s="216"/>
      <c r="BJE16" s="219"/>
      <c r="BJF16" s="220"/>
      <c r="BJG16" s="217"/>
      <c r="BJH16" s="217"/>
      <c r="BJI16" s="217"/>
      <c r="BJJ16" s="217"/>
      <c r="BJK16" s="217"/>
      <c r="BJL16" s="221"/>
      <c r="BJM16" s="222"/>
      <c r="BJN16" s="220"/>
      <c r="BJO16" s="220"/>
      <c r="BJP16" s="220"/>
      <c r="BJQ16" s="220"/>
      <c r="BJR16" s="223"/>
      <c r="BJS16" s="223"/>
      <c r="BJT16" s="223"/>
      <c r="BJU16" s="223"/>
      <c r="BJV16" s="223"/>
      <c r="BJW16" s="223"/>
      <c r="BJX16" s="223"/>
      <c r="BJY16" s="223"/>
      <c r="BJZ16" s="223"/>
      <c r="BKA16" s="224"/>
      <c r="BKB16" s="225"/>
      <c r="BKC16" s="226"/>
      <c r="BKD16" s="224"/>
      <c r="BKE16" s="225"/>
      <c r="BKF16" s="225"/>
      <c r="BKG16" s="227"/>
      <c r="BKH16" s="228"/>
      <c r="BKI16" s="228"/>
      <c r="BKJ16" s="229"/>
      <c r="BKK16" s="216"/>
      <c r="BKL16" s="219"/>
      <c r="BKM16" s="220"/>
      <c r="BKN16" s="217"/>
      <c r="BKO16" s="217"/>
      <c r="BKP16" s="217"/>
      <c r="BKQ16" s="217"/>
      <c r="BKR16" s="217"/>
      <c r="BKS16" s="221"/>
      <c r="BKT16" s="222"/>
      <c r="BKU16" s="220"/>
      <c r="BKV16" s="220"/>
      <c r="BKW16" s="220"/>
      <c r="BKX16" s="220"/>
      <c r="BKY16" s="223"/>
      <c r="BKZ16" s="223"/>
      <c r="BLA16" s="223"/>
      <c r="BLB16" s="223"/>
      <c r="BLC16" s="223"/>
      <c r="BLD16" s="223"/>
      <c r="BLE16" s="223"/>
      <c r="BLF16" s="223"/>
      <c r="BLG16" s="223"/>
      <c r="BLH16" s="224"/>
      <c r="BLI16" s="225"/>
      <c r="BLJ16" s="226"/>
      <c r="BLK16" s="224"/>
      <c r="BLL16" s="225"/>
      <c r="BLM16" s="225"/>
      <c r="BLN16" s="227"/>
      <c r="BLO16" s="228"/>
      <c r="BLP16" s="228"/>
      <c r="BLQ16" s="229"/>
      <c r="BLR16" s="216"/>
      <c r="BLS16" s="219"/>
      <c r="BLT16" s="220"/>
      <c r="BLU16" s="217"/>
      <c r="BLV16" s="217"/>
      <c r="BLW16" s="217"/>
      <c r="BLX16" s="217"/>
      <c r="BLY16" s="217"/>
      <c r="BLZ16" s="221"/>
      <c r="BMA16" s="222"/>
      <c r="BMB16" s="220"/>
      <c r="BMC16" s="220"/>
      <c r="BMD16" s="220"/>
      <c r="BME16" s="220"/>
      <c r="BMF16" s="223"/>
      <c r="BMG16" s="223"/>
      <c r="BMH16" s="223"/>
      <c r="BMI16" s="223"/>
      <c r="BMJ16" s="223"/>
      <c r="BMK16" s="223"/>
      <c r="BML16" s="223"/>
      <c r="BMM16" s="223"/>
      <c r="BMN16" s="223"/>
      <c r="BMO16" s="224"/>
      <c r="BMP16" s="225"/>
      <c r="BMQ16" s="226"/>
      <c r="BMR16" s="224"/>
      <c r="BMS16" s="225"/>
      <c r="BMT16" s="225"/>
      <c r="BMU16" s="227"/>
      <c r="BMV16" s="228"/>
      <c r="BMW16" s="228"/>
      <c r="BMX16" s="229"/>
      <c r="BMY16" s="216"/>
      <c r="BMZ16" s="219"/>
      <c r="BNA16" s="220"/>
      <c r="BNB16" s="217"/>
      <c r="BNC16" s="217"/>
      <c r="BND16" s="217"/>
      <c r="BNE16" s="217"/>
      <c r="BNF16" s="217"/>
      <c r="BNG16" s="221"/>
      <c r="BNH16" s="222"/>
      <c r="BNI16" s="220"/>
      <c r="BNJ16" s="220"/>
      <c r="BNK16" s="220"/>
      <c r="BNL16" s="220"/>
      <c r="BNM16" s="223"/>
      <c r="BNN16" s="223"/>
      <c r="BNO16" s="223"/>
      <c r="BNP16" s="223"/>
      <c r="BNQ16" s="223"/>
      <c r="BNR16" s="223"/>
      <c r="BNS16" s="223"/>
      <c r="BNT16" s="223"/>
      <c r="BNU16" s="223"/>
      <c r="BNV16" s="224"/>
      <c r="BNW16" s="225"/>
      <c r="BNX16" s="226"/>
      <c r="BNY16" s="224"/>
      <c r="BNZ16" s="225"/>
      <c r="BOA16" s="225"/>
      <c r="BOB16" s="227"/>
      <c r="BOC16" s="228"/>
      <c r="BOD16" s="228"/>
      <c r="BOE16" s="229"/>
      <c r="BOF16" s="216"/>
      <c r="BOG16" s="219"/>
      <c r="BOH16" s="220"/>
      <c r="BOI16" s="217"/>
      <c r="BOJ16" s="217"/>
      <c r="BOK16" s="217"/>
      <c r="BOL16" s="217"/>
      <c r="BOM16" s="217"/>
      <c r="BON16" s="221"/>
      <c r="BOO16" s="222"/>
      <c r="BOP16" s="220"/>
      <c r="BOQ16" s="220"/>
      <c r="BOR16" s="220"/>
      <c r="BOS16" s="220"/>
      <c r="BOT16" s="223"/>
      <c r="BOU16" s="223"/>
      <c r="BOV16" s="223"/>
      <c r="BOW16" s="223"/>
      <c r="BOX16" s="223"/>
      <c r="BOY16" s="223"/>
      <c r="BOZ16" s="223"/>
      <c r="BPA16" s="223"/>
      <c r="BPB16" s="223"/>
      <c r="BPC16" s="224"/>
      <c r="BPD16" s="225"/>
      <c r="BPE16" s="226"/>
      <c r="BPF16" s="224"/>
      <c r="BPG16" s="225"/>
      <c r="BPH16" s="225"/>
      <c r="BPI16" s="227"/>
      <c r="BPJ16" s="228"/>
      <c r="BPK16" s="228"/>
      <c r="BPL16" s="229"/>
      <c r="BPM16" s="216"/>
      <c r="BPN16" s="219"/>
      <c r="BPO16" s="220"/>
      <c r="BPP16" s="217"/>
      <c r="BPQ16" s="217"/>
      <c r="BPR16" s="217"/>
      <c r="BPS16" s="217"/>
      <c r="BPT16" s="217"/>
      <c r="BPU16" s="221"/>
      <c r="BPV16" s="222"/>
      <c r="BPW16" s="220"/>
      <c r="BPX16" s="220"/>
      <c r="BPY16" s="220"/>
      <c r="BPZ16" s="220"/>
      <c r="BQA16" s="223"/>
      <c r="BQB16" s="223"/>
      <c r="BQC16" s="223"/>
      <c r="BQD16" s="223"/>
      <c r="BQE16" s="223"/>
      <c r="BQF16" s="223"/>
      <c r="BQG16" s="223"/>
      <c r="BQH16" s="223"/>
      <c r="BQI16" s="223"/>
      <c r="BQJ16" s="224"/>
      <c r="BQK16" s="225"/>
      <c r="BQL16" s="226"/>
      <c r="BQM16" s="224"/>
      <c r="BQN16" s="225"/>
      <c r="BQO16" s="225"/>
      <c r="BQP16" s="227"/>
      <c r="BQQ16" s="228"/>
      <c r="BQR16" s="228"/>
      <c r="BQS16" s="229"/>
      <c r="BQT16" s="216"/>
      <c r="BQU16" s="219"/>
      <c r="BQV16" s="220"/>
      <c r="BQW16" s="217"/>
      <c r="BQX16" s="217"/>
      <c r="BQY16" s="217"/>
      <c r="BQZ16" s="217"/>
      <c r="BRA16" s="217"/>
      <c r="BRB16" s="221"/>
      <c r="BRC16" s="222"/>
      <c r="BRD16" s="220"/>
      <c r="BRE16" s="220"/>
      <c r="BRF16" s="220"/>
      <c r="BRG16" s="220"/>
      <c r="BRH16" s="223"/>
      <c r="BRI16" s="223"/>
      <c r="BRJ16" s="223"/>
      <c r="BRK16" s="223"/>
      <c r="BRL16" s="223"/>
      <c r="BRM16" s="223"/>
      <c r="BRN16" s="223"/>
      <c r="BRO16" s="223"/>
      <c r="BRP16" s="223"/>
      <c r="BRQ16" s="224"/>
      <c r="BRR16" s="225"/>
      <c r="BRS16" s="226"/>
      <c r="BRT16" s="224"/>
      <c r="BRU16" s="225"/>
      <c r="BRV16" s="225"/>
      <c r="BRW16" s="227"/>
      <c r="BRX16" s="228"/>
      <c r="BRY16" s="228"/>
      <c r="BRZ16" s="229"/>
      <c r="BSA16" s="216"/>
      <c r="BSB16" s="219"/>
      <c r="BSC16" s="220"/>
      <c r="BSD16" s="217"/>
      <c r="BSE16" s="217"/>
      <c r="BSF16" s="217"/>
      <c r="BSG16" s="217"/>
      <c r="BSH16" s="217"/>
      <c r="BSI16" s="221"/>
      <c r="BSJ16" s="222"/>
      <c r="BSK16" s="220"/>
      <c r="BSL16" s="220"/>
      <c r="BSM16" s="220"/>
      <c r="BSN16" s="220"/>
      <c r="BSO16" s="223"/>
      <c r="BSP16" s="223"/>
      <c r="BSQ16" s="223"/>
      <c r="BSR16" s="223"/>
      <c r="BSS16" s="223"/>
      <c r="BST16" s="223"/>
      <c r="BSU16" s="223"/>
      <c r="BSV16" s="223"/>
      <c r="BSW16" s="223"/>
      <c r="BSX16" s="224"/>
      <c r="BSY16" s="225"/>
      <c r="BSZ16" s="226"/>
      <c r="BTA16" s="224"/>
      <c r="BTB16" s="225"/>
      <c r="BTC16" s="225"/>
      <c r="BTD16" s="227"/>
      <c r="BTE16" s="228"/>
      <c r="BTF16" s="228"/>
      <c r="BTG16" s="229"/>
      <c r="BTH16" s="216"/>
      <c r="BTI16" s="219"/>
      <c r="BTJ16" s="220"/>
      <c r="BTK16" s="217"/>
      <c r="BTL16" s="217"/>
      <c r="BTM16" s="217"/>
      <c r="BTN16" s="217"/>
      <c r="BTO16" s="217"/>
      <c r="BTP16" s="221"/>
      <c r="BTQ16" s="222"/>
      <c r="BTR16" s="220"/>
      <c r="BTS16" s="220"/>
      <c r="BTT16" s="220"/>
      <c r="BTU16" s="220"/>
      <c r="BTV16" s="223"/>
      <c r="BTW16" s="223"/>
      <c r="BTX16" s="223"/>
      <c r="BTY16" s="223"/>
      <c r="BTZ16" s="223"/>
      <c r="BUA16" s="223"/>
      <c r="BUB16" s="223"/>
      <c r="BUC16" s="223"/>
      <c r="BUD16" s="223"/>
      <c r="BUE16" s="224"/>
      <c r="BUF16" s="225"/>
      <c r="BUG16" s="226"/>
      <c r="BUH16" s="224"/>
      <c r="BUI16" s="225"/>
      <c r="BUJ16" s="225"/>
      <c r="BUK16" s="227"/>
      <c r="BUL16" s="228"/>
      <c r="BUM16" s="228"/>
      <c r="BUN16" s="229"/>
      <c r="BUO16" s="216"/>
      <c r="BUP16" s="219"/>
      <c r="BUQ16" s="220"/>
      <c r="BUR16" s="217"/>
      <c r="BUS16" s="217"/>
      <c r="BUT16" s="217"/>
      <c r="BUU16" s="217"/>
      <c r="BUV16" s="217"/>
      <c r="BUW16" s="221"/>
      <c r="BUX16" s="222"/>
      <c r="BUY16" s="220"/>
      <c r="BUZ16" s="220"/>
      <c r="BVA16" s="220"/>
      <c r="BVB16" s="220"/>
      <c r="BVC16" s="223"/>
      <c r="BVD16" s="223"/>
      <c r="BVE16" s="223"/>
      <c r="BVF16" s="223"/>
      <c r="BVG16" s="223"/>
      <c r="BVH16" s="223"/>
      <c r="BVI16" s="223"/>
      <c r="BVJ16" s="223"/>
      <c r="BVK16" s="223"/>
      <c r="BVL16" s="224"/>
      <c r="BVM16" s="225"/>
      <c r="BVN16" s="226"/>
      <c r="BVO16" s="224"/>
      <c r="BVP16" s="225"/>
      <c r="BVQ16" s="225"/>
      <c r="BVR16" s="227"/>
      <c r="BVS16" s="228"/>
      <c r="BVT16" s="228"/>
      <c r="BVU16" s="229"/>
      <c r="BVV16" s="216"/>
      <c r="BVW16" s="219"/>
      <c r="BVX16" s="220"/>
      <c r="BVY16" s="217"/>
      <c r="BVZ16" s="217"/>
      <c r="BWA16" s="217"/>
      <c r="BWB16" s="217"/>
      <c r="BWC16" s="217"/>
      <c r="BWD16" s="221"/>
      <c r="BWE16" s="222"/>
      <c r="BWF16" s="220"/>
      <c r="BWG16" s="220"/>
      <c r="BWH16" s="220"/>
      <c r="BWI16" s="220"/>
      <c r="BWJ16" s="223"/>
      <c r="BWK16" s="223"/>
      <c r="BWL16" s="223"/>
      <c r="BWM16" s="223"/>
      <c r="BWN16" s="223"/>
      <c r="BWO16" s="223"/>
      <c r="BWP16" s="223"/>
      <c r="BWQ16" s="223"/>
      <c r="BWR16" s="223"/>
      <c r="BWS16" s="224"/>
      <c r="BWT16" s="225"/>
      <c r="BWU16" s="226"/>
      <c r="BWV16" s="224"/>
      <c r="BWW16" s="225"/>
      <c r="BWX16" s="225"/>
      <c r="BWY16" s="227"/>
      <c r="BWZ16" s="228"/>
      <c r="BXA16" s="228"/>
      <c r="BXB16" s="229"/>
      <c r="BXC16" s="216"/>
      <c r="BXD16" s="219"/>
      <c r="BXE16" s="220"/>
      <c r="BXF16" s="217"/>
      <c r="BXG16" s="217"/>
      <c r="BXH16" s="217"/>
      <c r="BXI16" s="217"/>
      <c r="BXJ16" s="217"/>
      <c r="BXK16" s="221"/>
      <c r="BXL16" s="222"/>
      <c r="BXM16" s="220"/>
      <c r="BXN16" s="220"/>
      <c r="BXO16" s="220"/>
      <c r="BXP16" s="220"/>
      <c r="BXQ16" s="223"/>
      <c r="BXR16" s="223"/>
      <c r="BXS16" s="223"/>
      <c r="BXT16" s="223"/>
      <c r="BXU16" s="223"/>
      <c r="BXV16" s="223"/>
      <c r="BXW16" s="223"/>
      <c r="BXX16" s="223"/>
      <c r="BXY16" s="223"/>
      <c r="BXZ16" s="224"/>
      <c r="BYA16" s="225"/>
      <c r="BYB16" s="226"/>
      <c r="BYC16" s="224"/>
      <c r="BYD16" s="225"/>
      <c r="BYE16" s="225"/>
      <c r="BYF16" s="227"/>
      <c r="BYG16" s="228"/>
      <c r="BYH16" s="228"/>
      <c r="BYI16" s="229"/>
      <c r="BYJ16" s="216"/>
      <c r="BYK16" s="219"/>
      <c r="BYL16" s="220"/>
      <c r="BYM16" s="217"/>
      <c r="BYN16" s="217"/>
      <c r="BYO16" s="217"/>
      <c r="BYP16" s="217"/>
      <c r="BYQ16" s="217"/>
      <c r="BYR16" s="221"/>
      <c r="BYS16" s="222"/>
      <c r="BYT16" s="220"/>
      <c r="BYU16" s="220"/>
      <c r="BYV16" s="220"/>
      <c r="BYW16" s="220"/>
      <c r="BYX16" s="223"/>
      <c r="BYY16" s="223"/>
      <c r="BYZ16" s="223"/>
      <c r="BZA16" s="223"/>
      <c r="BZB16" s="223"/>
      <c r="BZC16" s="223"/>
      <c r="BZD16" s="223"/>
      <c r="BZE16" s="223"/>
      <c r="BZF16" s="223"/>
      <c r="BZG16" s="224"/>
      <c r="BZH16" s="225"/>
      <c r="BZI16" s="226"/>
      <c r="BZJ16" s="224"/>
      <c r="BZK16" s="225"/>
      <c r="BZL16" s="225"/>
      <c r="BZM16" s="227"/>
      <c r="BZN16" s="228"/>
      <c r="BZO16" s="228"/>
      <c r="BZP16" s="229"/>
      <c r="BZQ16" s="216"/>
      <c r="BZR16" s="219"/>
      <c r="BZS16" s="220"/>
      <c r="BZT16" s="217"/>
      <c r="BZU16" s="217"/>
      <c r="BZV16" s="217"/>
      <c r="BZW16" s="217"/>
      <c r="BZX16" s="217"/>
      <c r="BZY16" s="221"/>
      <c r="BZZ16" s="222"/>
      <c r="CAA16" s="220"/>
      <c r="CAB16" s="220"/>
      <c r="CAC16" s="220"/>
      <c r="CAD16" s="220"/>
      <c r="CAE16" s="223"/>
      <c r="CAF16" s="223"/>
      <c r="CAG16" s="223"/>
      <c r="CAH16" s="223"/>
      <c r="CAI16" s="223"/>
      <c r="CAJ16" s="223"/>
      <c r="CAK16" s="223"/>
      <c r="CAL16" s="223"/>
      <c r="CAM16" s="223"/>
      <c r="CAN16" s="224"/>
      <c r="CAO16" s="225"/>
      <c r="CAP16" s="226"/>
      <c r="CAQ16" s="224"/>
      <c r="CAR16" s="225"/>
      <c r="CAS16" s="225"/>
      <c r="CAT16" s="227"/>
      <c r="CAU16" s="228"/>
      <c r="CAV16" s="228"/>
      <c r="CAW16" s="229"/>
      <c r="CAX16" s="216"/>
      <c r="CAY16" s="219"/>
      <c r="CAZ16" s="220"/>
      <c r="CBA16" s="217"/>
      <c r="CBB16" s="217"/>
      <c r="CBC16" s="217"/>
      <c r="CBD16" s="217"/>
      <c r="CBE16" s="217"/>
      <c r="CBF16" s="221"/>
      <c r="CBG16" s="222"/>
      <c r="CBH16" s="220"/>
      <c r="CBI16" s="220"/>
      <c r="CBJ16" s="220"/>
      <c r="CBK16" s="220"/>
      <c r="CBL16" s="223"/>
      <c r="CBM16" s="223"/>
      <c r="CBN16" s="223"/>
      <c r="CBO16" s="223"/>
      <c r="CBP16" s="223"/>
      <c r="CBQ16" s="223"/>
      <c r="CBR16" s="223"/>
      <c r="CBS16" s="223"/>
      <c r="CBT16" s="223"/>
      <c r="CBU16" s="224"/>
      <c r="CBV16" s="225"/>
      <c r="CBW16" s="226"/>
      <c r="CBX16" s="224"/>
      <c r="CBY16" s="225"/>
      <c r="CBZ16" s="225"/>
      <c r="CCA16" s="227"/>
      <c r="CCB16" s="228"/>
      <c r="CCC16" s="228"/>
      <c r="CCD16" s="229"/>
      <c r="CCE16" s="216"/>
      <c r="CCF16" s="219"/>
      <c r="CCG16" s="220"/>
      <c r="CCH16" s="217"/>
      <c r="CCI16" s="217"/>
      <c r="CCJ16" s="217"/>
      <c r="CCK16" s="217"/>
      <c r="CCL16" s="217"/>
      <c r="CCM16" s="221"/>
      <c r="CCN16" s="222"/>
      <c r="CCO16" s="220"/>
      <c r="CCP16" s="220"/>
      <c r="CCQ16" s="220"/>
      <c r="CCR16" s="220"/>
      <c r="CCS16" s="223"/>
      <c r="CCT16" s="223"/>
      <c r="CCU16" s="223"/>
      <c r="CCV16" s="223"/>
      <c r="CCW16" s="223"/>
      <c r="CCX16" s="223"/>
      <c r="CCY16" s="223"/>
      <c r="CCZ16" s="223"/>
      <c r="CDA16" s="223"/>
      <c r="CDB16" s="224"/>
      <c r="CDC16" s="225"/>
      <c r="CDD16" s="226"/>
      <c r="CDE16" s="224"/>
      <c r="CDF16" s="225"/>
      <c r="CDG16" s="225"/>
      <c r="CDH16" s="227"/>
      <c r="CDI16" s="228"/>
      <c r="CDJ16" s="228"/>
      <c r="CDK16" s="229"/>
      <c r="CDL16" s="216"/>
      <c r="CDM16" s="219"/>
      <c r="CDN16" s="220"/>
      <c r="CDO16" s="217"/>
      <c r="CDP16" s="217"/>
      <c r="CDQ16" s="217"/>
      <c r="CDR16" s="217"/>
      <c r="CDS16" s="217"/>
      <c r="CDT16" s="221"/>
      <c r="CDU16" s="222"/>
      <c r="CDV16" s="220"/>
      <c r="CDW16" s="220"/>
      <c r="CDX16" s="220"/>
      <c r="CDY16" s="220"/>
      <c r="CDZ16" s="223"/>
      <c r="CEA16" s="223"/>
      <c r="CEB16" s="223"/>
      <c r="CEC16" s="223"/>
      <c r="CED16" s="223"/>
      <c r="CEE16" s="223"/>
      <c r="CEF16" s="223"/>
      <c r="CEG16" s="223"/>
      <c r="CEH16" s="223"/>
      <c r="CEI16" s="224"/>
      <c r="CEJ16" s="225"/>
      <c r="CEK16" s="226"/>
      <c r="CEL16" s="224"/>
      <c r="CEM16" s="225"/>
      <c r="CEN16" s="225"/>
      <c r="CEO16" s="227"/>
      <c r="CEP16" s="228"/>
      <c r="CEQ16" s="228"/>
      <c r="CER16" s="229"/>
      <c r="CES16" s="216"/>
      <c r="CET16" s="219"/>
      <c r="CEU16" s="220"/>
      <c r="CEV16" s="217"/>
      <c r="CEW16" s="217"/>
      <c r="CEX16" s="217"/>
      <c r="CEY16" s="217"/>
      <c r="CEZ16" s="217"/>
      <c r="CFA16" s="221"/>
      <c r="CFB16" s="222"/>
      <c r="CFC16" s="220"/>
      <c r="CFD16" s="220"/>
      <c r="CFE16" s="220"/>
      <c r="CFF16" s="220"/>
      <c r="CFG16" s="223"/>
      <c r="CFH16" s="223"/>
      <c r="CFI16" s="223"/>
      <c r="CFJ16" s="223"/>
      <c r="CFK16" s="223"/>
      <c r="CFL16" s="223"/>
      <c r="CFM16" s="223"/>
      <c r="CFN16" s="223"/>
      <c r="CFO16" s="223"/>
      <c r="CFP16" s="224"/>
      <c r="CFQ16" s="225"/>
      <c r="CFR16" s="226"/>
      <c r="CFS16" s="224"/>
      <c r="CFT16" s="225"/>
      <c r="CFU16" s="225"/>
      <c r="CFV16" s="227"/>
      <c r="CFW16" s="228"/>
      <c r="CFX16" s="228"/>
      <c r="CFY16" s="229"/>
      <c r="CFZ16" s="216"/>
      <c r="CGA16" s="219"/>
      <c r="CGB16" s="220"/>
      <c r="CGC16" s="217"/>
      <c r="CGD16" s="217"/>
      <c r="CGE16" s="217"/>
      <c r="CGF16" s="217"/>
      <c r="CGG16" s="217"/>
      <c r="CGH16" s="221"/>
      <c r="CGI16" s="222"/>
      <c r="CGJ16" s="220"/>
      <c r="CGK16" s="220"/>
      <c r="CGL16" s="220"/>
      <c r="CGM16" s="220"/>
      <c r="CGN16" s="223"/>
      <c r="CGO16" s="223"/>
      <c r="CGP16" s="223"/>
      <c r="CGQ16" s="223"/>
      <c r="CGR16" s="223"/>
      <c r="CGS16" s="223"/>
      <c r="CGT16" s="223"/>
      <c r="CGU16" s="223"/>
      <c r="CGV16" s="223"/>
      <c r="CGW16" s="224"/>
      <c r="CGX16" s="225"/>
      <c r="CGY16" s="226"/>
      <c r="CGZ16" s="224"/>
      <c r="CHA16" s="225"/>
      <c r="CHB16" s="225"/>
      <c r="CHC16" s="227"/>
      <c r="CHD16" s="228"/>
      <c r="CHE16" s="228"/>
      <c r="CHF16" s="229"/>
      <c r="CHG16" s="216"/>
      <c r="CHH16" s="219"/>
      <c r="CHI16" s="220"/>
      <c r="CHJ16" s="217"/>
      <c r="CHK16" s="217"/>
      <c r="CHL16" s="217"/>
      <c r="CHM16" s="217"/>
      <c r="CHN16" s="217"/>
      <c r="CHO16" s="221"/>
      <c r="CHP16" s="222"/>
      <c r="CHQ16" s="220"/>
      <c r="CHR16" s="220"/>
      <c r="CHS16" s="220"/>
      <c r="CHT16" s="220"/>
      <c r="CHU16" s="223"/>
      <c r="CHV16" s="223"/>
      <c r="CHW16" s="223"/>
      <c r="CHX16" s="223"/>
      <c r="CHY16" s="223"/>
      <c r="CHZ16" s="223"/>
      <c r="CIA16" s="223"/>
      <c r="CIB16" s="223"/>
      <c r="CIC16" s="223"/>
      <c r="CID16" s="224"/>
      <c r="CIE16" s="225"/>
      <c r="CIF16" s="226"/>
      <c r="CIG16" s="224"/>
      <c r="CIH16" s="225"/>
      <c r="CII16" s="225"/>
      <c r="CIJ16" s="227"/>
      <c r="CIK16" s="228"/>
      <c r="CIL16" s="228"/>
      <c r="CIM16" s="229"/>
      <c r="CIN16" s="216"/>
      <c r="CIO16" s="219"/>
      <c r="CIP16" s="220"/>
      <c r="CIQ16" s="217"/>
      <c r="CIR16" s="217"/>
      <c r="CIS16" s="217"/>
      <c r="CIT16" s="217"/>
      <c r="CIU16" s="217"/>
      <c r="CIV16" s="221"/>
      <c r="CIW16" s="222"/>
      <c r="CIX16" s="220"/>
      <c r="CIY16" s="220"/>
      <c r="CIZ16" s="220"/>
      <c r="CJA16" s="220"/>
      <c r="CJB16" s="223"/>
      <c r="CJC16" s="223"/>
      <c r="CJD16" s="223"/>
      <c r="CJE16" s="223"/>
      <c r="CJF16" s="223"/>
      <c r="CJG16" s="223"/>
      <c r="CJH16" s="223"/>
      <c r="CJI16" s="223"/>
      <c r="CJJ16" s="223"/>
      <c r="CJK16" s="224"/>
      <c r="CJL16" s="225"/>
      <c r="CJM16" s="226"/>
      <c r="CJN16" s="224"/>
      <c r="CJO16" s="225"/>
      <c r="CJP16" s="225"/>
      <c r="CJQ16" s="227"/>
      <c r="CJR16" s="228"/>
      <c r="CJS16" s="228"/>
      <c r="CJT16" s="229"/>
      <c r="CJU16" s="216"/>
      <c r="CJV16" s="219"/>
      <c r="CJW16" s="220"/>
      <c r="CJX16" s="217"/>
      <c r="CJY16" s="217"/>
      <c r="CJZ16" s="217"/>
      <c r="CKA16" s="217"/>
      <c r="CKB16" s="217"/>
      <c r="CKC16" s="221"/>
      <c r="CKD16" s="222"/>
      <c r="CKE16" s="220"/>
      <c r="CKF16" s="220"/>
      <c r="CKG16" s="220"/>
      <c r="CKH16" s="220"/>
      <c r="CKI16" s="223"/>
      <c r="CKJ16" s="223"/>
      <c r="CKK16" s="223"/>
      <c r="CKL16" s="223"/>
      <c r="CKM16" s="223"/>
      <c r="CKN16" s="223"/>
      <c r="CKO16" s="223"/>
      <c r="CKP16" s="223"/>
      <c r="CKQ16" s="223"/>
      <c r="CKR16" s="224"/>
      <c r="CKS16" s="225"/>
      <c r="CKT16" s="226"/>
      <c r="CKU16" s="224"/>
      <c r="CKV16" s="225"/>
      <c r="CKW16" s="225"/>
      <c r="CKX16" s="227"/>
      <c r="CKY16" s="228"/>
      <c r="CKZ16" s="228"/>
      <c r="CLA16" s="229"/>
      <c r="CLB16" s="216"/>
      <c r="CLC16" s="219"/>
      <c r="CLD16" s="220"/>
      <c r="CLE16" s="217"/>
      <c r="CLF16" s="217"/>
      <c r="CLG16" s="217"/>
      <c r="CLH16" s="217"/>
      <c r="CLI16" s="217"/>
      <c r="CLJ16" s="221"/>
      <c r="CLK16" s="222"/>
      <c r="CLL16" s="220"/>
      <c r="CLM16" s="220"/>
      <c r="CLN16" s="220"/>
      <c r="CLO16" s="220"/>
      <c r="CLP16" s="223"/>
      <c r="CLQ16" s="223"/>
      <c r="CLR16" s="223"/>
      <c r="CLS16" s="223"/>
      <c r="CLT16" s="223"/>
      <c r="CLU16" s="223"/>
      <c r="CLV16" s="223"/>
      <c r="CLW16" s="223"/>
      <c r="CLX16" s="223"/>
      <c r="CLY16" s="224"/>
      <c r="CLZ16" s="225"/>
      <c r="CMA16" s="226"/>
      <c r="CMB16" s="224"/>
      <c r="CMC16" s="225"/>
      <c r="CMD16" s="225"/>
      <c r="CME16" s="227"/>
      <c r="CMF16" s="228"/>
      <c r="CMG16" s="228"/>
      <c r="CMH16" s="229"/>
      <c r="CMI16" s="216"/>
      <c r="CMJ16" s="219"/>
      <c r="CMK16" s="220"/>
      <c r="CML16" s="217"/>
      <c r="CMM16" s="217"/>
      <c r="CMN16" s="217"/>
      <c r="CMO16" s="217"/>
      <c r="CMP16" s="217"/>
      <c r="CMQ16" s="221"/>
      <c r="CMR16" s="222"/>
      <c r="CMS16" s="220"/>
      <c r="CMT16" s="220"/>
      <c r="CMU16" s="220"/>
      <c r="CMV16" s="220"/>
      <c r="CMW16" s="223"/>
      <c r="CMX16" s="223"/>
      <c r="CMY16" s="223"/>
      <c r="CMZ16" s="223"/>
      <c r="CNA16" s="223"/>
      <c r="CNB16" s="223"/>
      <c r="CNC16" s="223"/>
      <c r="CND16" s="223"/>
      <c r="CNE16" s="223"/>
      <c r="CNF16" s="224"/>
      <c r="CNG16" s="225"/>
      <c r="CNH16" s="226"/>
      <c r="CNI16" s="224"/>
      <c r="CNJ16" s="225"/>
      <c r="CNK16" s="225"/>
      <c r="CNL16" s="227"/>
      <c r="CNM16" s="228"/>
      <c r="CNN16" s="228"/>
      <c r="CNO16" s="229"/>
      <c r="CNP16" s="216"/>
      <c r="CNQ16" s="219"/>
      <c r="CNR16" s="220"/>
      <c r="CNS16" s="217"/>
      <c r="CNT16" s="217"/>
      <c r="CNU16" s="217"/>
      <c r="CNV16" s="217"/>
      <c r="CNW16" s="217"/>
      <c r="CNX16" s="221"/>
      <c r="CNY16" s="222"/>
      <c r="CNZ16" s="220"/>
      <c r="COA16" s="220"/>
      <c r="COB16" s="220"/>
      <c r="COC16" s="220"/>
      <c r="COD16" s="223"/>
      <c r="COE16" s="223"/>
      <c r="COF16" s="223"/>
      <c r="COG16" s="223"/>
      <c r="COH16" s="223"/>
      <c r="COI16" s="223"/>
      <c r="COJ16" s="223"/>
      <c r="COK16" s="223"/>
      <c r="COL16" s="223"/>
      <c r="COM16" s="224"/>
      <c r="CON16" s="225"/>
      <c r="COO16" s="226"/>
      <c r="COP16" s="224"/>
      <c r="COQ16" s="225"/>
      <c r="COR16" s="225"/>
      <c r="COS16" s="227"/>
      <c r="COT16" s="228"/>
      <c r="COU16" s="228"/>
      <c r="COV16" s="229"/>
      <c r="COW16" s="216"/>
      <c r="COX16" s="219"/>
      <c r="COY16" s="220"/>
      <c r="COZ16" s="217"/>
      <c r="CPA16" s="217"/>
      <c r="CPB16" s="217"/>
      <c r="CPC16" s="217"/>
      <c r="CPD16" s="217"/>
      <c r="CPE16" s="221"/>
      <c r="CPF16" s="222"/>
      <c r="CPG16" s="220"/>
      <c r="CPH16" s="220"/>
      <c r="CPI16" s="220"/>
      <c r="CPJ16" s="220"/>
      <c r="CPK16" s="223"/>
      <c r="CPL16" s="223"/>
      <c r="CPM16" s="223"/>
      <c r="CPN16" s="223"/>
      <c r="CPO16" s="223"/>
      <c r="CPP16" s="223"/>
      <c r="CPQ16" s="223"/>
      <c r="CPR16" s="223"/>
      <c r="CPS16" s="223"/>
      <c r="CPT16" s="224"/>
      <c r="CPU16" s="225"/>
      <c r="CPV16" s="226"/>
      <c r="CPW16" s="224"/>
      <c r="CPX16" s="225"/>
      <c r="CPY16" s="225"/>
      <c r="CPZ16" s="227"/>
      <c r="CQA16" s="228"/>
      <c r="CQB16" s="228"/>
      <c r="CQC16" s="229"/>
      <c r="CQD16" s="216"/>
      <c r="CQE16" s="219"/>
      <c r="CQF16" s="220"/>
      <c r="CQG16" s="217"/>
      <c r="CQH16" s="217"/>
      <c r="CQI16" s="217"/>
      <c r="CQJ16" s="217"/>
      <c r="CQK16" s="217"/>
      <c r="CQL16" s="221"/>
      <c r="CQM16" s="222"/>
      <c r="CQN16" s="220"/>
      <c r="CQO16" s="220"/>
      <c r="CQP16" s="220"/>
      <c r="CQQ16" s="220"/>
      <c r="CQR16" s="223"/>
      <c r="CQS16" s="223"/>
      <c r="CQT16" s="223"/>
      <c r="CQU16" s="223"/>
      <c r="CQV16" s="223"/>
      <c r="CQW16" s="223"/>
      <c r="CQX16" s="223"/>
      <c r="CQY16" s="223"/>
      <c r="CQZ16" s="223"/>
      <c r="CRA16" s="224"/>
      <c r="CRB16" s="225"/>
      <c r="CRC16" s="226"/>
      <c r="CRD16" s="224"/>
      <c r="CRE16" s="225"/>
      <c r="CRF16" s="225"/>
      <c r="CRG16" s="227"/>
      <c r="CRH16" s="228"/>
      <c r="CRI16" s="228"/>
      <c r="CRJ16" s="229"/>
      <c r="CRK16" s="216"/>
      <c r="CRL16" s="219"/>
      <c r="CRM16" s="220"/>
      <c r="CRN16" s="217"/>
      <c r="CRO16" s="217"/>
      <c r="CRP16" s="217"/>
      <c r="CRQ16" s="217"/>
      <c r="CRR16" s="217"/>
      <c r="CRS16" s="221"/>
      <c r="CRT16" s="222"/>
      <c r="CRU16" s="220"/>
      <c r="CRV16" s="220"/>
      <c r="CRW16" s="220"/>
      <c r="CRX16" s="220"/>
      <c r="CRY16" s="223"/>
      <c r="CRZ16" s="223"/>
      <c r="CSA16" s="223"/>
      <c r="CSB16" s="223"/>
      <c r="CSC16" s="223"/>
      <c r="CSD16" s="223"/>
      <c r="CSE16" s="223"/>
      <c r="CSF16" s="223"/>
      <c r="CSG16" s="223"/>
      <c r="CSH16" s="224"/>
      <c r="CSI16" s="225"/>
      <c r="CSJ16" s="226"/>
      <c r="CSK16" s="224"/>
      <c r="CSL16" s="225"/>
      <c r="CSM16" s="225"/>
      <c r="CSN16" s="227"/>
      <c r="CSO16" s="228"/>
      <c r="CSP16" s="228"/>
      <c r="CSQ16" s="229"/>
      <c r="CSR16" s="216"/>
      <c r="CSS16" s="219"/>
      <c r="CST16" s="220"/>
      <c r="CSU16" s="217"/>
      <c r="CSV16" s="217"/>
      <c r="CSW16" s="217"/>
      <c r="CSX16" s="217"/>
      <c r="CSY16" s="217"/>
      <c r="CSZ16" s="221"/>
      <c r="CTA16" s="222"/>
      <c r="CTB16" s="220"/>
      <c r="CTC16" s="220"/>
      <c r="CTD16" s="220"/>
      <c r="CTE16" s="220"/>
      <c r="CTF16" s="223"/>
      <c r="CTG16" s="223"/>
      <c r="CTH16" s="223"/>
      <c r="CTI16" s="223"/>
      <c r="CTJ16" s="223"/>
      <c r="CTK16" s="223"/>
      <c r="CTL16" s="223"/>
      <c r="CTM16" s="223"/>
      <c r="CTN16" s="223"/>
      <c r="CTO16" s="224"/>
      <c r="CTP16" s="225"/>
      <c r="CTQ16" s="226"/>
      <c r="CTR16" s="224"/>
      <c r="CTS16" s="225"/>
      <c r="CTT16" s="225"/>
      <c r="CTU16" s="227"/>
      <c r="CTV16" s="228"/>
      <c r="CTW16" s="228"/>
      <c r="CTX16" s="229"/>
      <c r="CTY16" s="216"/>
      <c r="CTZ16" s="219"/>
      <c r="CUA16" s="220"/>
      <c r="CUB16" s="217"/>
      <c r="CUC16" s="217"/>
      <c r="CUD16" s="217"/>
      <c r="CUE16" s="217"/>
      <c r="CUF16" s="217"/>
      <c r="CUG16" s="221"/>
      <c r="CUH16" s="222"/>
      <c r="CUI16" s="220"/>
      <c r="CUJ16" s="220"/>
      <c r="CUK16" s="220"/>
      <c r="CUL16" s="220"/>
      <c r="CUM16" s="223"/>
      <c r="CUN16" s="223"/>
      <c r="CUO16" s="223"/>
      <c r="CUP16" s="223"/>
      <c r="CUQ16" s="223"/>
      <c r="CUR16" s="223"/>
      <c r="CUS16" s="223"/>
      <c r="CUT16" s="223"/>
      <c r="CUU16" s="223"/>
      <c r="CUV16" s="224"/>
      <c r="CUW16" s="225"/>
      <c r="CUX16" s="226"/>
      <c r="CUY16" s="224"/>
      <c r="CUZ16" s="225"/>
      <c r="CVA16" s="225"/>
      <c r="CVB16" s="227"/>
      <c r="CVC16" s="228"/>
      <c r="CVD16" s="228"/>
      <c r="CVE16" s="229"/>
      <c r="CVF16" s="216"/>
      <c r="CVG16" s="219"/>
      <c r="CVH16" s="220"/>
      <c r="CVI16" s="217"/>
      <c r="CVJ16" s="217"/>
      <c r="CVK16" s="217"/>
      <c r="CVL16" s="217"/>
      <c r="CVM16" s="217"/>
      <c r="CVN16" s="221"/>
      <c r="CVO16" s="222"/>
      <c r="CVP16" s="220"/>
      <c r="CVQ16" s="220"/>
      <c r="CVR16" s="220"/>
      <c r="CVS16" s="220"/>
      <c r="CVT16" s="223"/>
      <c r="CVU16" s="223"/>
      <c r="CVV16" s="223"/>
      <c r="CVW16" s="223"/>
      <c r="CVX16" s="223"/>
      <c r="CVY16" s="223"/>
      <c r="CVZ16" s="223"/>
      <c r="CWA16" s="223"/>
      <c r="CWB16" s="223"/>
      <c r="CWC16" s="224"/>
      <c r="CWD16" s="225"/>
      <c r="CWE16" s="226"/>
      <c r="CWF16" s="224"/>
      <c r="CWG16" s="225"/>
      <c r="CWH16" s="225"/>
      <c r="CWI16" s="227"/>
      <c r="CWJ16" s="228"/>
      <c r="CWK16" s="228"/>
      <c r="CWL16" s="229"/>
      <c r="CWM16" s="216"/>
      <c r="CWN16" s="219"/>
      <c r="CWO16" s="220"/>
      <c r="CWP16" s="217"/>
      <c r="CWQ16" s="217"/>
      <c r="CWR16" s="217"/>
      <c r="CWS16" s="217"/>
      <c r="CWT16" s="217"/>
      <c r="CWU16" s="221"/>
      <c r="CWV16" s="222"/>
      <c r="CWW16" s="220"/>
      <c r="CWX16" s="220"/>
      <c r="CWY16" s="220"/>
      <c r="CWZ16" s="220"/>
      <c r="CXA16" s="223"/>
      <c r="CXB16" s="223"/>
      <c r="CXC16" s="223"/>
      <c r="CXD16" s="223"/>
      <c r="CXE16" s="223"/>
      <c r="CXF16" s="223"/>
      <c r="CXG16" s="223"/>
      <c r="CXH16" s="223"/>
      <c r="CXI16" s="223"/>
      <c r="CXJ16" s="224"/>
      <c r="CXK16" s="225"/>
      <c r="CXL16" s="226"/>
      <c r="CXM16" s="224"/>
      <c r="CXN16" s="225"/>
      <c r="CXO16" s="225"/>
      <c r="CXP16" s="227"/>
      <c r="CXQ16" s="228"/>
      <c r="CXR16" s="228"/>
      <c r="CXS16" s="229"/>
      <c r="CXT16" s="216"/>
      <c r="CXU16" s="219"/>
      <c r="CXV16" s="220"/>
      <c r="CXW16" s="217"/>
      <c r="CXX16" s="217"/>
      <c r="CXY16" s="217"/>
      <c r="CXZ16" s="217"/>
      <c r="CYA16" s="217"/>
      <c r="CYB16" s="221"/>
      <c r="CYC16" s="222"/>
      <c r="CYD16" s="220"/>
      <c r="CYE16" s="220"/>
      <c r="CYF16" s="220"/>
      <c r="CYG16" s="220"/>
      <c r="CYH16" s="223"/>
      <c r="CYI16" s="223"/>
      <c r="CYJ16" s="223"/>
      <c r="CYK16" s="223"/>
      <c r="CYL16" s="223"/>
      <c r="CYM16" s="223"/>
      <c r="CYN16" s="223"/>
      <c r="CYO16" s="223"/>
      <c r="CYP16" s="223"/>
      <c r="CYQ16" s="224"/>
      <c r="CYR16" s="225"/>
      <c r="CYS16" s="226"/>
      <c r="CYT16" s="224"/>
      <c r="CYU16" s="225"/>
      <c r="CYV16" s="225"/>
      <c r="CYW16" s="227"/>
      <c r="CYX16" s="228"/>
      <c r="CYY16" s="228"/>
      <c r="CYZ16" s="229"/>
      <c r="CZA16" s="216"/>
      <c r="CZB16" s="219"/>
      <c r="CZC16" s="220"/>
      <c r="CZD16" s="217"/>
      <c r="CZE16" s="217"/>
      <c r="CZF16" s="217"/>
      <c r="CZG16" s="217"/>
      <c r="CZH16" s="217"/>
      <c r="CZI16" s="221"/>
      <c r="CZJ16" s="222"/>
      <c r="CZK16" s="220"/>
      <c r="CZL16" s="220"/>
      <c r="CZM16" s="220"/>
      <c r="CZN16" s="220"/>
      <c r="CZO16" s="223"/>
      <c r="CZP16" s="223"/>
      <c r="CZQ16" s="223"/>
      <c r="CZR16" s="223"/>
      <c r="CZS16" s="223"/>
      <c r="CZT16" s="223"/>
      <c r="CZU16" s="223"/>
      <c r="CZV16" s="223"/>
      <c r="CZW16" s="223"/>
      <c r="CZX16" s="224"/>
      <c r="CZY16" s="225"/>
      <c r="CZZ16" s="226"/>
      <c r="DAA16" s="224"/>
      <c r="DAB16" s="225"/>
      <c r="DAC16" s="225"/>
      <c r="DAD16" s="227"/>
      <c r="DAE16" s="228"/>
      <c r="DAF16" s="228"/>
      <c r="DAG16" s="229"/>
      <c r="DAH16" s="216"/>
      <c r="DAI16" s="219"/>
      <c r="DAJ16" s="220"/>
      <c r="DAK16" s="217"/>
      <c r="DAL16" s="217"/>
      <c r="DAM16" s="217"/>
      <c r="DAN16" s="217"/>
      <c r="DAO16" s="217"/>
      <c r="DAP16" s="221"/>
      <c r="DAQ16" s="222"/>
      <c r="DAR16" s="220"/>
      <c r="DAS16" s="220"/>
      <c r="DAT16" s="220"/>
      <c r="DAU16" s="220"/>
      <c r="DAV16" s="223"/>
      <c r="DAW16" s="223"/>
      <c r="DAX16" s="223"/>
      <c r="DAY16" s="223"/>
      <c r="DAZ16" s="223"/>
      <c r="DBA16" s="223"/>
      <c r="DBB16" s="223"/>
      <c r="DBC16" s="223"/>
      <c r="DBD16" s="223"/>
      <c r="DBE16" s="224"/>
      <c r="DBF16" s="225"/>
      <c r="DBG16" s="226"/>
      <c r="DBH16" s="224"/>
      <c r="DBI16" s="225"/>
      <c r="DBJ16" s="225"/>
      <c r="DBK16" s="227"/>
      <c r="DBL16" s="228"/>
      <c r="DBM16" s="228"/>
      <c r="DBN16" s="229"/>
      <c r="DBO16" s="216"/>
      <c r="DBP16" s="219"/>
      <c r="DBQ16" s="220"/>
      <c r="DBR16" s="217"/>
      <c r="DBS16" s="217"/>
      <c r="DBT16" s="217"/>
      <c r="DBU16" s="217"/>
      <c r="DBV16" s="217"/>
      <c r="DBW16" s="221"/>
      <c r="DBX16" s="222"/>
      <c r="DBY16" s="220"/>
      <c r="DBZ16" s="220"/>
      <c r="DCA16" s="220"/>
      <c r="DCB16" s="220"/>
      <c r="DCC16" s="223"/>
      <c r="DCD16" s="223"/>
      <c r="DCE16" s="223"/>
      <c r="DCF16" s="223"/>
      <c r="DCG16" s="223"/>
      <c r="DCH16" s="223"/>
      <c r="DCI16" s="223"/>
      <c r="DCJ16" s="223"/>
      <c r="DCK16" s="223"/>
      <c r="DCL16" s="224"/>
      <c r="DCM16" s="225"/>
      <c r="DCN16" s="226"/>
      <c r="DCO16" s="224"/>
      <c r="DCP16" s="225"/>
      <c r="DCQ16" s="225"/>
      <c r="DCR16" s="227"/>
      <c r="DCS16" s="228"/>
      <c r="DCT16" s="228"/>
      <c r="DCU16" s="229"/>
      <c r="DCV16" s="216"/>
      <c r="DCW16" s="219"/>
      <c r="DCX16" s="220"/>
      <c r="DCY16" s="217"/>
      <c r="DCZ16" s="217"/>
      <c r="DDA16" s="217"/>
      <c r="DDB16" s="217"/>
      <c r="DDC16" s="217"/>
      <c r="DDD16" s="221"/>
      <c r="DDE16" s="222"/>
      <c r="DDF16" s="220"/>
      <c r="DDG16" s="220"/>
      <c r="DDH16" s="220"/>
      <c r="DDI16" s="220"/>
      <c r="DDJ16" s="223"/>
      <c r="DDK16" s="223"/>
      <c r="DDL16" s="223"/>
      <c r="DDM16" s="223"/>
      <c r="DDN16" s="223"/>
      <c r="DDO16" s="223"/>
      <c r="DDP16" s="223"/>
      <c r="DDQ16" s="223"/>
      <c r="DDR16" s="223"/>
      <c r="DDS16" s="224"/>
      <c r="DDT16" s="225"/>
      <c r="DDU16" s="226"/>
      <c r="DDV16" s="224"/>
      <c r="DDW16" s="225"/>
      <c r="DDX16" s="225"/>
      <c r="DDY16" s="227"/>
      <c r="DDZ16" s="228"/>
      <c r="DEA16" s="228"/>
      <c r="DEB16" s="229"/>
      <c r="DEC16" s="216"/>
      <c r="DED16" s="219"/>
      <c r="DEE16" s="220"/>
      <c r="DEF16" s="217"/>
      <c r="DEG16" s="217"/>
      <c r="DEH16" s="217"/>
      <c r="DEI16" s="217"/>
      <c r="DEJ16" s="217"/>
      <c r="DEK16" s="221"/>
      <c r="DEL16" s="222"/>
      <c r="DEM16" s="220"/>
      <c r="DEN16" s="220"/>
      <c r="DEO16" s="220"/>
      <c r="DEP16" s="220"/>
      <c r="DEQ16" s="223"/>
      <c r="DER16" s="223"/>
      <c r="DES16" s="223"/>
      <c r="DET16" s="223"/>
      <c r="DEU16" s="223"/>
      <c r="DEV16" s="223"/>
      <c r="DEW16" s="223"/>
      <c r="DEX16" s="223"/>
      <c r="DEY16" s="223"/>
      <c r="DEZ16" s="224"/>
      <c r="DFA16" s="225"/>
      <c r="DFB16" s="226"/>
      <c r="DFC16" s="224"/>
      <c r="DFD16" s="225"/>
      <c r="DFE16" s="225"/>
      <c r="DFF16" s="227"/>
      <c r="DFG16" s="228"/>
      <c r="DFH16" s="228"/>
      <c r="DFI16" s="229"/>
      <c r="DFJ16" s="216"/>
      <c r="DFK16" s="219"/>
      <c r="DFL16" s="220"/>
      <c r="DFM16" s="217"/>
      <c r="DFN16" s="217"/>
      <c r="DFO16" s="217"/>
      <c r="DFP16" s="217"/>
      <c r="DFQ16" s="217"/>
      <c r="DFR16" s="221"/>
      <c r="DFS16" s="222"/>
      <c r="DFT16" s="220"/>
      <c r="DFU16" s="220"/>
      <c r="DFV16" s="220"/>
      <c r="DFW16" s="220"/>
      <c r="DFX16" s="223"/>
      <c r="DFY16" s="223"/>
      <c r="DFZ16" s="223"/>
      <c r="DGA16" s="223"/>
      <c r="DGB16" s="223"/>
      <c r="DGC16" s="223"/>
      <c r="DGD16" s="223"/>
      <c r="DGE16" s="223"/>
      <c r="DGF16" s="223"/>
      <c r="DGG16" s="224"/>
      <c r="DGH16" s="225"/>
      <c r="DGI16" s="226"/>
      <c r="DGJ16" s="224"/>
      <c r="DGK16" s="225"/>
      <c r="DGL16" s="225"/>
      <c r="DGM16" s="227"/>
      <c r="DGN16" s="228"/>
      <c r="DGO16" s="228"/>
      <c r="DGP16" s="229"/>
      <c r="DGQ16" s="216"/>
      <c r="DGR16" s="219"/>
      <c r="DGS16" s="220"/>
      <c r="DGT16" s="217"/>
      <c r="DGU16" s="217"/>
      <c r="DGV16" s="217"/>
      <c r="DGW16" s="217"/>
      <c r="DGX16" s="217"/>
      <c r="DGY16" s="221"/>
      <c r="DGZ16" s="222"/>
      <c r="DHA16" s="220"/>
      <c r="DHB16" s="220"/>
      <c r="DHC16" s="220"/>
      <c r="DHD16" s="220"/>
      <c r="DHE16" s="223"/>
      <c r="DHF16" s="223"/>
      <c r="DHG16" s="223"/>
      <c r="DHH16" s="223"/>
      <c r="DHI16" s="223"/>
      <c r="DHJ16" s="223"/>
      <c r="DHK16" s="223"/>
      <c r="DHL16" s="223"/>
      <c r="DHM16" s="223"/>
      <c r="DHN16" s="224"/>
      <c r="DHO16" s="225"/>
      <c r="DHP16" s="226"/>
      <c r="DHQ16" s="224"/>
      <c r="DHR16" s="225"/>
      <c r="DHS16" s="225"/>
      <c r="DHT16" s="227"/>
      <c r="DHU16" s="228"/>
      <c r="DHV16" s="228"/>
      <c r="DHW16" s="229"/>
      <c r="DHX16" s="216"/>
      <c r="DHY16" s="219"/>
      <c r="DHZ16" s="220"/>
      <c r="DIA16" s="217"/>
      <c r="DIB16" s="217"/>
      <c r="DIC16" s="217"/>
      <c r="DID16" s="217"/>
      <c r="DIE16" s="217"/>
      <c r="DIF16" s="221"/>
      <c r="DIG16" s="222"/>
      <c r="DIH16" s="220"/>
      <c r="DII16" s="220"/>
      <c r="DIJ16" s="220"/>
      <c r="DIK16" s="220"/>
      <c r="DIL16" s="223"/>
      <c r="DIM16" s="223"/>
      <c r="DIN16" s="223"/>
      <c r="DIO16" s="223"/>
      <c r="DIP16" s="223"/>
      <c r="DIQ16" s="223"/>
      <c r="DIR16" s="223"/>
      <c r="DIS16" s="223"/>
      <c r="DIT16" s="223"/>
      <c r="DIU16" s="224"/>
      <c r="DIV16" s="225"/>
      <c r="DIW16" s="226"/>
      <c r="DIX16" s="224"/>
      <c r="DIY16" s="225"/>
      <c r="DIZ16" s="225"/>
      <c r="DJA16" s="227"/>
      <c r="DJB16" s="228"/>
      <c r="DJC16" s="228"/>
      <c r="DJD16" s="229"/>
      <c r="DJE16" s="216"/>
      <c r="DJF16" s="219"/>
      <c r="DJG16" s="220"/>
      <c r="DJH16" s="217"/>
      <c r="DJI16" s="217"/>
      <c r="DJJ16" s="217"/>
      <c r="DJK16" s="217"/>
      <c r="DJL16" s="217"/>
      <c r="DJM16" s="221"/>
      <c r="DJN16" s="222"/>
      <c r="DJO16" s="220"/>
      <c r="DJP16" s="220"/>
      <c r="DJQ16" s="220"/>
      <c r="DJR16" s="220"/>
      <c r="DJS16" s="223"/>
      <c r="DJT16" s="223"/>
      <c r="DJU16" s="223"/>
      <c r="DJV16" s="223"/>
      <c r="DJW16" s="223"/>
      <c r="DJX16" s="223"/>
      <c r="DJY16" s="223"/>
      <c r="DJZ16" s="223"/>
      <c r="DKA16" s="223"/>
      <c r="DKB16" s="224"/>
      <c r="DKC16" s="225"/>
      <c r="DKD16" s="226"/>
      <c r="DKE16" s="224"/>
      <c r="DKF16" s="225"/>
      <c r="DKG16" s="225"/>
      <c r="DKH16" s="227"/>
      <c r="DKI16" s="228"/>
      <c r="DKJ16" s="228"/>
      <c r="DKK16" s="229"/>
      <c r="DKL16" s="216"/>
      <c r="DKM16" s="219"/>
      <c r="DKN16" s="220"/>
      <c r="DKO16" s="217"/>
      <c r="DKP16" s="217"/>
      <c r="DKQ16" s="217"/>
      <c r="DKR16" s="217"/>
      <c r="DKS16" s="217"/>
      <c r="DKT16" s="221"/>
      <c r="DKU16" s="222"/>
      <c r="DKV16" s="220"/>
      <c r="DKW16" s="220"/>
      <c r="DKX16" s="220"/>
      <c r="DKY16" s="220"/>
      <c r="DKZ16" s="223"/>
      <c r="DLA16" s="223"/>
      <c r="DLB16" s="223"/>
      <c r="DLC16" s="223"/>
      <c r="DLD16" s="223"/>
      <c r="DLE16" s="223"/>
      <c r="DLF16" s="223"/>
      <c r="DLG16" s="223"/>
      <c r="DLH16" s="223"/>
      <c r="DLI16" s="224"/>
      <c r="DLJ16" s="225"/>
      <c r="DLK16" s="226"/>
      <c r="DLL16" s="224"/>
      <c r="DLM16" s="225"/>
      <c r="DLN16" s="225"/>
      <c r="DLO16" s="227"/>
      <c r="DLP16" s="228"/>
      <c r="DLQ16" s="228"/>
      <c r="DLR16" s="229"/>
      <c r="DLS16" s="216"/>
      <c r="DLT16" s="219"/>
      <c r="DLU16" s="220"/>
      <c r="DLV16" s="217"/>
      <c r="DLW16" s="217"/>
      <c r="DLX16" s="217"/>
      <c r="DLY16" s="217"/>
      <c r="DLZ16" s="217"/>
      <c r="DMA16" s="221"/>
      <c r="DMB16" s="222"/>
      <c r="DMC16" s="220"/>
      <c r="DMD16" s="220"/>
      <c r="DME16" s="220"/>
      <c r="DMF16" s="220"/>
      <c r="DMG16" s="223"/>
      <c r="DMH16" s="223"/>
      <c r="DMI16" s="223"/>
      <c r="DMJ16" s="223"/>
      <c r="DMK16" s="223"/>
      <c r="DML16" s="223"/>
      <c r="DMM16" s="223"/>
      <c r="DMN16" s="223"/>
      <c r="DMO16" s="223"/>
      <c r="DMP16" s="224"/>
      <c r="DMQ16" s="225"/>
      <c r="DMR16" s="226"/>
      <c r="DMS16" s="224"/>
      <c r="DMT16" s="225"/>
      <c r="DMU16" s="225"/>
      <c r="DMV16" s="227"/>
      <c r="DMW16" s="228"/>
      <c r="DMX16" s="228"/>
      <c r="DMY16" s="229"/>
      <c r="DMZ16" s="216"/>
      <c r="DNA16" s="219"/>
      <c r="DNB16" s="220"/>
      <c r="DNC16" s="217"/>
      <c r="DND16" s="217"/>
      <c r="DNE16" s="217"/>
      <c r="DNF16" s="217"/>
      <c r="DNG16" s="217"/>
      <c r="DNH16" s="221"/>
      <c r="DNI16" s="222"/>
      <c r="DNJ16" s="220"/>
      <c r="DNK16" s="220"/>
      <c r="DNL16" s="220"/>
      <c r="DNM16" s="220"/>
      <c r="DNN16" s="223"/>
      <c r="DNO16" s="223"/>
      <c r="DNP16" s="223"/>
      <c r="DNQ16" s="223"/>
      <c r="DNR16" s="223"/>
      <c r="DNS16" s="223"/>
      <c r="DNT16" s="223"/>
      <c r="DNU16" s="223"/>
      <c r="DNV16" s="223"/>
      <c r="DNW16" s="224"/>
      <c r="DNX16" s="225"/>
      <c r="DNY16" s="226"/>
      <c r="DNZ16" s="224"/>
      <c r="DOA16" s="225"/>
      <c r="DOB16" s="225"/>
      <c r="DOC16" s="227"/>
      <c r="DOD16" s="228"/>
      <c r="DOE16" s="228"/>
      <c r="DOF16" s="229"/>
      <c r="DOG16" s="216"/>
      <c r="DOH16" s="219"/>
      <c r="DOI16" s="220"/>
      <c r="DOJ16" s="217"/>
      <c r="DOK16" s="217"/>
      <c r="DOL16" s="217"/>
      <c r="DOM16" s="217"/>
      <c r="DON16" s="217"/>
      <c r="DOO16" s="221"/>
      <c r="DOP16" s="222"/>
      <c r="DOQ16" s="220"/>
      <c r="DOR16" s="220"/>
      <c r="DOS16" s="220"/>
      <c r="DOT16" s="220"/>
      <c r="DOU16" s="223"/>
      <c r="DOV16" s="223"/>
      <c r="DOW16" s="223"/>
      <c r="DOX16" s="223"/>
      <c r="DOY16" s="223"/>
      <c r="DOZ16" s="223"/>
      <c r="DPA16" s="223"/>
      <c r="DPB16" s="223"/>
      <c r="DPC16" s="223"/>
      <c r="DPD16" s="224"/>
      <c r="DPE16" s="225"/>
      <c r="DPF16" s="226"/>
      <c r="DPG16" s="224"/>
      <c r="DPH16" s="225"/>
      <c r="DPI16" s="225"/>
      <c r="DPJ16" s="227"/>
      <c r="DPK16" s="228"/>
      <c r="DPL16" s="228"/>
      <c r="DPM16" s="229"/>
      <c r="DPN16" s="216"/>
      <c r="DPO16" s="219"/>
      <c r="DPP16" s="220"/>
      <c r="DPQ16" s="217"/>
      <c r="DPR16" s="217"/>
      <c r="DPS16" s="217"/>
      <c r="DPT16" s="217"/>
      <c r="DPU16" s="217"/>
      <c r="DPV16" s="221"/>
      <c r="DPW16" s="222"/>
      <c r="DPX16" s="220"/>
      <c r="DPY16" s="220"/>
      <c r="DPZ16" s="220"/>
      <c r="DQA16" s="220"/>
      <c r="DQB16" s="223"/>
      <c r="DQC16" s="223"/>
      <c r="DQD16" s="223"/>
      <c r="DQE16" s="223"/>
      <c r="DQF16" s="223"/>
      <c r="DQG16" s="223"/>
      <c r="DQH16" s="223"/>
      <c r="DQI16" s="223"/>
      <c r="DQJ16" s="223"/>
      <c r="DQK16" s="224"/>
      <c r="DQL16" s="225"/>
      <c r="DQM16" s="226"/>
      <c r="DQN16" s="224"/>
      <c r="DQO16" s="225"/>
      <c r="DQP16" s="225"/>
      <c r="DQQ16" s="227"/>
      <c r="DQR16" s="228"/>
      <c r="DQS16" s="228"/>
      <c r="DQT16" s="229"/>
      <c r="DQU16" s="216"/>
      <c r="DQV16" s="219"/>
      <c r="DQW16" s="220"/>
      <c r="DQX16" s="217"/>
      <c r="DQY16" s="217"/>
      <c r="DQZ16" s="217"/>
      <c r="DRA16" s="217"/>
      <c r="DRB16" s="217"/>
      <c r="DRC16" s="221"/>
      <c r="DRD16" s="222"/>
      <c r="DRE16" s="220"/>
      <c r="DRF16" s="220"/>
      <c r="DRG16" s="220"/>
      <c r="DRH16" s="220"/>
      <c r="DRI16" s="223"/>
      <c r="DRJ16" s="223"/>
      <c r="DRK16" s="223"/>
      <c r="DRL16" s="223"/>
      <c r="DRM16" s="223"/>
      <c r="DRN16" s="223"/>
      <c r="DRO16" s="223"/>
      <c r="DRP16" s="223"/>
      <c r="DRQ16" s="223"/>
      <c r="DRR16" s="224"/>
      <c r="DRS16" s="225"/>
      <c r="DRT16" s="226"/>
      <c r="DRU16" s="224"/>
      <c r="DRV16" s="225"/>
      <c r="DRW16" s="225"/>
      <c r="DRX16" s="227"/>
      <c r="DRY16" s="228"/>
      <c r="DRZ16" s="228"/>
      <c r="DSA16" s="229"/>
      <c r="DSB16" s="216"/>
      <c r="DSC16" s="219"/>
      <c r="DSD16" s="220"/>
      <c r="DSE16" s="217"/>
      <c r="DSF16" s="217"/>
      <c r="DSG16" s="217"/>
      <c r="DSH16" s="217"/>
      <c r="DSI16" s="217"/>
      <c r="DSJ16" s="221"/>
      <c r="DSK16" s="222"/>
      <c r="DSL16" s="220"/>
      <c r="DSM16" s="220"/>
      <c r="DSN16" s="220"/>
      <c r="DSO16" s="220"/>
      <c r="DSP16" s="223"/>
      <c r="DSQ16" s="223"/>
      <c r="DSR16" s="223"/>
      <c r="DSS16" s="223"/>
      <c r="DST16" s="223"/>
      <c r="DSU16" s="223"/>
      <c r="DSV16" s="223"/>
      <c r="DSW16" s="223"/>
      <c r="DSX16" s="223"/>
      <c r="DSY16" s="224"/>
      <c r="DSZ16" s="225"/>
      <c r="DTA16" s="226"/>
      <c r="DTB16" s="224"/>
      <c r="DTC16" s="225"/>
      <c r="DTD16" s="225"/>
      <c r="DTE16" s="227"/>
      <c r="DTF16" s="228"/>
      <c r="DTG16" s="228"/>
      <c r="DTH16" s="229"/>
      <c r="DTI16" s="216"/>
      <c r="DTJ16" s="219"/>
      <c r="DTK16" s="220"/>
      <c r="DTL16" s="217"/>
      <c r="DTM16" s="217"/>
      <c r="DTN16" s="217"/>
      <c r="DTO16" s="217"/>
      <c r="DTP16" s="217"/>
      <c r="DTQ16" s="221"/>
      <c r="DTR16" s="222"/>
      <c r="DTS16" s="220"/>
      <c r="DTT16" s="220"/>
      <c r="DTU16" s="220"/>
      <c r="DTV16" s="220"/>
      <c r="DTW16" s="223"/>
      <c r="DTX16" s="223"/>
      <c r="DTY16" s="223"/>
      <c r="DTZ16" s="223"/>
      <c r="DUA16" s="223"/>
      <c r="DUB16" s="223"/>
      <c r="DUC16" s="223"/>
      <c r="DUD16" s="223"/>
      <c r="DUE16" s="223"/>
      <c r="DUF16" s="224"/>
      <c r="DUG16" s="225"/>
      <c r="DUH16" s="226"/>
      <c r="DUI16" s="224"/>
      <c r="DUJ16" s="225"/>
      <c r="DUK16" s="225"/>
      <c r="DUL16" s="227"/>
      <c r="DUM16" s="228"/>
      <c r="DUN16" s="228"/>
      <c r="DUO16" s="229"/>
      <c r="DUP16" s="216"/>
      <c r="DUQ16" s="219"/>
      <c r="DUR16" s="220"/>
      <c r="DUS16" s="217"/>
      <c r="DUT16" s="217"/>
      <c r="DUU16" s="217"/>
      <c r="DUV16" s="217"/>
      <c r="DUW16" s="217"/>
      <c r="DUX16" s="221"/>
      <c r="DUY16" s="222"/>
      <c r="DUZ16" s="220"/>
      <c r="DVA16" s="220"/>
      <c r="DVB16" s="220"/>
      <c r="DVC16" s="220"/>
      <c r="DVD16" s="223"/>
      <c r="DVE16" s="223"/>
      <c r="DVF16" s="223"/>
      <c r="DVG16" s="223"/>
      <c r="DVH16" s="223"/>
      <c r="DVI16" s="223"/>
      <c r="DVJ16" s="223"/>
      <c r="DVK16" s="223"/>
      <c r="DVL16" s="223"/>
      <c r="DVM16" s="224"/>
      <c r="DVN16" s="225"/>
      <c r="DVO16" s="226"/>
      <c r="DVP16" s="224"/>
      <c r="DVQ16" s="225"/>
      <c r="DVR16" s="225"/>
      <c r="DVS16" s="227"/>
      <c r="DVT16" s="228"/>
      <c r="DVU16" s="228"/>
      <c r="DVV16" s="229"/>
      <c r="DVW16" s="216"/>
      <c r="DVX16" s="219"/>
      <c r="DVY16" s="220"/>
      <c r="DVZ16" s="217"/>
      <c r="DWA16" s="217"/>
      <c r="DWB16" s="217"/>
      <c r="DWC16" s="217"/>
      <c r="DWD16" s="217"/>
      <c r="DWE16" s="221"/>
      <c r="DWF16" s="222"/>
      <c r="DWG16" s="220"/>
      <c r="DWH16" s="220"/>
      <c r="DWI16" s="220"/>
      <c r="DWJ16" s="220"/>
      <c r="DWK16" s="223"/>
      <c r="DWL16" s="223"/>
      <c r="DWM16" s="223"/>
      <c r="DWN16" s="223"/>
      <c r="DWO16" s="223"/>
      <c r="DWP16" s="223"/>
      <c r="DWQ16" s="223"/>
      <c r="DWR16" s="223"/>
      <c r="DWS16" s="223"/>
      <c r="DWT16" s="224"/>
      <c r="DWU16" s="225"/>
      <c r="DWV16" s="226"/>
      <c r="DWW16" s="224"/>
      <c r="DWX16" s="225"/>
      <c r="DWY16" s="225"/>
      <c r="DWZ16" s="227"/>
      <c r="DXA16" s="228"/>
      <c r="DXB16" s="228"/>
      <c r="DXC16" s="229"/>
      <c r="DXD16" s="216"/>
      <c r="DXE16" s="219"/>
      <c r="DXF16" s="220"/>
      <c r="DXG16" s="217"/>
      <c r="DXH16" s="217"/>
      <c r="DXI16" s="217"/>
      <c r="DXJ16" s="217"/>
      <c r="DXK16" s="217"/>
      <c r="DXL16" s="221"/>
      <c r="DXM16" s="222"/>
      <c r="DXN16" s="220"/>
      <c r="DXO16" s="220"/>
      <c r="DXP16" s="220"/>
      <c r="DXQ16" s="220"/>
      <c r="DXR16" s="223"/>
      <c r="DXS16" s="223"/>
      <c r="DXT16" s="223"/>
      <c r="DXU16" s="223"/>
      <c r="DXV16" s="223"/>
      <c r="DXW16" s="223"/>
      <c r="DXX16" s="223"/>
      <c r="DXY16" s="223"/>
      <c r="DXZ16" s="223"/>
      <c r="DYA16" s="224"/>
      <c r="DYB16" s="225"/>
      <c r="DYC16" s="226"/>
      <c r="DYD16" s="224"/>
      <c r="DYE16" s="225"/>
      <c r="DYF16" s="225"/>
      <c r="DYG16" s="227"/>
      <c r="DYH16" s="228"/>
      <c r="DYI16" s="228"/>
      <c r="DYJ16" s="229"/>
      <c r="DYK16" s="216"/>
      <c r="DYL16" s="219"/>
      <c r="DYM16" s="220"/>
      <c r="DYN16" s="217"/>
      <c r="DYO16" s="217"/>
      <c r="DYP16" s="217"/>
      <c r="DYQ16" s="217"/>
      <c r="DYR16" s="217"/>
      <c r="DYS16" s="221"/>
      <c r="DYT16" s="222"/>
      <c r="DYU16" s="220"/>
      <c r="DYV16" s="220"/>
      <c r="DYW16" s="220"/>
      <c r="DYX16" s="220"/>
      <c r="DYY16" s="223"/>
      <c r="DYZ16" s="223"/>
      <c r="DZA16" s="223"/>
      <c r="DZB16" s="223"/>
      <c r="DZC16" s="223"/>
      <c r="DZD16" s="223"/>
      <c r="DZE16" s="223"/>
      <c r="DZF16" s="223"/>
      <c r="DZG16" s="223"/>
      <c r="DZH16" s="224"/>
      <c r="DZI16" s="225"/>
      <c r="DZJ16" s="226"/>
      <c r="DZK16" s="224"/>
      <c r="DZL16" s="225"/>
      <c r="DZM16" s="225"/>
      <c r="DZN16" s="227"/>
      <c r="DZO16" s="228"/>
      <c r="DZP16" s="228"/>
      <c r="DZQ16" s="229"/>
      <c r="DZR16" s="216"/>
      <c r="DZS16" s="219"/>
      <c r="DZT16" s="220"/>
      <c r="DZU16" s="217"/>
      <c r="DZV16" s="217"/>
      <c r="DZW16" s="217"/>
      <c r="DZX16" s="217"/>
      <c r="DZY16" s="217"/>
      <c r="DZZ16" s="221"/>
      <c r="EAA16" s="222"/>
      <c r="EAB16" s="220"/>
      <c r="EAC16" s="220"/>
      <c r="EAD16" s="220"/>
      <c r="EAE16" s="220"/>
      <c r="EAF16" s="223"/>
      <c r="EAG16" s="223"/>
      <c r="EAH16" s="223"/>
      <c r="EAI16" s="223"/>
      <c r="EAJ16" s="223"/>
      <c r="EAK16" s="223"/>
      <c r="EAL16" s="223"/>
      <c r="EAM16" s="223"/>
      <c r="EAN16" s="223"/>
      <c r="EAO16" s="224"/>
      <c r="EAP16" s="225"/>
      <c r="EAQ16" s="226"/>
      <c r="EAR16" s="224"/>
      <c r="EAS16" s="225"/>
      <c r="EAT16" s="225"/>
      <c r="EAU16" s="227"/>
      <c r="EAV16" s="228"/>
      <c r="EAW16" s="228"/>
      <c r="EAX16" s="229"/>
      <c r="EAY16" s="216"/>
      <c r="EAZ16" s="219"/>
      <c r="EBA16" s="220"/>
      <c r="EBB16" s="217"/>
      <c r="EBC16" s="217"/>
      <c r="EBD16" s="217"/>
      <c r="EBE16" s="217"/>
      <c r="EBF16" s="217"/>
      <c r="EBG16" s="221"/>
      <c r="EBH16" s="222"/>
      <c r="EBI16" s="220"/>
      <c r="EBJ16" s="220"/>
      <c r="EBK16" s="220"/>
      <c r="EBL16" s="220"/>
      <c r="EBM16" s="223"/>
      <c r="EBN16" s="223"/>
      <c r="EBO16" s="223"/>
      <c r="EBP16" s="223"/>
      <c r="EBQ16" s="223"/>
      <c r="EBR16" s="223"/>
      <c r="EBS16" s="223"/>
      <c r="EBT16" s="223"/>
      <c r="EBU16" s="223"/>
      <c r="EBV16" s="224"/>
      <c r="EBW16" s="225"/>
      <c r="EBX16" s="226"/>
      <c r="EBY16" s="224"/>
      <c r="EBZ16" s="225"/>
      <c r="ECA16" s="225"/>
      <c r="ECB16" s="227"/>
      <c r="ECC16" s="228"/>
      <c r="ECD16" s="228"/>
      <c r="ECE16" s="229"/>
      <c r="ECF16" s="216"/>
      <c r="ECG16" s="219"/>
      <c r="ECH16" s="220"/>
      <c r="ECI16" s="217"/>
      <c r="ECJ16" s="217"/>
      <c r="ECK16" s="217"/>
      <c r="ECL16" s="217"/>
      <c r="ECM16" s="217"/>
      <c r="ECN16" s="221"/>
      <c r="ECO16" s="222"/>
      <c r="ECP16" s="220"/>
      <c r="ECQ16" s="220"/>
      <c r="ECR16" s="220"/>
      <c r="ECS16" s="220"/>
      <c r="ECT16" s="223"/>
      <c r="ECU16" s="223"/>
      <c r="ECV16" s="223"/>
      <c r="ECW16" s="223"/>
      <c r="ECX16" s="223"/>
      <c r="ECY16" s="223"/>
      <c r="ECZ16" s="223"/>
      <c r="EDA16" s="223"/>
      <c r="EDB16" s="223"/>
      <c r="EDC16" s="224"/>
      <c r="EDD16" s="225"/>
      <c r="EDE16" s="226"/>
      <c r="EDF16" s="224"/>
      <c r="EDG16" s="225"/>
      <c r="EDH16" s="225"/>
      <c r="EDI16" s="227"/>
      <c r="EDJ16" s="228"/>
      <c r="EDK16" s="228"/>
      <c r="EDL16" s="229"/>
      <c r="EDM16" s="216"/>
      <c r="EDN16" s="219"/>
      <c r="EDO16" s="220"/>
      <c r="EDP16" s="217"/>
      <c r="EDQ16" s="217"/>
      <c r="EDR16" s="217"/>
      <c r="EDS16" s="217"/>
      <c r="EDT16" s="217"/>
      <c r="EDU16" s="221"/>
      <c r="EDV16" s="222"/>
      <c r="EDW16" s="220"/>
      <c r="EDX16" s="220"/>
      <c r="EDY16" s="220"/>
      <c r="EDZ16" s="220"/>
      <c r="EEA16" s="223"/>
      <c r="EEB16" s="223"/>
      <c r="EEC16" s="223"/>
      <c r="EED16" s="223"/>
      <c r="EEE16" s="223"/>
      <c r="EEF16" s="223"/>
      <c r="EEG16" s="223"/>
      <c r="EEH16" s="223"/>
      <c r="EEI16" s="223"/>
      <c r="EEJ16" s="224"/>
      <c r="EEK16" s="225"/>
      <c r="EEL16" s="226"/>
      <c r="EEM16" s="224"/>
      <c r="EEN16" s="225"/>
      <c r="EEO16" s="225"/>
      <c r="EEP16" s="227"/>
      <c r="EEQ16" s="228"/>
      <c r="EER16" s="228"/>
      <c r="EES16" s="229"/>
      <c r="EET16" s="216"/>
      <c r="EEU16" s="219"/>
      <c r="EEV16" s="220"/>
      <c r="EEW16" s="217"/>
      <c r="EEX16" s="217"/>
      <c r="EEY16" s="217"/>
      <c r="EEZ16" s="217"/>
      <c r="EFA16" s="217"/>
      <c r="EFB16" s="221"/>
      <c r="EFC16" s="222"/>
      <c r="EFD16" s="220"/>
      <c r="EFE16" s="220"/>
      <c r="EFF16" s="220"/>
      <c r="EFG16" s="220"/>
      <c r="EFH16" s="223"/>
      <c r="EFI16" s="223"/>
      <c r="EFJ16" s="223"/>
      <c r="EFK16" s="223"/>
      <c r="EFL16" s="223"/>
      <c r="EFM16" s="223"/>
      <c r="EFN16" s="223"/>
      <c r="EFO16" s="223"/>
      <c r="EFP16" s="223"/>
      <c r="EFQ16" s="224"/>
      <c r="EFR16" s="225"/>
      <c r="EFS16" s="226"/>
      <c r="EFT16" s="224"/>
      <c r="EFU16" s="225"/>
      <c r="EFV16" s="225"/>
      <c r="EFW16" s="227"/>
      <c r="EFX16" s="228"/>
      <c r="EFY16" s="228"/>
      <c r="EFZ16" s="229"/>
      <c r="EGA16" s="216"/>
      <c r="EGB16" s="219"/>
      <c r="EGC16" s="220"/>
      <c r="EGD16" s="217"/>
      <c r="EGE16" s="217"/>
      <c r="EGF16" s="217"/>
      <c r="EGG16" s="217"/>
      <c r="EGH16" s="217"/>
      <c r="EGI16" s="221"/>
      <c r="EGJ16" s="222"/>
      <c r="EGK16" s="220"/>
      <c r="EGL16" s="220"/>
      <c r="EGM16" s="220"/>
      <c r="EGN16" s="220"/>
      <c r="EGO16" s="223"/>
      <c r="EGP16" s="223"/>
      <c r="EGQ16" s="223"/>
      <c r="EGR16" s="223"/>
      <c r="EGS16" s="223"/>
      <c r="EGT16" s="223"/>
      <c r="EGU16" s="223"/>
      <c r="EGV16" s="223"/>
      <c r="EGW16" s="223"/>
      <c r="EGX16" s="224"/>
      <c r="EGY16" s="225"/>
      <c r="EGZ16" s="226"/>
      <c r="EHA16" s="224"/>
      <c r="EHB16" s="225"/>
      <c r="EHC16" s="225"/>
      <c r="EHD16" s="227"/>
      <c r="EHE16" s="228"/>
      <c r="EHF16" s="228"/>
      <c r="EHG16" s="229"/>
      <c r="EHH16" s="216"/>
      <c r="EHI16" s="219"/>
      <c r="EHJ16" s="220"/>
      <c r="EHK16" s="217"/>
      <c r="EHL16" s="217"/>
      <c r="EHM16" s="217"/>
      <c r="EHN16" s="217"/>
      <c r="EHO16" s="217"/>
      <c r="EHP16" s="221"/>
      <c r="EHQ16" s="222"/>
      <c r="EHR16" s="220"/>
      <c r="EHS16" s="220"/>
      <c r="EHT16" s="220"/>
      <c r="EHU16" s="220"/>
      <c r="EHV16" s="223"/>
      <c r="EHW16" s="223"/>
      <c r="EHX16" s="223"/>
      <c r="EHY16" s="223"/>
      <c r="EHZ16" s="223"/>
      <c r="EIA16" s="223"/>
      <c r="EIB16" s="223"/>
      <c r="EIC16" s="223"/>
      <c r="EID16" s="223"/>
      <c r="EIE16" s="224"/>
      <c r="EIF16" s="225"/>
      <c r="EIG16" s="226"/>
      <c r="EIH16" s="224"/>
      <c r="EII16" s="225"/>
      <c r="EIJ16" s="225"/>
      <c r="EIK16" s="227"/>
      <c r="EIL16" s="228"/>
      <c r="EIM16" s="228"/>
      <c r="EIN16" s="229"/>
      <c r="EIO16" s="216"/>
      <c r="EIP16" s="219"/>
      <c r="EIQ16" s="220"/>
      <c r="EIR16" s="217"/>
      <c r="EIS16" s="217"/>
      <c r="EIT16" s="217"/>
      <c r="EIU16" s="217"/>
      <c r="EIV16" s="217"/>
      <c r="EIW16" s="221"/>
      <c r="EIX16" s="222"/>
      <c r="EIY16" s="220"/>
      <c r="EIZ16" s="220"/>
      <c r="EJA16" s="220"/>
      <c r="EJB16" s="220"/>
      <c r="EJC16" s="223"/>
      <c r="EJD16" s="223"/>
      <c r="EJE16" s="223"/>
      <c r="EJF16" s="223"/>
      <c r="EJG16" s="223"/>
      <c r="EJH16" s="223"/>
      <c r="EJI16" s="223"/>
      <c r="EJJ16" s="223"/>
      <c r="EJK16" s="223"/>
      <c r="EJL16" s="224"/>
      <c r="EJM16" s="225"/>
      <c r="EJN16" s="226"/>
      <c r="EJO16" s="224"/>
      <c r="EJP16" s="225"/>
      <c r="EJQ16" s="225"/>
      <c r="EJR16" s="227"/>
      <c r="EJS16" s="228"/>
      <c r="EJT16" s="228"/>
      <c r="EJU16" s="229"/>
      <c r="EJV16" s="216"/>
      <c r="EJW16" s="219"/>
      <c r="EJX16" s="220"/>
      <c r="EJY16" s="217"/>
      <c r="EJZ16" s="217"/>
      <c r="EKA16" s="217"/>
      <c r="EKB16" s="217"/>
      <c r="EKC16" s="217"/>
      <c r="EKD16" s="221"/>
      <c r="EKE16" s="222"/>
      <c r="EKF16" s="220"/>
      <c r="EKG16" s="220"/>
      <c r="EKH16" s="220"/>
      <c r="EKI16" s="220"/>
      <c r="EKJ16" s="223"/>
      <c r="EKK16" s="223"/>
      <c r="EKL16" s="223"/>
      <c r="EKM16" s="223"/>
      <c r="EKN16" s="223"/>
      <c r="EKO16" s="223"/>
      <c r="EKP16" s="223"/>
      <c r="EKQ16" s="223"/>
      <c r="EKR16" s="223"/>
      <c r="EKS16" s="224"/>
      <c r="EKT16" s="225"/>
      <c r="EKU16" s="226"/>
      <c r="EKV16" s="224"/>
      <c r="EKW16" s="225"/>
      <c r="EKX16" s="225"/>
      <c r="EKY16" s="227"/>
      <c r="EKZ16" s="228"/>
      <c r="ELA16" s="228"/>
      <c r="ELB16" s="229"/>
      <c r="ELC16" s="216"/>
      <c r="ELD16" s="219"/>
      <c r="ELE16" s="220"/>
      <c r="ELF16" s="217"/>
      <c r="ELG16" s="217"/>
      <c r="ELH16" s="217"/>
      <c r="ELI16" s="217"/>
      <c r="ELJ16" s="217"/>
      <c r="ELK16" s="221"/>
      <c r="ELL16" s="222"/>
      <c r="ELM16" s="220"/>
      <c r="ELN16" s="220"/>
      <c r="ELO16" s="220"/>
      <c r="ELP16" s="220"/>
      <c r="ELQ16" s="223"/>
      <c r="ELR16" s="223"/>
      <c r="ELS16" s="223"/>
      <c r="ELT16" s="223"/>
      <c r="ELU16" s="223"/>
      <c r="ELV16" s="223"/>
      <c r="ELW16" s="223"/>
      <c r="ELX16" s="223"/>
      <c r="ELY16" s="223"/>
      <c r="ELZ16" s="224"/>
      <c r="EMA16" s="225"/>
      <c r="EMB16" s="226"/>
      <c r="EMC16" s="224"/>
      <c r="EMD16" s="225"/>
      <c r="EME16" s="225"/>
      <c r="EMF16" s="227"/>
      <c r="EMG16" s="228"/>
      <c r="EMH16" s="228"/>
      <c r="EMI16" s="229"/>
      <c r="EMJ16" s="216"/>
      <c r="EMK16" s="219"/>
      <c r="EML16" s="220"/>
      <c r="EMM16" s="217"/>
      <c r="EMN16" s="217"/>
      <c r="EMO16" s="217"/>
      <c r="EMP16" s="217"/>
      <c r="EMQ16" s="217"/>
      <c r="EMR16" s="221"/>
      <c r="EMS16" s="222"/>
      <c r="EMT16" s="220"/>
      <c r="EMU16" s="220"/>
      <c r="EMV16" s="220"/>
      <c r="EMW16" s="220"/>
      <c r="EMX16" s="223"/>
      <c r="EMY16" s="223"/>
      <c r="EMZ16" s="223"/>
      <c r="ENA16" s="223"/>
      <c r="ENB16" s="223"/>
      <c r="ENC16" s="223"/>
      <c r="END16" s="223"/>
      <c r="ENE16" s="223"/>
      <c r="ENF16" s="223"/>
      <c r="ENG16" s="224"/>
      <c r="ENH16" s="225"/>
      <c r="ENI16" s="226"/>
      <c r="ENJ16" s="224"/>
      <c r="ENK16" s="225"/>
      <c r="ENL16" s="225"/>
      <c r="ENM16" s="227"/>
      <c r="ENN16" s="228"/>
      <c r="ENO16" s="228"/>
      <c r="ENP16" s="229"/>
      <c r="ENQ16" s="216"/>
      <c r="ENR16" s="219"/>
      <c r="ENS16" s="220"/>
      <c r="ENT16" s="217"/>
      <c r="ENU16" s="217"/>
      <c r="ENV16" s="217"/>
      <c r="ENW16" s="217"/>
      <c r="ENX16" s="217"/>
      <c r="ENY16" s="221"/>
      <c r="ENZ16" s="222"/>
      <c r="EOA16" s="220"/>
      <c r="EOB16" s="220"/>
      <c r="EOC16" s="220"/>
      <c r="EOD16" s="220"/>
      <c r="EOE16" s="223"/>
      <c r="EOF16" s="223"/>
      <c r="EOG16" s="223"/>
      <c r="EOH16" s="223"/>
      <c r="EOI16" s="223"/>
      <c r="EOJ16" s="223"/>
      <c r="EOK16" s="223"/>
      <c r="EOL16" s="223"/>
      <c r="EOM16" s="223"/>
      <c r="EON16" s="224"/>
      <c r="EOO16" s="225"/>
      <c r="EOP16" s="226"/>
      <c r="EOQ16" s="224"/>
      <c r="EOR16" s="225"/>
      <c r="EOS16" s="225"/>
      <c r="EOT16" s="227"/>
      <c r="EOU16" s="228"/>
      <c r="EOV16" s="228"/>
      <c r="EOW16" s="229"/>
      <c r="EOX16" s="216"/>
      <c r="EOY16" s="219"/>
      <c r="EOZ16" s="220"/>
      <c r="EPA16" s="217"/>
      <c r="EPB16" s="217"/>
      <c r="EPC16" s="217"/>
      <c r="EPD16" s="217"/>
      <c r="EPE16" s="217"/>
      <c r="EPF16" s="221"/>
      <c r="EPG16" s="222"/>
      <c r="EPH16" s="220"/>
      <c r="EPI16" s="220"/>
      <c r="EPJ16" s="220"/>
      <c r="EPK16" s="220"/>
      <c r="EPL16" s="223"/>
      <c r="EPM16" s="223"/>
      <c r="EPN16" s="223"/>
      <c r="EPO16" s="223"/>
      <c r="EPP16" s="223"/>
      <c r="EPQ16" s="223"/>
      <c r="EPR16" s="223"/>
      <c r="EPS16" s="223"/>
      <c r="EPT16" s="223"/>
      <c r="EPU16" s="224"/>
      <c r="EPV16" s="225"/>
      <c r="EPW16" s="226"/>
      <c r="EPX16" s="224"/>
      <c r="EPY16" s="225"/>
      <c r="EPZ16" s="225"/>
      <c r="EQA16" s="227"/>
      <c r="EQB16" s="228"/>
      <c r="EQC16" s="228"/>
      <c r="EQD16" s="229"/>
      <c r="EQE16" s="216"/>
      <c r="EQF16" s="219"/>
      <c r="EQG16" s="220"/>
      <c r="EQH16" s="217"/>
      <c r="EQI16" s="217"/>
      <c r="EQJ16" s="217"/>
      <c r="EQK16" s="217"/>
      <c r="EQL16" s="217"/>
      <c r="EQM16" s="221"/>
      <c r="EQN16" s="222"/>
      <c r="EQO16" s="220"/>
      <c r="EQP16" s="220"/>
      <c r="EQQ16" s="220"/>
      <c r="EQR16" s="220"/>
      <c r="EQS16" s="223"/>
      <c r="EQT16" s="223"/>
      <c r="EQU16" s="223"/>
      <c r="EQV16" s="223"/>
      <c r="EQW16" s="223"/>
      <c r="EQX16" s="223"/>
      <c r="EQY16" s="223"/>
      <c r="EQZ16" s="223"/>
      <c r="ERA16" s="223"/>
      <c r="ERB16" s="224"/>
      <c r="ERC16" s="225"/>
      <c r="ERD16" s="226"/>
      <c r="ERE16" s="224"/>
      <c r="ERF16" s="225"/>
      <c r="ERG16" s="225"/>
      <c r="ERH16" s="227"/>
      <c r="ERI16" s="228"/>
      <c r="ERJ16" s="228"/>
      <c r="ERK16" s="229"/>
      <c r="ERL16" s="216"/>
      <c r="ERM16" s="219"/>
      <c r="ERN16" s="220"/>
      <c r="ERO16" s="217"/>
      <c r="ERP16" s="217"/>
      <c r="ERQ16" s="217"/>
      <c r="ERR16" s="217"/>
      <c r="ERS16" s="217"/>
      <c r="ERT16" s="221"/>
      <c r="ERU16" s="222"/>
      <c r="ERV16" s="220"/>
      <c r="ERW16" s="220"/>
      <c r="ERX16" s="220"/>
      <c r="ERY16" s="220"/>
      <c r="ERZ16" s="223"/>
      <c r="ESA16" s="223"/>
      <c r="ESB16" s="223"/>
      <c r="ESC16" s="223"/>
      <c r="ESD16" s="223"/>
      <c r="ESE16" s="223"/>
      <c r="ESF16" s="223"/>
      <c r="ESG16" s="223"/>
      <c r="ESH16" s="223"/>
      <c r="ESI16" s="224"/>
      <c r="ESJ16" s="225"/>
      <c r="ESK16" s="226"/>
      <c r="ESL16" s="224"/>
      <c r="ESM16" s="225"/>
      <c r="ESN16" s="225"/>
      <c r="ESO16" s="227"/>
      <c r="ESP16" s="228"/>
      <c r="ESQ16" s="228"/>
      <c r="ESR16" s="229"/>
      <c r="ESS16" s="216"/>
      <c r="EST16" s="219"/>
      <c r="ESU16" s="220"/>
      <c r="ESV16" s="217"/>
      <c r="ESW16" s="217"/>
      <c r="ESX16" s="217"/>
      <c r="ESY16" s="217"/>
      <c r="ESZ16" s="217"/>
      <c r="ETA16" s="221"/>
      <c r="ETB16" s="222"/>
      <c r="ETC16" s="220"/>
      <c r="ETD16" s="220"/>
      <c r="ETE16" s="220"/>
      <c r="ETF16" s="220"/>
      <c r="ETG16" s="223"/>
      <c r="ETH16" s="223"/>
      <c r="ETI16" s="223"/>
      <c r="ETJ16" s="223"/>
      <c r="ETK16" s="223"/>
      <c r="ETL16" s="223"/>
      <c r="ETM16" s="223"/>
      <c r="ETN16" s="223"/>
      <c r="ETO16" s="223"/>
      <c r="ETP16" s="224"/>
      <c r="ETQ16" s="225"/>
      <c r="ETR16" s="226"/>
      <c r="ETS16" s="224"/>
      <c r="ETT16" s="225"/>
      <c r="ETU16" s="225"/>
      <c r="ETV16" s="227"/>
      <c r="ETW16" s="228"/>
      <c r="ETX16" s="228"/>
      <c r="ETY16" s="229"/>
      <c r="ETZ16" s="216"/>
      <c r="EUA16" s="219"/>
      <c r="EUB16" s="220"/>
      <c r="EUC16" s="217"/>
      <c r="EUD16" s="217"/>
      <c r="EUE16" s="217"/>
      <c r="EUF16" s="217"/>
      <c r="EUG16" s="217"/>
      <c r="EUH16" s="221"/>
      <c r="EUI16" s="222"/>
      <c r="EUJ16" s="220"/>
      <c r="EUK16" s="220"/>
      <c r="EUL16" s="220"/>
      <c r="EUM16" s="220"/>
      <c r="EUN16" s="223"/>
      <c r="EUO16" s="223"/>
      <c r="EUP16" s="223"/>
      <c r="EUQ16" s="223"/>
      <c r="EUR16" s="223"/>
      <c r="EUS16" s="223"/>
      <c r="EUT16" s="223"/>
      <c r="EUU16" s="223"/>
      <c r="EUV16" s="223"/>
      <c r="EUW16" s="224"/>
      <c r="EUX16" s="225"/>
      <c r="EUY16" s="226"/>
      <c r="EUZ16" s="224"/>
      <c r="EVA16" s="225"/>
      <c r="EVB16" s="225"/>
      <c r="EVC16" s="227"/>
      <c r="EVD16" s="228"/>
      <c r="EVE16" s="228"/>
      <c r="EVF16" s="229"/>
      <c r="EVG16" s="216"/>
      <c r="EVH16" s="219"/>
      <c r="EVI16" s="220"/>
      <c r="EVJ16" s="217"/>
      <c r="EVK16" s="217"/>
      <c r="EVL16" s="217"/>
      <c r="EVM16" s="217"/>
      <c r="EVN16" s="217"/>
      <c r="EVO16" s="221"/>
      <c r="EVP16" s="222"/>
      <c r="EVQ16" s="220"/>
      <c r="EVR16" s="220"/>
      <c r="EVS16" s="220"/>
      <c r="EVT16" s="220"/>
      <c r="EVU16" s="223"/>
      <c r="EVV16" s="223"/>
      <c r="EVW16" s="223"/>
      <c r="EVX16" s="223"/>
      <c r="EVY16" s="223"/>
      <c r="EVZ16" s="223"/>
      <c r="EWA16" s="223"/>
      <c r="EWB16" s="223"/>
      <c r="EWC16" s="223"/>
      <c r="EWD16" s="224"/>
      <c r="EWE16" s="225"/>
      <c r="EWF16" s="226"/>
      <c r="EWG16" s="224"/>
      <c r="EWH16" s="225"/>
      <c r="EWI16" s="225"/>
      <c r="EWJ16" s="227"/>
      <c r="EWK16" s="228"/>
      <c r="EWL16" s="228"/>
      <c r="EWM16" s="229"/>
      <c r="EWN16" s="216"/>
      <c r="EWO16" s="219"/>
      <c r="EWP16" s="220"/>
      <c r="EWQ16" s="217"/>
      <c r="EWR16" s="217"/>
      <c r="EWS16" s="217"/>
      <c r="EWT16" s="217"/>
      <c r="EWU16" s="217"/>
      <c r="EWV16" s="221"/>
      <c r="EWW16" s="222"/>
      <c r="EWX16" s="220"/>
      <c r="EWY16" s="220"/>
      <c r="EWZ16" s="220"/>
      <c r="EXA16" s="220"/>
      <c r="EXB16" s="223"/>
      <c r="EXC16" s="223"/>
      <c r="EXD16" s="223"/>
      <c r="EXE16" s="223"/>
      <c r="EXF16" s="223"/>
      <c r="EXG16" s="223"/>
      <c r="EXH16" s="223"/>
      <c r="EXI16" s="223"/>
      <c r="EXJ16" s="223"/>
      <c r="EXK16" s="224"/>
      <c r="EXL16" s="225"/>
      <c r="EXM16" s="226"/>
      <c r="EXN16" s="224"/>
      <c r="EXO16" s="225"/>
      <c r="EXP16" s="225"/>
      <c r="EXQ16" s="227"/>
      <c r="EXR16" s="228"/>
      <c r="EXS16" s="228"/>
      <c r="EXT16" s="229"/>
      <c r="EXU16" s="216"/>
      <c r="EXV16" s="219"/>
      <c r="EXW16" s="220"/>
      <c r="EXX16" s="217"/>
      <c r="EXY16" s="217"/>
      <c r="EXZ16" s="217"/>
      <c r="EYA16" s="217"/>
      <c r="EYB16" s="217"/>
      <c r="EYC16" s="221"/>
      <c r="EYD16" s="222"/>
      <c r="EYE16" s="220"/>
      <c r="EYF16" s="220"/>
      <c r="EYG16" s="220"/>
      <c r="EYH16" s="220"/>
      <c r="EYI16" s="223"/>
      <c r="EYJ16" s="223"/>
      <c r="EYK16" s="223"/>
      <c r="EYL16" s="223"/>
      <c r="EYM16" s="223"/>
      <c r="EYN16" s="223"/>
      <c r="EYO16" s="223"/>
      <c r="EYP16" s="223"/>
      <c r="EYQ16" s="223"/>
      <c r="EYR16" s="224"/>
      <c r="EYS16" s="225"/>
      <c r="EYT16" s="226"/>
      <c r="EYU16" s="224"/>
      <c r="EYV16" s="225"/>
      <c r="EYW16" s="225"/>
      <c r="EYX16" s="227"/>
      <c r="EYY16" s="228"/>
      <c r="EYZ16" s="228"/>
      <c r="EZA16" s="229"/>
      <c r="EZB16" s="216"/>
      <c r="EZC16" s="219"/>
      <c r="EZD16" s="220"/>
      <c r="EZE16" s="217"/>
      <c r="EZF16" s="217"/>
      <c r="EZG16" s="217"/>
      <c r="EZH16" s="217"/>
      <c r="EZI16" s="217"/>
      <c r="EZJ16" s="221"/>
      <c r="EZK16" s="222"/>
      <c r="EZL16" s="220"/>
      <c r="EZM16" s="220"/>
      <c r="EZN16" s="220"/>
      <c r="EZO16" s="220"/>
      <c r="EZP16" s="223"/>
      <c r="EZQ16" s="223"/>
      <c r="EZR16" s="223"/>
      <c r="EZS16" s="223"/>
      <c r="EZT16" s="223"/>
      <c r="EZU16" s="223"/>
      <c r="EZV16" s="223"/>
      <c r="EZW16" s="223"/>
      <c r="EZX16" s="223"/>
      <c r="EZY16" s="224"/>
      <c r="EZZ16" s="225"/>
      <c r="FAA16" s="226"/>
      <c r="FAB16" s="224"/>
      <c r="FAC16" s="225"/>
      <c r="FAD16" s="225"/>
      <c r="FAE16" s="227"/>
      <c r="FAF16" s="228"/>
      <c r="FAG16" s="228"/>
      <c r="FAH16" s="229"/>
      <c r="FAI16" s="216"/>
      <c r="FAJ16" s="219"/>
      <c r="FAK16" s="220"/>
      <c r="FAL16" s="217"/>
      <c r="FAM16" s="217"/>
      <c r="FAN16" s="217"/>
      <c r="FAO16" s="217"/>
      <c r="FAP16" s="217"/>
      <c r="FAQ16" s="221"/>
      <c r="FAR16" s="222"/>
      <c r="FAS16" s="220"/>
      <c r="FAT16" s="220"/>
      <c r="FAU16" s="220"/>
      <c r="FAV16" s="220"/>
      <c r="FAW16" s="223"/>
      <c r="FAX16" s="223"/>
      <c r="FAY16" s="223"/>
      <c r="FAZ16" s="223"/>
      <c r="FBA16" s="223"/>
      <c r="FBB16" s="223"/>
      <c r="FBC16" s="223"/>
      <c r="FBD16" s="223"/>
      <c r="FBE16" s="223"/>
      <c r="FBF16" s="224"/>
      <c r="FBG16" s="225"/>
      <c r="FBH16" s="226"/>
      <c r="FBI16" s="224"/>
      <c r="FBJ16" s="225"/>
      <c r="FBK16" s="225"/>
      <c r="FBL16" s="227"/>
      <c r="FBM16" s="228"/>
      <c r="FBN16" s="228"/>
      <c r="FBO16" s="229"/>
      <c r="FBP16" s="216"/>
      <c r="FBQ16" s="219"/>
      <c r="FBR16" s="220"/>
      <c r="FBS16" s="217"/>
      <c r="FBT16" s="217"/>
      <c r="FBU16" s="217"/>
      <c r="FBV16" s="217"/>
      <c r="FBW16" s="217"/>
      <c r="FBX16" s="221"/>
      <c r="FBY16" s="222"/>
      <c r="FBZ16" s="220"/>
      <c r="FCA16" s="220"/>
      <c r="FCB16" s="220"/>
      <c r="FCC16" s="220"/>
      <c r="FCD16" s="223"/>
      <c r="FCE16" s="223"/>
      <c r="FCF16" s="223"/>
      <c r="FCG16" s="223"/>
      <c r="FCH16" s="223"/>
      <c r="FCI16" s="223"/>
      <c r="FCJ16" s="223"/>
      <c r="FCK16" s="223"/>
      <c r="FCL16" s="223"/>
      <c r="FCM16" s="224"/>
      <c r="FCN16" s="225"/>
      <c r="FCO16" s="226"/>
      <c r="FCP16" s="224"/>
      <c r="FCQ16" s="225"/>
      <c r="FCR16" s="225"/>
      <c r="FCS16" s="227"/>
      <c r="FCT16" s="228"/>
      <c r="FCU16" s="228"/>
      <c r="FCV16" s="229"/>
      <c r="FCW16" s="216"/>
      <c r="FCX16" s="219"/>
      <c r="FCY16" s="220"/>
      <c r="FCZ16" s="217"/>
      <c r="FDA16" s="217"/>
      <c r="FDB16" s="217"/>
      <c r="FDC16" s="217"/>
      <c r="FDD16" s="217"/>
      <c r="FDE16" s="221"/>
      <c r="FDF16" s="222"/>
      <c r="FDG16" s="220"/>
      <c r="FDH16" s="220"/>
      <c r="FDI16" s="220"/>
      <c r="FDJ16" s="220"/>
      <c r="FDK16" s="223"/>
      <c r="FDL16" s="223"/>
      <c r="FDM16" s="223"/>
      <c r="FDN16" s="223"/>
      <c r="FDO16" s="223"/>
      <c r="FDP16" s="223"/>
      <c r="FDQ16" s="223"/>
      <c r="FDR16" s="223"/>
      <c r="FDS16" s="223"/>
      <c r="FDT16" s="224"/>
      <c r="FDU16" s="225"/>
      <c r="FDV16" s="226"/>
      <c r="FDW16" s="224"/>
      <c r="FDX16" s="225"/>
      <c r="FDY16" s="225"/>
      <c r="FDZ16" s="227"/>
      <c r="FEA16" s="228"/>
      <c r="FEB16" s="228"/>
      <c r="FEC16" s="229"/>
      <c r="FED16" s="216"/>
      <c r="FEE16" s="219"/>
      <c r="FEF16" s="220"/>
      <c r="FEG16" s="217"/>
      <c r="FEH16" s="217"/>
      <c r="FEI16" s="217"/>
      <c r="FEJ16" s="217"/>
      <c r="FEK16" s="217"/>
      <c r="FEL16" s="221"/>
      <c r="FEM16" s="222"/>
      <c r="FEN16" s="220"/>
      <c r="FEO16" s="220"/>
      <c r="FEP16" s="220"/>
      <c r="FEQ16" s="220"/>
      <c r="FER16" s="223"/>
      <c r="FES16" s="223"/>
      <c r="FET16" s="223"/>
      <c r="FEU16" s="223"/>
      <c r="FEV16" s="223"/>
      <c r="FEW16" s="223"/>
      <c r="FEX16" s="223"/>
      <c r="FEY16" s="223"/>
      <c r="FEZ16" s="223"/>
      <c r="FFA16" s="224"/>
      <c r="FFB16" s="225"/>
      <c r="FFC16" s="226"/>
      <c r="FFD16" s="224"/>
      <c r="FFE16" s="225"/>
      <c r="FFF16" s="225"/>
      <c r="FFG16" s="227"/>
      <c r="FFH16" s="228"/>
      <c r="FFI16" s="228"/>
      <c r="FFJ16" s="229"/>
      <c r="FFK16" s="216"/>
      <c r="FFL16" s="219"/>
      <c r="FFM16" s="220"/>
      <c r="FFN16" s="217"/>
      <c r="FFO16" s="217"/>
      <c r="FFP16" s="217"/>
      <c r="FFQ16" s="217"/>
      <c r="FFR16" s="217"/>
      <c r="FFS16" s="221"/>
      <c r="FFT16" s="222"/>
      <c r="FFU16" s="220"/>
      <c r="FFV16" s="220"/>
      <c r="FFW16" s="220"/>
      <c r="FFX16" s="220"/>
      <c r="FFY16" s="223"/>
      <c r="FFZ16" s="223"/>
      <c r="FGA16" s="223"/>
      <c r="FGB16" s="223"/>
      <c r="FGC16" s="223"/>
      <c r="FGD16" s="223"/>
      <c r="FGE16" s="223"/>
      <c r="FGF16" s="223"/>
      <c r="FGG16" s="223"/>
      <c r="FGH16" s="224"/>
      <c r="FGI16" s="225"/>
      <c r="FGJ16" s="226"/>
      <c r="FGK16" s="224"/>
      <c r="FGL16" s="225"/>
      <c r="FGM16" s="225"/>
      <c r="FGN16" s="227"/>
      <c r="FGO16" s="228"/>
      <c r="FGP16" s="228"/>
      <c r="FGQ16" s="229"/>
      <c r="FGR16" s="216"/>
      <c r="FGS16" s="219"/>
      <c r="FGT16" s="220"/>
      <c r="FGU16" s="217"/>
      <c r="FGV16" s="217"/>
      <c r="FGW16" s="217"/>
      <c r="FGX16" s="217"/>
      <c r="FGY16" s="217"/>
      <c r="FGZ16" s="221"/>
      <c r="FHA16" s="222"/>
      <c r="FHB16" s="220"/>
      <c r="FHC16" s="220"/>
      <c r="FHD16" s="220"/>
      <c r="FHE16" s="220"/>
      <c r="FHF16" s="223"/>
      <c r="FHG16" s="223"/>
      <c r="FHH16" s="223"/>
      <c r="FHI16" s="223"/>
      <c r="FHJ16" s="223"/>
      <c r="FHK16" s="223"/>
      <c r="FHL16" s="223"/>
      <c r="FHM16" s="223"/>
      <c r="FHN16" s="223"/>
      <c r="FHO16" s="224"/>
      <c r="FHP16" s="225"/>
      <c r="FHQ16" s="226"/>
      <c r="FHR16" s="224"/>
      <c r="FHS16" s="225"/>
      <c r="FHT16" s="225"/>
      <c r="FHU16" s="227"/>
      <c r="FHV16" s="228"/>
      <c r="FHW16" s="228"/>
      <c r="FHX16" s="229"/>
      <c r="FHY16" s="216"/>
      <c r="FHZ16" s="219"/>
      <c r="FIA16" s="220"/>
      <c r="FIB16" s="217"/>
      <c r="FIC16" s="217"/>
      <c r="FID16" s="217"/>
      <c r="FIE16" s="217"/>
      <c r="FIF16" s="217"/>
      <c r="FIG16" s="221"/>
      <c r="FIH16" s="222"/>
      <c r="FII16" s="220"/>
      <c r="FIJ16" s="220"/>
      <c r="FIK16" s="220"/>
      <c r="FIL16" s="220"/>
      <c r="FIM16" s="223"/>
      <c r="FIN16" s="223"/>
      <c r="FIO16" s="223"/>
      <c r="FIP16" s="223"/>
      <c r="FIQ16" s="223"/>
      <c r="FIR16" s="223"/>
      <c r="FIS16" s="223"/>
      <c r="FIT16" s="223"/>
      <c r="FIU16" s="223"/>
      <c r="FIV16" s="224"/>
      <c r="FIW16" s="225"/>
      <c r="FIX16" s="226"/>
      <c r="FIY16" s="224"/>
      <c r="FIZ16" s="225"/>
      <c r="FJA16" s="225"/>
      <c r="FJB16" s="227"/>
      <c r="FJC16" s="228"/>
      <c r="FJD16" s="228"/>
      <c r="FJE16" s="229"/>
      <c r="FJF16" s="216"/>
      <c r="FJG16" s="219"/>
      <c r="FJH16" s="220"/>
      <c r="FJI16" s="217"/>
      <c r="FJJ16" s="217"/>
      <c r="FJK16" s="217"/>
      <c r="FJL16" s="217"/>
      <c r="FJM16" s="217"/>
      <c r="FJN16" s="221"/>
      <c r="FJO16" s="222"/>
      <c r="FJP16" s="220"/>
      <c r="FJQ16" s="220"/>
      <c r="FJR16" s="220"/>
      <c r="FJS16" s="220"/>
      <c r="FJT16" s="223"/>
      <c r="FJU16" s="223"/>
      <c r="FJV16" s="223"/>
      <c r="FJW16" s="223"/>
      <c r="FJX16" s="223"/>
      <c r="FJY16" s="223"/>
      <c r="FJZ16" s="223"/>
      <c r="FKA16" s="223"/>
      <c r="FKB16" s="223"/>
      <c r="FKC16" s="224"/>
      <c r="FKD16" s="225"/>
      <c r="FKE16" s="226"/>
      <c r="FKF16" s="224"/>
      <c r="FKG16" s="225"/>
      <c r="FKH16" s="225"/>
      <c r="FKI16" s="227"/>
      <c r="FKJ16" s="228"/>
      <c r="FKK16" s="228"/>
      <c r="FKL16" s="229"/>
      <c r="FKM16" s="216"/>
      <c r="FKN16" s="219"/>
      <c r="FKO16" s="220"/>
      <c r="FKP16" s="217"/>
      <c r="FKQ16" s="217"/>
      <c r="FKR16" s="217"/>
      <c r="FKS16" s="217"/>
      <c r="FKT16" s="217"/>
      <c r="FKU16" s="221"/>
      <c r="FKV16" s="222"/>
      <c r="FKW16" s="220"/>
      <c r="FKX16" s="220"/>
      <c r="FKY16" s="220"/>
      <c r="FKZ16" s="220"/>
      <c r="FLA16" s="223"/>
      <c r="FLB16" s="223"/>
      <c r="FLC16" s="223"/>
      <c r="FLD16" s="223"/>
      <c r="FLE16" s="223"/>
      <c r="FLF16" s="223"/>
      <c r="FLG16" s="223"/>
      <c r="FLH16" s="223"/>
      <c r="FLI16" s="223"/>
      <c r="FLJ16" s="224"/>
      <c r="FLK16" s="225"/>
      <c r="FLL16" s="226"/>
      <c r="FLM16" s="224"/>
      <c r="FLN16" s="225"/>
      <c r="FLO16" s="225"/>
      <c r="FLP16" s="227"/>
      <c r="FLQ16" s="228"/>
      <c r="FLR16" s="228"/>
      <c r="FLS16" s="229"/>
      <c r="FLT16" s="216"/>
      <c r="FLU16" s="219"/>
      <c r="FLV16" s="220"/>
      <c r="FLW16" s="217"/>
      <c r="FLX16" s="217"/>
      <c r="FLY16" s="217"/>
      <c r="FLZ16" s="217"/>
      <c r="FMA16" s="217"/>
      <c r="FMB16" s="221"/>
      <c r="FMC16" s="222"/>
      <c r="FMD16" s="220"/>
      <c r="FME16" s="220"/>
      <c r="FMF16" s="220"/>
      <c r="FMG16" s="220"/>
      <c r="FMH16" s="223"/>
      <c r="FMI16" s="223"/>
      <c r="FMJ16" s="223"/>
      <c r="FMK16" s="223"/>
      <c r="FML16" s="223"/>
      <c r="FMM16" s="223"/>
      <c r="FMN16" s="223"/>
      <c r="FMO16" s="223"/>
      <c r="FMP16" s="223"/>
      <c r="FMQ16" s="224"/>
      <c r="FMR16" s="225"/>
      <c r="FMS16" s="226"/>
      <c r="FMT16" s="224"/>
      <c r="FMU16" s="225"/>
      <c r="FMV16" s="225"/>
      <c r="FMW16" s="227"/>
      <c r="FMX16" s="228"/>
      <c r="FMY16" s="228"/>
      <c r="FMZ16" s="229"/>
      <c r="FNA16" s="216"/>
      <c r="FNB16" s="219"/>
      <c r="FNC16" s="220"/>
      <c r="FND16" s="217"/>
      <c r="FNE16" s="217"/>
      <c r="FNF16" s="217"/>
      <c r="FNG16" s="217"/>
      <c r="FNH16" s="217"/>
      <c r="FNI16" s="221"/>
      <c r="FNJ16" s="222"/>
      <c r="FNK16" s="220"/>
      <c r="FNL16" s="220"/>
      <c r="FNM16" s="220"/>
      <c r="FNN16" s="220"/>
      <c r="FNO16" s="223"/>
      <c r="FNP16" s="223"/>
      <c r="FNQ16" s="223"/>
      <c r="FNR16" s="223"/>
      <c r="FNS16" s="223"/>
      <c r="FNT16" s="223"/>
      <c r="FNU16" s="223"/>
      <c r="FNV16" s="223"/>
      <c r="FNW16" s="223"/>
      <c r="FNX16" s="224"/>
      <c r="FNY16" s="225"/>
      <c r="FNZ16" s="226"/>
      <c r="FOA16" s="224"/>
      <c r="FOB16" s="225"/>
      <c r="FOC16" s="225"/>
      <c r="FOD16" s="227"/>
      <c r="FOE16" s="228"/>
      <c r="FOF16" s="228"/>
      <c r="FOG16" s="229"/>
      <c r="FOH16" s="216"/>
      <c r="FOI16" s="219"/>
      <c r="FOJ16" s="220"/>
      <c r="FOK16" s="217"/>
      <c r="FOL16" s="217"/>
      <c r="FOM16" s="217"/>
      <c r="FON16" s="217"/>
      <c r="FOO16" s="217"/>
      <c r="FOP16" s="221"/>
      <c r="FOQ16" s="222"/>
      <c r="FOR16" s="220"/>
      <c r="FOS16" s="220"/>
      <c r="FOT16" s="220"/>
      <c r="FOU16" s="220"/>
      <c r="FOV16" s="223"/>
      <c r="FOW16" s="223"/>
      <c r="FOX16" s="223"/>
      <c r="FOY16" s="223"/>
      <c r="FOZ16" s="223"/>
      <c r="FPA16" s="223"/>
      <c r="FPB16" s="223"/>
      <c r="FPC16" s="223"/>
      <c r="FPD16" s="223"/>
      <c r="FPE16" s="224"/>
      <c r="FPF16" s="225"/>
      <c r="FPG16" s="226"/>
      <c r="FPH16" s="224"/>
      <c r="FPI16" s="225"/>
      <c r="FPJ16" s="225"/>
      <c r="FPK16" s="227"/>
      <c r="FPL16" s="228"/>
      <c r="FPM16" s="228"/>
      <c r="FPN16" s="229"/>
      <c r="FPO16" s="216"/>
      <c r="FPP16" s="219"/>
      <c r="FPQ16" s="220"/>
      <c r="FPR16" s="217"/>
      <c r="FPS16" s="217"/>
      <c r="FPT16" s="217"/>
      <c r="FPU16" s="217"/>
      <c r="FPV16" s="217"/>
      <c r="FPW16" s="221"/>
      <c r="FPX16" s="222"/>
      <c r="FPY16" s="220"/>
      <c r="FPZ16" s="220"/>
      <c r="FQA16" s="220"/>
      <c r="FQB16" s="220"/>
      <c r="FQC16" s="223"/>
      <c r="FQD16" s="223"/>
      <c r="FQE16" s="223"/>
      <c r="FQF16" s="223"/>
      <c r="FQG16" s="223"/>
      <c r="FQH16" s="223"/>
      <c r="FQI16" s="223"/>
      <c r="FQJ16" s="223"/>
      <c r="FQK16" s="223"/>
      <c r="FQL16" s="224"/>
      <c r="FQM16" s="225"/>
      <c r="FQN16" s="226"/>
      <c r="FQO16" s="224"/>
      <c r="FQP16" s="225"/>
      <c r="FQQ16" s="225"/>
      <c r="FQR16" s="227"/>
      <c r="FQS16" s="228"/>
      <c r="FQT16" s="228"/>
      <c r="FQU16" s="229"/>
      <c r="FQV16" s="216"/>
      <c r="FQW16" s="219"/>
      <c r="FQX16" s="220"/>
      <c r="FQY16" s="217"/>
      <c r="FQZ16" s="217"/>
      <c r="FRA16" s="217"/>
      <c r="FRB16" s="217"/>
      <c r="FRC16" s="217"/>
      <c r="FRD16" s="221"/>
      <c r="FRE16" s="222"/>
      <c r="FRF16" s="220"/>
      <c r="FRG16" s="220"/>
      <c r="FRH16" s="220"/>
      <c r="FRI16" s="220"/>
      <c r="FRJ16" s="223"/>
      <c r="FRK16" s="223"/>
      <c r="FRL16" s="223"/>
      <c r="FRM16" s="223"/>
      <c r="FRN16" s="223"/>
      <c r="FRO16" s="223"/>
      <c r="FRP16" s="223"/>
      <c r="FRQ16" s="223"/>
      <c r="FRR16" s="223"/>
      <c r="FRS16" s="224"/>
      <c r="FRT16" s="225"/>
      <c r="FRU16" s="226"/>
      <c r="FRV16" s="224"/>
      <c r="FRW16" s="225"/>
      <c r="FRX16" s="225"/>
      <c r="FRY16" s="227"/>
      <c r="FRZ16" s="228"/>
      <c r="FSA16" s="228"/>
      <c r="FSB16" s="229"/>
      <c r="FSC16" s="216"/>
      <c r="FSD16" s="219"/>
      <c r="FSE16" s="220"/>
      <c r="FSF16" s="217"/>
      <c r="FSG16" s="217"/>
      <c r="FSH16" s="217"/>
      <c r="FSI16" s="217"/>
      <c r="FSJ16" s="217"/>
      <c r="FSK16" s="221"/>
      <c r="FSL16" s="222"/>
      <c r="FSM16" s="220"/>
      <c r="FSN16" s="220"/>
      <c r="FSO16" s="220"/>
      <c r="FSP16" s="220"/>
      <c r="FSQ16" s="223"/>
      <c r="FSR16" s="223"/>
      <c r="FSS16" s="223"/>
      <c r="FST16" s="223"/>
      <c r="FSU16" s="223"/>
      <c r="FSV16" s="223"/>
      <c r="FSW16" s="223"/>
      <c r="FSX16" s="223"/>
      <c r="FSY16" s="223"/>
      <c r="FSZ16" s="224"/>
      <c r="FTA16" s="225"/>
      <c r="FTB16" s="226"/>
      <c r="FTC16" s="224"/>
      <c r="FTD16" s="225"/>
      <c r="FTE16" s="225"/>
      <c r="FTF16" s="227"/>
      <c r="FTG16" s="228"/>
      <c r="FTH16" s="228"/>
      <c r="FTI16" s="229"/>
      <c r="FTJ16" s="216"/>
      <c r="FTK16" s="219"/>
      <c r="FTL16" s="220"/>
      <c r="FTM16" s="217"/>
      <c r="FTN16" s="217"/>
      <c r="FTO16" s="217"/>
      <c r="FTP16" s="217"/>
      <c r="FTQ16" s="217"/>
      <c r="FTR16" s="221"/>
      <c r="FTS16" s="222"/>
      <c r="FTT16" s="220"/>
      <c r="FTU16" s="220"/>
      <c r="FTV16" s="220"/>
      <c r="FTW16" s="220"/>
      <c r="FTX16" s="223"/>
      <c r="FTY16" s="223"/>
      <c r="FTZ16" s="223"/>
      <c r="FUA16" s="223"/>
      <c r="FUB16" s="223"/>
      <c r="FUC16" s="223"/>
      <c r="FUD16" s="223"/>
      <c r="FUE16" s="223"/>
      <c r="FUF16" s="223"/>
      <c r="FUG16" s="224"/>
      <c r="FUH16" s="225"/>
      <c r="FUI16" s="226"/>
      <c r="FUJ16" s="224"/>
      <c r="FUK16" s="225"/>
      <c r="FUL16" s="225"/>
      <c r="FUM16" s="227"/>
      <c r="FUN16" s="228"/>
      <c r="FUO16" s="228"/>
      <c r="FUP16" s="229"/>
      <c r="FUQ16" s="216"/>
      <c r="FUR16" s="219"/>
      <c r="FUS16" s="220"/>
      <c r="FUT16" s="217"/>
      <c r="FUU16" s="217"/>
      <c r="FUV16" s="217"/>
      <c r="FUW16" s="217"/>
      <c r="FUX16" s="217"/>
      <c r="FUY16" s="221"/>
      <c r="FUZ16" s="222"/>
      <c r="FVA16" s="220"/>
      <c r="FVB16" s="220"/>
      <c r="FVC16" s="220"/>
      <c r="FVD16" s="220"/>
      <c r="FVE16" s="223"/>
      <c r="FVF16" s="223"/>
      <c r="FVG16" s="223"/>
      <c r="FVH16" s="223"/>
      <c r="FVI16" s="223"/>
      <c r="FVJ16" s="223"/>
      <c r="FVK16" s="223"/>
      <c r="FVL16" s="223"/>
      <c r="FVM16" s="223"/>
      <c r="FVN16" s="224"/>
      <c r="FVO16" s="225"/>
      <c r="FVP16" s="226"/>
      <c r="FVQ16" s="224"/>
      <c r="FVR16" s="225"/>
      <c r="FVS16" s="225"/>
      <c r="FVT16" s="227"/>
      <c r="FVU16" s="228"/>
      <c r="FVV16" s="228"/>
      <c r="FVW16" s="229"/>
      <c r="FVX16" s="216"/>
      <c r="FVY16" s="219"/>
      <c r="FVZ16" s="220"/>
      <c r="FWA16" s="217"/>
      <c r="FWB16" s="217"/>
      <c r="FWC16" s="217"/>
      <c r="FWD16" s="217"/>
      <c r="FWE16" s="217"/>
      <c r="FWF16" s="221"/>
      <c r="FWG16" s="222"/>
      <c r="FWH16" s="220"/>
      <c r="FWI16" s="220"/>
      <c r="FWJ16" s="220"/>
      <c r="FWK16" s="220"/>
      <c r="FWL16" s="223"/>
      <c r="FWM16" s="223"/>
      <c r="FWN16" s="223"/>
      <c r="FWO16" s="223"/>
      <c r="FWP16" s="223"/>
      <c r="FWQ16" s="223"/>
      <c r="FWR16" s="223"/>
      <c r="FWS16" s="223"/>
      <c r="FWT16" s="223"/>
      <c r="FWU16" s="224"/>
      <c r="FWV16" s="225"/>
      <c r="FWW16" s="226"/>
      <c r="FWX16" s="224"/>
      <c r="FWY16" s="225"/>
      <c r="FWZ16" s="225"/>
      <c r="FXA16" s="227"/>
      <c r="FXB16" s="228"/>
      <c r="FXC16" s="228"/>
      <c r="FXD16" s="229"/>
      <c r="FXE16" s="216"/>
      <c r="FXF16" s="219"/>
      <c r="FXG16" s="220"/>
      <c r="FXH16" s="217"/>
      <c r="FXI16" s="217"/>
      <c r="FXJ16" s="217"/>
      <c r="FXK16" s="217"/>
      <c r="FXL16" s="217"/>
      <c r="FXM16" s="221"/>
      <c r="FXN16" s="222"/>
      <c r="FXO16" s="220"/>
      <c r="FXP16" s="220"/>
      <c r="FXQ16" s="220"/>
      <c r="FXR16" s="220"/>
      <c r="FXS16" s="223"/>
      <c r="FXT16" s="223"/>
      <c r="FXU16" s="223"/>
      <c r="FXV16" s="223"/>
      <c r="FXW16" s="223"/>
      <c r="FXX16" s="223"/>
      <c r="FXY16" s="223"/>
      <c r="FXZ16" s="223"/>
      <c r="FYA16" s="223"/>
      <c r="FYB16" s="224"/>
      <c r="FYC16" s="225"/>
      <c r="FYD16" s="226"/>
      <c r="FYE16" s="224"/>
      <c r="FYF16" s="225"/>
      <c r="FYG16" s="225"/>
      <c r="FYH16" s="227"/>
      <c r="FYI16" s="228"/>
      <c r="FYJ16" s="228"/>
      <c r="FYK16" s="229"/>
      <c r="FYL16" s="216"/>
      <c r="FYM16" s="219"/>
      <c r="FYN16" s="220"/>
      <c r="FYO16" s="217"/>
      <c r="FYP16" s="217"/>
      <c r="FYQ16" s="217"/>
      <c r="FYR16" s="217"/>
      <c r="FYS16" s="217"/>
      <c r="FYT16" s="221"/>
      <c r="FYU16" s="222"/>
      <c r="FYV16" s="220"/>
      <c r="FYW16" s="220"/>
      <c r="FYX16" s="220"/>
      <c r="FYY16" s="220"/>
      <c r="FYZ16" s="223"/>
      <c r="FZA16" s="223"/>
      <c r="FZB16" s="223"/>
      <c r="FZC16" s="223"/>
      <c r="FZD16" s="223"/>
      <c r="FZE16" s="223"/>
      <c r="FZF16" s="223"/>
      <c r="FZG16" s="223"/>
      <c r="FZH16" s="223"/>
      <c r="FZI16" s="224"/>
      <c r="FZJ16" s="225"/>
      <c r="FZK16" s="226"/>
      <c r="FZL16" s="224"/>
      <c r="FZM16" s="225"/>
      <c r="FZN16" s="225"/>
      <c r="FZO16" s="227"/>
      <c r="FZP16" s="228"/>
      <c r="FZQ16" s="228"/>
      <c r="FZR16" s="229"/>
      <c r="FZS16" s="216"/>
      <c r="FZT16" s="219"/>
      <c r="FZU16" s="220"/>
      <c r="FZV16" s="217"/>
      <c r="FZW16" s="217"/>
      <c r="FZX16" s="217"/>
      <c r="FZY16" s="217"/>
      <c r="FZZ16" s="217"/>
      <c r="GAA16" s="221"/>
      <c r="GAB16" s="222"/>
      <c r="GAC16" s="220"/>
      <c r="GAD16" s="220"/>
      <c r="GAE16" s="220"/>
      <c r="GAF16" s="220"/>
      <c r="GAG16" s="223"/>
      <c r="GAH16" s="223"/>
      <c r="GAI16" s="223"/>
      <c r="GAJ16" s="223"/>
      <c r="GAK16" s="223"/>
      <c r="GAL16" s="223"/>
      <c r="GAM16" s="223"/>
      <c r="GAN16" s="223"/>
      <c r="GAO16" s="223"/>
      <c r="GAP16" s="224"/>
      <c r="GAQ16" s="225"/>
      <c r="GAR16" s="226"/>
      <c r="GAS16" s="224"/>
      <c r="GAT16" s="225"/>
      <c r="GAU16" s="225"/>
      <c r="GAV16" s="227"/>
      <c r="GAW16" s="228"/>
      <c r="GAX16" s="228"/>
      <c r="GAY16" s="229"/>
      <c r="GAZ16" s="216"/>
      <c r="GBA16" s="219"/>
      <c r="GBB16" s="220"/>
      <c r="GBC16" s="217"/>
      <c r="GBD16" s="217"/>
      <c r="GBE16" s="217"/>
      <c r="GBF16" s="217"/>
      <c r="GBG16" s="217"/>
      <c r="GBH16" s="221"/>
      <c r="GBI16" s="222"/>
      <c r="GBJ16" s="220"/>
      <c r="GBK16" s="220"/>
      <c r="GBL16" s="220"/>
      <c r="GBM16" s="220"/>
      <c r="GBN16" s="223"/>
      <c r="GBO16" s="223"/>
      <c r="GBP16" s="223"/>
      <c r="GBQ16" s="223"/>
      <c r="GBR16" s="223"/>
      <c r="GBS16" s="223"/>
      <c r="GBT16" s="223"/>
      <c r="GBU16" s="223"/>
      <c r="GBV16" s="223"/>
      <c r="GBW16" s="224"/>
      <c r="GBX16" s="225"/>
      <c r="GBY16" s="226"/>
      <c r="GBZ16" s="224"/>
      <c r="GCA16" s="225"/>
      <c r="GCB16" s="225"/>
      <c r="GCC16" s="227"/>
      <c r="GCD16" s="228"/>
      <c r="GCE16" s="228"/>
      <c r="GCF16" s="229"/>
      <c r="GCG16" s="216"/>
      <c r="GCH16" s="219"/>
      <c r="GCI16" s="220"/>
      <c r="GCJ16" s="217"/>
      <c r="GCK16" s="217"/>
      <c r="GCL16" s="217"/>
      <c r="GCM16" s="217"/>
      <c r="GCN16" s="217"/>
      <c r="GCO16" s="221"/>
      <c r="GCP16" s="222"/>
      <c r="GCQ16" s="220"/>
      <c r="GCR16" s="220"/>
      <c r="GCS16" s="220"/>
      <c r="GCT16" s="220"/>
      <c r="GCU16" s="223"/>
      <c r="GCV16" s="223"/>
      <c r="GCW16" s="223"/>
      <c r="GCX16" s="223"/>
      <c r="GCY16" s="223"/>
      <c r="GCZ16" s="223"/>
      <c r="GDA16" s="223"/>
      <c r="GDB16" s="223"/>
      <c r="GDC16" s="223"/>
      <c r="GDD16" s="224"/>
      <c r="GDE16" s="225"/>
      <c r="GDF16" s="226"/>
      <c r="GDG16" s="224"/>
      <c r="GDH16" s="225"/>
      <c r="GDI16" s="225"/>
      <c r="GDJ16" s="227"/>
      <c r="GDK16" s="228"/>
      <c r="GDL16" s="228"/>
      <c r="GDM16" s="229"/>
      <c r="GDN16" s="216"/>
      <c r="GDO16" s="219"/>
      <c r="GDP16" s="220"/>
      <c r="GDQ16" s="217"/>
      <c r="GDR16" s="217"/>
      <c r="GDS16" s="217"/>
      <c r="GDT16" s="217"/>
      <c r="GDU16" s="217"/>
      <c r="GDV16" s="221"/>
      <c r="GDW16" s="222"/>
      <c r="GDX16" s="220"/>
      <c r="GDY16" s="220"/>
      <c r="GDZ16" s="220"/>
      <c r="GEA16" s="220"/>
      <c r="GEB16" s="223"/>
      <c r="GEC16" s="223"/>
      <c r="GED16" s="223"/>
      <c r="GEE16" s="223"/>
      <c r="GEF16" s="223"/>
      <c r="GEG16" s="223"/>
      <c r="GEH16" s="223"/>
      <c r="GEI16" s="223"/>
      <c r="GEJ16" s="223"/>
      <c r="GEK16" s="224"/>
      <c r="GEL16" s="225"/>
      <c r="GEM16" s="226"/>
      <c r="GEN16" s="224"/>
      <c r="GEO16" s="225"/>
      <c r="GEP16" s="225"/>
      <c r="GEQ16" s="227"/>
      <c r="GER16" s="228"/>
      <c r="GES16" s="228"/>
      <c r="GET16" s="229"/>
      <c r="GEU16" s="216"/>
      <c r="GEV16" s="219"/>
      <c r="GEW16" s="220"/>
      <c r="GEX16" s="217"/>
      <c r="GEY16" s="217"/>
      <c r="GEZ16" s="217"/>
      <c r="GFA16" s="217"/>
      <c r="GFB16" s="217"/>
      <c r="GFC16" s="221"/>
      <c r="GFD16" s="222"/>
      <c r="GFE16" s="220"/>
      <c r="GFF16" s="220"/>
      <c r="GFG16" s="220"/>
      <c r="GFH16" s="220"/>
      <c r="GFI16" s="223"/>
      <c r="GFJ16" s="223"/>
      <c r="GFK16" s="223"/>
      <c r="GFL16" s="223"/>
      <c r="GFM16" s="223"/>
      <c r="GFN16" s="223"/>
      <c r="GFO16" s="223"/>
      <c r="GFP16" s="223"/>
      <c r="GFQ16" s="223"/>
      <c r="GFR16" s="224"/>
      <c r="GFS16" s="225"/>
      <c r="GFT16" s="226"/>
      <c r="GFU16" s="224"/>
      <c r="GFV16" s="225"/>
      <c r="GFW16" s="225"/>
      <c r="GFX16" s="227"/>
      <c r="GFY16" s="228"/>
      <c r="GFZ16" s="228"/>
      <c r="GGA16" s="229"/>
      <c r="GGB16" s="216"/>
      <c r="GGC16" s="219"/>
      <c r="GGD16" s="220"/>
      <c r="GGE16" s="217"/>
      <c r="GGF16" s="217"/>
      <c r="GGG16" s="217"/>
      <c r="GGH16" s="217"/>
      <c r="GGI16" s="217"/>
      <c r="GGJ16" s="221"/>
      <c r="GGK16" s="222"/>
      <c r="GGL16" s="220"/>
      <c r="GGM16" s="220"/>
      <c r="GGN16" s="220"/>
      <c r="GGO16" s="220"/>
      <c r="GGP16" s="223"/>
      <c r="GGQ16" s="223"/>
      <c r="GGR16" s="223"/>
      <c r="GGS16" s="223"/>
      <c r="GGT16" s="223"/>
      <c r="GGU16" s="223"/>
      <c r="GGV16" s="223"/>
      <c r="GGW16" s="223"/>
      <c r="GGX16" s="223"/>
      <c r="GGY16" s="224"/>
      <c r="GGZ16" s="225"/>
      <c r="GHA16" s="226"/>
      <c r="GHB16" s="224"/>
      <c r="GHC16" s="225"/>
      <c r="GHD16" s="225"/>
      <c r="GHE16" s="227"/>
      <c r="GHF16" s="228"/>
      <c r="GHG16" s="228"/>
      <c r="GHH16" s="229"/>
      <c r="GHI16" s="216"/>
      <c r="GHJ16" s="219"/>
      <c r="GHK16" s="220"/>
      <c r="GHL16" s="217"/>
      <c r="GHM16" s="217"/>
      <c r="GHN16" s="217"/>
      <c r="GHO16" s="217"/>
      <c r="GHP16" s="217"/>
      <c r="GHQ16" s="221"/>
      <c r="GHR16" s="222"/>
      <c r="GHS16" s="220"/>
      <c r="GHT16" s="220"/>
      <c r="GHU16" s="220"/>
      <c r="GHV16" s="220"/>
      <c r="GHW16" s="223"/>
      <c r="GHX16" s="223"/>
      <c r="GHY16" s="223"/>
      <c r="GHZ16" s="223"/>
      <c r="GIA16" s="223"/>
      <c r="GIB16" s="223"/>
      <c r="GIC16" s="223"/>
      <c r="GID16" s="223"/>
      <c r="GIE16" s="223"/>
      <c r="GIF16" s="224"/>
      <c r="GIG16" s="225"/>
      <c r="GIH16" s="226"/>
      <c r="GII16" s="224"/>
      <c r="GIJ16" s="225"/>
      <c r="GIK16" s="225"/>
      <c r="GIL16" s="227"/>
      <c r="GIM16" s="228"/>
      <c r="GIN16" s="228"/>
      <c r="GIO16" s="229"/>
      <c r="GIP16" s="216"/>
      <c r="GIQ16" s="219"/>
      <c r="GIR16" s="220"/>
      <c r="GIS16" s="217"/>
      <c r="GIT16" s="217"/>
      <c r="GIU16" s="217"/>
      <c r="GIV16" s="217"/>
      <c r="GIW16" s="217"/>
      <c r="GIX16" s="221"/>
      <c r="GIY16" s="222"/>
      <c r="GIZ16" s="220"/>
      <c r="GJA16" s="220"/>
      <c r="GJB16" s="220"/>
      <c r="GJC16" s="220"/>
      <c r="GJD16" s="223"/>
      <c r="GJE16" s="223"/>
      <c r="GJF16" s="223"/>
      <c r="GJG16" s="223"/>
      <c r="GJH16" s="223"/>
      <c r="GJI16" s="223"/>
      <c r="GJJ16" s="223"/>
      <c r="GJK16" s="223"/>
      <c r="GJL16" s="223"/>
      <c r="GJM16" s="224"/>
      <c r="GJN16" s="225"/>
      <c r="GJO16" s="226"/>
      <c r="GJP16" s="224"/>
      <c r="GJQ16" s="225"/>
      <c r="GJR16" s="225"/>
      <c r="GJS16" s="227"/>
      <c r="GJT16" s="228"/>
      <c r="GJU16" s="228"/>
      <c r="GJV16" s="229"/>
      <c r="GJW16" s="216"/>
      <c r="GJX16" s="219"/>
      <c r="GJY16" s="220"/>
      <c r="GJZ16" s="217"/>
      <c r="GKA16" s="217"/>
      <c r="GKB16" s="217"/>
      <c r="GKC16" s="217"/>
      <c r="GKD16" s="217"/>
      <c r="GKE16" s="221"/>
      <c r="GKF16" s="222"/>
      <c r="GKG16" s="220"/>
      <c r="GKH16" s="220"/>
      <c r="GKI16" s="220"/>
      <c r="GKJ16" s="220"/>
      <c r="GKK16" s="223"/>
      <c r="GKL16" s="223"/>
      <c r="GKM16" s="223"/>
      <c r="GKN16" s="223"/>
      <c r="GKO16" s="223"/>
      <c r="GKP16" s="223"/>
      <c r="GKQ16" s="223"/>
      <c r="GKR16" s="223"/>
      <c r="GKS16" s="223"/>
      <c r="GKT16" s="224"/>
      <c r="GKU16" s="225"/>
      <c r="GKV16" s="226"/>
      <c r="GKW16" s="224"/>
      <c r="GKX16" s="225"/>
      <c r="GKY16" s="225"/>
      <c r="GKZ16" s="227"/>
      <c r="GLA16" s="228"/>
      <c r="GLB16" s="228"/>
      <c r="GLC16" s="229"/>
      <c r="GLD16" s="216"/>
      <c r="GLE16" s="219"/>
      <c r="GLF16" s="220"/>
      <c r="GLG16" s="217"/>
      <c r="GLH16" s="217"/>
      <c r="GLI16" s="217"/>
      <c r="GLJ16" s="217"/>
      <c r="GLK16" s="217"/>
      <c r="GLL16" s="221"/>
      <c r="GLM16" s="222"/>
      <c r="GLN16" s="220"/>
      <c r="GLO16" s="220"/>
      <c r="GLP16" s="220"/>
      <c r="GLQ16" s="220"/>
      <c r="GLR16" s="223"/>
      <c r="GLS16" s="223"/>
      <c r="GLT16" s="223"/>
      <c r="GLU16" s="223"/>
      <c r="GLV16" s="223"/>
      <c r="GLW16" s="223"/>
      <c r="GLX16" s="223"/>
      <c r="GLY16" s="223"/>
      <c r="GLZ16" s="223"/>
      <c r="GMA16" s="224"/>
      <c r="GMB16" s="225"/>
      <c r="GMC16" s="226"/>
      <c r="GMD16" s="224"/>
      <c r="GME16" s="225"/>
      <c r="GMF16" s="225"/>
      <c r="GMG16" s="227"/>
      <c r="GMH16" s="228"/>
      <c r="GMI16" s="228"/>
      <c r="GMJ16" s="229"/>
      <c r="GMK16" s="216"/>
      <c r="GML16" s="219"/>
      <c r="GMM16" s="220"/>
      <c r="GMN16" s="217"/>
      <c r="GMO16" s="217"/>
      <c r="GMP16" s="217"/>
      <c r="GMQ16" s="217"/>
      <c r="GMR16" s="217"/>
      <c r="GMS16" s="221"/>
      <c r="GMT16" s="222"/>
      <c r="GMU16" s="220"/>
      <c r="GMV16" s="220"/>
      <c r="GMW16" s="220"/>
      <c r="GMX16" s="220"/>
      <c r="GMY16" s="223"/>
      <c r="GMZ16" s="223"/>
      <c r="GNA16" s="223"/>
      <c r="GNB16" s="223"/>
      <c r="GNC16" s="223"/>
      <c r="GND16" s="223"/>
      <c r="GNE16" s="223"/>
      <c r="GNF16" s="223"/>
      <c r="GNG16" s="223"/>
      <c r="GNH16" s="224"/>
      <c r="GNI16" s="225"/>
      <c r="GNJ16" s="226"/>
      <c r="GNK16" s="224"/>
      <c r="GNL16" s="225"/>
      <c r="GNM16" s="225"/>
      <c r="GNN16" s="227"/>
      <c r="GNO16" s="228"/>
      <c r="GNP16" s="228"/>
      <c r="GNQ16" s="229"/>
      <c r="GNR16" s="216"/>
      <c r="GNS16" s="219"/>
      <c r="GNT16" s="220"/>
      <c r="GNU16" s="217"/>
      <c r="GNV16" s="217"/>
      <c r="GNW16" s="217"/>
      <c r="GNX16" s="217"/>
      <c r="GNY16" s="217"/>
      <c r="GNZ16" s="221"/>
      <c r="GOA16" s="222"/>
      <c r="GOB16" s="220"/>
      <c r="GOC16" s="220"/>
      <c r="GOD16" s="220"/>
      <c r="GOE16" s="220"/>
      <c r="GOF16" s="223"/>
      <c r="GOG16" s="223"/>
      <c r="GOH16" s="223"/>
      <c r="GOI16" s="223"/>
      <c r="GOJ16" s="223"/>
      <c r="GOK16" s="223"/>
      <c r="GOL16" s="223"/>
      <c r="GOM16" s="223"/>
      <c r="GON16" s="223"/>
      <c r="GOO16" s="224"/>
      <c r="GOP16" s="225"/>
      <c r="GOQ16" s="226"/>
      <c r="GOR16" s="224"/>
      <c r="GOS16" s="225"/>
      <c r="GOT16" s="225"/>
      <c r="GOU16" s="227"/>
      <c r="GOV16" s="228"/>
      <c r="GOW16" s="228"/>
      <c r="GOX16" s="229"/>
      <c r="GOY16" s="216"/>
      <c r="GOZ16" s="219"/>
      <c r="GPA16" s="220"/>
      <c r="GPB16" s="217"/>
      <c r="GPC16" s="217"/>
      <c r="GPD16" s="217"/>
      <c r="GPE16" s="217"/>
      <c r="GPF16" s="217"/>
      <c r="GPG16" s="221"/>
      <c r="GPH16" s="222"/>
      <c r="GPI16" s="220"/>
      <c r="GPJ16" s="220"/>
      <c r="GPK16" s="220"/>
      <c r="GPL16" s="220"/>
      <c r="GPM16" s="223"/>
      <c r="GPN16" s="223"/>
      <c r="GPO16" s="223"/>
      <c r="GPP16" s="223"/>
      <c r="GPQ16" s="223"/>
      <c r="GPR16" s="223"/>
      <c r="GPS16" s="223"/>
      <c r="GPT16" s="223"/>
      <c r="GPU16" s="223"/>
      <c r="GPV16" s="224"/>
      <c r="GPW16" s="225"/>
      <c r="GPX16" s="226"/>
      <c r="GPY16" s="224"/>
      <c r="GPZ16" s="225"/>
      <c r="GQA16" s="225"/>
      <c r="GQB16" s="227"/>
      <c r="GQC16" s="228"/>
      <c r="GQD16" s="228"/>
      <c r="GQE16" s="229"/>
      <c r="GQF16" s="216"/>
      <c r="GQG16" s="219"/>
      <c r="GQH16" s="220"/>
      <c r="GQI16" s="217"/>
      <c r="GQJ16" s="217"/>
      <c r="GQK16" s="217"/>
      <c r="GQL16" s="217"/>
      <c r="GQM16" s="217"/>
      <c r="GQN16" s="221"/>
      <c r="GQO16" s="222"/>
      <c r="GQP16" s="220"/>
      <c r="GQQ16" s="220"/>
      <c r="GQR16" s="220"/>
      <c r="GQS16" s="220"/>
      <c r="GQT16" s="223"/>
      <c r="GQU16" s="223"/>
      <c r="GQV16" s="223"/>
      <c r="GQW16" s="223"/>
      <c r="GQX16" s="223"/>
      <c r="GQY16" s="223"/>
      <c r="GQZ16" s="223"/>
      <c r="GRA16" s="223"/>
      <c r="GRB16" s="223"/>
      <c r="GRC16" s="224"/>
      <c r="GRD16" s="225"/>
      <c r="GRE16" s="226"/>
      <c r="GRF16" s="224"/>
      <c r="GRG16" s="225"/>
      <c r="GRH16" s="225"/>
      <c r="GRI16" s="227"/>
      <c r="GRJ16" s="228"/>
      <c r="GRK16" s="228"/>
      <c r="GRL16" s="229"/>
      <c r="GRM16" s="216"/>
      <c r="GRN16" s="219"/>
      <c r="GRO16" s="220"/>
      <c r="GRP16" s="217"/>
      <c r="GRQ16" s="217"/>
      <c r="GRR16" s="217"/>
      <c r="GRS16" s="217"/>
      <c r="GRT16" s="217"/>
      <c r="GRU16" s="221"/>
      <c r="GRV16" s="222"/>
      <c r="GRW16" s="220"/>
      <c r="GRX16" s="220"/>
      <c r="GRY16" s="220"/>
      <c r="GRZ16" s="220"/>
      <c r="GSA16" s="223"/>
      <c r="GSB16" s="223"/>
      <c r="GSC16" s="223"/>
      <c r="GSD16" s="223"/>
      <c r="GSE16" s="223"/>
      <c r="GSF16" s="223"/>
      <c r="GSG16" s="223"/>
      <c r="GSH16" s="223"/>
      <c r="GSI16" s="223"/>
      <c r="GSJ16" s="224"/>
      <c r="GSK16" s="225"/>
      <c r="GSL16" s="226"/>
      <c r="GSM16" s="224"/>
      <c r="GSN16" s="225"/>
      <c r="GSO16" s="225"/>
      <c r="GSP16" s="227"/>
      <c r="GSQ16" s="228"/>
      <c r="GSR16" s="228"/>
      <c r="GSS16" s="229"/>
      <c r="GST16" s="216"/>
      <c r="GSU16" s="219"/>
      <c r="GSV16" s="220"/>
      <c r="GSW16" s="217"/>
      <c r="GSX16" s="217"/>
      <c r="GSY16" s="217"/>
      <c r="GSZ16" s="217"/>
      <c r="GTA16" s="217"/>
      <c r="GTB16" s="221"/>
      <c r="GTC16" s="222"/>
      <c r="GTD16" s="220"/>
      <c r="GTE16" s="220"/>
      <c r="GTF16" s="220"/>
      <c r="GTG16" s="220"/>
      <c r="GTH16" s="223"/>
      <c r="GTI16" s="223"/>
      <c r="GTJ16" s="223"/>
      <c r="GTK16" s="223"/>
      <c r="GTL16" s="223"/>
      <c r="GTM16" s="223"/>
      <c r="GTN16" s="223"/>
      <c r="GTO16" s="223"/>
      <c r="GTP16" s="223"/>
      <c r="GTQ16" s="224"/>
      <c r="GTR16" s="225"/>
      <c r="GTS16" s="226"/>
      <c r="GTT16" s="224"/>
      <c r="GTU16" s="225"/>
      <c r="GTV16" s="225"/>
      <c r="GTW16" s="227"/>
      <c r="GTX16" s="228"/>
      <c r="GTY16" s="228"/>
      <c r="GTZ16" s="229"/>
      <c r="GUA16" s="216"/>
      <c r="GUB16" s="219"/>
      <c r="GUC16" s="220"/>
      <c r="GUD16" s="217"/>
      <c r="GUE16" s="217"/>
      <c r="GUF16" s="217"/>
      <c r="GUG16" s="217"/>
      <c r="GUH16" s="217"/>
      <c r="GUI16" s="221"/>
      <c r="GUJ16" s="222"/>
      <c r="GUK16" s="220"/>
      <c r="GUL16" s="220"/>
      <c r="GUM16" s="220"/>
      <c r="GUN16" s="220"/>
      <c r="GUO16" s="223"/>
      <c r="GUP16" s="223"/>
      <c r="GUQ16" s="223"/>
      <c r="GUR16" s="223"/>
      <c r="GUS16" s="223"/>
      <c r="GUT16" s="223"/>
      <c r="GUU16" s="223"/>
      <c r="GUV16" s="223"/>
      <c r="GUW16" s="223"/>
      <c r="GUX16" s="224"/>
      <c r="GUY16" s="225"/>
      <c r="GUZ16" s="226"/>
      <c r="GVA16" s="224"/>
      <c r="GVB16" s="225"/>
      <c r="GVC16" s="225"/>
      <c r="GVD16" s="227"/>
      <c r="GVE16" s="228"/>
      <c r="GVF16" s="228"/>
      <c r="GVG16" s="229"/>
      <c r="GVH16" s="216"/>
      <c r="GVI16" s="219"/>
      <c r="GVJ16" s="220"/>
      <c r="GVK16" s="217"/>
      <c r="GVL16" s="217"/>
      <c r="GVM16" s="217"/>
      <c r="GVN16" s="217"/>
      <c r="GVO16" s="217"/>
      <c r="GVP16" s="221"/>
      <c r="GVQ16" s="222"/>
      <c r="GVR16" s="220"/>
      <c r="GVS16" s="220"/>
      <c r="GVT16" s="220"/>
      <c r="GVU16" s="220"/>
      <c r="GVV16" s="223"/>
      <c r="GVW16" s="223"/>
      <c r="GVX16" s="223"/>
      <c r="GVY16" s="223"/>
      <c r="GVZ16" s="223"/>
      <c r="GWA16" s="223"/>
      <c r="GWB16" s="223"/>
      <c r="GWC16" s="223"/>
      <c r="GWD16" s="223"/>
      <c r="GWE16" s="224"/>
      <c r="GWF16" s="225"/>
      <c r="GWG16" s="226"/>
      <c r="GWH16" s="224"/>
      <c r="GWI16" s="225"/>
      <c r="GWJ16" s="225"/>
      <c r="GWK16" s="227"/>
      <c r="GWL16" s="228"/>
      <c r="GWM16" s="228"/>
      <c r="GWN16" s="229"/>
      <c r="GWO16" s="216"/>
      <c r="GWP16" s="219"/>
      <c r="GWQ16" s="220"/>
      <c r="GWR16" s="217"/>
      <c r="GWS16" s="217"/>
      <c r="GWT16" s="217"/>
      <c r="GWU16" s="217"/>
      <c r="GWV16" s="217"/>
      <c r="GWW16" s="221"/>
      <c r="GWX16" s="222"/>
      <c r="GWY16" s="220"/>
      <c r="GWZ16" s="220"/>
      <c r="GXA16" s="220"/>
      <c r="GXB16" s="220"/>
      <c r="GXC16" s="223"/>
      <c r="GXD16" s="223"/>
      <c r="GXE16" s="223"/>
      <c r="GXF16" s="223"/>
      <c r="GXG16" s="223"/>
      <c r="GXH16" s="223"/>
      <c r="GXI16" s="223"/>
      <c r="GXJ16" s="223"/>
      <c r="GXK16" s="223"/>
      <c r="GXL16" s="224"/>
      <c r="GXM16" s="225"/>
      <c r="GXN16" s="226"/>
      <c r="GXO16" s="224"/>
      <c r="GXP16" s="225"/>
      <c r="GXQ16" s="225"/>
      <c r="GXR16" s="227"/>
      <c r="GXS16" s="228"/>
      <c r="GXT16" s="228"/>
      <c r="GXU16" s="229"/>
      <c r="GXV16" s="216"/>
      <c r="GXW16" s="219"/>
      <c r="GXX16" s="220"/>
      <c r="GXY16" s="217"/>
      <c r="GXZ16" s="217"/>
      <c r="GYA16" s="217"/>
      <c r="GYB16" s="217"/>
      <c r="GYC16" s="217"/>
      <c r="GYD16" s="221"/>
      <c r="GYE16" s="222"/>
      <c r="GYF16" s="220"/>
      <c r="GYG16" s="220"/>
      <c r="GYH16" s="220"/>
      <c r="GYI16" s="220"/>
      <c r="GYJ16" s="223"/>
      <c r="GYK16" s="223"/>
      <c r="GYL16" s="223"/>
      <c r="GYM16" s="223"/>
      <c r="GYN16" s="223"/>
      <c r="GYO16" s="223"/>
      <c r="GYP16" s="223"/>
      <c r="GYQ16" s="223"/>
      <c r="GYR16" s="223"/>
      <c r="GYS16" s="224"/>
      <c r="GYT16" s="225"/>
      <c r="GYU16" s="226"/>
      <c r="GYV16" s="224"/>
      <c r="GYW16" s="225"/>
      <c r="GYX16" s="225"/>
      <c r="GYY16" s="227"/>
      <c r="GYZ16" s="228"/>
      <c r="GZA16" s="228"/>
      <c r="GZB16" s="229"/>
      <c r="GZC16" s="216"/>
      <c r="GZD16" s="219"/>
      <c r="GZE16" s="220"/>
      <c r="GZF16" s="217"/>
      <c r="GZG16" s="217"/>
      <c r="GZH16" s="217"/>
      <c r="GZI16" s="217"/>
      <c r="GZJ16" s="217"/>
      <c r="GZK16" s="221"/>
      <c r="GZL16" s="222"/>
      <c r="GZM16" s="220"/>
      <c r="GZN16" s="220"/>
      <c r="GZO16" s="220"/>
      <c r="GZP16" s="220"/>
      <c r="GZQ16" s="223"/>
      <c r="GZR16" s="223"/>
      <c r="GZS16" s="223"/>
      <c r="GZT16" s="223"/>
      <c r="GZU16" s="223"/>
      <c r="GZV16" s="223"/>
      <c r="GZW16" s="223"/>
      <c r="GZX16" s="223"/>
      <c r="GZY16" s="223"/>
      <c r="GZZ16" s="224"/>
      <c r="HAA16" s="225"/>
      <c r="HAB16" s="226"/>
      <c r="HAC16" s="224"/>
      <c r="HAD16" s="225"/>
      <c r="HAE16" s="225"/>
      <c r="HAF16" s="227"/>
      <c r="HAG16" s="228"/>
      <c r="HAH16" s="228"/>
      <c r="HAI16" s="229"/>
      <c r="HAJ16" s="216"/>
      <c r="HAK16" s="219"/>
      <c r="HAL16" s="220"/>
      <c r="HAM16" s="217"/>
      <c r="HAN16" s="217"/>
      <c r="HAO16" s="217"/>
      <c r="HAP16" s="217"/>
      <c r="HAQ16" s="217"/>
      <c r="HAR16" s="221"/>
      <c r="HAS16" s="222"/>
      <c r="HAT16" s="220"/>
      <c r="HAU16" s="220"/>
      <c r="HAV16" s="220"/>
      <c r="HAW16" s="220"/>
      <c r="HAX16" s="223"/>
      <c r="HAY16" s="223"/>
      <c r="HAZ16" s="223"/>
      <c r="HBA16" s="223"/>
      <c r="HBB16" s="223"/>
      <c r="HBC16" s="223"/>
      <c r="HBD16" s="223"/>
      <c r="HBE16" s="223"/>
      <c r="HBF16" s="223"/>
      <c r="HBG16" s="224"/>
      <c r="HBH16" s="225"/>
      <c r="HBI16" s="226"/>
      <c r="HBJ16" s="224"/>
      <c r="HBK16" s="225"/>
      <c r="HBL16" s="225"/>
      <c r="HBM16" s="227"/>
      <c r="HBN16" s="228"/>
      <c r="HBO16" s="228"/>
      <c r="HBP16" s="229"/>
      <c r="HBQ16" s="216"/>
      <c r="HBR16" s="219"/>
      <c r="HBS16" s="220"/>
      <c r="HBT16" s="217"/>
      <c r="HBU16" s="217"/>
      <c r="HBV16" s="217"/>
      <c r="HBW16" s="217"/>
      <c r="HBX16" s="217"/>
      <c r="HBY16" s="221"/>
      <c r="HBZ16" s="222"/>
      <c r="HCA16" s="220"/>
      <c r="HCB16" s="220"/>
      <c r="HCC16" s="220"/>
      <c r="HCD16" s="220"/>
      <c r="HCE16" s="223"/>
      <c r="HCF16" s="223"/>
      <c r="HCG16" s="223"/>
      <c r="HCH16" s="223"/>
      <c r="HCI16" s="223"/>
      <c r="HCJ16" s="223"/>
      <c r="HCK16" s="223"/>
      <c r="HCL16" s="223"/>
      <c r="HCM16" s="223"/>
      <c r="HCN16" s="224"/>
      <c r="HCO16" s="225"/>
      <c r="HCP16" s="226"/>
      <c r="HCQ16" s="224"/>
      <c r="HCR16" s="225"/>
      <c r="HCS16" s="225"/>
      <c r="HCT16" s="227"/>
      <c r="HCU16" s="228"/>
      <c r="HCV16" s="228"/>
      <c r="HCW16" s="229"/>
      <c r="HCX16" s="216"/>
      <c r="HCY16" s="219"/>
      <c r="HCZ16" s="220"/>
      <c r="HDA16" s="217"/>
      <c r="HDB16" s="217"/>
      <c r="HDC16" s="217"/>
      <c r="HDD16" s="217"/>
      <c r="HDE16" s="217"/>
      <c r="HDF16" s="221"/>
      <c r="HDG16" s="222"/>
      <c r="HDH16" s="220"/>
      <c r="HDI16" s="220"/>
      <c r="HDJ16" s="220"/>
      <c r="HDK16" s="220"/>
      <c r="HDL16" s="223"/>
      <c r="HDM16" s="223"/>
      <c r="HDN16" s="223"/>
      <c r="HDO16" s="223"/>
      <c r="HDP16" s="223"/>
      <c r="HDQ16" s="223"/>
      <c r="HDR16" s="223"/>
      <c r="HDS16" s="223"/>
      <c r="HDT16" s="223"/>
      <c r="HDU16" s="224"/>
      <c r="HDV16" s="225"/>
      <c r="HDW16" s="226"/>
      <c r="HDX16" s="224"/>
      <c r="HDY16" s="225"/>
      <c r="HDZ16" s="225"/>
      <c r="HEA16" s="227"/>
      <c r="HEB16" s="228"/>
      <c r="HEC16" s="228"/>
      <c r="HED16" s="229"/>
      <c r="HEE16" s="216"/>
      <c r="HEF16" s="219"/>
      <c r="HEG16" s="220"/>
      <c r="HEH16" s="217"/>
      <c r="HEI16" s="217"/>
      <c r="HEJ16" s="217"/>
      <c r="HEK16" s="217"/>
      <c r="HEL16" s="217"/>
      <c r="HEM16" s="221"/>
      <c r="HEN16" s="222"/>
      <c r="HEO16" s="220"/>
      <c r="HEP16" s="220"/>
      <c r="HEQ16" s="220"/>
      <c r="HER16" s="220"/>
      <c r="HES16" s="223"/>
      <c r="HET16" s="223"/>
      <c r="HEU16" s="223"/>
      <c r="HEV16" s="223"/>
      <c r="HEW16" s="223"/>
      <c r="HEX16" s="223"/>
      <c r="HEY16" s="223"/>
      <c r="HEZ16" s="223"/>
      <c r="HFA16" s="223"/>
      <c r="HFB16" s="224"/>
      <c r="HFC16" s="225"/>
      <c r="HFD16" s="226"/>
      <c r="HFE16" s="224"/>
      <c r="HFF16" s="225"/>
      <c r="HFG16" s="225"/>
      <c r="HFH16" s="227"/>
      <c r="HFI16" s="228"/>
      <c r="HFJ16" s="228"/>
      <c r="HFK16" s="229"/>
      <c r="HFL16" s="216"/>
      <c r="HFM16" s="219"/>
      <c r="HFN16" s="220"/>
      <c r="HFO16" s="217"/>
      <c r="HFP16" s="217"/>
      <c r="HFQ16" s="217"/>
      <c r="HFR16" s="217"/>
      <c r="HFS16" s="217"/>
      <c r="HFT16" s="221"/>
      <c r="HFU16" s="222"/>
      <c r="HFV16" s="220"/>
      <c r="HFW16" s="220"/>
      <c r="HFX16" s="220"/>
      <c r="HFY16" s="220"/>
      <c r="HFZ16" s="223"/>
      <c r="HGA16" s="223"/>
      <c r="HGB16" s="223"/>
      <c r="HGC16" s="223"/>
      <c r="HGD16" s="223"/>
      <c r="HGE16" s="223"/>
      <c r="HGF16" s="223"/>
      <c r="HGG16" s="223"/>
      <c r="HGH16" s="223"/>
      <c r="HGI16" s="224"/>
      <c r="HGJ16" s="225"/>
      <c r="HGK16" s="226"/>
      <c r="HGL16" s="224"/>
      <c r="HGM16" s="225"/>
      <c r="HGN16" s="225"/>
      <c r="HGO16" s="227"/>
      <c r="HGP16" s="228"/>
      <c r="HGQ16" s="228"/>
      <c r="HGR16" s="229"/>
      <c r="HGS16" s="216"/>
      <c r="HGT16" s="219"/>
      <c r="HGU16" s="220"/>
      <c r="HGV16" s="217"/>
      <c r="HGW16" s="217"/>
      <c r="HGX16" s="217"/>
      <c r="HGY16" s="217"/>
      <c r="HGZ16" s="217"/>
      <c r="HHA16" s="221"/>
      <c r="HHB16" s="222"/>
      <c r="HHC16" s="220"/>
      <c r="HHD16" s="220"/>
      <c r="HHE16" s="220"/>
      <c r="HHF16" s="220"/>
      <c r="HHG16" s="223"/>
      <c r="HHH16" s="223"/>
      <c r="HHI16" s="223"/>
      <c r="HHJ16" s="223"/>
      <c r="HHK16" s="223"/>
      <c r="HHL16" s="223"/>
      <c r="HHM16" s="223"/>
      <c r="HHN16" s="223"/>
      <c r="HHO16" s="223"/>
      <c r="HHP16" s="224"/>
      <c r="HHQ16" s="225"/>
      <c r="HHR16" s="226"/>
      <c r="HHS16" s="224"/>
      <c r="HHT16" s="225"/>
      <c r="HHU16" s="225"/>
      <c r="HHV16" s="227"/>
      <c r="HHW16" s="228"/>
      <c r="HHX16" s="228"/>
      <c r="HHY16" s="229"/>
      <c r="HHZ16" s="216"/>
      <c r="HIA16" s="219"/>
      <c r="HIB16" s="220"/>
      <c r="HIC16" s="217"/>
      <c r="HID16" s="217"/>
      <c r="HIE16" s="217"/>
      <c r="HIF16" s="217"/>
      <c r="HIG16" s="217"/>
      <c r="HIH16" s="221"/>
      <c r="HII16" s="222"/>
      <c r="HIJ16" s="220"/>
      <c r="HIK16" s="220"/>
      <c r="HIL16" s="220"/>
      <c r="HIM16" s="220"/>
      <c r="HIN16" s="223"/>
      <c r="HIO16" s="223"/>
      <c r="HIP16" s="223"/>
      <c r="HIQ16" s="223"/>
      <c r="HIR16" s="223"/>
      <c r="HIS16" s="223"/>
      <c r="HIT16" s="223"/>
      <c r="HIU16" s="223"/>
      <c r="HIV16" s="223"/>
      <c r="HIW16" s="224"/>
      <c r="HIX16" s="225"/>
      <c r="HIY16" s="226"/>
      <c r="HIZ16" s="224"/>
      <c r="HJA16" s="225"/>
      <c r="HJB16" s="225"/>
      <c r="HJC16" s="227"/>
      <c r="HJD16" s="228"/>
      <c r="HJE16" s="228"/>
      <c r="HJF16" s="229"/>
      <c r="HJG16" s="216"/>
      <c r="HJH16" s="219"/>
      <c r="HJI16" s="220"/>
      <c r="HJJ16" s="217"/>
      <c r="HJK16" s="217"/>
      <c r="HJL16" s="217"/>
      <c r="HJM16" s="217"/>
      <c r="HJN16" s="217"/>
      <c r="HJO16" s="221"/>
      <c r="HJP16" s="222"/>
      <c r="HJQ16" s="220"/>
      <c r="HJR16" s="220"/>
      <c r="HJS16" s="220"/>
      <c r="HJT16" s="220"/>
      <c r="HJU16" s="223"/>
      <c r="HJV16" s="223"/>
      <c r="HJW16" s="223"/>
      <c r="HJX16" s="223"/>
      <c r="HJY16" s="223"/>
      <c r="HJZ16" s="223"/>
      <c r="HKA16" s="223"/>
      <c r="HKB16" s="223"/>
      <c r="HKC16" s="223"/>
      <c r="HKD16" s="224"/>
      <c r="HKE16" s="225"/>
      <c r="HKF16" s="226"/>
      <c r="HKG16" s="224"/>
      <c r="HKH16" s="225"/>
      <c r="HKI16" s="225"/>
      <c r="HKJ16" s="227"/>
      <c r="HKK16" s="228"/>
      <c r="HKL16" s="228"/>
      <c r="HKM16" s="229"/>
      <c r="HKN16" s="216"/>
      <c r="HKO16" s="219"/>
      <c r="HKP16" s="220"/>
      <c r="HKQ16" s="217"/>
      <c r="HKR16" s="217"/>
      <c r="HKS16" s="217"/>
      <c r="HKT16" s="217"/>
      <c r="HKU16" s="217"/>
      <c r="HKV16" s="221"/>
      <c r="HKW16" s="222"/>
      <c r="HKX16" s="220"/>
      <c r="HKY16" s="220"/>
      <c r="HKZ16" s="220"/>
      <c r="HLA16" s="220"/>
      <c r="HLB16" s="223"/>
      <c r="HLC16" s="223"/>
      <c r="HLD16" s="223"/>
      <c r="HLE16" s="223"/>
      <c r="HLF16" s="223"/>
      <c r="HLG16" s="223"/>
      <c r="HLH16" s="223"/>
      <c r="HLI16" s="223"/>
      <c r="HLJ16" s="223"/>
      <c r="HLK16" s="224"/>
      <c r="HLL16" s="225"/>
      <c r="HLM16" s="226"/>
      <c r="HLN16" s="224"/>
      <c r="HLO16" s="225"/>
      <c r="HLP16" s="225"/>
      <c r="HLQ16" s="227"/>
      <c r="HLR16" s="228"/>
      <c r="HLS16" s="228"/>
      <c r="HLT16" s="229"/>
      <c r="HLU16" s="216"/>
      <c r="HLV16" s="219"/>
      <c r="HLW16" s="220"/>
      <c r="HLX16" s="217"/>
      <c r="HLY16" s="217"/>
      <c r="HLZ16" s="217"/>
      <c r="HMA16" s="217"/>
      <c r="HMB16" s="217"/>
      <c r="HMC16" s="221"/>
      <c r="HMD16" s="222"/>
      <c r="HME16" s="220"/>
      <c r="HMF16" s="220"/>
      <c r="HMG16" s="220"/>
      <c r="HMH16" s="220"/>
      <c r="HMI16" s="223"/>
      <c r="HMJ16" s="223"/>
      <c r="HMK16" s="223"/>
      <c r="HML16" s="223"/>
      <c r="HMM16" s="223"/>
      <c r="HMN16" s="223"/>
      <c r="HMO16" s="223"/>
      <c r="HMP16" s="223"/>
      <c r="HMQ16" s="223"/>
      <c r="HMR16" s="224"/>
      <c r="HMS16" s="225"/>
      <c r="HMT16" s="226"/>
      <c r="HMU16" s="224"/>
      <c r="HMV16" s="225"/>
      <c r="HMW16" s="225"/>
      <c r="HMX16" s="227"/>
      <c r="HMY16" s="228"/>
      <c r="HMZ16" s="228"/>
      <c r="HNA16" s="229"/>
      <c r="HNB16" s="216"/>
      <c r="HNC16" s="219"/>
      <c r="HND16" s="220"/>
      <c r="HNE16" s="217"/>
      <c r="HNF16" s="217"/>
      <c r="HNG16" s="217"/>
      <c r="HNH16" s="217"/>
      <c r="HNI16" s="217"/>
      <c r="HNJ16" s="221"/>
      <c r="HNK16" s="222"/>
      <c r="HNL16" s="220"/>
      <c r="HNM16" s="220"/>
      <c r="HNN16" s="220"/>
      <c r="HNO16" s="220"/>
      <c r="HNP16" s="223"/>
      <c r="HNQ16" s="223"/>
      <c r="HNR16" s="223"/>
      <c r="HNS16" s="223"/>
      <c r="HNT16" s="223"/>
      <c r="HNU16" s="223"/>
      <c r="HNV16" s="223"/>
      <c r="HNW16" s="223"/>
      <c r="HNX16" s="223"/>
      <c r="HNY16" s="224"/>
      <c r="HNZ16" s="225"/>
      <c r="HOA16" s="226"/>
      <c r="HOB16" s="224"/>
      <c r="HOC16" s="225"/>
      <c r="HOD16" s="225"/>
      <c r="HOE16" s="227"/>
      <c r="HOF16" s="228"/>
      <c r="HOG16" s="228"/>
      <c r="HOH16" s="229"/>
      <c r="HOI16" s="216"/>
      <c r="HOJ16" s="219"/>
      <c r="HOK16" s="220"/>
      <c r="HOL16" s="217"/>
      <c r="HOM16" s="217"/>
      <c r="HON16" s="217"/>
      <c r="HOO16" s="217"/>
      <c r="HOP16" s="217"/>
      <c r="HOQ16" s="221"/>
      <c r="HOR16" s="222"/>
      <c r="HOS16" s="220"/>
      <c r="HOT16" s="220"/>
      <c r="HOU16" s="220"/>
      <c r="HOV16" s="220"/>
      <c r="HOW16" s="223"/>
      <c r="HOX16" s="223"/>
      <c r="HOY16" s="223"/>
      <c r="HOZ16" s="223"/>
      <c r="HPA16" s="223"/>
      <c r="HPB16" s="223"/>
      <c r="HPC16" s="223"/>
      <c r="HPD16" s="223"/>
      <c r="HPE16" s="223"/>
      <c r="HPF16" s="224"/>
      <c r="HPG16" s="225"/>
      <c r="HPH16" s="226"/>
      <c r="HPI16" s="224"/>
      <c r="HPJ16" s="225"/>
      <c r="HPK16" s="225"/>
      <c r="HPL16" s="227"/>
      <c r="HPM16" s="228"/>
      <c r="HPN16" s="228"/>
      <c r="HPO16" s="229"/>
      <c r="HPP16" s="216"/>
      <c r="HPQ16" s="219"/>
      <c r="HPR16" s="220"/>
      <c r="HPS16" s="217"/>
      <c r="HPT16" s="217"/>
      <c r="HPU16" s="217"/>
      <c r="HPV16" s="217"/>
      <c r="HPW16" s="217"/>
      <c r="HPX16" s="221"/>
      <c r="HPY16" s="222"/>
      <c r="HPZ16" s="220"/>
      <c r="HQA16" s="220"/>
      <c r="HQB16" s="220"/>
      <c r="HQC16" s="220"/>
      <c r="HQD16" s="223"/>
      <c r="HQE16" s="223"/>
      <c r="HQF16" s="223"/>
      <c r="HQG16" s="223"/>
      <c r="HQH16" s="223"/>
      <c r="HQI16" s="223"/>
      <c r="HQJ16" s="223"/>
      <c r="HQK16" s="223"/>
      <c r="HQL16" s="223"/>
      <c r="HQM16" s="224"/>
      <c r="HQN16" s="225"/>
      <c r="HQO16" s="226"/>
      <c r="HQP16" s="224"/>
      <c r="HQQ16" s="225"/>
      <c r="HQR16" s="225"/>
      <c r="HQS16" s="227"/>
      <c r="HQT16" s="228"/>
      <c r="HQU16" s="228"/>
      <c r="HQV16" s="229"/>
      <c r="HQW16" s="216"/>
      <c r="HQX16" s="219"/>
      <c r="HQY16" s="220"/>
      <c r="HQZ16" s="217"/>
      <c r="HRA16" s="217"/>
      <c r="HRB16" s="217"/>
      <c r="HRC16" s="217"/>
      <c r="HRD16" s="217"/>
      <c r="HRE16" s="221"/>
      <c r="HRF16" s="222"/>
      <c r="HRG16" s="220"/>
      <c r="HRH16" s="220"/>
      <c r="HRI16" s="220"/>
      <c r="HRJ16" s="220"/>
      <c r="HRK16" s="223"/>
      <c r="HRL16" s="223"/>
      <c r="HRM16" s="223"/>
      <c r="HRN16" s="223"/>
      <c r="HRO16" s="223"/>
      <c r="HRP16" s="223"/>
      <c r="HRQ16" s="223"/>
      <c r="HRR16" s="223"/>
      <c r="HRS16" s="223"/>
      <c r="HRT16" s="224"/>
      <c r="HRU16" s="225"/>
      <c r="HRV16" s="226"/>
      <c r="HRW16" s="224"/>
      <c r="HRX16" s="225"/>
      <c r="HRY16" s="225"/>
      <c r="HRZ16" s="227"/>
      <c r="HSA16" s="228"/>
      <c r="HSB16" s="228"/>
      <c r="HSC16" s="229"/>
      <c r="HSD16" s="216"/>
      <c r="HSE16" s="219"/>
      <c r="HSF16" s="220"/>
      <c r="HSG16" s="217"/>
      <c r="HSH16" s="217"/>
      <c r="HSI16" s="217"/>
      <c r="HSJ16" s="217"/>
      <c r="HSK16" s="217"/>
      <c r="HSL16" s="221"/>
      <c r="HSM16" s="222"/>
      <c r="HSN16" s="220"/>
      <c r="HSO16" s="220"/>
      <c r="HSP16" s="220"/>
      <c r="HSQ16" s="220"/>
      <c r="HSR16" s="223"/>
      <c r="HSS16" s="223"/>
      <c r="HST16" s="223"/>
      <c r="HSU16" s="223"/>
      <c r="HSV16" s="223"/>
      <c r="HSW16" s="223"/>
      <c r="HSX16" s="223"/>
      <c r="HSY16" s="223"/>
      <c r="HSZ16" s="223"/>
      <c r="HTA16" s="224"/>
      <c r="HTB16" s="225"/>
      <c r="HTC16" s="226"/>
      <c r="HTD16" s="224"/>
      <c r="HTE16" s="225"/>
      <c r="HTF16" s="225"/>
      <c r="HTG16" s="227"/>
      <c r="HTH16" s="228"/>
      <c r="HTI16" s="228"/>
      <c r="HTJ16" s="229"/>
      <c r="HTK16" s="216"/>
      <c r="HTL16" s="219"/>
      <c r="HTM16" s="220"/>
      <c r="HTN16" s="217"/>
      <c r="HTO16" s="217"/>
      <c r="HTP16" s="217"/>
      <c r="HTQ16" s="217"/>
      <c r="HTR16" s="217"/>
      <c r="HTS16" s="221"/>
      <c r="HTT16" s="222"/>
      <c r="HTU16" s="220"/>
      <c r="HTV16" s="220"/>
      <c r="HTW16" s="220"/>
      <c r="HTX16" s="220"/>
      <c r="HTY16" s="223"/>
      <c r="HTZ16" s="223"/>
      <c r="HUA16" s="223"/>
      <c r="HUB16" s="223"/>
      <c r="HUC16" s="223"/>
      <c r="HUD16" s="223"/>
      <c r="HUE16" s="223"/>
      <c r="HUF16" s="223"/>
      <c r="HUG16" s="223"/>
      <c r="HUH16" s="224"/>
      <c r="HUI16" s="225"/>
      <c r="HUJ16" s="226"/>
      <c r="HUK16" s="224"/>
      <c r="HUL16" s="225"/>
      <c r="HUM16" s="225"/>
      <c r="HUN16" s="227"/>
      <c r="HUO16" s="228"/>
      <c r="HUP16" s="228"/>
      <c r="HUQ16" s="229"/>
      <c r="HUR16" s="216"/>
      <c r="HUS16" s="219"/>
      <c r="HUT16" s="220"/>
      <c r="HUU16" s="217"/>
      <c r="HUV16" s="217"/>
      <c r="HUW16" s="217"/>
      <c r="HUX16" s="217"/>
      <c r="HUY16" s="217"/>
      <c r="HUZ16" s="221"/>
      <c r="HVA16" s="222"/>
      <c r="HVB16" s="220"/>
      <c r="HVC16" s="220"/>
      <c r="HVD16" s="220"/>
      <c r="HVE16" s="220"/>
      <c r="HVF16" s="223"/>
      <c r="HVG16" s="223"/>
      <c r="HVH16" s="223"/>
      <c r="HVI16" s="223"/>
      <c r="HVJ16" s="223"/>
      <c r="HVK16" s="223"/>
      <c r="HVL16" s="223"/>
      <c r="HVM16" s="223"/>
      <c r="HVN16" s="223"/>
      <c r="HVO16" s="224"/>
      <c r="HVP16" s="225"/>
      <c r="HVQ16" s="226"/>
      <c r="HVR16" s="224"/>
      <c r="HVS16" s="225"/>
      <c r="HVT16" s="225"/>
      <c r="HVU16" s="227"/>
      <c r="HVV16" s="228"/>
      <c r="HVW16" s="228"/>
      <c r="HVX16" s="229"/>
      <c r="HVY16" s="216"/>
      <c r="HVZ16" s="219"/>
      <c r="HWA16" s="220"/>
      <c r="HWB16" s="217"/>
      <c r="HWC16" s="217"/>
      <c r="HWD16" s="217"/>
      <c r="HWE16" s="217"/>
      <c r="HWF16" s="217"/>
      <c r="HWG16" s="221"/>
      <c r="HWH16" s="222"/>
      <c r="HWI16" s="220"/>
      <c r="HWJ16" s="220"/>
      <c r="HWK16" s="220"/>
      <c r="HWL16" s="220"/>
      <c r="HWM16" s="223"/>
      <c r="HWN16" s="223"/>
      <c r="HWO16" s="223"/>
      <c r="HWP16" s="223"/>
      <c r="HWQ16" s="223"/>
      <c r="HWR16" s="223"/>
      <c r="HWS16" s="223"/>
      <c r="HWT16" s="223"/>
      <c r="HWU16" s="223"/>
      <c r="HWV16" s="224"/>
      <c r="HWW16" s="225"/>
      <c r="HWX16" s="226"/>
      <c r="HWY16" s="224"/>
      <c r="HWZ16" s="225"/>
      <c r="HXA16" s="225"/>
      <c r="HXB16" s="227"/>
      <c r="HXC16" s="228"/>
      <c r="HXD16" s="228"/>
      <c r="HXE16" s="229"/>
      <c r="HXF16" s="216"/>
      <c r="HXG16" s="219"/>
      <c r="HXH16" s="220"/>
      <c r="HXI16" s="217"/>
      <c r="HXJ16" s="217"/>
      <c r="HXK16" s="217"/>
      <c r="HXL16" s="217"/>
      <c r="HXM16" s="217"/>
      <c r="HXN16" s="221"/>
      <c r="HXO16" s="222"/>
      <c r="HXP16" s="220"/>
      <c r="HXQ16" s="220"/>
      <c r="HXR16" s="220"/>
      <c r="HXS16" s="220"/>
      <c r="HXT16" s="223"/>
      <c r="HXU16" s="223"/>
      <c r="HXV16" s="223"/>
      <c r="HXW16" s="223"/>
      <c r="HXX16" s="223"/>
      <c r="HXY16" s="223"/>
      <c r="HXZ16" s="223"/>
      <c r="HYA16" s="223"/>
      <c r="HYB16" s="223"/>
      <c r="HYC16" s="224"/>
      <c r="HYD16" s="225"/>
      <c r="HYE16" s="226"/>
      <c r="HYF16" s="224"/>
      <c r="HYG16" s="225"/>
      <c r="HYH16" s="225"/>
      <c r="HYI16" s="227"/>
      <c r="HYJ16" s="228"/>
      <c r="HYK16" s="228"/>
      <c r="HYL16" s="229"/>
      <c r="HYM16" s="216"/>
      <c r="HYN16" s="219"/>
      <c r="HYO16" s="220"/>
      <c r="HYP16" s="217"/>
      <c r="HYQ16" s="217"/>
      <c r="HYR16" s="217"/>
      <c r="HYS16" s="217"/>
      <c r="HYT16" s="217"/>
      <c r="HYU16" s="221"/>
      <c r="HYV16" s="222"/>
      <c r="HYW16" s="220"/>
      <c r="HYX16" s="220"/>
      <c r="HYY16" s="220"/>
      <c r="HYZ16" s="220"/>
      <c r="HZA16" s="223"/>
      <c r="HZB16" s="223"/>
      <c r="HZC16" s="223"/>
      <c r="HZD16" s="223"/>
      <c r="HZE16" s="223"/>
      <c r="HZF16" s="223"/>
      <c r="HZG16" s="223"/>
      <c r="HZH16" s="223"/>
      <c r="HZI16" s="223"/>
      <c r="HZJ16" s="224"/>
      <c r="HZK16" s="225"/>
      <c r="HZL16" s="226"/>
      <c r="HZM16" s="224"/>
      <c r="HZN16" s="225"/>
      <c r="HZO16" s="225"/>
      <c r="HZP16" s="227"/>
      <c r="HZQ16" s="228"/>
      <c r="HZR16" s="228"/>
      <c r="HZS16" s="229"/>
      <c r="HZT16" s="216"/>
      <c r="HZU16" s="219"/>
      <c r="HZV16" s="220"/>
      <c r="HZW16" s="217"/>
      <c r="HZX16" s="217"/>
      <c r="HZY16" s="217"/>
      <c r="HZZ16" s="217"/>
      <c r="IAA16" s="217"/>
      <c r="IAB16" s="221"/>
      <c r="IAC16" s="222"/>
      <c r="IAD16" s="220"/>
      <c r="IAE16" s="220"/>
      <c r="IAF16" s="220"/>
      <c r="IAG16" s="220"/>
      <c r="IAH16" s="223"/>
      <c r="IAI16" s="223"/>
      <c r="IAJ16" s="223"/>
      <c r="IAK16" s="223"/>
      <c r="IAL16" s="223"/>
      <c r="IAM16" s="223"/>
      <c r="IAN16" s="223"/>
      <c r="IAO16" s="223"/>
      <c r="IAP16" s="223"/>
      <c r="IAQ16" s="224"/>
      <c r="IAR16" s="225"/>
      <c r="IAS16" s="226"/>
      <c r="IAT16" s="224"/>
      <c r="IAU16" s="225"/>
      <c r="IAV16" s="225"/>
      <c r="IAW16" s="227"/>
      <c r="IAX16" s="228"/>
      <c r="IAY16" s="228"/>
      <c r="IAZ16" s="229"/>
      <c r="IBA16" s="216"/>
      <c r="IBB16" s="219"/>
      <c r="IBC16" s="220"/>
      <c r="IBD16" s="217"/>
      <c r="IBE16" s="217"/>
      <c r="IBF16" s="217"/>
      <c r="IBG16" s="217"/>
      <c r="IBH16" s="217"/>
      <c r="IBI16" s="221"/>
      <c r="IBJ16" s="222"/>
      <c r="IBK16" s="220"/>
      <c r="IBL16" s="220"/>
      <c r="IBM16" s="220"/>
      <c r="IBN16" s="220"/>
      <c r="IBO16" s="223"/>
      <c r="IBP16" s="223"/>
      <c r="IBQ16" s="223"/>
      <c r="IBR16" s="223"/>
      <c r="IBS16" s="223"/>
      <c r="IBT16" s="223"/>
      <c r="IBU16" s="223"/>
      <c r="IBV16" s="223"/>
      <c r="IBW16" s="223"/>
      <c r="IBX16" s="224"/>
      <c r="IBY16" s="225"/>
      <c r="IBZ16" s="226"/>
      <c r="ICA16" s="224"/>
      <c r="ICB16" s="225"/>
      <c r="ICC16" s="225"/>
      <c r="ICD16" s="227"/>
      <c r="ICE16" s="228"/>
      <c r="ICF16" s="228"/>
      <c r="ICG16" s="229"/>
      <c r="ICH16" s="216"/>
      <c r="ICI16" s="219"/>
      <c r="ICJ16" s="220"/>
      <c r="ICK16" s="217"/>
      <c r="ICL16" s="217"/>
      <c r="ICM16" s="217"/>
      <c r="ICN16" s="217"/>
      <c r="ICO16" s="217"/>
      <c r="ICP16" s="221"/>
      <c r="ICQ16" s="222"/>
      <c r="ICR16" s="220"/>
      <c r="ICS16" s="220"/>
      <c r="ICT16" s="220"/>
      <c r="ICU16" s="220"/>
      <c r="ICV16" s="223"/>
      <c r="ICW16" s="223"/>
      <c r="ICX16" s="223"/>
      <c r="ICY16" s="223"/>
      <c r="ICZ16" s="223"/>
      <c r="IDA16" s="223"/>
      <c r="IDB16" s="223"/>
      <c r="IDC16" s="223"/>
      <c r="IDD16" s="223"/>
      <c r="IDE16" s="224"/>
      <c r="IDF16" s="225"/>
      <c r="IDG16" s="226"/>
      <c r="IDH16" s="224"/>
      <c r="IDI16" s="225"/>
      <c r="IDJ16" s="225"/>
      <c r="IDK16" s="227"/>
      <c r="IDL16" s="228"/>
      <c r="IDM16" s="228"/>
      <c r="IDN16" s="229"/>
      <c r="IDO16" s="216"/>
      <c r="IDP16" s="219"/>
      <c r="IDQ16" s="220"/>
      <c r="IDR16" s="217"/>
      <c r="IDS16" s="217"/>
      <c r="IDT16" s="217"/>
      <c r="IDU16" s="217"/>
      <c r="IDV16" s="217"/>
      <c r="IDW16" s="221"/>
      <c r="IDX16" s="222"/>
      <c r="IDY16" s="220"/>
      <c r="IDZ16" s="220"/>
      <c r="IEA16" s="220"/>
      <c r="IEB16" s="220"/>
      <c r="IEC16" s="223"/>
      <c r="IED16" s="223"/>
      <c r="IEE16" s="223"/>
      <c r="IEF16" s="223"/>
      <c r="IEG16" s="223"/>
      <c r="IEH16" s="223"/>
      <c r="IEI16" s="223"/>
      <c r="IEJ16" s="223"/>
      <c r="IEK16" s="223"/>
      <c r="IEL16" s="224"/>
      <c r="IEM16" s="225"/>
      <c r="IEN16" s="226"/>
      <c r="IEO16" s="224"/>
      <c r="IEP16" s="225"/>
      <c r="IEQ16" s="225"/>
      <c r="IER16" s="227"/>
      <c r="IES16" s="228"/>
      <c r="IET16" s="228"/>
      <c r="IEU16" s="229"/>
      <c r="IEV16" s="216"/>
      <c r="IEW16" s="219"/>
      <c r="IEX16" s="220"/>
      <c r="IEY16" s="217"/>
      <c r="IEZ16" s="217"/>
      <c r="IFA16" s="217"/>
      <c r="IFB16" s="217"/>
      <c r="IFC16" s="217"/>
      <c r="IFD16" s="221"/>
      <c r="IFE16" s="222"/>
      <c r="IFF16" s="220"/>
      <c r="IFG16" s="220"/>
      <c r="IFH16" s="220"/>
      <c r="IFI16" s="220"/>
      <c r="IFJ16" s="223"/>
      <c r="IFK16" s="223"/>
      <c r="IFL16" s="223"/>
      <c r="IFM16" s="223"/>
      <c r="IFN16" s="223"/>
      <c r="IFO16" s="223"/>
      <c r="IFP16" s="223"/>
      <c r="IFQ16" s="223"/>
      <c r="IFR16" s="223"/>
      <c r="IFS16" s="224"/>
      <c r="IFT16" s="225"/>
      <c r="IFU16" s="226"/>
      <c r="IFV16" s="224"/>
      <c r="IFW16" s="225"/>
      <c r="IFX16" s="225"/>
      <c r="IFY16" s="227"/>
      <c r="IFZ16" s="228"/>
      <c r="IGA16" s="228"/>
      <c r="IGB16" s="229"/>
      <c r="IGC16" s="216"/>
      <c r="IGD16" s="219"/>
      <c r="IGE16" s="220"/>
      <c r="IGF16" s="217"/>
      <c r="IGG16" s="217"/>
      <c r="IGH16" s="217"/>
      <c r="IGI16" s="217"/>
      <c r="IGJ16" s="217"/>
      <c r="IGK16" s="221"/>
      <c r="IGL16" s="222"/>
      <c r="IGM16" s="220"/>
      <c r="IGN16" s="220"/>
      <c r="IGO16" s="220"/>
      <c r="IGP16" s="220"/>
      <c r="IGQ16" s="223"/>
      <c r="IGR16" s="223"/>
      <c r="IGS16" s="223"/>
      <c r="IGT16" s="223"/>
      <c r="IGU16" s="223"/>
      <c r="IGV16" s="223"/>
      <c r="IGW16" s="223"/>
      <c r="IGX16" s="223"/>
      <c r="IGY16" s="223"/>
      <c r="IGZ16" s="224"/>
      <c r="IHA16" s="225"/>
      <c r="IHB16" s="226"/>
      <c r="IHC16" s="224"/>
      <c r="IHD16" s="225"/>
      <c r="IHE16" s="225"/>
      <c r="IHF16" s="227"/>
      <c r="IHG16" s="228"/>
      <c r="IHH16" s="228"/>
      <c r="IHI16" s="229"/>
      <c r="IHJ16" s="216"/>
      <c r="IHK16" s="219"/>
      <c r="IHL16" s="220"/>
      <c r="IHM16" s="217"/>
      <c r="IHN16" s="217"/>
      <c r="IHO16" s="217"/>
      <c r="IHP16" s="217"/>
      <c r="IHQ16" s="217"/>
      <c r="IHR16" s="221"/>
      <c r="IHS16" s="222"/>
      <c r="IHT16" s="220"/>
      <c r="IHU16" s="220"/>
      <c r="IHV16" s="220"/>
      <c r="IHW16" s="220"/>
      <c r="IHX16" s="223"/>
      <c r="IHY16" s="223"/>
      <c r="IHZ16" s="223"/>
      <c r="IIA16" s="223"/>
      <c r="IIB16" s="223"/>
      <c r="IIC16" s="223"/>
      <c r="IID16" s="223"/>
      <c r="IIE16" s="223"/>
      <c r="IIF16" s="223"/>
      <c r="IIG16" s="224"/>
      <c r="IIH16" s="225"/>
      <c r="III16" s="226"/>
      <c r="IIJ16" s="224"/>
      <c r="IIK16" s="225"/>
      <c r="IIL16" s="225"/>
      <c r="IIM16" s="227"/>
      <c r="IIN16" s="228"/>
      <c r="IIO16" s="228"/>
      <c r="IIP16" s="229"/>
      <c r="IIQ16" s="216"/>
      <c r="IIR16" s="219"/>
      <c r="IIS16" s="220"/>
      <c r="IIT16" s="217"/>
      <c r="IIU16" s="217"/>
      <c r="IIV16" s="217"/>
      <c r="IIW16" s="217"/>
      <c r="IIX16" s="217"/>
      <c r="IIY16" s="221"/>
      <c r="IIZ16" s="222"/>
      <c r="IJA16" s="220"/>
      <c r="IJB16" s="220"/>
      <c r="IJC16" s="220"/>
      <c r="IJD16" s="220"/>
      <c r="IJE16" s="223"/>
      <c r="IJF16" s="223"/>
      <c r="IJG16" s="223"/>
      <c r="IJH16" s="223"/>
      <c r="IJI16" s="223"/>
      <c r="IJJ16" s="223"/>
      <c r="IJK16" s="223"/>
      <c r="IJL16" s="223"/>
      <c r="IJM16" s="223"/>
      <c r="IJN16" s="224"/>
      <c r="IJO16" s="225"/>
      <c r="IJP16" s="226"/>
      <c r="IJQ16" s="224"/>
      <c r="IJR16" s="225"/>
      <c r="IJS16" s="225"/>
      <c r="IJT16" s="227"/>
      <c r="IJU16" s="228"/>
      <c r="IJV16" s="228"/>
      <c r="IJW16" s="229"/>
      <c r="IJX16" s="216"/>
      <c r="IJY16" s="219"/>
      <c r="IJZ16" s="220"/>
      <c r="IKA16" s="217"/>
      <c r="IKB16" s="217"/>
      <c r="IKC16" s="217"/>
      <c r="IKD16" s="217"/>
      <c r="IKE16" s="217"/>
      <c r="IKF16" s="221"/>
      <c r="IKG16" s="222"/>
      <c r="IKH16" s="220"/>
      <c r="IKI16" s="220"/>
      <c r="IKJ16" s="220"/>
      <c r="IKK16" s="220"/>
      <c r="IKL16" s="223"/>
      <c r="IKM16" s="223"/>
      <c r="IKN16" s="223"/>
      <c r="IKO16" s="223"/>
      <c r="IKP16" s="223"/>
      <c r="IKQ16" s="223"/>
      <c r="IKR16" s="223"/>
      <c r="IKS16" s="223"/>
      <c r="IKT16" s="223"/>
      <c r="IKU16" s="224"/>
      <c r="IKV16" s="225"/>
      <c r="IKW16" s="226"/>
      <c r="IKX16" s="224"/>
      <c r="IKY16" s="225"/>
      <c r="IKZ16" s="225"/>
      <c r="ILA16" s="227"/>
      <c r="ILB16" s="228"/>
      <c r="ILC16" s="228"/>
      <c r="ILD16" s="229"/>
      <c r="ILE16" s="216"/>
      <c r="ILF16" s="219"/>
      <c r="ILG16" s="220"/>
      <c r="ILH16" s="217"/>
      <c r="ILI16" s="217"/>
      <c r="ILJ16" s="217"/>
      <c r="ILK16" s="217"/>
      <c r="ILL16" s="217"/>
      <c r="ILM16" s="221"/>
      <c r="ILN16" s="222"/>
      <c r="ILO16" s="220"/>
      <c r="ILP16" s="220"/>
      <c r="ILQ16" s="220"/>
      <c r="ILR16" s="220"/>
      <c r="ILS16" s="223"/>
      <c r="ILT16" s="223"/>
      <c r="ILU16" s="223"/>
      <c r="ILV16" s="223"/>
      <c r="ILW16" s="223"/>
      <c r="ILX16" s="223"/>
      <c r="ILY16" s="223"/>
      <c r="ILZ16" s="223"/>
      <c r="IMA16" s="223"/>
      <c r="IMB16" s="224"/>
      <c r="IMC16" s="225"/>
      <c r="IMD16" s="226"/>
      <c r="IME16" s="224"/>
      <c r="IMF16" s="225"/>
      <c r="IMG16" s="225"/>
      <c r="IMH16" s="227"/>
      <c r="IMI16" s="228"/>
      <c r="IMJ16" s="228"/>
      <c r="IMK16" s="229"/>
      <c r="IML16" s="216"/>
      <c r="IMM16" s="219"/>
      <c r="IMN16" s="220"/>
      <c r="IMO16" s="217"/>
      <c r="IMP16" s="217"/>
      <c r="IMQ16" s="217"/>
      <c r="IMR16" s="217"/>
      <c r="IMS16" s="217"/>
      <c r="IMT16" s="221"/>
      <c r="IMU16" s="222"/>
      <c r="IMV16" s="220"/>
      <c r="IMW16" s="220"/>
      <c r="IMX16" s="220"/>
      <c r="IMY16" s="220"/>
      <c r="IMZ16" s="223"/>
      <c r="INA16" s="223"/>
      <c r="INB16" s="223"/>
      <c r="INC16" s="223"/>
      <c r="IND16" s="223"/>
      <c r="INE16" s="223"/>
      <c r="INF16" s="223"/>
      <c r="ING16" s="223"/>
      <c r="INH16" s="223"/>
      <c r="INI16" s="224"/>
      <c r="INJ16" s="225"/>
      <c r="INK16" s="226"/>
      <c r="INL16" s="224"/>
      <c r="INM16" s="225"/>
      <c r="INN16" s="225"/>
      <c r="INO16" s="227"/>
      <c r="INP16" s="228"/>
      <c r="INQ16" s="228"/>
      <c r="INR16" s="229"/>
      <c r="INS16" s="216"/>
      <c r="INT16" s="219"/>
      <c r="INU16" s="220"/>
      <c r="INV16" s="217"/>
      <c r="INW16" s="217"/>
      <c r="INX16" s="217"/>
      <c r="INY16" s="217"/>
      <c r="INZ16" s="217"/>
      <c r="IOA16" s="221"/>
      <c r="IOB16" s="222"/>
      <c r="IOC16" s="220"/>
      <c r="IOD16" s="220"/>
      <c r="IOE16" s="220"/>
      <c r="IOF16" s="220"/>
      <c r="IOG16" s="223"/>
      <c r="IOH16" s="223"/>
      <c r="IOI16" s="223"/>
      <c r="IOJ16" s="223"/>
      <c r="IOK16" s="223"/>
      <c r="IOL16" s="223"/>
      <c r="IOM16" s="223"/>
      <c r="ION16" s="223"/>
      <c r="IOO16" s="223"/>
      <c r="IOP16" s="224"/>
      <c r="IOQ16" s="225"/>
      <c r="IOR16" s="226"/>
      <c r="IOS16" s="224"/>
      <c r="IOT16" s="225"/>
      <c r="IOU16" s="225"/>
      <c r="IOV16" s="227"/>
      <c r="IOW16" s="228"/>
      <c r="IOX16" s="228"/>
      <c r="IOY16" s="229"/>
      <c r="IOZ16" s="216"/>
      <c r="IPA16" s="219"/>
      <c r="IPB16" s="220"/>
      <c r="IPC16" s="217"/>
      <c r="IPD16" s="217"/>
      <c r="IPE16" s="217"/>
      <c r="IPF16" s="217"/>
      <c r="IPG16" s="217"/>
      <c r="IPH16" s="221"/>
      <c r="IPI16" s="222"/>
      <c r="IPJ16" s="220"/>
      <c r="IPK16" s="220"/>
      <c r="IPL16" s="220"/>
      <c r="IPM16" s="220"/>
      <c r="IPN16" s="223"/>
      <c r="IPO16" s="223"/>
      <c r="IPP16" s="223"/>
      <c r="IPQ16" s="223"/>
      <c r="IPR16" s="223"/>
      <c r="IPS16" s="223"/>
      <c r="IPT16" s="223"/>
      <c r="IPU16" s="223"/>
      <c r="IPV16" s="223"/>
      <c r="IPW16" s="224"/>
      <c r="IPX16" s="225"/>
      <c r="IPY16" s="226"/>
      <c r="IPZ16" s="224"/>
      <c r="IQA16" s="225"/>
      <c r="IQB16" s="225"/>
      <c r="IQC16" s="227"/>
      <c r="IQD16" s="228"/>
      <c r="IQE16" s="228"/>
      <c r="IQF16" s="229"/>
      <c r="IQG16" s="216"/>
      <c r="IQH16" s="219"/>
      <c r="IQI16" s="220"/>
      <c r="IQJ16" s="217"/>
      <c r="IQK16" s="217"/>
      <c r="IQL16" s="217"/>
      <c r="IQM16" s="217"/>
      <c r="IQN16" s="217"/>
      <c r="IQO16" s="221"/>
      <c r="IQP16" s="222"/>
      <c r="IQQ16" s="220"/>
      <c r="IQR16" s="220"/>
      <c r="IQS16" s="220"/>
      <c r="IQT16" s="220"/>
      <c r="IQU16" s="223"/>
      <c r="IQV16" s="223"/>
      <c r="IQW16" s="223"/>
      <c r="IQX16" s="223"/>
      <c r="IQY16" s="223"/>
      <c r="IQZ16" s="223"/>
      <c r="IRA16" s="223"/>
      <c r="IRB16" s="223"/>
      <c r="IRC16" s="223"/>
      <c r="IRD16" s="224"/>
      <c r="IRE16" s="225"/>
      <c r="IRF16" s="226"/>
      <c r="IRG16" s="224"/>
      <c r="IRH16" s="225"/>
      <c r="IRI16" s="225"/>
      <c r="IRJ16" s="227"/>
      <c r="IRK16" s="228"/>
      <c r="IRL16" s="228"/>
      <c r="IRM16" s="229"/>
      <c r="IRN16" s="216"/>
      <c r="IRO16" s="219"/>
      <c r="IRP16" s="220"/>
      <c r="IRQ16" s="217"/>
      <c r="IRR16" s="217"/>
      <c r="IRS16" s="217"/>
      <c r="IRT16" s="217"/>
      <c r="IRU16" s="217"/>
      <c r="IRV16" s="221"/>
      <c r="IRW16" s="222"/>
      <c r="IRX16" s="220"/>
      <c r="IRY16" s="220"/>
      <c r="IRZ16" s="220"/>
      <c r="ISA16" s="220"/>
      <c r="ISB16" s="223"/>
      <c r="ISC16" s="223"/>
      <c r="ISD16" s="223"/>
      <c r="ISE16" s="223"/>
      <c r="ISF16" s="223"/>
      <c r="ISG16" s="223"/>
      <c r="ISH16" s="223"/>
      <c r="ISI16" s="223"/>
      <c r="ISJ16" s="223"/>
      <c r="ISK16" s="224"/>
      <c r="ISL16" s="225"/>
      <c r="ISM16" s="226"/>
      <c r="ISN16" s="224"/>
      <c r="ISO16" s="225"/>
      <c r="ISP16" s="225"/>
      <c r="ISQ16" s="227"/>
      <c r="ISR16" s="228"/>
      <c r="ISS16" s="228"/>
      <c r="IST16" s="229"/>
      <c r="ISU16" s="216"/>
      <c r="ISV16" s="219"/>
      <c r="ISW16" s="220"/>
      <c r="ISX16" s="217"/>
      <c r="ISY16" s="217"/>
      <c r="ISZ16" s="217"/>
      <c r="ITA16" s="217"/>
      <c r="ITB16" s="217"/>
      <c r="ITC16" s="221"/>
      <c r="ITD16" s="222"/>
      <c r="ITE16" s="220"/>
      <c r="ITF16" s="220"/>
      <c r="ITG16" s="220"/>
      <c r="ITH16" s="220"/>
      <c r="ITI16" s="223"/>
      <c r="ITJ16" s="223"/>
      <c r="ITK16" s="223"/>
      <c r="ITL16" s="223"/>
      <c r="ITM16" s="223"/>
      <c r="ITN16" s="223"/>
      <c r="ITO16" s="223"/>
      <c r="ITP16" s="223"/>
      <c r="ITQ16" s="223"/>
      <c r="ITR16" s="224"/>
      <c r="ITS16" s="225"/>
      <c r="ITT16" s="226"/>
      <c r="ITU16" s="224"/>
      <c r="ITV16" s="225"/>
      <c r="ITW16" s="225"/>
      <c r="ITX16" s="227"/>
      <c r="ITY16" s="228"/>
      <c r="ITZ16" s="228"/>
      <c r="IUA16" s="229"/>
      <c r="IUB16" s="216"/>
      <c r="IUC16" s="219"/>
      <c r="IUD16" s="220"/>
      <c r="IUE16" s="217"/>
      <c r="IUF16" s="217"/>
      <c r="IUG16" s="217"/>
      <c r="IUH16" s="217"/>
      <c r="IUI16" s="217"/>
      <c r="IUJ16" s="221"/>
      <c r="IUK16" s="222"/>
      <c r="IUL16" s="220"/>
      <c r="IUM16" s="220"/>
      <c r="IUN16" s="220"/>
      <c r="IUO16" s="220"/>
      <c r="IUP16" s="223"/>
      <c r="IUQ16" s="223"/>
      <c r="IUR16" s="223"/>
      <c r="IUS16" s="223"/>
      <c r="IUT16" s="223"/>
      <c r="IUU16" s="223"/>
      <c r="IUV16" s="223"/>
      <c r="IUW16" s="223"/>
      <c r="IUX16" s="223"/>
      <c r="IUY16" s="224"/>
      <c r="IUZ16" s="225"/>
      <c r="IVA16" s="226"/>
      <c r="IVB16" s="224"/>
      <c r="IVC16" s="225"/>
      <c r="IVD16" s="225"/>
      <c r="IVE16" s="227"/>
      <c r="IVF16" s="228"/>
      <c r="IVG16" s="228"/>
      <c r="IVH16" s="229"/>
      <c r="IVI16" s="216"/>
      <c r="IVJ16" s="219"/>
      <c r="IVK16" s="220"/>
      <c r="IVL16" s="217"/>
      <c r="IVM16" s="217"/>
      <c r="IVN16" s="217"/>
      <c r="IVO16" s="217"/>
      <c r="IVP16" s="217"/>
      <c r="IVQ16" s="221"/>
      <c r="IVR16" s="222"/>
      <c r="IVS16" s="220"/>
      <c r="IVT16" s="220"/>
      <c r="IVU16" s="220"/>
      <c r="IVV16" s="220"/>
      <c r="IVW16" s="223"/>
      <c r="IVX16" s="223"/>
      <c r="IVY16" s="223"/>
      <c r="IVZ16" s="223"/>
      <c r="IWA16" s="223"/>
      <c r="IWB16" s="223"/>
      <c r="IWC16" s="223"/>
      <c r="IWD16" s="223"/>
      <c r="IWE16" s="223"/>
      <c r="IWF16" s="224"/>
      <c r="IWG16" s="225"/>
      <c r="IWH16" s="226"/>
      <c r="IWI16" s="224"/>
      <c r="IWJ16" s="225"/>
      <c r="IWK16" s="225"/>
      <c r="IWL16" s="227"/>
      <c r="IWM16" s="228"/>
      <c r="IWN16" s="228"/>
      <c r="IWO16" s="229"/>
      <c r="IWP16" s="216"/>
      <c r="IWQ16" s="219"/>
      <c r="IWR16" s="220"/>
      <c r="IWS16" s="217"/>
      <c r="IWT16" s="217"/>
      <c r="IWU16" s="217"/>
      <c r="IWV16" s="217"/>
      <c r="IWW16" s="217"/>
      <c r="IWX16" s="221"/>
      <c r="IWY16" s="222"/>
      <c r="IWZ16" s="220"/>
      <c r="IXA16" s="220"/>
      <c r="IXB16" s="220"/>
      <c r="IXC16" s="220"/>
      <c r="IXD16" s="223"/>
      <c r="IXE16" s="223"/>
      <c r="IXF16" s="223"/>
      <c r="IXG16" s="223"/>
      <c r="IXH16" s="223"/>
      <c r="IXI16" s="223"/>
      <c r="IXJ16" s="223"/>
      <c r="IXK16" s="223"/>
      <c r="IXL16" s="223"/>
      <c r="IXM16" s="224"/>
      <c r="IXN16" s="225"/>
      <c r="IXO16" s="226"/>
      <c r="IXP16" s="224"/>
      <c r="IXQ16" s="225"/>
      <c r="IXR16" s="225"/>
      <c r="IXS16" s="227"/>
      <c r="IXT16" s="228"/>
      <c r="IXU16" s="228"/>
      <c r="IXV16" s="229"/>
      <c r="IXW16" s="216"/>
      <c r="IXX16" s="219"/>
      <c r="IXY16" s="220"/>
      <c r="IXZ16" s="217"/>
      <c r="IYA16" s="217"/>
      <c r="IYB16" s="217"/>
      <c r="IYC16" s="217"/>
      <c r="IYD16" s="217"/>
      <c r="IYE16" s="221"/>
      <c r="IYF16" s="222"/>
      <c r="IYG16" s="220"/>
      <c r="IYH16" s="220"/>
      <c r="IYI16" s="220"/>
      <c r="IYJ16" s="220"/>
      <c r="IYK16" s="223"/>
      <c r="IYL16" s="223"/>
      <c r="IYM16" s="223"/>
      <c r="IYN16" s="223"/>
      <c r="IYO16" s="223"/>
      <c r="IYP16" s="223"/>
      <c r="IYQ16" s="223"/>
      <c r="IYR16" s="223"/>
      <c r="IYS16" s="223"/>
      <c r="IYT16" s="224"/>
      <c r="IYU16" s="225"/>
      <c r="IYV16" s="226"/>
      <c r="IYW16" s="224"/>
      <c r="IYX16" s="225"/>
      <c r="IYY16" s="225"/>
      <c r="IYZ16" s="227"/>
      <c r="IZA16" s="228"/>
      <c r="IZB16" s="228"/>
      <c r="IZC16" s="229"/>
      <c r="IZD16" s="216"/>
      <c r="IZE16" s="219"/>
      <c r="IZF16" s="220"/>
      <c r="IZG16" s="217"/>
      <c r="IZH16" s="217"/>
      <c r="IZI16" s="217"/>
      <c r="IZJ16" s="217"/>
      <c r="IZK16" s="217"/>
      <c r="IZL16" s="221"/>
      <c r="IZM16" s="222"/>
      <c r="IZN16" s="220"/>
      <c r="IZO16" s="220"/>
      <c r="IZP16" s="220"/>
      <c r="IZQ16" s="220"/>
      <c r="IZR16" s="223"/>
      <c r="IZS16" s="223"/>
      <c r="IZT16" s="223"/>
      <c r="IZU16" s="223"/>
      <c r="IZV16" s="223"/>
      <c r="IZW16" s="223"/>
      <c r="IZX16" s="223"/>
      <c r="IZY16" s="223"/>
      <c r="IZZ16" s="223"/>
      <c r="JAA16" s="224"/>
      <c r="JAB16" s="225"/>
      <c r="JAC16" s="226"/>
      <c r="JAD16" s="224"/>
      <c r="JAE16" s="225"/>
      <c r="JAF16" s="225"/>
      <c r="JAG16" s="227"/>
      <c r="JAH16" s="228"/>
      <c r="JAI16" s="228"/>
      <c r="JAJ16" s="229"/>
      <c r="JAK16" s="216"/>
      <c r="JAL16" s="219"/>
      <c r="JAM16" s="220"/>
      <c r="JAN16" s="217"/>
      <c r="JAO16" s="217"/>
      <c r="JAP16" s="217"/>
      <c r="JAQ16" s="217"/>
      <c r="JAR16" s="217"/>
      <c r="JAS16" s="221"/>
      <c r="JAT16" s="222"/>
      <c r="JAU16" s="220"/>
      <c r="JAV16" s="220"/>
      <c r="JAW16" s="220"/>
      <c r="JAX16" s="220"/>
      <c r="JAY16" s="223"/>
      <c r="JAZ16" s="223"/>
      <c r="JBA16" s="223"/>
      <c r="JBB16" s="223"/>
      <c r="JBC16" s="223"/>
      <c r="JBD16" s="223"/>
      <c r="JBE16" s="223"/>
      <c r="JBF16" s="223"/>
      <c r="JBG16" s="223"/>
      <c r="JBH16" s="224"/>
      <c r="JBI16" s="225"/>
      <c r="JBJ16" s="226"/>
      <c r="JBK16" s="224"/>
      <c r="JBL16" s="225"/>
      <c r="JBM16" s="225"/>
      <c r="JBN16" s="227"/>
      <c r="JBO16" s="228"/>
      <c r="JBP16" s="228"/>
      <c r="JBQ16" s="229"/>
      <c r="JBR16" s="216"/>
      <c r="JBS16" s="219"/>
      <c r="JBT16" s="220"/>
      <c r="JBU16" s="217"/>
      <c r="JBV16" s="217"/>
      <c r="JBW16" s="217"/>
      <c r="JBX16" s="217"/>
      <c r="JBY16" s="217"/>
      <c r="JBZ16" s="221"/>
      <c r="JCA16" s="222"/>
      <c r="JCB16" s="220"/>
      <c r="JCC16" s="220"/>
      <c r="JCD16" s="220"/>
      <c r="JCE16" s="220"/>
      <c r="JCF16" s="223"/>
      <c r="JCG16" s="223"/>
      <c r="JCH16" s="223"/>
      <c r="JCI16" s="223"/>
      <c r="JCJ16" s="223"/>
      <c r="JCK16" s="223"/>
      <c r="JCL16" s="223"/>
      <c r="JCM16" s="223"/>
      <c r="JCN16" s="223"/>
      <c r="JCO16" s="224"/>
      <c r="JCP16" s="225"/>
      <c r="JCQ16" s="226"/>
      <c r="JCR16" s="224"/>
      <c r="JCS16" s="225"/>
      <c r="JCT16" s="225"/>
      <c r="JCU16" s="227"/>
      <c r="JCV16" s="228"/>
      <c r="JCW16" s="228"/>
      <c r="JCX16" s="229"/>
      <c r="JCY16" s="216"/>
      <c r="JCZ16" s="219"/>
      <c r="JDA16" s="220"/>
      <c r="JDB16" s="217"/>
      <c r="JDC16" s="217"/>
      <c r="JDD16" s="217"/>
      <c r="JDE16" s="217"/>
      <c r="JDF16" s="217"/>
      <c r="JDG16" s="221"/>
      <c r="JDH16" s="222"/>
      <c r="JDI16" s="220"/>
      <c r="JDJ16" s="220"/>
      <c r="JDK16" s="220"/>
      <c r="JDL16" s="220"/>
      <c r="JDM16" s="223"/>
      <c r="JDN16" s="223"/>
      <c r="JDO16" s="223"/>
      <c r="JDP16" s="223"/>
      <c r="JDQ16" s="223"/>
      <c r="JDR16" s="223"/>
      <c r="JDS16" s="223"/>
      <c r="JDT16" s="223"/>
      <c r="JDU16" s="223"/>
      <c r="JDV16" s="224"/>
      <c r="JDW16" s="225"/>
      <c r="JDX16" s="226"/>
      <c r="JDY16" s="224"/>
      <c r="JDZ16" s="225"/>
      <c r="JEA16" s="225"/>
      <c r="JEB16" s="227"/>
      <c r="JEC16" s="228"/>
      <c r="JED16" s="228"/>
      <c r="JEE16" s="229"/>
      <c r="JEF16" s="216"/>
      <c r="JEG16" s="219"/>
      <c r="JEH16" s="220"/>
      <c r="JEI16" s="217"/>
      <c r="JEJ16" s="217"/>
      <c r="JEK16" s="217"/>
      <c r="JEL16" s="217"/>
      <c r="JEM16" s="217"/>
      <c r="JEN16" s="221"/>
      <c r="JEO16" s="222"/>
      <c r="JEP16" s="220"/>
      <c r="JEQ16" s="220"/>
      <c r="JER16" s="220"/>
      <c r="JES16" s="220"/>
      <c r="JET16" s="223"/>
      <c r="JEU16" s="223"/>
      <c r="JEV16" s="223"/>
      <c r="JEW16" s="223"/>
      <c r="JEX16" s="223"/>
      <c r="JEY16" s="223"/>
      <c r="JEZ16" s="223"/>
      <c r="JFA16" s="223"/>
      <c r="JFB16" s="223"/>
      <c r="JFC16" s="224"/>
      <c r="JFD16" s="225"/>
      <c r="JFE16" s="226"/>
      <c r="JFF16" s="224"/>
      <c r="JFG16" s="225"/>
      <c r="JFH16" s="225"/>
      <c r="JFI16" s="227"/>
      <c r="JFJ16" s="228"/>
      <c r="JFK16" s="228"/>
      <c r="JFL16" s="229"/>
      <c r="JFM16" s="216"/>
      <c r="JFN16" s="219"/>
      <c r="JFO16" s="220"/>
      <c r="JFP16" s="217"/>
      <c r="JFQ16" s="217"/>
      <c r="JFR16" s="217"/>
      <c r="JFS16" s="217"/>
      <c r="JFT16" s="217"/>
      <c r="JFU16" s="221"/>
      <c r="JFV16" s="222"/>
      <c r="JFW16" s="220"/>
      <c r="JFX16" s="220"/>
      <c r="JFY16" s="220"/>
      <c r="JFZ16" s="220"/>
      <c r="JGA16" s="223"/>
      <c r="JGB16" s="223"/>
      <c r="JGC16" s="223"/>
      <c r="JGD16" s="223"/>
      <c r="JGE16" s="223"/>
      <c r="JGF16" s="223"/>
      <c r="JGG16" s="223"/>
      <c r="JGH16" s="223"/>
      <c r="JGI16" s="223"/>
      <c r="JGJ16" s="224"/>
      <c r="JGK16" s="225"/>
      <c r="JGL16" s="226"/>
      <c r="JGM16" s="224"/>
      <c r="JGN16" s="225"/>
      <c r="JGO16" s="225"/>
      <c r="JGP16" s="227"/>
      <c r="JGQ16" s="228"/>
      <c r="JGR16" s="228"/>
      <c r="JGS16" s="229"/>
      <c r="JGT16" s="216"/>
      <c r="JGU16" s="219"/>
      <c r="JGV16" s="220"/>
      <c r="JGW16" s="217"/>
      <c r="JGX16" s="217"/>
      <c r="JGY16" s="217"/>
      <c r="JGZ16" s="217"/>
      <c r="JHA16" s="217"/>
      <c r="JHB16" s="221"/>
      <c r="JHC16" s="222"/>
      <c r="JHD16" s="220"/>
      <c r="JHE16" s="220"/>
      <c r="JHF16" s="220"/>
      <c r="JHG16" s="220"/>
      <c r="JHH16" s="223"/>
      <c r="JHI16" s="223"/>
      <c r="JHJ16" s="223"/>
      <c r="JHK16" s="223"/>
      <c r="JHL16" s="223"/>
      <c r="JHM16" s="223"/>
      <c r="JHN16" s="223"/>
      <c r="JHO16" s="223"/>
      <c r="JHP16" s="223"/>
      <c r="JHQ16" s="224"/>
      <c r="JHR16" s="225"/>
      <c r="JHS16" s="226"/>
      <c r="JHT16" s="224"/>
      <c r="JHU16" s="225"/>
      <c r="JHV16" s="225"/>
      <c r="JHW16" s="227"/>
      <c r="JHX16" s="228"/>
      <c r="JHY16" s="228"/>
      <c r="JHZ16" s="229"/>
      <c r="JIA16" s="216"/>
      <c r="JIB16" s="219"/>
      <c r="JIC16" s="220"/>
      <c r="JID16" s="217"/>
      <c r="JIE16" s="217"/>
      <c r="JIF16" s="217"/>
      <c r="JIG16" s="217"/>
      <c r="JIH16" s="217"/>
      <c r="JII16" s="221"/>
      <c r="JIJ16" s="222"/>
      <c r="JIK16" s="220"/>
      <c r="JIL16" s="220"/>
      <c r="JIM16" s="220"/>
      <c r="JIN16" s="220"/>
      <c r="JIO16" s="223"/>
      <c r="JIP16" s="223"/>
      <c r="JIQ16" s="223"/>
      <c r="JIR16" s="223"/>
      <c r="JIS16" s="223"/>
      <c r="JIT16" s="223"/>
      <c r="JIU16" s="223"/>
      <c r="JIV16" s="223"/>
      <c r="JIW16" s="223"/>
      <c r="JIX16" s="224"/>
      <c r="JIY16" s="225"/>
      <c r="JIZ16" s="226"/>
      <c r="JJA16" s="224"/>
      <c r="JJB16" s="225"/>
      <c r="JJC16" s="225"/>
      <c r="JJD16" s="227"/>
      <c r="JJE16" s="228"/>
      <c r="JJF16" s="228"/>
      <c r="JJG16" s="229"/>
      <c r="JJH16" s="216"/>
      <c r="JJI16" s="219"/>
      <c r="JJJ16" s="220"/>
      <c r="JJK16" s="217"/>
      <c r="JJL16" s="217"/>
      <c r="JJM16" s="217"/>
      <c r="JJN16" s="217"/>
      <c r="JJO16" s="217"/>
      <c r="JJP16" s="221"/>
      <c r="JJQ16" s="222"/>
      <c r="JJR16" s="220"/>
      <c r="JJS16" s="220"/>
      <c r="JJT16" s="220"/>
      <c r="JJU16" s="220"/>
      <c r="JJV16" s="223"/>
      <c r="JJW16" s="223"/>
      <c r="JJX16" s="223"/>
      <c r="JJY16" s="223"/>
      <c r="JJZ16" s="223"/>
      <c r="JKA16" s="223"/>
      <c r="JKB16" s="223"/>
      <c r="JKC16" s="223"/>
      <c r="JKD16" s="223"/>
      <c r="JKE16" s="224"/>
      <c r="JKF16" s="225"/>
      <c r="JKG16" s="226"/>
      <c r="JKH16" s="224"/>
      <c r="JKI16" s="225"/>
      <c r="JKJ16" s="225"/>
      <c r="JKK16" s="227"/>
      <c r="JKL16" s="228"/>
      <c r="JKM16" s="228"/>
      <c r="JKN16" s="229"/>
      <c r="JKO16" s="216"/>
      <c r="JKP16" s="219"/>
      <c r="JKQ16" s="220"/>
      <c r="JKR16" s="217"/>
      <c r="JKS16" s="217"/>
      <c r="JKT16" s="217"/>
      <c r="JKU16" s="217"/>
      <c r="JKV16" s="217"/>
      <c r="JKW16" s="221"/>
      <c r="JKX16" s="222"/>
      <c r="JKY16" s="220"/>
      <c r="JKZ16" s="220"/>
      <c r="JLA16" s="220"/>
      <c r="JLB16" s="220"/>
      <c r="JLC16" s="223"/>
      <c r="JLD16" s="223"/>
      <c r="JLE16" s="223"/>
      <c r="JLF16" s="223"/>
      <c r="JLG16" s="223"/>
      <c r="JLH16" s="223"/>
      <c r="JLI16" s="223"/>
      <c r="JLJ16" s="223"/>
      <c r="JLK16" s="223"/>
      <c r="JLL16" s="224"/>
      <c r="JLM16" s="225"/>
      <c r="JLN16" s="226"/>
      <c r="JLO16" s="224"/>
      <c r="JLP16" s="225"/>
      <c r="JLQ16" s="225"/>
      <c r="JLR16" s="227"/>
      <c r="JLS16" s="228"/>
      <c r="JLT16" s="228"/>
      <c r="JLU16" s="229"/>
      <c r="JLV16" s="216"/>
      <c r="JLW16" s="219"/>
      <c r="JLX16" s="220"/>
      <c r="JLY16" s="217"/>
      <c r="JLZ16" s="217"/>
      <c r="JMA16" s="217"/>
      <c r="JMB16" s="217"/>
      <c r="JMC16" s="217"/>
      <c r="JMD16" s="221"/>
      <c r="JME16" s="222"/>
      <c r="JMF16" s="220"/>
      <c r="JMG16" s="220"/>
      <c r="JMH16" s="220"/>
      <c r="JMI16" s="220"/>
      <c r="JMJ16" s="223"/>
      <c r="JMK16" s="223"/>
      <c r="JML16" s="223"/>
      <c r="JMM16" s="223"/>
      <c r="JMN16" s="223"/>
      <c r="JMO16" s="223"/>
      <c r="JMP16" s="223"/>
      <c r="JMQ16" s="223"/>
      <c r="JMR16" s="223"/>
      <c r="JMS16" s="224"/>
      <c r="JMT16" s="225"/>
      <c r="JMU16" s="226"/>
      <c r="JMV16" s="224"/>
      <c r="JMW16" s="225"/>
      <c r="JMX16" s="225"/>
      <c r="JMY16" s="227"/>
      <c r="JMZ16" s="228"/>
      <c r="JNA16" s="228"/>
      <c r="JNB16" s="229"/>
      <c r="JNC16" s="216"/>
      <c r="JND16" s="219"/>
      <c r="JNE16" s="220"/>
      <c r="JNF16" s="217"/>
      <c r="JNG16" s="217"/>
      <c r="JNH16" s="217"/>
      <c r="JNI16" s="217"/>
      <c r="JNJ16" s="217"/>
      <c r="JNK16" s="221"/>
      <c r="JNL16" s="222"/>
      <c r="JNM16" s="220"/>
      <c r="JNN16" s="220"/>
      <c r="JNO16" s="220"/>
      <c r="JNP16" s="220"/>
      <c r="JNQ16" s="223"/>
      <c r="JNR16" s="223"/>
      <c r="JNS16" s="223"/>
      <c r="JNT16" s="223"/>
      <c r="JNU16" s="223"/>
      <c r="JNV16" s="223"/>
      <c r="JNW16" s="223"/>
      <c r="JNX16" s="223"/>
      <c r="JNY16" s="223"/>
      <c r="JNZ16" s="224"/>
      <c r="JOA16" s="225"/>
      <c r="JOB16" s="226"/>
      <c r="JOC16" s="224"/>
      <c r="JOD16" s="225"/>
      <c r="JOE16" s="225"/>
      <c r="JOF16" s="227"/>
      <c r="JOG16" s="228"/>
      <c r="JOH16" s="228"/>
      <c r="JOI16" s="229"/>
      <c r="JOJ16" s="216"/>
      <c r="JOK16" s="219"/>
      <c r="JOL16" s="220"/>
      <c r="JOM16" s="217"/>
      <c r="JON16" s="217"/>
      <c r="JOO16" s="217"/>
      <c r="JOP16" s="217"/>
      <c r="JOQ16" s="217"/>
      <c r="JOR16" s="221"/>
      <c r="JOS16" s="222"/>
      <c r="JOT16" s="220"/>
      <c r="JOU16" s="220"/>
      <c r="JOV16" s="220"/>
      <c r="JOW16" s="220"/>
      <c r="JOX16" s="223"/>
      <c r="JOY16" s="223"/>
      <c r="JOZ16" s="223"/>
      <c r="JPA16" s="223"/>
      <c r="JPB16" s="223"/>
      <c r="JPC16" s="223"/>
      <c r="JPD16" s="223"/>
      <c r="JPE16" s="223"/>
      <c r="JPF16" s="223"/>
      <c r="JPG16" s="224"/>
      <c r="JPH16" s="225"/>
      <c r="JPI16" s="226"/>
      <c r="JPJ16" s="224"/>
      <c r="JPK16" s="225"/>
      <c r="JPL16" s="225"/>
      <c r="JPM16" s="227"/>
      <c r="JPN16" s="228"/>
      <c r="JPO16" s="228"/>
      <c r="JPP16" s="229"/>
      <c r="JPQ16" s="216"/>
      <c r="JPR16" s="219"/>
      <c r="JPS16" s="220"/>
      <c r="JPT16" s="217"/>
      <c r="JPU16" s="217"/>
      <c r="JPV16" s="217"/>
      <c r="JPW16" s="217"/>
      <c r="JPX16" s="217"/>
      <c r="JPY16" s="221"/>
      <c r="JPZ16" s="222"/>
      <c r="JQA16" s="220"/>
      <c r="JQB16" s="220"/>
      <c r="JQC16" s="220"/>
      <c r="JQD16" s="220"/>
      <c r="JQE16" s="223"/>
      <c r="JQF16" s="223"/>
      <c r="JQG16" s="223"/>
      <c r="JQH16" s="223"/>
      <c r="JQI16" s="223"/>
      <c r="JQJ16" s="223"/>
      <c r="JQK16" s="223"/>
      <c r="JQL16" s="223"/>
      <c r="JQM16" s="223"/>
      <c r="JQN16" s="224"/>
      <c r="JQO16" s="225"/>
      <c r="JQP16" s="226"/>
      <c r="JQQ16" s="224"/>
      <c r="JQR16" s="225"/>
      <c r="JQS16" s="225"/>
      <c r="JQT16" s="227"/>
      <c r="JQU16" s="228"/>
      <c r="JQV16" s="228"/>
      <c r="JQW16" s="229"/>
      <c r="JQX16" s="216"/>
      <c r="JQY16" s="219"/>
      <c r="JQZ16" s="220"/>
      <c r="JRA16" s="217"/>
      <c r="JRB16" s="217"/>
      <c r="JRC16" s="217"/>
      <c r="JRD16" s="217"/>
      <c r="JRE16" s="217"/>
      <c r="JRF16" s="221"/>
      <c r="JRG16" s="222"/>
      <c r="JRH16" s="220"/>
      <c r="JRI16" s="220"/>
      <c r="JRJ16" s="220"/>
      <c r="JRK16" s="220"/>
      <c r="JRL16" s="223"/>
      <c r="JRM16" s="223"/>
      <c r="JRN16" s="223"/>
      <c r="JRO16" s="223"/>
      <c r="JRP16" s="223"/>
      <c r="JRQ16" s="223"/>
      <c r="JRR16" s="223"/>
      <c r="JRS16" s="223"/>
      <c r="JRT16" s="223"/>
      <c r="JRU16" s="224"/>
      <c r="JRV16" s="225"/>
      <c r="JRW16" s="226"/>
      <c r="JRX16" s="224"/>
      <c r="JRY16" s="225"/>
      <c r="JRZ16" s="225"/>
      <c r="JSA16" s="227"/>
      <c r="JSB16" s="228"/>
      <c r="JSC16" s="228"/>
      <c r="JSD16" s="229"/>
      <c r="JSE16" s="216"/>
      <c r="JSF16" s="219"/>
      <c r="JSG16" s="220"/>
      <c r="JSH16" s="217"/>
      <c r="JSI16" s="217"/>
      <c r="JSJ16" s="217"/>
      <c r="JSK16" s="217"/>
      <c r="JSL16" s="217"/>
      <c r="JSM16" s="221"/>
      <c r="JSN16" s="222"/>
      <c r="JSO16" s="220"/>
      <c r="JSP16" s="220"/>
      <c r="JSQ16" s="220"/>
      <c r="JSR16" s="220"/>
      <c r="JSS16" s="223"/>
      <c r="JST16" s="223"/>
      <c r="JSU16" s="223"/>
      <c r="JSV16" s="223"/>
      <c r="JSW16" s="223"/>
      <c r="JSX16" s="223"/>
      <c r="JSY16" s="223"/>
      <c r="JSZ16" s="223"/>
      <c r="JTA16" s="223"/>
      <c r="JTB16" s="224"/>
      <c r="JTC16" s="225"/>
      <c r="JTD16" s="226"/>
      <c r="JTE16" s="224"/>
      <c r="JTF16" s="225"/>
      <c r="JTG16" s="225"/>
      <c r="JTH16" s="227"/>
      <c r="JTI16" s="228"/>
      <c r="JTJ16" s="228"/>
      <c r="JTK16" s="229"/>
      <c r="JTL16" s="216"/>
      <c r="JTM16" s="219"/>
      <c r="JTN16" s="220"/>
      <c r="JTO16" s="217"/>
      <c r="JTP16" s="217"/>
      <c r="JTQ16" s="217"/>
      <c r="JTR16" s="217"/>
      <c r="JTS16" s="217"/>
      <c r="JTT16" s="221"/>
      <c r="JTU16" s="222"/>
      <c r="JTV16" s="220"/>
      <c r="JTW16" s="220"/>
      <c r="JTX16" s="220"/>
      <c r="JTY16" s="220"/>
      <c r="JTZ16" s="223"/>
      <c r="JUA16" s="223"/>
      <c r="JUB16" s="223"/>
      <c r="JUC16" s="223"/>
      <c r="JUD16" s="223"/>
      <c r="JUE16" s="223"/>
      <c r="JUF16" s="223"/>
      <c r="JUG16" s="223"/>
      <c r="JUH16" s="223"/>
      <c r="JUI16" s="224"/>
      <c r="JUJ16" s="225"/>
      <c r="JUK16" s="226"/>
      <c r="JUL16" s="224"/>
      <c r="JUM16" s="225"/>
      <c r="JUN16" s="225"/>
      <c r="JUO16" s="227"/>
      <c r="JUP16" s="228"/>
      <c r="JUQ16" s="228"/>
      <c r="JUR16" s="229"/>
      <c r="JUS16" s="216"/>
      <c r="JUT16" s="219"/>
      <c r="JUU16" s="220"/>
      <c r="JUV16" s="217"/>
      <c r="JUW16" s="217"/>
      <c r="JUX16" s="217"/>
      <c r="JUY16" s="217"/>
      <c r="JUZ16" s="217"/>
      <c r="JVA16" s="221"/>
      <c r="JVB16" s="222"/>
      <c r="JVC16" s="220"/>
      <c r="JVD16" s="220"/>
      <c r="JVE16" s="220"/>
      <c r="JVF16" s="220"/>
      <c r="JVG16" s="223"/>
      <c r="JVH16" s="223"/>
      <c r="JVI16" s="223"/>
      <c r="JVJ16" s="223"/>
      <c r="JVK16" s="223"/>
      <c r="JVL16" s="223"/>
      <c r="JVM16" s="223"/>
      <c r="JVN16" s="223"/>
      <c r="JVO16" s="223"/>
      <c r="JVP16" s="224"/>
      <c r="JVQ16" s="225"/>
      <c r="JVR16" s="226"/>
      <c r="JVS16" s="224"/>
      <c r="JVT16" s="225"/>
      <c r="JVU16" s="225"/>
      <c r="JVV16" s="227"/>
      <c r="JVW16" s="228"/>
      <c r="JVX16" s="228"/>
      <c r="JVY16" s="229"/>
      <c r="JVZ16" s="216"/>
      <c r="JWA16" s="219"/>
      <c r="JWB16" s="220"/>
      <c r="JWC16" s="217"/>
      <c r="JWD16" s="217"/>
      <c r="JWE16" s="217"/>
      <c r="JWF16" s="217"/>
      <c r="JWG16" s="217"/>
      <c r="JWH16" s="221"/>
      <c r="JWI16" s="222"/>
      <c r="JWJ16" s="220"/>
      <c r="JWK16" s="220"/>
      <c r="JWL16" s="220"/>
      <c r="JWM16" s="220"/>
      <c r="JWN16" s="223"/>
      <c r="JWO16" s="223"/>
      <c r="JWP16" s="223"/>
      <c r="JWQ16" s="223"/>
      <c r="JWR16" s="223"/>
      <c r="JWS16" s="223"/>
      <c r="JWT16" s="223"/>
      <c r="JWU16" s="223"/>
      <c r="JWV16" s="223"/>
      <c r="JWW16" s="224"/>
      <c r="JWX16" s="225"/>
      <c r="JWY16" s="226"/>
      <c r="JWZ16" s="224"/>
      <c r="JXA16" s="225"/>
      <c r="JXB16" s="225"/>
      <c r="JXC16" s="227"/>
      <c r="JXD16" s="228"/>
      <c r="JXE16" s="228"/>
      <c r="JXF16" s="229"/>
      <c r="JXG16" s="216"/>
      <c r="JXH16" s="219"/>
      <c r="JXI16" s="220"/>
      <c r="JXJ16" s="217"/>
      <c r="JXK16" s="217"/>
      <c r="JXL16" s="217"/>
      <c r="JXM16" s="217"/>
      <c r="JXN16" s="217"/>
      <c r="JXO16" s="221"/>
      <c r="JXP16" s="222"/>
      <c r="JXQ16" s="220"/>
      <c r="JXR16" s="220"/>
      <c r="JXS16" s="220"/>
      <c r="JXT16" s="220"/>
      <c r="JXU16" s="223"/>
      <c r="JXV16" s="223"/>
      <c r="JXW16" s="223"/>
      <c r="JXX16" s="223"/>
      <c r="JXY16" s="223"/>
      <c r="JXZ16" s="223"/>
      <c r="JYA16" s="223"/>
      <c r="JYB16" s="223"/>
      <c r="JYC16" s="223"/>
      <c r="JYD16" s="224"/>
      <c r="JYE16" s="225"/>
      <c r="JYF16" s="226"/>
      <c r="JYG16" s="224"/>
      <c r="JYH16" s="225"/>
      <c r="JYI16" s="225"/>
      <c r="JYJ16" s="227"/>
      <c r="JYK16" s="228"/>
      <c r="JYL16" s="228"/>
      <c r="JYM16" s="229"/>
      <c r="JYN16" s="216"/>
      <c r="JYO16" s="219"/>
      <c r="JYP16" s="220"/>
      <c r="JYQ16" s="217"/>
      <c r="JYR16" s="217"/>
      <c r="JYS16" s="217"/>
      <c r="JYT16" s="217"/>
      <c r="JYU16" s="217"/>
      <c r="JYV16" s="221"/>
      <c r="JYW16" s="222"/>
      <c r="JYX16" s="220"/>
      <c r="JYY16" s="220"/>
      <c r="JYZ16" s="220"/>
      <c r="JZA16" s="220"/>
      <c r="JZB16" s="223"/>
      <c r="JZC16" s="223"/>
      <c r="JZD16" s="223"/>
      <c r="JZE16" s="223"/>
      <c r="JZF16" s="223"/>
      <c r="JZG16" s="223"/>
      <c r="JZH16" s="223"/>
      <c r="JZI16" s="223"/>
      <c r="JZJ16" s="223"/>
      <c r="JZK16" s="224"/>
      <c r="JZL16" s="225"/>
      <c r="JZM16" s="226"/>
      <c r="JZN16" s="224"/>
      <c r="JZO16" s="225"/>
      <c r="JZP16" s="225"/>
      <c r="JZQ16" s="227"/>
      <c r="JZR16" s="228"/>
      <c r="JZS16" s="228"/>
      <c r="JZT16" s="229"/>
      <c r="JZU16" s="216"/>
      <c r="JZV16" s="219"/>
      <c r="JZW16" s="220"/>
      <c r="JZX16" s="217"/>
      <c r="JZY16" s="217"/>
      <c r="JZZ16" s="217"/>
      <c r="KAA16" s="217"/>
      <c r="KAB16" s="217"/>
      <c r="KAC16" s="221"/>
      <c r="KAD16" s="222"/>
      <c r="KAE16" s="220"/>
      <c r="KAF16" s="220"/>
      <c r="KAG16" s="220"/>
      <c r="KAH16" s="220"/>
      <c r="KAI16" s="223"/>
      <c r="KAJ16" s="223"/>
      <c r="KAK16" s="223"/>
      <c r="KAL16" s="223"/>
      <c r="KAM16" s="223"/>
      <c r="KAN16" s="223"/>
      <c r="KAO16" s="223"/>
      <c r="KAP16" s="223"/>
      <c r="KAQ16" s="223"/>
      <c r="KAR16" s="224"/>
      <c r="KAS16" s="225"/>
      <c r="KAT16" s="226"/>
      <c r="KAU16" s="224"/>
      <c r="KAV16" s="225"/>
      <c r="KAW16" s="225"/>
      <c r="KAX16" s="227"/>
      <c r="KAY16" s="228"/>
      <c r="KAZ16" s="228"/>
      <c r="KBA16" s="229"/>
      <c r="KBB16" s="216"/>
      <c r="KBC16" s="219"/>
      <c r="KBD16" s="220"/>
      <c r="KBE16" s="217"/>
      <c r="KBF16" s="217"/>
      <c r="KBG16" s="217"/>
      <c r="KBH16" s="217"/>
      <c r="KBI16" s="217"/>
      <c r="KBJ16" s="221"/>
      <c r="KBK16" s="222"/>
      <c r="KBL16" s="220"/>
      <c r="KBM16" s="220"/>
      <c r="KBN16" s="220"/>
      <c r="KBO16" s="220"/>
      <c r="KBP16" s="223"/>
      <c r="KBQ16" s="223"/>
      <c r="KBR16" s="223"/>
      <c r="KBS16" s="223"/>
      <c r="KBT16" s="223"/>
      <c r="KBU16" s="223"/>
      <c r="KBV16" s="223"/>
      <c r="KBW16" s="223"/>
      <c r="KBX16" s="223"/>
      <c r="KBY16" s="224"/>
      <c r="KBZ16" s="225"/>
      <c r="KCA16" s="226"/>
      <c r="KCB16" s="224"/>
      <c r="KCC16" s="225"/>
      <c r="KCD16" s="225"/>
      <c r="KCE16" s="227"/>
      <c r="KCF16" s="228"/>
      <c r="KCG16" s="228"/>
      <c r="KCH16" s="229"/>
      <c r="KCI16" s="216"/>
      <c r="KCJ16" s="219"/>
      <c r="KCK16" s="220"/>
      <c r="KCL16" s="217"/>
      <c r="KCM16" s="217"/>
      <c r="KCN16" s="217"/>
      <c r="KCO16" s="217"/>
      <c r="KCP16" s="217"/>
      <c r="KCQ16" s="221"/>
      <c r="KCR16" s="222"/>
      <c r="KCS16" s="220"/>
      <c r="KCT16" s="220"/>
      <c r="KCU16" s="220"/>
      <c r="KCV16" s="220"/>
      <c r="KCW16" s="223"/>
      <c r="KCX16" s="223"/>
      <c r="KCY16" s="223"/>
      <c r="KCZ16" s="223"/>
      <c r="KDA16" s="223"/>
      <c r="KDB16" s="223"/>
      <c r="KDC16" s="223"/>
      <c r="KDD16" s="223"/>
      <c r="KDE16" s="223"/>
      <c r="KDF16" s="224"/>
      <c r="KDG16" s="225"/>
      <c r="KDH16" s="226"/>
      <c r="KDI16" s="224"/>
      <c r="KDJ16" s="225"/>
      <c r="KDK16" s="225"/>
      <c r="KDL16" s="227"/>
      <c r="KDM16" s="228"/>
      <c r="KDN16" s="228"/>
      <c r="KDO16" s="229"/>
      <c r="KDP16" s="216"/>
      <c r="KDQ16" s="219"/>
      <c r="KDR16" s="220"/>
      <c r="KDS16" s="217"/>
      <c r="KDT16" s="217"/>
      <c r="KDU16" s="217"/>
      <c r="KDV16" s="217"/>
      <c r="KDW16" s="217"/>
      <c r="KDX16" s="221"/>
      <c r="KDY16" s="222"/>
      <c r="KDZ16" s="220"/>
      <c r="KEA16" s="220"/>
      <c r="KEB16" s="220"/>
      <c r="KEC16" s="220"/>
      <c r="KED16" s="223"/>
      <c r="KEE16" s="223"/>
      <c r="KEF16" s="223"/>
      <c r="KEG16" s="223"/>
      <c r="KEH16" s="223"/>
      <c r="KEI16" s="223"/>
      <c r="KEJ16" s="223"/>
      <c r="KEK16" s="223"/>
      <c r="KEL16" s="223"/>
      <c r="KEM16" s="224"/>
      <c r="KEN16" s="225"/>
      <c r="KEO16" s="226"/>
      <c r="KEP16" s="224"/>
      <c r="KEQ16" s="225"/>
      <c r="KER16" s="225"/>
      <c r="KES16" s="227"/>
      <c r="KET16" s="228"/>
      <c r="KEU16" s="228"/>
      <c r="KEV16" s="229"/>
      <c r="KEW16" s="216"/>
      <c r="KEX16" s="219"/>
      <c r="KEY16" s="220"/>
      <c r="KEZ16" s="217"/>
      <c r="KFA16" s="217"/>
      <c r="KFB16" s="217"/>
      <c r="KFC16" s="217"/>
      <c r="KFD16" s="217"/>
      <c r="KFE16" s="221"/>
      <c r="KFF16" s="222"/>
      <c r="KFG16" s="220"/>
      <c r="KFH16" s="220"/>
      <c r="KFI16" s="220"/>
      <c r="KFJ16" s="220"/>
      <c r="KFK16" s="223"/>
      <c r="KFL16" s="223"/>
      <c r="KFM16" s="223"/>
      <c r="KFN16" s="223"/>
      <c r="KFO16" s="223"/>
      <c r="KFP16" s="223"/>
      <c r="KFQ16" s="223"/>
      <c r="KFR16" s="223"/>
      <c r="KFS16" s="223"/>
      <c r="KFT16" s="224"/>
      <c r="KFU16" s="225"/>
      <c r="KFV16" s="226"/>
      <c r="KFW16" s="224"/>
      <c r="KFX16" s="225"/>
      <c r="KFY16" s="225"/>
      <c r="KFZ16" s="227"/>
      <c r="KGA16" s="228"/>
      <c r="KGB16" s="228"/>
      <c r="KGC16" s="229"/>
      <c r="KGD16" s="216"/>
      <c r="KGE16" s="219"/>
      <c r="KGF16" s="220"/>
      <c r="KGG16" s="217"/>
      <c r="KGH16" s="217"/>
      <c r="KGI16" s="217"/>
      <c r="KGJ16" s="217"/>
      <c r="KGK16" s="217"/>
      <c r="KGL16" s="221"/>
      <c r="KGM16" s="222"/>
      <c r="KGN16" s="220"/>
      <c r="KGO16" s="220"/>
      <c r="KGP16" s="220"/>
      <c r="KGQ16" s="220"/>
      <c r="KGR16" s="223"/>
      <c r="KGS16" s="223"/>
      <c r="KGT16" s="223"/>
      <c r="KGU16" s="223"/>
      <c r="KGV16" s="223"/>
      <c r="KGW16" s="223"/>
      <c r="KGX16" s="223"/>
      <c r="KGY16" s="223"/>
      <c r="KGZ16" s="223"/>
      <c r="KHA16" s="224"/>
      <c r="KHB16" s="225"/>
      <c r="KHC16" s="226"/>
      <c r="KHD16" s="224"/>
      <c r="KHE16" s="225"/>
      <c r="KHF16" s="225"/>
      <c r="KHG16" s="227"/>
      <c r="KHH16" s="228"/>
      <c r="KHI16" s="228"/>
      <c r="KHJ16" s="229"/>
      <c r="KHK16" s="216"/>
      <c r="KHL16" s="219"/>
      <c r="KHM16" s="220"/>
      <c r="KHN16" s="217"/>
      <c r="KHO16" s="217"/>
      <c r="KHP16" s="217"/>
      <c r="KHQ16" s="217"/>
      <c r="KHR16" s="217"/>
      <c r="KHS16" s="221"/>
      <c r="KHT16" s="222"/>
      <c r="KHU16" s="220"/>
      <c r="KHV16" s="220"/>
      <c r="KHW16" s="220"/>
      <c r="KHX16" s="220"/>
      <c r="KHY16" s="223"/>
      <c r="KHZ16" s="223"/>
      <c r="KIA16" s="223"/>
      <c r="KIB16" s="223"/>
      <c r="KIC16" s="223"/>
      <c r="KID16" s="223"/>
      <c r="KIE16" s="223"/>
      <c r="KIF16" s="223"/>
      <c r="KIG16" s="223"/>
      <c r="KIH16" s="224"/>
      <c r="KII16" s="225"/>
      <c r="KIJ16" s="226"/>
      <c r="KIK16" s="224"/>
      <c r="KIL16" s="225"/>
      <c r="KIM16" s="225"/>
      <c r="KIN16" s="227"/>
      <c r="KIO16" s="228"/>
      <c r="KIP16" s="228"/>
      <c r="KIQ16" s="229"/>
      <c r="KIR16" s="216"/>
      <c r="KIS16" s="219"/>
      <c r="KIT16" s="220"/>
      <c r="KIU16" s="217"/>
      <c r="KIV16" s="217"/>
      <c r="KIW16" s="217"/>
      <c r="KIX16" s="217"/>
      <c r="KIY16" s="217"/>
      <c r="KIZ16" s="221"/>
      <c r="KJA16" s="222"/>
      <c r="KJB16" s="220"/>
      <c r="KJC16" s="220"/>
      <c r="KJD16" s="220"/>
      <c r="KJE16" s="220"/>
      <c r="KJF16" s="223"/>
      <c r="KJG16" s="223"/>
      <c r="KJH16" s="223"/>
      <c r="KJI16" s="223"/>
      <c r="KJJ16" s="223"/>
      <c r="KJK16" s="223"/>
      <c r="KJL16" s="223"/>
      <c r="KJM16" s="223"/>
      <c r="KJN16" s="223"/>
      <c r="KJO16" s="224"/>
      <c r="KJP16" s="225"/>
      <c r="KJQ16" s="226"/>
      <c r="KJR16" s="224"/>
      <c r="KJS16" s="225"/>
      <c r="KJT16" s="225"/>
      <c r="KJU16" s="227"/>
      <c r="KJV16" s="228"/>
      <c r="KJW16" s="228"/>
      <c r="KJX16" s="229"/>
      <c r="KJY16" s="216"/>
      <c r="KJZ16" s="219"/>
      <c r="KKA16" s="220"/>
      <c r="KKB16" s="217"/>
      <c r="KKC16" s="217"/>
      <c r="KKD16" s="217"/>
      <c r="KKE16" s="217"/>
      <c r="KKF16" s="217"/>
      <c r="KKG16" s="221"/>
      <c r="KKH16" s="222"/>
      <c r="KKI16" s="220"/>
      <c r="KKJ16" s="220"/>
      <c r="KKK16" s="220"/>
      <c r="KKL16" s="220"/>
      <c r="KKM16" s="223"/>
      <c r="KKN16" s="223"/>
      <c r="KKO16" s="223"/>
      <c r="KKP16" s="223"/>
      <c r="KKQ16" s="223"/>
      <c r="KKR16" s="223"/>
      <c r="KKS16" s="223"/>
      <c r="KKT16" s="223"/>
      <c r="KKU16" s="223"/>
      <c r="KKV16" s="224"/>
      <c r="KKW16" s="225"/>
      <c r="KKX16" s="226"/>
      <c r="KKY16" s="224"/>
      <c r="KKZ16" s="225"/>
      <c r="KLA16" s="225"/>
      <c r="KLB16" s="227"/>
      <c r="KLC16" s="228"/>
      <c r="KLD16" s="228"/>
      <c r="KLE16" s="229"/>
      <c r="KLF16" s="216"/>
      <c r="KLG16" s="219"/>
      <c r="KLH16" s="220"/>
      <c r="KLI16" s="217"/>
      <c r="KLJ16" s="217"/>
      <c r="KLK16" s="217"/>
      <c r="KLL16" s="217"/>
      <c r="KLM16" s="217"/>
      <c r="KLN16" s="221"/>
      <c r="KLO16" s="222"/>
      <c r="KLP16" s="220"/>
      <c r="KLQ16" s="220"/>
      <c r="KLR16" s="220"/>
      <c r="KLS16" s="220"/>
      <c r="KLT16" s="223"/>
      <c r="KLU16" s="223"/>
      <c r="KLV16" s="223"/>
      <c r="KLW16" s="223"/>
      <c r="KLX16" s="223"/>
      <c r="KLY16" s="223"/>
      <c r="KLZ16" s="223"/>
      <c r="KMA16" s="223"/>
      <c r="KMB16" s="223"/>
      <c r="KMC16" s="224"/>
      <c r="KMD16" s="225"/>
      <c r="KME16" s="226"/>
      <c r="KMF16" s="224"/>
      <c r="KMG16" s="225"/>
      <c r="KMH16" s="225"/>
      <c r="KMI16" s="227"/>
      <c r="KMJ16" s="228"/>
      <c r="KMK16" s="228"/>
      <c r="KML16" s="229"/>
      <c r="KMM16" s="216"/>
      <c r="KMN16" s="219"/>
      <c r="KMO16" s="220"/>
      <c r="KMP16" s="217"/>
      <c r="KMQ16" s="217"/>
      <c r="KMR16" s="217"/>
      <c r="KMS16" s="217"/>
      <c r="KMT16" s="217"/>
      <c r="KMU16" s="221"/>
      <c r="KMV16" s="222"/>
      <c r="KMW16" s="220"/>
      <c r="KMX16" s="220"/>
      <c r="KMY16" s="220"/>
      <c r="KMZ16" s="220"/>
      <c r="KNA16" s="223"/>
      <c r="KNB16" s="223"/>
      <c r="KNC16" s="223"/>
      <c r="KND16" s="223"/>
      <c r="KNE16" s="223"/>
      <c r="KNF16" s="223"/>
      <c r="KNG16" s="223"/>
      <c r="KNH16" s="223"/>
      <c r="KNI16" s="223"/>
      <c r="KNJ16" s="224"/>
      <c r="KNK16" s="225"/>
      <c r="KNL16" s="226"/>
      <c r="KNM16" s="224"/>
      <c r="KNN16" s="225"/>
      <c r="KNO16" s="225"/>
      <c r="KNP16" s="227"/>
      <c r="KNQ16" s="228"/>
      <c r="KNR16" s="228"/>
      <c r="KNS16" s="229"/>
      <c r="KNT16" s="216"/>
      <c r="KNU16" s="219"/>
      <c r="KNV16" s="220"/>
      <c r="KNW16" s="217"/>
      <c r="KNX16" s="217"/>
      <c r="KNY16" s="217"/>
      <c r="KNZ16" s="217"/>
      <c r="KOA16" s="217"/>
      <c r="KOB16" s="221"/>
      <c r="KOC16" s="222"/>
      <c r="KOD16" s="220"/>
      <c r="KOE16" s="220"/>
      <c r="KOF16" s="220"/>
      <c r="KOG16" s="220"/>
      <c r="KOH16" s="223"/>
      <c r="KOI16" s="223"/>
      <c r="KOJ16" s="223"/>
      <c r="KOK16" s="223"/>
      <c r="KOL16" s="223"/>
      <c r="KOM16" s="223"/>
      <c r="KON16" s="223"/>
      <c r="KOO16" s="223"/>
      <c r="KOP16" s="223"/>
      <c r="KOQ16" s="224"/>
      <c r="KOR16" s="225"/>
      <c r="KOS16" s="226"/>
      <c r="KOT16" s="224"/>
      <c r="KOU16" s="225"/>
      <c r="KOV16" s="225"/>
      <c r="KOW16" s="227"/>
      <c r="KOX16" s="228"/>
      <c r="KOY16" s="228"/>
      <c r="KOZ16" s="229"/>
      <c r="KPA16" s="216"/>
      <c r="KPB16" s="219"/>
      <c r="KPC16" s="220"/>
      <c r="KPD16" s="217"/>
      <c r="KPE16" s="217"/>
      <c r="KPF16" s="217"/>
      <c r="KPG16" s="217"/>
      <c r="KPH16" s="217"/>
      <c r="KPI16" s="221"/>
      <c r="KPJ16" s="222"/>
      <c r="KPK16" s="220"/>
      <c r="KPL16" s="220"/>
      <c r="KPM16" s="220"/>
      <c r="KPN16" s="220"/>
      <c r="KPO16" s="223"/>
      <c r="KPP16" s="223"/>
      <c r="KPQ16" s="223"/>
      <c r="KPR16" s="223"/>
      <c r="KPS16" s="223"/>
      <c r="KPT16" s="223"/>
      <c r="KPU16" s="223"/>
      <c r="KPV16" s="223"/>
      <c r="KPW16" s="223"/>
      <c r="KPX16" s="224"/>
      <c r="KPY16" s="225"/>
      <c r="KPZ16" s="226"/>
      <c r="KQA16" s="224"/>
      <c r="KQB16" s="225"/>
      <c r="KQC16" s="225"/>
      <c r="KQD16" s="227"/>
      <c r="KQE16" s="228"/>
      <c r="KQF16" s="228"/>
      <c r="KQG16" s="229"/>
      <c r="KQH16" s="216"/>
      <c r="KQI16" s="219"/>
      <c r="KQJ16" s="220"/>
      <c r="KQK16" s="217"/>
      <c r="KQL16" s="217"/>
      <c r="KQM16" s="217"/>
      <c r="KQN16" s="217"/>
      <c r="KQO16" s="217"/>
      <c r="KQP16" s="221"/>
      <c r="KQQ16" s="222"/>
      <c r="KQR16" s="220"/>
      <c r="KQS16" s="220"/>
      <c r="KQT16" s="220"/>
      <c r="KQU16" s="220"/>
      <c r="KQV16" s="223"/>
      <c r="KQW16" s="223"/>
      <c r="KQX16" s="223"/>
      <c r="KQY16" s="223"/>
      <c r="KQZ16" s="223"/>
      <c r="KRA16" s="223"/>
      <c r="KRB16" s="223"/>
      <c r="KRC16" s="223"/>
      <c r="KRD16" s="223"/>
      <c r="KRE16" s="224"/>
      <c r="KRF16" s="225"/>
      <c r="KRG16" s="226"/>
      <c r="KRH16" s="224"/>
      <c r="KRI16" s="225"/>
      <c r="KRJ16" s="225"/>
      <c r="KRK16" s="227"/>
      <c r="KRL16" s="228"/>
      <c r="KRM16" s="228"/>
      <c r="KRN16" s="229"/>
      <c r="KRO16" s="216"/>
      <c r="KRP16" s="219"/>
      <c r="KRQ16" s="220"/>
      <c r="KRR16" s="217"/>
      <c r="KRS16" s="217"/>
      <c r="KRT16" s="217"/>
      <c r="KRU16" s="217"/>
      <c r="KRV16" s="217"/>
      <c r="KRW16" s="221"/>
      <c r="KRX16" s="222"/>
      <c r="KRY16" s="220"/>
      <c r="KRZ16" s="220"/>
      <c r="KSA16" s="220"/>
      <c r="KSB16" s="220"/>
      <c r="KSC16" s="223"/>
      <c r="KSD16" s="223"/>
      <c r="KSE16" s="223"/>
      <c r="KSF16" s="223"/>
      <c r="KSG16" s="223"/>
      <c r="KSH16" s="223"/>
      <c r="KSI16" s="223"/>
      <c r="KSJ16" s="223"/>
      <c r="KSK16" s="223"/>
      <c r="KSL16" s="224"/>
      <c r="KSM16" s="225"/>
      <c r="KSN16" s="226"/>
      <c r="KSO16" s="224"/>
      <c r="KSP16" s="225"/>
      <c r="KSQ16" s="225"/>
      <c r="KSR16" s="227"/>
      <c r="KSS16" s="228"/>
      <c r="KST16" s="228"/>
      <c r="KSU16" s="229"/>
      <c r="KSV16" s="216"/>
      <c r="KSW16" s="219"/>
      <c r="KSX16" s="220"/>
      <c r="KSY16" s="217"/>
      <c r="KSZ16" s="217"/>
      <c r="KTA16" s="217"/>
      <c r="KTB16" s="217"/>
      <c r="KTC16" s="217"/>
      <c r="KTD16" s="221"/>
      <c r="KTE16" s="222"/>
      <c r="KTF16" s="220"/>
      <c r="KTG16" s="220"/>
      <c r="KTH16" s="220"/>
      <c r="KTI16" s="220"/>
      <c r="KTJ16" s="223"/>
      <c r="KTK16" s="223"/>
      <c r="KTL16" s="223"/>
      <c r="KTM16" s="223"/>
      <c r="KTN16" s="223"/>
      <c r="KTO16" s="223"/>
      <c r="KTP16" s="223"/>
      <c r="KTQ16" s="223"/>
      <c r="KTR16" s="223"/>
      <c r="KTS16" s="224"/>
      <c r="KTT16" s="225"/>
      <c r="KTU16" s="226"/>
      <c r="KTV16" s="224"/>
      <c r="KTW16" s="225"/>
      <c r="KTX16" s="225"/>
      <c r="KTY16" s="227"/>
      <c r="KTZ16" s="228"/>
      <c r="KUA16" s="228"/>
      <c r="KUB16" s="229"/>
      <c r="KUC16" s="216"/>
      <c r="KUD16" s="219"/>
      <c r="KUE16" s="220"/>
      <c r="KUF16" s="217"/>
      <c r="KUG16" s="217"/>
      <c r="KUH16" s="217"/>
      <c r="KUI16" s="217"/>
      <c r="KUJ16" s="217"/>
      <c r="KUK16" s="221"/>
      <c r="KUL16" s="222"/>
      <c r="KUM16" s="220"/>
      <c r="KUN16" s="220"/>
      <c r="KUO16" s="220"/>
      <c r="KUP16" s="220"/>
      <c r="KUQ16" s="223"/>
      <c r="KUR16" s="223"/>
      <c r="KUS16" s="223"/>
      <c r="KUT16" s="223"/>
      <c r="KUU16" s="223"/>
      <c r="KUV16" s="223"/>
      <c r="KUW16" s="223"/>
      <c r="KUX16" s="223"/>
      <c r="KUY16" s="223"/>
      <c r="KUZ16" s="224"/>
      <c r="KVA16" s="225"/>
      <c r="KVB16" s="226"/>
      <c r="KVC16" s="224"/>
      <c r="KVD16" s="225"/>
      <c r="KVE16" s="225"/>
      <c r="KVF16" s="227"/>
      <c r="KVG16" s="228"/>
      <c r="KVH16" s="228"/>
      <c r="KVI16" s="229"/>
      <c r="KVJ16" s="216"/>
      <c r="KVK16" s="219"/>
      <c r="KVL16" s="220"/>
      <c r="KVM16" s="217"/>
      <c r="KVN16" s="217"/>
      <c r="KVO16" s="217"/>
      <c r="KVP16" s="217"/>
      <c r="KVQ16" s="217"/>
      <c r="KVR16" s="221"/>
      <c r="KVS16" s="222"/>
      <c r="KVT16" s="220"/>
      <c r="KVU16" s="220"/>
      <c r="KVV16" s="220"/>
      <c r="KVW16" s="220"/>
      <c r="KVX16" s="223"/>
      <c r="KVY16" s="223"/>
      <c r="KVZ16" s="223"/>
      <c r="KWA16" s="223"/>
      <c r="KWB16" s="223"/>
      <c r="KWC16" s="223"/>
      <c r="KWD16" s="223"/>
      <c r="KWE16" s="223"/>
      <c r="KWF16" s="223"/>
      <c r="KWG16" s="224"/>
      <c r="KWH16" s="225"/>
      <c r="KWI16" s="226"/>
      <c r="KWJ16" s="224"/>
      <c r="KWK16" s="225"/>
      <c r="KWL16" s="225"/>
      <c r="KWM16" s="227"/>
      <c r="KWN16" s="228"/>
      <c r="KWO16" s="228"/>
      <c r="KWP16" s="229"/>
      <c r="KWQ16" s="216"/>
      <c r="KWR16" s="219"/>
      <c r="KWS16" s="220"/>
      <c r="KWT16" s="217"/>
      <c r="KWU16" s="217"/>
      <c r="KWV16" s="217"/>
      <c r="KWW16" s="217"/>
      <c r="KWX16" s="217"/>
      <c r="KWY16" s="221"/>
      <c r="KWZ16" s="222"/>
      <c r="KXA16" s="220"/>
      <c r="KXB16" s="220"/>
      <c r="KXC16" s="220"/>
      <c r="KXD16" s="220"/>
      <c r="KXE16" s="223"/>
      <c r="KXF16" s="223"/>
      <c r="KXG16" s="223"/>
      <c r="KXH16" s="223"/>
      <c r="KXI16" s="223"/>
      <c r="KXJ16" s="223"/>
      <c r="KXK16" s="223"/>
      <c r="KXL16" s="223"/>
      <c r="KXM16" s="223"/>
      <c r="KXN16" s="224"/>
      <c r="KXO16" s="225"/>
      <c r="KXP16" s="226"/>
      <c r="KXQ16" s="224"/>
      <c r="KXR16" s="225"/>
      <c r="KXS16" s="225"/>
      <c r="KXT16" s="227"/>
      <c r="KXU16" s="228"/>
      <c r="KXV16" s="228"/>
      <c r="KXW16" s="229"/>
      <c r="KXX16" s="216"/>
      <c r="KXY16" s="219"/>
      <c r="KXZ16" s="220"/>
      <c r="KYA16" s="217"/>
      <c r="KYB16" s="217"/>
      <c r="KYC16" s="217"/>
      <c r="KYD16" s="217"/>
      <c r="KYE16" s="217"/>
      <c r="KYF16" s="221"/>
      <c r="KYG16" s="222"/>
      <c r="KYH16" s="220"/>
      <c r="KYI16" s="220"/>
      <c r="KYJ16" s="220"/>
      <c r="KYK16" s="220"/>
      <c r="KYL16" s="223"/>
      <c r="KYM16" s="223"/>
      <c r="KYN16" s="223"/>
      <c r="KYO16" s="223"/>
      <c r="KYP16" s="223"/>
      <c r="KYQ16" s="223"/>
      <c r="KYR16" s="223"/>
      <c r="KYS16" s="223"/>
      <c r="KYT16" s="223"/>
      <c r="KYU16" s="224"/>
      <c r="KYV16" s="225"/>
      <c r="KYW16" s="226"/>
      <c r="KYX16" s="224"/>
      <c r="KYY16" s="225"/>
      <c r="KYZ16" s="225"/>
      <c r="KZA16" s="227"/>
      <c r="KZB16" s="228"/>
      <c r="KZC16" s="228"/>
      <c r="KZD16" s="229"/>
      <c r="KZE16" s="216"/>
      <c r="KZF16" s="219"/>
      <c r="KZG16" s="220"/>
      <c r="KZH16" s="217"/>
      <c r="KZI16" s="217"/>
      <c r="KZJ16" s="217"/>
      <c r="KZK16" s="217"/>
      <c r="KZL16" s="217"/>
      <c r="KZM16" s="221"/>
      <c r="KZN16" s="222"/>
      <c r="KZO16" s="220"/>
      <c r="KZP16" s="220"/>
      <c r="KZQ16" s="220"/>
      <c r="KZR16" s="220"/>
      <c r="KZS16" s="223"/>
      <c r="KZT16" s="223"/>
      <c r="KZU16" s="223"/>
      <c r="KZV16" s="223"/>
      <c r="KZW16" s="223"/>
      <c r="KZX16" s="223"/>
      <c r="KZY16" s="223"/>
      <c r="KZZ16" s="223"/>
      <c r="LAA16" s="223"/>
      <c r="LAB16" s="224"/>
      <c r="LAC16" s="225"/>
      <c r="LAD16" s="226"/>
      <c r="LAE16" s="224"/>
      <c r="LAF16" s="225"/>
      <c r="LAG16" s="225"/>
      <c r="LAH16" s="227"/>
      <c r="LAI16" s="228"/>
      <c r="LAJ16" s="228"/>
      <c r="LAK16" s="229"/>
      <c r="LAL16" s="216"/>
      <c r="LAM16" s="219"/>
      <c r="LAN16" s="220"/>
      <c r="LAO16" s="217"/>
      <c r="LAP16" s="217"/>
      <c r="LAQ16" s="217"/>
      <c r="LAR16" s="217"/>
      <c r="LAS16" s="217"/>
      <c r="LAT16" s="221"/>
      <c r="LAU16" s="222"/>
      <c r="LAV16" s="220"/>
      <c r="LAW16" s="220"/>
      <c r="LAX16" s="220"/>
      <c r="LAY16" s="220"/>
      <c r="LAZ16" s="223"/>
      <c r="LBA16" s="223"/>
      <c r="LBB16" s="223"/>
      <c r="LBC16" s="223"/>
      <c r="LBD16" s="223"/>
      <c r="LBE16" s="223"/>
      <c r="LBF16" s="223"/>
      <c r="LBG16" s="223"/>
      <c r="LBH16" s="223"/>
      <c r="LBI16" s="224"/>
      <c r="LBJ16" s="225"/>
      <c r="LBK16" s="226"/>
      <c r="LBL16" s="224"/>
      <c r="LBM16" s="225"/>
      <c r="LBN16" s="225"/>
      <c r="LBO16" s="227"/>
      <c r="LBP16" s="228"/>
      <c r="LBQ16" s="228"/>
      <c r="LBR16" s="229"/>
      <c r="LBS16" s="216"/>
      <c r="LBT16" s="219"/>
      <c r="LBU16" s="220"/>
      <c r="LBV16" s="217"/>
      <c r="LBW16" s="217"/>
      <c r="LBX16" s="217"/>
      <c r="LBY16" s="217"/>
      <c r="LBZ16" s="217"/>
      <c r="LCA16" s="221"/>
      <c r="LCB16" s="222"/>
      <c r="LCC16" s="220"/>
      <c r="LCD16" s="220"/>
      <c r="LCE16" s="220"/>
      <c r="LCF16" s="220"/>
      <c r="LCG16" s="223"/>
      <c r="LCH16" s="223"/>
      <c r="LCI16" s="223"/>
      <c r="LCJ16" s="223"/>
      <c r="LCK16" s="223"/>
      <c r="LCL16" s="223"/>
      <c r="LCM16" s="223"/>
      <c r="LCN16" s="223"/>
      <c r="LCO16" s="223"/>
      <c r="LCP16" s="224"/>
      <c r="LCQ16" s="225"/>
      <c r="LCR16" s="226"/>
      <c r="LCS16" s="224"/>
      <c r="LCT16" s="225"/>
      <c r="LCU16" s="225"/>
      <c r="LCV16" s="227"/>
      <c r="LCW16" s="228"/>
      <c r="LCX16" s="228"/>
      <c r="LCY16" s="229"/>
      <c r="LCZ16" s="216"/>
      <c r="LDA16" s="219"/>
      <c r="LDB16" s="220"/>
      <c r="LDC16" s="217"/>
      <c r="LDD16" s="217"/>
      <c r="LDE16" s="217"/>
      <c r="LDF16" s="217"/>
      <c r="LDG16" s="217"/>
      <c r="LDH16" s="221"/>
      <c r="LDI16" s="222"/>
      <c r="LDJ16" s="220"/>
      <c r="LDK16" s="220"/>
      <c r="LDL16" s="220"/>
      <c r="LDM16" s="220"/>
      <c r="LDN16" s="223"/>
      <c r="LDO16" s="223"/>
      <c r="LDP16" s="223"/>
      <c r="LDQ16" s="223"/>
      <c r="LDR16" s="223"/>
      <c r="LDS16" s="223"/>
      <c r="LDT16" s="223"/>
      <c r="LDU16" s="223"/>
      <c r="LDV16" s="223"/>
      <c r="LDW16" s="224"/>
      <c r="LDX16" s="225"/>
      <c r="LDY16" s="226"/>
      <c r="LDZ16" s="224"/>
      <c r="LEA16" s="225"/>
      <c r="LEB16" s="225"/>
      <c r="LEC16" s="227"/>
      <c r="LED16" s="228"/>
      <c r="LEE16" s="228"/>
      <c r="LEF16" s="229"/>
      <c r="LEG16" s="216"/>
      <c r="LEH16" s="219"/>
      <c r="LEI16" s="220"/>
      <c r="LEJ16" s="217"/>
      <c r="LEK16" s="217"/>
      <c r="LEL16" s="217"/>
      <c r="LEM16" s="217"/>
      <c r="LEN16" s="217"/>
      <c r="LEO16" s="221"/>
      <c r="LEP16" s="222"/>
      <c r="LEQ16" s="220"/>
      <c r="LER16" s="220"/>
      <c r="LES16" s="220"/>
      <c r="LET16" s="220"/>
      <c r="LEU16" s="223"/>
      <c r="LEV16" s="223"/>
      <c r="LEW16" s="223"/>
      <c r="LEX16" s="223"/>
      <c r="LEY16" s="223"/>
      <c r="LEZ16" s="223"/>
      <c r="LFA16" s="223"/>
      <c r="LFB16" s="223"/>
      <c r="LFC16" s="223"/>
      <c r="LFD16" s="224"/>
      <c r="LFE16" s="225"/>
      <c r="LFF16" s="226"/>
      <c r="LFG16" s="224"/>
      <c r="LFH16" s="225"/>
      <c r="LFI16" s="225"/>
      <c r="LFJ16" s="227"/>
      <c r="LFK16" s="228"/>
      <c r="LFL16" s="228"/>
      <c r="LFM16" s="229"/>
      <c r="LFN16" s="216"/>
      <c r="LFO16" s="219"/>
      <c r="LFP16" s="220"/>
      <c r="LFQ16" s="217"/>
      <c r="LFR16" s="217"/>
      <c r="LFS16" s="217"/>
      <c r="LFT16" s="217"/>
      <c r="LFU16" s="217"/>
      <c r="LFV16" s="221"/>
      <c r="LFW16" s="222"/>
      <c r="LFX16" s="220"/>
      <c r="LFY16" s="220"/>
      <c r="LFZ16" s="220"/>
      <c r="LGA16" s="220"/>
      <c r="LGB16" s="223"/>
      <c r="LGC16" s="223"/>
      <c r="LGD16" s="223"/>
      <c r="LGE16" s="223"/>
      <c r="LGF16" s="223"/>
      <c r="LGG16" s="223"/>
      <c r="LGH16" s="223"/>
      <c r="LGI16" s="223"/>
      <c r="LGJ16" s="223"/>
      <c r="LGK16" s="224"/>
      <c r="LGL16" s="225"/>
      <c r="LGM16" s="226"/>
      <c r="LGN16" s="224"/>
      <c r="LGO16" s="225"/>
      <c r="LGP16" s="225"/>
      <c r="LGQ16" s="227"/>
      <c r="LGR16" s="228"/>
      <c r="LGS16" s="228"/>
      <c r="LGT16" s="229"/>
      <c r="LGU16" s="216"/>
      <c r="LGV16" s="219"/>
      <c r="LGW16" s="220"/>
      <c r="LGX16" s="217"/>
      <c r="LGY16" s="217"/>
      <c r="LGZ16" s="217"/>
      <c r="LHA16" s="217"/>
      <c r="LHB16" s="217"/>
      <c r="LHC16" s="221"/>
      <c r="LHD16" s="222"/>
      <c r="LHE16" s="220"/>
      <c r="LHF16" s="220"/>
      <c r="LHG16" s="220"/>
      <c r="LHH16" s="220"/>
      <c r="LHI16" s="223"/>
      <c r="LHJ16" s="223"/>
      <c r="LHK16" s="223"/>
      <c r="LHL16" s="223"/>
      <c r="LHM16" s="223"/>
      <c r="LHN16" s="223"/>
      <c r="LHO16" s="223"/>
      <c r="LHP16" s="223"/>
      <c r="LHQ16" s="223"/>
      <c r="LHR16" s="224"/>
      <c r="LHS16" s="225"/>
      <c r="LHT16" s="226"/>
      <c r="LHU16" s="224"/>
      <c r="LHV16" s="225"/>
      <c r="LHW16" s="225"/>
      <c r="LHX16" s="227"/>
      <c r="LHY16" s="228"/>
      <c r="LHZ16" s="228"/>
      <c r="LIA16" s="229"/>
      <c r="LIB16" s="216"/>
      <c r="LIC16" s="219"/>
      <c r="LID16" s="220"/>
      <c r="LIE16" s="217"/>
      <c r="LIF16" s="217"/>
      <c r="LIG16" s="217"/>
      <c r="LIH16" s="217"/>
      <c r="LII16" s="217"/>
      <c r="LIJ16" s="221"/>
      <c r="LIK16" s="222"/>
      <c r="LIL16" s="220"/>
      <c r="LIM16" s="220"/>
      <c r="LIN16" s="220"/>
      <c r="LIO16" s="220"/>
      <c r="LIP16" s="223"/>
      <c r="LIQ16" s="223"/>
      <c r="LIR16" s="223"/>
      <c r="LIS16" s="223"/>
      <c r="LIT16" s="223"/>
      <c r="LIU16" s="223"/>
      <c r="LIV16" s="223"/>
      <c r="LIW16" s="223"/>
      <c r="LIX16" s="223"/>
      <c r="LIY16" s="224"/>
      <c r="LIZ16" s="225"/>
      <c r="LJA16" s="226"/>
      <c r="LJB16" s="224"/>
      <c r="LJC16" s="225"/>
      <c r="LJD16" s="225"/>
      <c r="LJE16" s="227"/>
      <c r="LJF16" s="228"/>
      <c r="LJG16" s="228"/>
      <c r="LJH16" s="229"/>
      <c r="LJI16" s="216"/>
      <c r="LJJ16" s="219"/>
      <c r="LJK16" s="220"/>
      <c r="LJL16" s="217"/>
      <c r="LJM16" s="217"/>
      <c r="LJN16" s="217"/>
      <c r="LJO16" s="217"/>
      <c r="LJP16" s="217"/>
      <c r="LJQ16" s="221"/>
      <c r="LJR16" s="222"/>
      <c r="LJS16" s="220"/>
      <c r="LJT16" s="220"/>
      <c r="LJU16" s="220"/>
      <c r="LJV16" s="220"/>
      <c r="LJW16" s="223"/>
      <c r="LJX16" s="223"/>
      <c r="LJY16" s="223"/>
      <c r="LJZ16" s="223"/>
      <c r="LKA16" s="223"/>
      <c r="LKB16" s="223"/>
      <c r="LKC16" s="223"/>
      <c r="LKD16" s="223"/>
      <c r="LKE16" s="223"/>
      <c r="LKF16" s="224"/>
      <c r="LKG16" s="225"/>
      <c r="LKH16" s="226"/>
      <c r="LKI16" s="224"/>
      <c r="LKJ16" s="225"/>
      <c r="LKK16" s="225"/>
      <c r="LKL16" s="227"/>
      <c r="LKM16" s="228"/>
      <c r="LKN16" s="228"/>
      <c r="LKO16" s="229"/>
      <c r="LKP16" s="216"/>
      <c r="LKQ16" s="219"/>
      <c r="LKR16" s="220"/>
      <c r="LKS16" s="217"/>
      <c r="LKT16" s="217"/>
      <c r="LKU16" s="217"/>
      <c r="LKV16" s="217"/>
      <c r="LKW16" s="217"/>
      <c r="LKX16" s="221"/>
      <c r="LKY16" s="222"/>
      <c r="LKZ16" s="220"/>
      <c r="LLA16" s="220"/>
      <c r="LLB16" s="220"/>
      <c r="LLC16" s="220"/>
      <c r="LLD16" s="223"/>
      <c r="LLE16" s="223"/>
      <c r="LLF16" s="223"/>
      <c r="LLG16" s="223"/>
      <c r="LLH16" s="223"/>
      <c r="LLI16" s="223"/>
      <c r="LLJ16" s="223"/>
      <c r="LLK16" s="223"/>
      <c r="LLL16" s="223"/>
      <c r="LLM16" s="224"/>
      <c r="LLN16" s="225"/>
      <c r="LLO16" s="226"/>
      <c r="LLP16" s="224"/>
      <c r="LLQ16" s="225"/>
      <c r="LLR16" s="225"/>
      <c r="LLS16" s="227"/>
      <c r="LLT16" s="228"/>
      <c r="LLU16" s="228"/>
      <c r="LLV16" s="229"/>
      <c r="LLW16" s="216"/>
      <c r="LLX16" s="219"/>
      <c r="LLY16" s="220"/>
      <c r="LLZ16" s="217"/>
      <c r="LMA16" s="217"/>
      <c r="LMB16" s="217"/>
      <c r="LMC16" s="217"/>
      <c r="LMD16" s="217"/>
      <c r="LME16" s="221"/>
      <c r="LMF16" s="222"/>
      <c r="LMG16" s="220"/>
      <c r="LMH16" s="220"/>
      <c r="LMI16" s="220"/>
      <c r="LMJ16" s="220"/>
      <c r="LMK16" s="223"/>
      <c r="LML16" s="223"/>
      <c r="LMM16" s="223"/>
      <c r="LMN16" s="223"/>
      <c r="LMO16" s="223"/>
      <c r="LMP16" s="223"/>
      <c r="LMQ16" s="223"/>
      <c r="LMR16" s="223"/>
      <c r="LMS16" s="223"/>
      <c r="LMT16" s="224"/>
      <c r="LMU16" s="225"/>
      <c r="LMV16" s="226"/>
      <c r="LMW16" s="224"/>
      <c r="LMX16" s="225"/>
      <c r="LMY16" s="225"/>
      <c r="LMZ16" s="227"/>
      <c r="LNA16" s="228"/>
      <c r="LNB16" s="228"/>
      <c r="LNC16" s="229"/>
      <c r="LND16" s="216"/>
      <c r="LNE16" s="219"/>
      <c r="LNF16" s="220"/>
      <c r="LNG16" s="217"/>
      <c r="LNH16" s="217"/>
      <c r="LNI16" s="217"/>
      <c r="LNJ16" s="217"/>
      <c r="LNK16" s="217"/>
      <c r="LNL16" s="221"/>
      <c r="LNM16" s="222"/>
      <c r="LNN16" s="220"/>
      <c r="LNO16" s="220"/>
      <c r="LNP16" s="220"/>
      <c r="LNQ16" s="220"/>
      <c r="LNR16" s="223"/>
      <c r="LNS16" s="223"/>
      <c r="LNT16" s="223"/>
      <c r="LNU16" s="223"/>
      <c r="LNV16" s="223"/>
      <c r="LNW16" s="223"/>
      <c r="LNX16" s="223"/>
      <c r="LNY16" s="223"/>
      <c r="LNZ16" s="223"/>
      <c r="LOA16" s="224"/>
      <c r="LOB16" s="225"/>
      <c r="LOC16" s="226"/>
      <c r="LOD16" s="224"/>
      <c r="LOE16" s="225"/>
      <c r="LOF16" s="225"/>
      <c r="LOG16" s="227"/>
      <c r="LOH16" s="228"/>
      <c r="LOI16" s="228"/>
      <c r="LOJ16" s="229"/>
      <c r="LOK16" s="216"/>
      <c r="LOL16" s="219"/>
      <c r="LOM16" s="220"/>
      <c r="LON16" s="217"/>
      <c r="LOO16" s="217"/>
      <c r="LOP16" s="217"/>
      <c r="LOQ16" s="217"/>
      <c r="LOR16" s="217"/>
      <c r="LOS16" s="221"/>
      <c r="LOT16" s="222"/>
      <c r="LOU16" s="220"/>
      <c r="LOV16" s="220"/>
      <c r="LOW16" s="220"/>
      <c r="LOX16" s="220"/>
      <c r="LOY16" s="223"/>
      <c r="LOZ16" s="223"/>
      <c r="LPA16" s="223"/>
      <c r="LPB16" s="223"/>
      <c r="LPC16" s="223"/>
      <c r="LPD16" s="223"/>
      <c r="LPE16" s="223"/>
      <c r="LPF16" s="223"/>
      <c r="LPG16" s="223"/>
      <c r="LPH16" s="224"/>
      <c r="LPI16" s="225"/>
      <c r="LPJ16" s="226"/>
      <c r="LPK16" s="224"/>
      <c r="LPL16" s="225"/>
      <c r="LPM16" s="225"/>
      <c r="LPN16" s="227"/>
      <c r="LPO16" s="228"/>
      <c r="LPP16" s="228"/>
      <c r="LPQ16" s="229"/>
      <c r="LPR16" s="216"/>
      <c r="LPS16" s="219"/>
      <c r="LPT16" s="220"/>
      <c r="LPU16" s="217"/>
      <c r="LPV16" s="217"/>
      <c r="LPW16" s="217"/>
      <c r="LPX16" s="217"/>
      <c r="LPY16" s="217"/>
      <c r="LPZ16" s="221"/>
      <c r="LQA16" s="222"/>
      <c r="LQB16" s="220"/>
      <c r="LQC16" s="220"/>
      <c r="LQD16" s="220"/>
      <c r="LQE16" s="220"/>
      <c r="LQF16" s="223"/>
      <c r="LQG16" s="223"/>
      <c r="LQH16" s="223"/>
      <c r="LQI16" s="223"/>
      <c r="LQJ16" s="223"/>
      <c r="LQK16" s="223"/>
      <c r="LQL16" s="223"/>
      <c r="LQM16" s="223"/>
      <c r="LQN16" s="223"/>
      <c r="LQO16" s="224"/>
      <c r="LQP16" s="225"/>
      <c r="LQQ16" s="226"/>
      <c r="LQR16" s="224"/>
      <c r="LQS16" s="225"/>
      <c r="LQT16" s="225"/>
      <c r="LQU16" s="227"/>
      <c r="LQV16" s="228"/>
      <c r="LQW16" s="228"/>
      <c r="LQX16" s="229"/>
      <c r="LQY16" s="216"/>
      <c r="LQZ16" s="219"/>
      <c r="LRA16" s="220"/>
      <c r="LRB16" s="217"/>
      <c r="LRC16" s="217"/>
      <c r="LRD16" s="217"/>
      <c r="LRE16" s="217"/>
      <c r="LRF16" s="217"/>
      <c r="LRG16" s="221"/>
      <c r="LRH16" s="222"/>
      <c r="LRI16" s="220"/>
      <c r="LRJ16" s="220"/>
      <c r="LRK16" s="220"/>
      <c r="LRL16" s="220"/>
      <c r="LRM16" s="223"/>
      <c r="LRN16" s="223"/>
      <c r="LRO16" s="223"/>
      <c r="LRP16" s="223"/>
      <c r="LRQ16" s="223"/>
      <c r="LRR16" s="223"/>
      <c r="LRS16" s="223"/>
      <c r="LRT16" s="223"/>
      <c r="LRU16" s="223"/>
      <c r="LRV16" s="224"/>
      <c r="LRW16" s="225"/>
      <c r="LRX16" s="226"/>
      <c r="LRY16" s="224"/>
      <c r="LRZ16" s="225"/>
      <c r="LSA16" s="225"/>
      <c r="LSB16" s="227"/>
      <c r="LSC16" s="228"/>
      <c r="LSD16" s="228"/>
      <c r="LSE16" s="229"/>
      <c r="LSF16" s="216"/>
      <c r="LSG16" s="219"/>
      <c r="LSH16" s="220"/>
      <c r="LSI16" s="217"/>
      <c r="LSJ16" s="217"/>
      <c r="LSK16" s="217"/>
      <c r="LSL16" s="217"/>
      <c r="LSM16" s="217"/>
      <c r="LSN16" s="221"/>
      <c r="LSO16" s="222"/>
      <c r="LSP16" s="220"/>
      <c r="LSQ16" s="220"/>
      <c r="LSR16" s="220"/>
      <c r="LSS16" s="220"/>
      <c r="LST16" s="223"/>
      <c r="LSU16" s="223"/>
      <c r="LSV16" s="223"/>
      <c r="LSW16" s="223"/>
      <c r="LSX16" s="223"/>
      <c r="LSY16" s="223"/>
      <c r="LSZ16" s="223"/>
      <c r="LTA16" s="223"/>
      <c r="LTB16" s="223"/>
      <c r="LTC16" s="224"/>
      <c r="LTD16" s="225"/>
      <c r="LTE16" s="226"/>
      <c r="LTF16" s="224"/>
      <c r="LTG16" s="225"/>
      <c r="LTH16" s="225"/>
      <c r="LTI16" s="227"/>
      <c r="LTJ16" s="228"/>
      <c r="LTK16" s="228"/>
      <c r="LTL16" s="229"/>
      <c r="LTM16" s="216"/>
      <c r="LTN16" s="219"/>
      <c r="LTO16" s="220"/>
      <c r="LTP16" s="217"/>
      <c r="LTQ16" s="217"/>
      <c r="LTR16" s="217"/>
      <c r="LTS16" s="217"/>
      <c r="LTT16" s="217"/>
      <c r="LTU16" s="221"/>
      <c r="LTV16" s="222"/>
      <c r="LTW16" s="220"/>
      <c r="LTX16" s="220"/>
      <c r="LTY16" s="220"/>
      <c r="LTZ16" s="220"/>
      <c r="LUA16" s="223"/>
      <c r="LUB16" s="223"/>
      <c r="LUC16" s="223"/>
      <c r="LUD16" s="223"/>
      <c r="LUE16" s="223"/>
      <c r="LUF16" s="223"/>
      <c r="LUG16" s="223"/>
      <c r="LUH16" s="223"/>
      <c r="LUI16" s="223"/>
      <c r="LUJ16" s="224"/>
      <c r="LUK16" s="225"/>
      <c r="LUL16" s="226"/>
      <c r="LUM16" s="224"/>
      <c r="LUN16" s="225"/>
      <c r="LUO16" s="225"/>
      <c r="LUP16" s="227"/>
      <c r="LUQ16" s="228"/>
      <c r="LUR16" s="228"/>
      <c r="LUS16" s="229"/>
      <c r="LUT16" s="216"/>
      <c r="LUU16" s="219"/>
      <c r="LUV16" s="220"/>
      <c r="LUW16" s="217"/>
      <c r="LUX16" s="217"/>
      <c r="LUY16" s="217"/>
      <c r="LUZ16" s="217"/>
      <c r="LVA16" s="217"/>
      <c r="LVB16" s="221"/>
      <c r="LVC16" s="222"/>
      <c r="LVD16" s="220"/>
      <c r="LVE16" s="220"/>
      <c r="LVF16" s="220"/>
      <c r="LVG16" s="220"/>
      <c r="LVH16" s="223"/>
      <c r="LVI16" s="223"/>
      <c r="LVJ16" s="223"/>
      <c r="LVK16" s="223"/>
      <c r="LVL16" s="223"/>
      <c r="LVM16" s="223"/>
      <c r="LVN16" s="223"/>
      <c r="LVO16" s="223"/>
      <c r="LVP16" s="223"/>
      <c r="LVQ16" s="224"/>
      <c r="LVR16" s="225"/>
      <c r="LVS16" s="226"/>
      <c r="LVT16" s="224"/>
      <c r="LVU16" s="225"/>
      <c r="LVV16" s="225"/>
      <c r="LVW16" s="227"/>
      <c r="LVX16" s="228"/>
      <c r="LVY16" s="228"/>
      <c r="LVZ16" s="229"/>
      <c r="LWA16" s="216"/>
      <c r="LWB16" s="219"/>
      <c r="LWC16" s="220"/>
      <c r="LWD16" s="217"/>
      <c r="LWE16" s="217"/>
      <c r="LWF16" s="217"/>
      <c r="LWG16" s="217"/>
      <c r="LWH16" s="217"/>
      <c r="LWI16" s="221"/>
      <c r="LWJ16" s="222"/>
      <c r="LWK16" s="220"/>
      <c r="LWL16" s="220"/>
      <c r="LWM16" s="220"/>
      <c r="LWN16" s="220"/>
      <c r="LWO16" s="223"/>
      <c r="LWP16" s="223"/>
      <c r="LWQ16" s="223"/>
      <c r="LWR16" s="223"/>
      <c r="LWS16" s="223"/>
      <c r="LWT16" s="223"/>
      <c r="LWU16" s="223"/>
      <c r="LWV16" s="223"/>
      <c r="LWW16" s="223"/>
      <c r="LWX16" s="224"/>
      <c r="LWY16" s="225"/>
      <c r="LWZ16" s="226"/>
      <c r="LXA16" s="224"/>
      <c r="LXB16" s="225"/>
      <c r="LXC16" s="225"/>
      <c r="LXD16" s="227"/>
      <c r="LXE16" s="228"/>
      <c r="LXF16" s="228"/>
      <c r="LXG16" s="229"/>
      <c r="LXH16" s="216"/>
      <c r="LXI16" s="219"/>
      <c r="LXJ16" s="220"/>
      <c r="LXK16" s="217"/>
      <c r="LXL16" s="217"/>
      <c r="LXM16" s="217"/>
      <c r="LXN16" s="217"/>
      <c r="LXO16" s="217"/>
      <c r="LXP16" s="221"/>
      <c r="LXQ16" s="222"/>
      <c r="LXR16" s="220"/>
      <c r="LXS16" s="220"/>
      <c r="LXT16" s="220"/>
      <c r="LXU16" s="220"/>
      <c r="LXV16" s="223"/>
      <c r="LXW16" s="223"/>
      <c r="LXX16" s="223"/>
      <c r="LXY16" s="223"/>
      <c r="LXZ16" s="223"/>
      <c r="LYA16" s="223"/>
      <c r="LYB16" s="223"/>
      <c r="LYC16" s="223"/>
      <c r="LYD16" s="223"/>
      <c r="LYE16" s="224"/>
      <c r="LYF16" s="225"/>
      <c r="LYG16" s="226"/>
      <c r="LYH16" s="224"/>
      <c r="LYI16" s="225"/>
      <c r="LYJ16" s="225"/>
      <c r="LYK16" s="227"/>
      <c r="LYL16" s="228"/>
      <c r="LYM16" s="228"/>
      <c r="LYN16" s="229"/>
      <c r="LYO16" s="216"/>
      <c r="LYP16" s="219"/>
      <c r="LYQ16" s="220"/>
      <c r="LYR16" s="217"/>
      <c r="LYS16" s="217"/>
      <c r="LYT16" s="217"/>
      <c r="LYU16" s="217"/>
      <c r="LYV16" s="217"/>
      <c r="LYW16" s="221"/>
      <c r="LYX16" s="222"/>
      <c r="LYY16" s="220"/>
      <c r="LYZ16" s="220"/>
      <c r="LZA16" s="220"/>
      <c r="LZB16" s="220"/>
      <c r="LZC16" s="223"/>
      <c r="LZD16" s="223"/>
      <c r="LZE16" s="223"/>
      <c r="LZF16" s="223"/>
      <c r="LZG16" s="223"/>
      <c r="LZH16" s="223"/>
      <c r="LZI16" s="223"/>
      <c r="LZJ16" s="223"/>
      <c r="LZK16" s="223"/>
      <c r="LZL16" s="224"/>
      <c r="LZM16" s="225"/>
      <c r="LZN16" s="226"/>
      <c r="LZO16" s="224"/>
      <c r="LZP16" s="225"/>
      <c r="LZQ16" s="225"/>
      <c r="LZR16" s="227"/>
      <c r="LZS16" s="228"/>
      <c r="LZT16" s="228"/>
      <c r="LZU16" s="229"/>
      <c r="LZV16" s="216"/>
      <c r="LZW16" s="219"/>
      <c r="LZX16" s="220"/>
      <c r="LZY16" s="217"/>
      <c r="LZZ16" s="217"/>
      <c r="MAA16" s="217"/>
      <c r="MAB16" s="217"/>
      <c r="MAC16" s="217"/>
      <c r="MAD16" s="221"/>
      <c r="MAE16" s="222"/>
      <c r="MAF16" s="220"/>
      <c r="MAG16" s="220"/>
      <c r="MAH16" s="220"/>
      <c r="MAI16" s="220"/>
      <c r="MAJ16" s="223"/>
      <c r="MAK16" s="223"/>
      <c r="MAL16" s="223"/>
      <c r="MAM16" s="223"/>
      <c r="MAN16" s="223"/>
      <c r="MAO16" s="223"/>
      <c r="MAP16" s="223"/>
      <c r="MAQ16" s="223"/>
      <c r="MAR16" s="223"/>
      <c r="MAS16" s="224"/>
      <c r="MAT16" s="225"/>
      <c r="MAU16" s="226"/>
      <c r="MAV16" s="224"/>
      <c r="MAW16" s="225"/>
      <c r="MAX16" s="225"/>
      <c r="MAY16" s="227"/>
      <c r="MAZ16" s="228"/>
      <c r="MBA16" s="228"/>
      <c r="MBB16" s="229"/>
      <c r="MBC16" s="216"/>
      <c r="MBD16" s="219"/>
      <c r="MBE16" s="220"/>
      <c r="MBF16" s="217"/>
      <c r="MBG16" s="217"/>
      <c r="MBH16" s="217"/>
      <c r="MBI16" s="217"/>
      <c r="MBJ16" s="217"/>
      <c r="MBK16" s="221"/>
      <c r="MBL16" s="222"/>
      <c r="MBM16" s="220"/>
      <c r="MBN16" s="220"/>
      <c r="MBO16" s="220"/>
      <c r="MBP16" s="220"/>
      <c r="MBQ16" s="223"/>
      <c r="MBR16" s="223"/>
      <c r="MBS16" s="223"/>
      <c r="MBT16" s="223"/>
      <c r="MBU16" s="223"/>
      <c r="MBV16" s="223"/>
      <c r="MBW16" s="223"/>
      <c r="MBX16" s="223"/>
      <c r="MBY16" s="223"/>
      <c r="MBZ16" s="224"/>
      <c r="MCA16" s="225"/>
      <c r="MCB16" s="226"/>
      <c r="MCC16" s="224"/>
      <c r="MCD16" s="225"/>
      <c r="MCE16" s="225"/>
      <c r="MCF16" s="227"/>
      <c r="MCG16" s="228"/>
      <c r="MCH16" s="228"/>
      <c r="MCI16" s="229"/>
      <c r="MCJ16" s="216"/>
      <c r="MCK16" s="219"/>
      <c r="MCL16" s="220"/>
      <c r="MCM16" s="217"/>
      <c r="MCN16" s="217"/>
      <c r="MCO16" s="217"/>
      <c r="MCP16" s="217"/>
      <c r="MCQ16" s="217"/>
      <c r="MCR16" s="221"/>
      <c r="MCS16" s="222"/>
      <c r="MCT16" s="220"/>
      <c r="MCU16" s="220"/>
      <c r="MCV16" s="220"/>
      <c r="MCW16" s="220"/>
      <c r="MCX16" s="223"/>
      <c r="MCY16" s="223"/>
      <c r="MCZ16" s="223"/>
      <c r="MDA16" s="223"/>
      <c r="MDB16" s="223"/>
      <c r="MDC16" s="223"/>
      <c r="MDD16" s="223"/>
      <c r="MDE16" s="223"/>
      <c r="MDF16" s="223"/>
      <c r="MDG16" s="224"/>
      <c r="MDH16" s="225"/>
      <c r="MDI16" s="226"/>
      <c r="MDJ16" s="224"/>
      <c r="MDK16" s="225"/>
      <c r="MDL16" s="225"/>
      <c r="MDM16" s="227"/>
      <c r="MDN16" s="228"/>
      <c r="MDO16" s="228"/>
      <c r="MDP16" s="229"/>
      <c r="MDQ16" s="216"/>
      <c r="MDR16" s="219"/>
      <c r="MDS16" s="220"/>
      <c r="MDT16" s="217"/>
      <c r="MDU16" s="217"/>
      <c r="MDV16" s="217"/>
      <c r="MDW16" s="217"/>
      <c r="MDX16" s="217"/>
      <c r="MDY16" s="221"/>
      <c r="MDZ16" s="222"/>
      <c r="MEA16" s="220"/>
      <c r="MEB16" s="220"/>
      <c r="MEC16" s="220"/>
      <c r="MED16" s="220"/>
      <c r="MEE16" s="223"/>
      <c r="MEF16" s="223"/>
      <c r="MEG16" s="223"/>
      <c r="MEH16" s="223"/>
      <c r="MEI16" s="223"/>
      <c r="MEJ16" s="223"/>
      <c r="MEK16" s="223"/>
      <c r="MEL16" s="223"/>
      <c r="MEM16" s="223"/>
      <c r="MEN16" s="224"/>
      <c r="MEO16" s="225"/>
      <c r="MEP16" s="226"/>
      <c r="MEQ16" s="224"/>
      <c r="MER16" s="225"/>
      <c r="MES16" s="225"/>
      <c r="MET16" s="227"/>
      <c r="MEU16" s="228"/>
      <c r="MEV16" s="228"/>
      <c r="MEW16" s="229"/>
      <c r="MEX16" s="216"/>
      <c r="MEY16" s="219"/>
      <c r="MEZ16" s="220"/>
      <c r="MFA16" s="217"/>
      <c r="MFB16" s="217"/>
      <c r="MFC16" s="217"/>
      <c r="MFD16" s="217"/>
      <c r="MFE16" s="217"/>
      <c r="MFF16" s="221"/>
      <c r="MFG16" s="222"/>
      <c r="MFH16" s="220"/>
      <c r="MFI16" s="220"/>
      <c r="MFJ16" s="220"/>
      <c r="MFK16" s="220"/>
      <c r="MFL16" s="223"/>
      <c r="MFM16" s="223"/>
      <c r="MFN16" s="223"/>
      <c r="MFO16" s="223"/>
      <c r="MFP16" s="223"/>
      <c r="MFQ16" s="223"/>
      <c r="MFR16" s="223"/>
      <c r="MFS16" s="223"/>
      <c r="MFT16" s="223"/>
      <c r="MFU16" s="224"/>
      <c r="MFV16" s="225"/>
      <c r="MFW16" s="226"/>
      <c r="MFX16" s="224"/>
      <c r="MFY16" s="225"/>
      <c r="MFZ16" s="225"/>
      <c r="MGA16" s="227"/>
      <c r="MGB16" s="228"/>
      <c r="MGC16" s="228"/>
      <c r="MGD16" s="229"/>
      <c r="MGE16" s="216"/>
      <c r="MGF16" s="219"/>
      <c r="MGG16" s="220"/>
      <c r="MGH16" s="217"/>
      <c r="MGI16" s="217"/>
      <c r="MGJ16" s="217"/>
      <c r="MGK16" s="217"/>
      <c r="MGL16" s="217"/>
      <c r="MGM16" s="221"/>
      <c r="MGN16" s="222"/>
      <c r="MGO16" s="220"/>
      <c r="MGP16" s="220"/>
      <c r="MGQ16" s="220"/>
      <c r="MGR16" s="220"/>
      <c r="MGS16" s="223"/>
      <c r="MGT16" s="223"/>
      <c r="MGU16" s="223"/>
      <c r="MGV16" s="223"/>
      <c r="MGW16" s="223"/>
      <c r="MGX16" s="223"/>
      <c r="MGY16" s="223"/>
      <c r="MGZ16" s="223"/>
      <c r="MHA16" s="223"/>
      <c r="MHB16" s="224"/>
      <c r="MHC16" s="225"/>
      <c r="MHD16" s="226"/>
      <c r="MHE16" s="224"/>
      <c r="MHF16" s="225"/>
      <c r="MHG16" s="225"/>
      <c r="MHH16" s="227"/>
      <c r="MHI16" s="228"/>
      <c r="MHJ16" s="228"/>
      <c r="MHK16" s="229"/>
      <c r="MHL16" s="216"/>
      <c r="MHM16" s="219"/>
      <c r="MHN16" s="220"/>
      <c r="MHO16" s="217"/>
      <c r="MHP16" s="217"/>
      <c r="MHQ16" s="217"/>
      <c r="MHR16" s="217"/>
      <c r="MHS16" s="217"/>
      <c r="MHT16" s="221"/>
      <c r="MHU16" s="222"/>
      <c r="MHV16" s="220"/>
      <c r="MHW16" s="220"/>
      <c r="MHX16" s="220"/>
      <c r="MHY16" s="220"/>
      <c r="MHZ16" s="223"/>
      <c r="MIA16" s="223"/>
      <c r="MIB16" s="223"/>
      <c r="MIC16" s="223"/>
      <c r="MID16" s="223"/>
      <c r="MIE16" s="223"/>
      <c r="MIF16" s="223"/>
      <c r="MIG16" s="223"/>
      <c r="MIH16" s="223"/>
      <c r="MII16" s="224"/>
      <c r="MIJ16" s="225"/>
      <c r="MIK16" s="226"/>
      <c r="MIL16" s="224"/>
      <c r="MIM16" s="225"/>
      <c r="MIN16" s="225"/>
      <c r="MIO16" s="227"/>
      <c r="MIP16" s="228"/>
      <c r="MIQ16" s="228"/>
      <c r="MIR16" s="229"/>
      <c r="MIS16" s="216"/>
      <c r="MIT16" s="219"/>
      <c r="MIU16" s="220"/>
      <c r="MIV16" s="217"/>
      <c r="MIW16" s="217"/>
      <c r="MIX16" s="217"/>
      <c r="MIY16" s="217"/>
      <c r="MIZ16" s="217"/>
      <c r="MJA16" s="221"/>
      <c r="MJB16" s="222"/>
      <c r="MJC16" s="220"/>
      <c r="MJD16" s="220"/>
      <c r="MJE16" s="220"/>
      <c r="MJF16" s="220"/>
      <c r="MJG16" s="223"/>
      <c r="MJH16" s="223"/>
      <c r="MJI16" s="223"/>
      <c r="MJJ16" s="223"/>
      <c r="MJK16" s="223"/>
      <c r="MJL16" s="223"/>
      <c r="MJM16" s="223"/>
      <c r="MJN16" s="223"/>
      <c r="MJO16" s="223"/>
      <c r="MJP16" s="224"/>
      <c r="MJQ16" s="225"/>
      <c r="MJR16" s="226"/>
      <c r="MJS16" s="224"/>
      <c r="MJT16" s="225"/>
      <c r="MJU16" s="225"/>
      <c r="MJV16" s="227"/>
      <c r="MJW16" s="228"/>
      <c r="MJX16" s="228"/>
      <c r="MJY16" s="229"/>
      <c r="MJZ16" s="216"/>
      <c r="MKA16" s="219"/>
      <c r="MKB16" s="220"/>
      <c r="MKC16" s="217"/>
      <c r="MKD16" s="217"/>
      <c r="MKE16" s="217"/>
      <c r="MKF16" s="217"/>
      <c r="MKG16" s="217"/>
      <c r="MKH16" s="221"/>
      <c r="MKI16" s="222"/>
      <c r="MKJ16" s="220"/>
      <c r="MKK16" s="220"/>
      <c r="MKL16" s="220"/>
      <c r="MKM16" s="220"/>
      <c r="MKN16" s="223"/>
      <c r="MKO16" s="223"/>
      <c r="MKP16" s="223"/>
      <c r="MKQ16" s="223"/>
      <c r="MKR16" s="223"/>
      <c r="MKS16" s="223"/>
      <c r="MKT16" s="223"/>
      <c r="MKU16" s="223"/>
      <c r="MKV16" s="223"/>
      <c r="MKW16" s="224"/>
      <c r="MKX16" s="225"/>
      <c r="MKY16" s="226"/>
      <c r="MKZ16" s="224"/>
      <c r="MLA16" s="225"/>
      <c r="MLB16" s="225"/>
      <c r="MLC16" s="227"/>
      <c r="MLD16" s="228"/>
      <c r="MLE16" s="228"/>
      <c r="MLF16" s="229"/>
      <c r="MLG16" s="216"/>
      <c r="MLH16" s="219"/>
      <c r="MLI16" s="220"/>
      <c r="MLJ16" s="217"/>
      <c r="MLK16" s="217"/>
      <c r="MLL16" s="217"/>
      <c r="MLM16" s="217"/>
      <c r="MLN16" s="217"/>
      <c r="MLO16" s="221"/>
      <c r="MLP16" s="222"/>
      <c r="MLQ16" s="220"/>
      <c r="MLR16" s="220"/>
      <c r="MLS16" s="220"/>
      <c r="MLT16" s="220"/>
      <c r="MLU16" s="223"/>
      <c r="MLV16" s="223"/>
      <c r="MLW16" s="223"/>
      <c r="MLX16" s="223"/>
      <c r="MLY16" s="223"/>
      <c r="MLZ16" s="223"/>
      <c r="MMA16" s="223"/>
      <c r="MMB16" s="223"/>
      <c r="MMC16" s="223"/>
      <c r="MMD16" s="224"/>
      <c r="MME16" s="225"/>
      <c r="MMF16" s="226"/>
      <c r="MMG16" s="224"/>
      <c r="MMH16" s="225"/>
      <c r="MMI16" s="225"/>
      <c r="MMJ16" s="227"/>
      <c r="MMK16" s="228"/>
      <c r="MML16" s="228"/>
      <c r="MMM16" s="229"/>
      <c r="MMN16" s="216"/>
      <c r="MMO16" s="219"/>
      <c r="MMP16" s="220"/>
      <c r="MMQ16" s="217"/>
      <c r="MMR16" s="217"/>
      <c r="MMS16" s="217"/>
      <c r="MMT16" s="217"/>
      <c r="MMU16" s="217"/>
      <c r="MMV16" s="221"/>
      <c r="MMW16" s="222"/>
      <c r="MMX16" s="220"/>
      <c r="MMY16" s="220"/>
      <c r="MMZ16" s="220"/>
      <c r="MNA16" s="220"/>
      <c r="MNB16" s="223"/>
      <c r="MNC16" s="223"/>
      <c r="MND16" s="223"/>
      <c r="MNE16" s="223"/>
      <c r="MNF16" s="223"/>
      <c r="MNG16" s="223"/>
      <c r="MNH16" s="223"/>
      <c r="MNI16" s="223"/>
      <c r="MNJ16" s="223"/>
      <c r="MNK16" s="224"/>
      <c r="MNL16" s="225"/>
      <c r="MNM16" s="226"/>
      <c r="MNN16" s="224"/>
      <c r="MNO16" s="225"/>
      <c r="MNP16" s="225"/>
      <c r="MNQ16" s="227"/>
      <c r="MNR16" s="228"/>
      <c r="MNS16" s="228"/>
      <c r="MNT16" s="229"/>
      <c r="MNU16" s="216"/>
      <c r="MNV16" s="219"/>
      <c r="MNW16" s="220"/>
      <c r="MNX16" s="217"/>
      <c r="MNY16" s="217"/>
      <c r="MNZ16" s="217"/>
      <c r="MOA16" s="217"/>
      <c r="MOB16" s="217"/>
      <c r="MOC16" s="221"/>
      <c r="MOD16" s="222"/>
      <c r="MOE16" s="220"/>
      <c r="MOF16" s="220"/>
      <c r="MOG16" s="220"/>
      <c r="MOH16" s="220"/>
      <c r="MOI16" s="223"/>
      <c r="MOJ16" s="223"/>
      <c r="MOK16" s="223"/>
      <c r="MOL16" s="223"/>
      <c r="MOM16" s="223"/>
      <c r="MON16" s="223"/>
      <c r="MOO16" s="223"/>
      <c r="MOP16" s="223"/>
      <c r="MOQ16" s="223"/>
      <c r="MOR16" s="224"/>
      <c r="MOS16" s="225"/>
      <c r="MOT16" s="226"/>
      <c r="MOU16" s="224"/>
      <c r="MOV16" s="225"/>
      <c r="MOW16" s="225"/>
      <c r="MOX16" s="227"/>
      <c r="MOY16" s="228"/>
      <c r="MOZ16" s="228"/>
      <c r="MPA16" s="229"/>
      <c r="MPB16" s="216"/>
      <c r="MPC16" s="219"/>
      <c r="MPD16" s="220"/>
      <c r="MPE16" s="217"/>
      <c r="MPF16" s="217"/>
      <c r="MPG16" s="217"/>
      <c r="MPH16" s="217"/>
      <c r="MPI16" s="217"/>
      <c r="MPJ16" s="221"/>
      <c r="MPK16" s="222"/>
      <c r="MPL16" s="220"/>
      <c r="MPM16" s="220"/>
      <c r="MPN16" s="220"/>
      <c r="MPO16" s="220"/>
      <c r="MPP16" s="223"/>
      <c r="MPQ16" s="223"/>
      <c r="MPR16" s="223"/>
      <c r="MPS16" s="223"/>
      <c r="MPT16" s="223"/>
      <c r="MPU16" s="223"/>
      <c r="MPV16" s="223"/>
      <c r="MPW16" s="223"/>
      <c r="MPX16" s="223"/>
      <c r="MPY16" s="224"/>
      <c r="MPZ16" s="225"/>
      <c r="MQA16" s="226"/>
      <c r="MQB16" s="224"/>
      <c r="MQC16" s="225"/>
      <c r="MQD16" s="225"/>
      <c r="MQE16" s="227"/>
      <c r="MQF16" s="228"/>
      <c r="MQG16" s="228"/>
      <c r="MQH16" s="229"/>
      <c r="MQI16" s="216"/>
      <c r="MQJ16" s="219"/>
      <c r="MQK16" s="220"/>
      <c r="MQL16" s="217"/>
      <c r="MQM16" s="217"/>
      <c r="MQN16" s="217"/>
      <c r="MQO16" s="217"/>
      <c r="MQP16" s="217"/>
      <c r="MQQ16" s="221"/>
      <c r="MQR16" s="222"/>
      <c r="MQS16" s="220"/>
      <c r="MQT16" s="220"/>
      <c r="MQU16" s="220"/>
      <c r="MQV16" s="220"/>
      <c r="MQW16" s="223"/>
      <c r="MQX16" s="223"/>
      <c r="MQY16" s="223"/>
      <c r="MQZ16" s="223"/>
      <c r="MRA16" s="223"/>
      <c r="MRB16" s="223"/>
      <c r="MRC16" s="223"/>
      <c r="MRD16" s="223"/>
      <c r="MRE16" s="223"/>
      <c r="MRF16" s="224"/>
      <c r="MRG16" s="225"/>
      <c r="MRH16" s="226"/>
      <c r="MRI16" s="224"/>
      <c r="MRJ16" s="225"/>
      <c r="MRK16" s="225"/>
      <c r="MRL16" s="227"/>
      <c r="MRM16" s="228"/>
      <c r="MRN16" s="228"/>
      <c r="MRO16" s="229"/>
      <c r="MRP16" s="216"/>
      <c r="MRQ16" s="219"/>
      <c r="MRR16" s="220"/>
      <c r="MRS16" s="217"/>
      <c r="MRT16" s="217"/>
      <c r="MRU16" s="217"/>
      <c r="MRV16" s="217"/>
      <c r="MRW16" s="217"/>
      <c r="MRX16" s="221"/>
      <c r="MRY16" s="222"/>
      <c r="MRZ16" s="220"/>
      <c r="MSA16" s="220"/>
      <c r="MSB16" s="220"/>
      <c r="MSC16" s="220"/>
      <c r="MSD16" s="223"/>
      <c r="MSE16" s="223"/>
      <c r="MSF16" s="223"/>
      <c r="MSG16" s="223"/>
      <c r="MSH16" s="223"/>
      <c r="MSI16" s="223"/>
      <c r="MSJ16" s="223"/>
      <c r="MSK16" s="223"/>
      <c r="MSL16" s="223"/>
      <c r="MSM16" s="224"/>
      <c r="MSN16" s="225"/>
      <c r="MSO16" s="226"/>
      <c r="MSP16" s="224"/>
      <c r="MSQ16" s="225"/>
      <c r="MSR16" s="225"/>
      <c r="MSS16" s="227"/>
      <c r="MST16" s="228"/>
      <c r="MSU16" s="228"/>
      <c r="MSV16" s="229"/>
      <c r="MSW16" s="216"/>
      <c r="MSX16" s="219"/>
      <c r="MSY16" s="220"/>
      <c r="MSZ16" s="217"/>
      <c r="MTA16" s="217"/>
      <c r="MTB16" s="217"/>
      <c r="MTC16" s="217"/>
      <c r="MTD16" s="217"/>
      <c r="MTE16" s="221"/>
      <c r="MTF16" s="222"/>
      <c r="MTG16" s="220"/>
      <c r="MTH16" s="220"/>
      <c r="MTI16" s="220"/>
      <c r="MTJ16" s="220"/>
      <c r="MTK16" s="223"/>
      <c r="MTL16" s="223"/>
      <c r="MTM16" s="223"/>
      <c r="MTN16" s="223"/>
      <c r="MTO16" s="223"/>
      <c r="MTP16" s="223"/>
      <c r="MTQ16" s="223"/>
      <c r="MTR16" s="223"/>
      <c r="MTS16" s="223"/>
      <c r="MTT16" s="224"/>
      <c r="MTU16" s="225"/>
      <c r="MTV16" s="226"/>
      <c r="MTW16" s="224"/>
      <c r="MTX16" s="225"/>
      <c r="MTY16" s="225"/>
      <c r="MTZ16" s="227"/>
      <c r="MUA16" s="228"/>
      <c r="MUB16" s="228"/>
      <c r="MUC16" s="229"/>
      <c r="MUD16" s="216"/>
      <c r="MUE16" s="219"/>
      <c r="MUF16" s="220"/>
      <c r="MUG16" s="217"/>
      <c r="MUH16" s="217"/>
      <c r="MUI16" s="217"/>
      <c r="MUJ16" s="217"/>
      <c r="MUK16" s="217"/>
      <c r="MUL16" s="221"/>
      <c r="MUM16" s="222"/>
      <c r="MUN16" s="220"/>
      <c r="MUO16" s="220"/>
      <c r="MUP16" s="220"/>
      <c r="MUQ16" s="220"/>
      <c r="MUR16" s="223"/>
      <c r="MUS16" s="223"/>
      <c r="MUT16" s="223"/>
      <c r="MUU16" s="223"/>
      <c r="MUV16" s="223"/>
      <c r="MUW16" s="223"/>
      <c r="MUX16" s="223"/>
      <c r="MUY16" s="223"/>
      <c r="MUZ16" s="223"/>
      <c r="MVA16" s="224"/>
      <c r="MVB16" s="225"/>
      <c r="MVC16" s="226"/>
      <c r="MVD16" s="224"/>
      <c r="MVE16" s="225"/>
      <c r="MVF16" s="225"/>
      <c r="MVG16" s="227"/>
      <c r="MVH16" s="228"/>
      <c r="MVI16" s="228"/>
      <c r="MVJ16" s="229"/>
      <c r="MVK16" s="216"/>
      <c r="MVL16" s="219"/>
      <c r="MVM16" s="220"/>
      <c r="MVN16" s="217"/>
      <c r="MVO16" s="217"/>
      <c r="MVP16" s="217"/>
      <c r="MVQ16" s="217"/>
      <c r="MVR16" s="217"/>
      <c r="MVS16" s="221"/>
      <c r="MVT16" s="222"/>
      <c r="MVU16" s="220"/>
      <c r="MVV16" s="220"/>
      <c r="MVW16" s="220"/>
      <c r="MVX16" s="220"/>
      <c r="MVY16" s="223"/>
      <c r="MVZ16" s="223"/>
      <c r="MWA16" s="223"/>
      <c r="MWB16" s="223"/>
      <c r="MWC16" s="223"/>
      <c r="MWD16" s="223"/>
      <c r="MWE16" s="223"/>
      <c r="MWF16" s="223"/>
      <c r="MWG16" s="223"/>
      <c r="MWH16" s="224"/>
      <c r="MWI16" s="225"/>
      <c r="MWJ16" s="226"/>
      <c r="MWK16" s="224"/>
      <c r="MWL16" s="225"/>
      <c r="MWM16" s="225"/>
      <c r="MWN16" s="227"/>
      <c r="MWO16" s="228"/>
      <c r="MWP16" s="228"/>
      <c r="MWQ16" s="229"/>
      <c r="MWR16" s="216"/>
      <c r="MWS16" s="219"/>
      <c r="MWT16" s="220"/>
      <c r="MWU16" s="217"/>
      <c r="MWV16" s="217"/>
      <c r="MWW16" s="217"/>
      <c r="MWX16" s="217"/>
      <c r="MWY16" s="217"/>
      <c r="MWZ16" s="221"/>
      <c r="MXA16" s="222"/>
      <c r="MXB16" s="220"/>
      <c r="MXC16" s="220"/>
      <c r="MXD16" s="220"/>
      <c r="MXE16" s="220"/>
      <c r="MXF16" s="223"/>
      <c r="MXG16" s="223"/>
      <c r="MXH16" s="223"/>
      <c r="MXI16" s="223"/>
      <c r="MXJ16" s="223"/>
      <c r="MXK16" s="223"/>
      <c r="MXL16" s="223"/>
      <c r="MXM16" s="223"/>
      <c r="MXN16" s="223"/>
      <c r="MXO16" s="224"/>
      <c r="MXP16" s="225"/>
      <c r="MXQ16" s="226"/>
      <c r="MXR16" s="224"/>
      <c r="MXS16" s="225"/>
      <c r="MXT16" s="225"/>
      <c r="MXU16" s="227"/>
      <c r="MXV16" s="228"/>
      <c r="MXW16" s="228"/>
      <c r="MXX16" s="229"/>
      <c r="MXY16" s="216"/>
      <c r="MXZ16" s="219"/>
      <c r="MYA16" s="220"/>
      <c r="MYB16" s="217"/>
      <c r="MYC16" s="217"/>
      <c r="MYD16" s="217"/>
      <c r="MYE16" s="217"/>
      <c r="MYF16" s="217"/>
      <c r="MYG16" s="221"/>
      <c r="MYH16" s="222"/>
      <c r="MYI16" s="220"/>
      <c r="MYJ16" s="220"/>
      <c r="MYK16" s="220"/>
      <c r="MYL16" s="220"/>
      <c r="MYM16" s="223"/>
      <c r="MYN16" s="223"/>
      <c r="MYO16" s="223"/>
      <c r="MYP16" s="223"/>
      <c r="MYQ16" s="223"/>
      <c r="MYR16" s="223"/>
      <c r="MYS16" s="223"/>
      <c r="MYT16" s="223"/>
      <c r="MYU16" s="223"/>
      <c r="MYV16" s="224"/>
      <c r="MYW16" s="225"/>
      <c r="MYX16" s="226"/>
      <c r="MYY16" s="224"/>
      <c r="MYZ16" s="225"/>
      <c r="MZA16" s="225"/>
      <c r="MZB16" s="227"/>
      <c r="MZC16" s="228"/>
      <c r="MZD16" s="228"/>
      <c r="MZE16" s="229"/>
      <c r="MZF16" s="216"/>
      <c r="MZG16" s="219"/>
      <c r="MZH16" s="220"/>
      <c r="MZI16" s="217"/>
      <c r="MZJ16" s="217"/>
      <c r="MZK16" s="217"/>
      <c r="MZL16" s="217"/>
      <c r="MZM16" s="217"/>
      <c r="MZN16" s="221"/>
      <c r="MZO16" s="222"/>
      <c r="MZP16" s="220"/>
      <c r="MZQ16" s="220"/>
      <c r="MZR16" s="220"/>
      <c r="MZS16" s="220"/>
      <c r="MZT16" s="223"/>
      <c r="MZU16" s="223"/>
      <c r="MZV16" s="223"/>
      <c r="MZW16" s="223"/>
      <c r="MZX16" s="223"/>
      <c r="MZY16" s="223"/>
      <c r="MZZ16" s="223"/>
      <c r="NAA16" s="223"/>
      <c r="NAB16" s="223"/>
      <c r="NAC16" s="224"/>
      <c r="NAD16" s="225"/>
      <c r="NAE16" s="226"/>
      <c r="NAF16" s="224"/>
      <c r="NAG16" s="225"/>
      <c r="NAH16" s="225"/>
      <c r="NAI16" s="227"/>
      <c r="NAJ16" s="228"/>
      <c r="NAK16" s="228"/>
      <c r="NAL16" s="229"/>
      <c r="NAM16" s="216"/>
      <c r="NAN16" s="219"/>
      <c r="NAO16" s="220"/>
      <c r="NAP16" s="217"/>
      <c r="NAQ16" s="217"/>
      <c r="NAR16" s="217"/>
      <c r="NAS16" s="217"/>
      <c r="NAT16" s="217"/>
      <c r="NAU16" s="221"/>
      <c r="NAV16" s="222"/>
      <c r="NAW16" s="220"/>
      <c r="NAX16" s="220"/>
      <c r="NAY16" s="220"/>
      <c r="NAZ16" s="220"/>
      <c r="NBA16" s="223"/>
      <c r="NBB16" s="223"/>
      <c r="NBC16" s="223"/>
      <c r="NBD16" s="223"/>
      <c r="NBE16" s="223"/>
      <c r="NBF16" s="223"/>
      <c r="NBG16" s="223"/>
      <c r="NBH16" s="223"/>
      <c r="NBI16" s="223"/>
      <c r="NBJ16" s="224"/>
      <c r="NBK16" s="225"/>
      <c r="NBL16" s="226"/>
      <c r="NBM16" s="224"/>
      <c r="NBN16" s="225"/>
      <c r="NBO16" s="225"/>
      <c r="NBP16" s="227"/>
      <c r="NBQ16" s="228"/>
      <c r="NBR16" s="228"/>
      <c r="NBS16" s="229"/>
      <c r="NBT16" s="216"/>
      <c r="NBU16" s="219"/>
      <c r="NBV16" s="220"/>
      <c r="NBW16" s="217"/>
      <c r="NBX16" s="217"/>
      <c r="NBY16" s="217"/>
      <c r="NBZ16" s="217"/>
      <c r="NCA16" s="217"/>
      <c r="NCB16" s="221"/>
      <c r="NCC16" s="222"/>
      <c r="NCD16" s="220"/>
      <c r="NCE16" s="220"/>
      <c r="NCF16" s="220"/>
      <c r="NCG16" s="220"/>
      <c r="NCH16" s="223"/>
      <c r="NCI16" s="223"/>
      <c r="NCJ16" s="223"/>
      <c r="NCK16" s="223"/>
      <c r="NCL16" s="223"/>
      <c r="NCM16" s="223"/>
      <c r="NCN16" s="223"/>
      <c r="NCO16" s="223"/>
      <c r="NCP16" s="223"/>
      <c r="NCQ16" s="224"/>
      <c r="NCR16" s="225"/>
      <c r="NCS16" s="226"/>
      <c r="NCT16" s="224"/>
      <c r="NCU16" s="225"/>
      <c r="NCV16" s="225"/>
      <c r="NCW16" s="227"/>
      <c r="NCX16" s="228"/>
      <c r="NCY16" s="228"/>
      <c r="NCZ16" s="229"/>
      <c r="NDA16" s="216"/>
      <c r="NDB16" s="219"/>
      <c r="NDC16" s="220"/>
      <c r="NDD16" s="217"/>
      <c r="NDE16" s="217"/>
      <c r="NDF16" s="217"/>
      <c r="NDG16" s="217"/>
      <c r="NDH16" s="217"/>
      <c r="NDI16" s="221"/>
      <c r="NDJ16" s="222"/>
      <c r="NDK16" s="220"/>
      <c r="NDL16" s="220"/>
      <c r="NDM16" s="220"/>
      <c r="NDN16" s="220"/>
      <c r="NDO16" s="223"/>
      <c r="NDP16" s="223"/>
      <c r="NDQ16" s="223"/>
      <c r="NDR16" s="223"/>
      <c r="NDS16" s="223"/>
      <c r="NDT16" s="223"/>
      <c r="NDU16" s="223"/>
      <c r="NDV16" s="223"/>
      <c r="NDW16" s="223"/>
      <c r="NDX16" s="224"/>
      <c r="NDY16" s="225"/>
      <c r="NDZ16" s="226"/>
      <c r="NEA16" s="224"/>
      <c r="NEB16" s="225"/>
      <c r="NEC16" s="225"/>
      <c r="NED16" s="227"/>
      <c r="NEE16" s="228"/>
      <c r="NEF16" s="228"/>
      <c r="NEG16" s="229"/>
      <c r="NEH16" s="216"/>
      <c r="NEI16" s="219"/>
      <c r="NEJ16" s="220"/>
      <c r="NEK16" s="217"/>
      <c r="NEL16" s="217"/>
      <c r="NEM16" s="217"/>
      <c r="NEN16" s="217"/>
      <c r="NEO16" s="217"/>
      <c r="NEP16" s="221"/>
      <c r="NEQ16" s="222"/>
      <c r="NER16" s="220"/>
      <c r="NES16" s="220"/>
      <c r="NET16" s="220"/>
      <c r="NEU16" s="220"/>
      <c r="NEV16" s="223"/>
      <c r="NEW16" s="223"/>
      <c r="NEX16" s="223"/>
      <c r="NEY16" s="223"/>
      <c r="NEZ16" s="223"/>
      <c r="NFA16" s="223"/>
      <c r="NFB16" s="223"/>
      <c r="NFC16" s="223"/>
      <c r="NFD16" s="223"/>
      <c r="NFE16" s="224"/>
      <c r="NFF16" s="225"/>
      <c r="NFG16" s="226"/>
      <c r="NFH16" s="224"/>
      <c r="NFI16" s="225"/>
      <c r="NFJ16" s="225"/>
      <c r="NFK16" s="227"/>
      <c r="NFL16" s="228"/>
      <c r="NFM16" s="228"/>
      <c r="NFN16" s="229"/>
      <c r="NFO16" s="216"/>
      <c r="NFP16" s="219"/>
      <c r="NFQ16" s="220"/>
      <c r="NFR16" s="217"/>
      <c r="NFS16" s="217"/>
      <c r="NFT16" s="217"/>
      <c r="NFU16" s="217"/>
      <c r="NFV16" s="217"/>
      <c r="NFW16" s="221"/>
      <c r="NFX16" s="222"/>
      <c r="NFY16" s="220"/>
      <c r="NFZ16" s="220"/>
      <c r="NGA16" s="220"/>
      <c r="NGB16" s="220"/>
      <c r="NGC16" s="223"/>
      <c r="NGD16" s="223"/>
      <c r="NGE16" s="223"/>
      <c r="NGF16" s="223"/>
      <c r="NGG16" s="223"/>
      <c r="NGH16" s="223"/>
      <c r="NGI16" s="223"/>
      <c r="NGJ16" s="223"/>
      <c r="NGK16" s="223"/>
      <c r="NGL16" s="224"/>
      <c r="NGM16" s="225"/>
      <c r="NGN16" s="226"/>
      <c r="NGO16" s="224"/>
      <c r="NGP16" s="225"/>
      <c r="NGQ16" s="225"/>
      <c r="NGR16" s="227"/>
      <c r="NGS16" s="228"/>
      <c r="NGT16" s="228"/>
      <c r="NGU16" s="229"/>
      <c r="NGV16" s="216"/>
      <c r="NGW16" s="219"/>
      <c r="NGX16" s="220"/>
      <c r="NGY16" s="217"/>
      <c r="NGZ16" s="217"/>
      <c r="NHA16" s="217"/>
      <c r="NHB16" s="217"/>
      <c r="NHC16" s="217"/>
      <c r="NHD16" s="221"/>
      <c r="NHE16" s="222"/>
      <c r="NHF16" s="220"/>
      <c r="NHG16" s="220"/>
      <c r="NHH16" s="220"/>
      <c r="NHI16" s="220"/>
      <c r="NHJ16" s="223"/>
      <c r="NHK16" s="223"/>
      <c r="NHL16" s="223"/>
      <c r="NHM16" s="223"/>
      <c r="NHN16" s="223"/>
      <c r="NHO16" s="223"/>
      <c r="NHP16" s="223"/>
      <c r="NHQ16" s="223"/>
      <c r="NHR16" s="223"/>
      <c r="NHS16" s="224"/>
      <c r="NHT16" s="225"/>
      <c r="NHU16" s="226"/>
      <c r="NHV16" s="224"/>
      <c r="NHW16" s="225"/>
      <c r="NHX16" s="225"/>
      <c r="NHY16" s="227"/>
      <c r="NHZ16" s="228"/>
      <c r="NIA16" s="228"/>
      <c r="NIB16" s="229"/>
      <c r="NIC16" s="216"/>
      <c r="NID16" s="219"/>
      <c r="NIE16" s="220"/>
      <c r="NIF16" s="217"/>
      <c r="NIG16" s="217"/>
      <c r="NIH16" s="217"/>
      <c r="NII16" s="217"/>
      <c r="NIJ16" s="217"/>
      <c r="NIK16" s="221"/>
      <c r="NIL16" s="222"/>
      <c r="NIM16" s="220"/>
      <c r="NIN16" s="220"/>
      <c r="NIO16" s="220"/>
      <c r="NIP16" s="220"/>
      <c r="NIQ16" s="223"/>
      <c r="NIR16" s="223"/>
      <c r="NIS16" s="223"/>
      <c r="NIT16" s="223"/>
      <c r="NIU16" s="223"/>
      <c r="NIV16" s="223"/>
      <c r="NIW16" s="223"/>
      <c r="NIX16" s="223"/>
      <c r="NIY16" s="223"/>
      <c r="NIZ16" s="224"/>
      <c r="NJA16" s="225"/>
      <c r="NJB16" s="226"/>
      <c r="NJC16" s="224"/>
      <c r="NJD16" s="225"/>
      <c r="NJE16" s="225"/>
      <c r="NJF16" s="227"/>
      <c r="NJG16" s="228"/>
      <c r="NJH16" s="228"/>
      <c r="NJI16" s="229"/>
      <c r="NJJ16" s="216"/>
      <c r="NJK16" s="219"/>
      <c r="NJL16" s="220"/>
      <c r="NJM16" s="217"/>
      <c r="NJN16" s="217"/>
      <c r="NJO16" s="217"/>
      <c r="NJP16" s="217"/>
      <c r="NJQ16" s="217"/>
      <c r="NJR16" s="221"/>
      <c r="NJS16" s="222"/>
      <c r="NJT16" s="220"/>
      <c r="NJU16" s="220"/>
      <c r="NJV16" s="220"/>
      <c r="NJW16" s="220"/>
      <c r="NJX16" s="223"/>
      <c r="NJY16" s="223"/>
      <c r="NJZ16" s="223"/>
      <c r="NKA16" s="223"/>
      <c r="NKB16" s="223"/>
      <c r="NKC16" s="223"/>
      <c r="NKD16" s="223"/>
      <c r="NKE16" s="223"/>
      <c r="NKF16" s="223"/>
      <c r="NKG16" s="224"/>
      <c r="NKH16" s="225"/>
      <c r="NKI16" s="226"/>
      <c r="NKJ16" s="224"/>
      <c r="NKK16" s="225"/>
      <c r="NKL16" s="225"/>
      <c r="NKM16" s="227"/>
      <c r="NKN16" s="228"/>
      <c r="NKO16" s="228"/>
      <c r="NKP16" s="229"/>
      <c r="NKQ16" s="216"/>
      <c r="NKR16" s="219"/>
      <c r="NKS16" s="220"/>
      <c r="NKT16" s="217"/>
      <c r="NKU16" s="217"/>
      <c r="NKV16" s="217"/>
      <c r="NKW16" s="217"/>
      <c r="NKX16" s="217"/>
      <c r="NKY16" s="221"/>
      <c r="NKZ16" s="222"/>
      <c r="NLA16" s="220"/>
      <c r="NLB16" s="220"/>
      <c r="NLC16" s="220"/>
      <c r="NLD16" s="220"/>
      <c r="NLE16" s="223"/>
      <c r="NLF16" s="223"/>
      <c r="NLG16" s="223"/>
      <c r="NLH16" s="223"/>
      <c r="NLI16" s="223"/>
      <c r="NLJ16" s="223"/>
      <c r="NLK16" s="223"/>
      <c r="NLL16" s="223"/>
      <c r="NLM16" s="223"/>
      <c r="NLN16" s="224"/>
      <c r="NLO16" s="225"/>
      <c r="NLP16" s="226"/>
      <c r="NLQ16" s="224"/>
      <c r="NLR16" s="225"/>
      <c r="NLS16" s="225"/>
      <c r="NLT16" s="227"/>
      <c r="NLU16" s="228"/>
      <c r="NLV16" s="228"/>
      <c r="NLW16" s="229"/>
      <c r="NLX16" s="216"/>
      <c r="NLY16" s="219"/>
      <c r="NLZ16" s="220"/>
      <c r="NMA16" s="217"/>
      <c r="NMB16" s="217"/>
      <c r="NMC16" s="217"/>
      <c r="NMD16" s="217"/>
      <c r="NME16" s="217"/>
      <c r="NMF16" s="221"/>
      <c r="NMG16" s="222"/>
      <c r="NMH16" s="220"/>
      <c r="NMI16" s="220"/>
      <c r="NMJ16" s="220"/>
      <c r="NMK16" s="220"/>
      <c r="NML16" s="223"/>
      <c r="NMM16" s="223"/>
      <c r="NMN16" s="223"/>
      <c r="NMO16" s="223"/>
      <c r="NMP16" s="223"/>
      <c r="NMQ16" s="223"/>
      <c r="NMR16" s="223"/>
      <c r="NMS16" s="223"/>
      <c r="NMT16" s="223"/>
      <c r="NMU16" s="224"/>
      <c r="NMV16" s="225"/>
      <c r="NMW16" s="226"/>
      <c r="NMX16" s="224"/>
      <c r="NMY16" s="225"/>
      <c r="NMZ16" s="225"/>
      <c r="NNA16" s="227"/>
      <c r="NNB16" s="228"/>
      <c r="NNC16" s="228"/>
      <c r="NND16" s="229"/>
      <c r="NNE16" s="216"/>
      <c r="NNF16" s="219"/>
      <c r="NNG16" s="220"/>
      <c r="NNH16" s="217"/>
      <c r="NNI16" s="217"/>
      <c r="NNJ16" s="217"/>
      <c r="NNK16" s="217"/>
      <c r="NNL16" s="217"/>
      <c r="NNM16" s="221"/>
      <c r="NNN16" s="222"/>
      <c r="NNO16" s="220"/>
      <c r="NNP16" s="220"/>
      <c r="NNQ16" s="220"/>
      <c r="NNR16" s="220"/>
      <c r="NNS16" s="223"/>
      <c r="NNT16" s="223"/>
      <c r="NNU16" s="223"/>
      <c r="NNV16" s="223"/>
      <c r="NNW16" s="223"/>
      <c r="NNX16" s="223"/>
      <c r="NNY16" s="223"/>
      <c r="NNZ16" s="223"/>
      <c r="NOA16" s="223"/>
      <c r="NOB16" s="224"/>
      <c r="NOC16" s="225"/>
      <c r="NOD16" s="226"/>
      <c r="NOE16" s="224"/>
      <c r="NOF16" s="225"/>
      <c r="NOG16" s="225"/>
      <c r="NOH16" s="227"/>
      <c r="NOI16" s="228"/>
      <c r="NOJ16" s="228"/>
      <c r="NOK16" s="229"/>
      <c r="NOL16" s="216"/>
      <c r="NOM16" s="219"/>
      <c r="NON16" s="220"/>
      <c r="NOO16" s="217"/>
      <c r="NOP16" s="217"/>
      <c r="NOQ16" s="217"/>
      <c r="NOR16" s="217"/>
      <c r="NOS16" s="217"/>
      <c r="NOT16" s="221"/>
      <c r="NOU16" s="222"/>
      <c r="NOV16" s="220"/>
      <c r="NOW16" s="220"/>
      <c r="NOX16" s="220"/>
      <c r="NOY16" s="220"/>
      <c r="NOZ16" s="223"/>
      <c r="NPA16" s="223"/>
      <c r="NPB16" s="223"/>
      <c r="NPC16" s="223"/>
      <c r="NPD16" s="223"/>
      <c r="NPE16" s="223"/>
      <c r="NPF16" s="223"/>
      <c r="NPG16" s="223"/>
      <c r="NPH16" s="223"/>
      <c r="NPI16" s="224"/>
      <c r="NPJ16" s="225"/>
      <c r="NPK16" s="226"/>
      <c r="NPL16" s="224"/>
      <c r="NPM16" s="225"/>
      <c r="NPN16" s="225"/>
      <c r="NPO16" s="227"/>
      <c r="NPP16" s="228"/>
      <c r="NPQ16" s="228"/>
      <c r="NPR16" s="229"/>
      <c r="NPS16" s="216"/>
      <c r="NPT16" s="219"/>
      <c r="NPU16" s="220"/>
      <c r="NPV16" s="217"/>
      <c r="NPW16" s="217"/>
      <c r="NPX16" s="217"/>
      <c r="NPY16" s="217"/>
      <c r="NPZ16" s="217"/>
      <c r="NQA16" s="221"/>
      <c r="NQB16" s="222"/>
      <c r="NQC16" s="220"/>
      <c r="NQD16" s="220"/>
      <c r="NQE16" s="220"/>
      <c r="NQF16" s="220"/>
      <c r="NQG16" s="223"/>
      <c r="NQH16" s="223"/>
      <c r="NQI16" s="223"/>
      <c r="NQJ16" s="223"/>
      <c r="NQK16" s="223"/>
      <c r="NQL16" s="223"/>
      <c r="NQM16" s="223"/>
      <c r="NQN16" s="223"/>
      <c r="NQO16" s="223"/>
      <c r="NQP16" s="224"/>
      <c r="NQQ16" s="225"/>
      <c r="NQR16" s="226"/>
      <c r="NQS16" s="224"/>
      <c r="NQT16" s="225"/>
      <c r="NQU16" s="225"/>
      <c r="NQV16" s="227"/>
      <c r="NQW16" s="228"/>
      <c r="NQX16" s="228"/>
      <c r="NQY16" s="229"/>
      <c r="NQZ16" s="216"/>
      <c r="NRA16" s="219"/>
      <c r="NRB16" s="220"/>
      <c r="NRC16" s="217"/>
      <c r="NRD16" s="217"/>
      <c r="NRE16" s="217"/>
      <c r="NRF16" s="217"/>
      <c r="NRG16" s="217"/>
      <c r="NRH16" s="221"/>
      <c r="NRI16" s="222"/>
      <c r="NRJ16" s="220"/>
      <c r="NRK16" s="220"/>
      <c r="NRL16" s="220"/>
      <c r="NRM16" s="220"/>
      <c r="NRN16" s="223"/>
      <c r="NRO16" s="223"/>
      <c r="NRP16" s="223"/>
      <c r="NRQ16" s="223"/>
      <c r="NRR16" s="223"/>
      <c r="NRS16" s="223"/>
      <c r="NRT16" s="223"/>
      <c r="NRU16" s="223"/>
      <c r="NRV16" s="223"/>
      <c r="NRW16" s="224"/>
      <c r="NRX16" s="225"/>
      <c r="NRY16" s="226"/>
      <c r="NRZ16" s="224"/>
      <c r="NSA16" s="225"/>
      <c r="NSB16" s="225"/>
      <c r="NSC16" s="227"/>
      <c r="NSD16" s="228"/>
      <c r="NSE16" s="228"/>
      <c r="NSF16" s="229"/>
      <c r="NSG16" s="216"/>
      <c r="NSH16" s="219"/>
      <c r="NSI16" s="220"/>
      <c r="NSJ16" s="217"/>
      <c r="NSK16" s="217"/>
      <c r="NSL16" s="217"/>
      <c r="NSM16" s="217"/>
      <c r="NSN16" s="217"/>
      <c r="NSO16" s="221"/>
      <c r="NSP16" s="222"/>
      <c r="NSQ16" s="220"/>
      <c r="NSR16" s="220"/>
      <c r="NSS16" s="220"/>
      <c r="NST16" s="220"/>
      <c r="NSU16" s="223"/>
      <c r="NSV16" s="223"/>
      <c r="NSW16" s="223"/>
      <c r="NSX16" s="223"/>
      <c r="NSY16" s="223"/>
      <c r="NSZ16" s="223"/>
      <c r="NTA16" s="223"/>
      <c r="NTB16" s="223"/>
      <c r="NTC16" s="223"/>
      <c r="NTD16" s="224"/>
      <c r="NTE16" s="225"/>
      <c r="NTF16" s="226"/>
      <c r="NTG16" s="224"/>
      <c r="NTH16" s="225"/>
      <c r="NTI16" s="225"/>
      <c r="NTJ16" s="227"/>
      <c r="NTK16" s="228"/>
      <c r="NTL16" s="228"/>
      <c r="NTM16" s="229"/>
      <c r="NTN16" s="216"/>
      <c r="NTO16" s="219"/>
      <c r="NTP16" s="220"/>
      <c r="NTQ16" s="217"/>
      <c r="NTR16" s="217"/>
      <c r="NTS16" s="217"/>
      <c r="NTT16" s="217"/>
      <c r="NTU16" s="217"/>
      <c r="NTV16" s="221"/>
      <c r="NTW16" s="222"/>
      <c r="NTX16" s="220"/>
      <c r="NTY16" s="220"/>
      <c r="NTZ16" s="220"/>
      <c r="NUA16" s="220"/>
      <c r="NUB16" s="223"/>
      <c r="NUC16" s="223"/>
      <c r="NUD16" s="223"/>
      <c r="NUE16" s="223"/>
      <c r="NUF16" s="223"/>
      <c r="NUG16" s="223"/>
      <c r="NUH16" s="223"/>
      <c r="NUI16" s="223"/>
      <c r="NUJ16" s="223"/>
      <c r="NUK16" s="224"/>
      <c r="NUL16" s="225"/>
      <c r="NUM16" s="226"/>
      <c r="NUN16" s="224"/>
      <c r="NUO16" s="225"/>
      <c r="NUP16" s="225"/>
      <c r="NUQ16" s="227"/>
      <c r="NUR16" s="228"/>
      <c r="NUS16" s="228"/>
      <c r="NUT16" s="229"/>
      <c r="NUU16" s="216"/>
      <c r="NUV16" s="219"/>
      <c r="NUW16" s="220"/>
      <c r="NUX16" s="217"/>
      <c r="NUY16" s="217"/>
      <c r="NUZ16" s="217"/>
      <c r="NVA16" s="217"/>
      <c r="NVB16" s="217"/>
      <c r="NVC16" s="221"/>
      <c r="NVD16" s="222"/>
      <c r="NVE16" s="220"/>
      <c r="NVF16" s="220"/>
      <c r="NVG16" s="220"/>
      <c r="NVH16" s="220"/>
      <c r="NVI16" s="223"/>
      <c r="NVJ16" s="223"/>
      <c r="NVK16" s="223"/>
      <c r="NVL16" s="223"/>
      <c r="NVM16" s="223"/>
      <c r="NVN16" s="223"/>
      <c r="NVO16" s="223"/>
      <c r="NVP16" s="223"/>
      <c r="NVQ16" s="223"/>
      <c r="NVR16" s="224"/>
      <c r="NVS16" s="225"/>
      <c r="NVT16" s="226"/>
      <c r="NVU16" s="224"/>
      <c r="NVV16" s="225"/>
      <c r="NVW16" s="225"/>
      <c r="NVX16" s="227"/>
      <c r="NVY16" s="228"/>
      <c r="NVZ16" s="228"/>
      <c r="NWA16" s="229"/>
      <c r="NWB16" s="216"/>
      <c r="NWC16" s="219"/>
      <c r="NWD16" s="220"/>
      <c r="NWE16" s="217"/>
      <c r="NWF16" s="217"/>
      <c r="NWG16" s="217"/>
      <c r="NWH16" s="217"/>
      <c r="NWI16" s="217"/>
      <c r="NWJ16" s="221"/>
      <c r="NWK16" s="222"/>
      <c r="NWL16" s="220"/>
      <c r="NWM16" s="220"/>
      <c r="NWN16" s="220"/>
      <c r="NWO16" s="220"/>
      <c r="NWP16" s="223"/>
      <c r="NWQ16" s="223"/>
      <c r="NWR16" s="223"/>
      <c r="NWS16" s="223"/>
      <c r="NWT16" s="223"/>
      <c r="NWU16" s="223"/>
      <c r="NWV16" s="223"/>
      <c r="NWW16" s="223"/>
      <c r="NWX16" s="223"/>
      <c r="NWY16" s="224"/>
      <c r="NWZ16" s="225"/>
      <c r="NXA16" s="226"/>
      <c r="NXB16" s="224"/>
      <c r="NXC16" s="225"/>
      <c r="NXD16" s="225"/>
      <c r="NXE16" s="227"/>
      <c r="NXF16" s="228"/>
      <c r="NXG16" s="228"/>
      <c r="NXH16" s="229"/>
      <c r="NXI16" s="216"/>
      <c r="NXJ16" s="219"/>
      <c r="NXK16" s="220"/>
      <c r="NXL16" s="217"/>
      <c r="NXM16" s="217"/>
      <c r="NXN16" s="217"/>
      <c r="NXO16" s="217"/>
      <c r="NXP16" s="217"/>
      <c r="NXQ16" s="221"/>
      <c r="NXR16" s="222"/>
      <c r="NXS16" s="220"/>
      <c r="NXT16" s="220"/>
      <c r="NXU16" s="220"/>
      <c r="NXV16" s="220"/>
      <c r="NXW16" s="223"/>
      <c r="NXX16" s="223"/>
      <c r="NXY16" s="223"/>
      <c r="NXZ16" s="223"/>
      <c r="NYA16" s="223"/>
      <c r="NYB16" s="223"/>
      <c r="NYC16" s="223"/>
      <c r="NYD16" s="223"/>
      <c r="NYE16" s="223"/>
      <c r="NYF16" s="224"/>
      <c r="NYG16" s="225"/>
      <c r="NYH16" s="226"/>
      <c r="NYI16" s="224"/>
      <c r="NYJ16" s="225"/>
      <c r="NYK16" s="225"/>
      <c r="NYL16" s="227"/>
      <c r="NYM16" s="228"/>
      <c r="NYN16" s="228"/>
      <c r="NYO16" s="229"/>
      <c r="NYP16" s="216"/>
      <c r="NYQ16" s="219"/>
      <c r="NYR16" s="220"/>
      <c r="NYS16" s="217"/>
      <c r="NYT16" s="217"/>
      <c r="NYU16" s="217"/>
      <c r="NYV16" s="217"/>
      <c r="NYW16" s="217"/>
      <c r="NYX16" s="221"/>
      <c r="NYY16" s="222"/>
      <c r="NYZ16" s="220"/>
      <c r="NZA16" s="220"/>
      <c r="NZB16" s="220"/>
      <c r="NZC16" s="220"/>
      <c r="NZD16" s="223"/>
      <c r="NZE16" s="223"/>
      <c r="NZF16" s="223"/>
      <c r="NZG16" s="223"/>
      <c r="NZH16" s="223"/>
      <c r="NZI16" s="223"/>
      <c r="NZJ16" s="223"/>
      <c r="NZK16" s="223"/>
      <c r="NZL16" s="223"/>
      <c r="NZM16" s="224"/>
      <c r="NZN16" s="225"/>
      <c r="NZO16" s="226"/>
      <c r="NZP16" s="224"/>
      <c r="NZQ16" s="225"/>
      <c r="NZR16" s="225"/>
      <c r="NZS16" s="227"/>
      <c r="NZT16" s="228"/>
      <c r="NZU16" s="228"/>
      <c r="NZV16" s="229"/>
      <c r="NZW16" s="216"/>
      <c r="NZX16" s="219"/>
      <c r="NZY16" s="220"/>
      <c r="NZZ16" s="217"/>
      <c r="OAA16" s="217"/>
      <c r="OAB16" s="217"/>
      <c r="OAC16" s="217"/>
      <c r="OAD16" s="217"/>
      <c r="OAE16" s="221"/>
      <c r="OAF16" s="222"/>
      <c r="OAG16" s="220"/>
      <c r="OAH16" s="220"/>
      <c r="OAI16" s="220"/>
      <c r="OAJ16" s="220"/>
      <c r="OAK16" s="223"/>
      <c r="OAL16" s="223"/>
      <c r="OAM16" s="223"/>
      <c r="OAN16" s="223"/>
      <c r="OAO16" s="223"/>
      <c r="OAP16" s="223"/>
      <c r="OAQ16" s="223"/>
      <c r="OAR16" s="223"/>
      <c r="OAS16" s="223"/>
      <c r="OAT16" s="224"/>
      <c r="OAU16" s="225"/>
      <c r="OAV16" s="226"/>
      <c r="OAW16" s="224"/>
      <c r="OAX16" s="225"/>
      <c r="OAY16" s="225"/>
      <c r="OAZ16" s="227"/>
      <c r="OBA16" s="228"/>
      <c r="OBB16" s="228"/>
      <c r="OBC16" s="229"/>
      <c r="OBD16" s="216"/>
      <c r="OBE16" s="219"/>
      <c r="OBF16" s="220"/>
      <c r="OBG16" s="217"/>
      <c r="OBH16" s="217"/>
      <c r="OBI16" s="217"/>
      <c r="OBJ16" s="217"/>
      <c r="OBK16" s="217"/>
      <c r="OBL16" s="221"/>
      <c r="OBM16" s="222"/>
      <c r="OBN16" s="220"/>
      <c r="OBO16" s="220"/>
      <c r="OBP16" s="220"/>
      <c r="OBQ16" s="220"/>
      <c r="OBR16" s="223"/>
      <c r="OBS16" s="223"/>
      <c r="OBT16" s="223"/>
      <c r="OBU16" s="223"/>
      <c r="OBV16" s="223"/>
      <c r="OBW16" s="223"/>
      <c r="OBX16" s="223"/>
      <c r="OBY16" s="223"/>
      <c r="OBZ16" s="223"/>
      <c r="OCA16" s="224"/>
      <c r="OCB16" s="225"/>
      <c r="OCC16" s="226"/>
      <c r="OCD16" s="224"/>
      <c r="OCE16" s="225"/>
      <c r="OCF16" s="225"/>
      <c r="OCG16" s="227"/>
      <c r="OCH16" s="228"/>
      <c r="OCI16" s="228"/>
      <c r="OCJ16" s="229"/>
      <c r="OCK16" s="216"/>
      <c r="OCL16" s="219"/>
      <c r="OCM16" s="220"/>
      <c r="OCN16" s="217"/>
      <c r="OCO16" s="217"/>
      <c r="OCP16" s="217"/>
      <c r="OCQ16" s="217"/>
      <c r="OCR16" s="217"/>
      <c r="OCS16" s="221"/>
      <c r="OCT16" s="222"/>
      <c r="OCU16" s="220"/>
      <c r="OCV16" s="220"/>
      <c r="OCW16" s="220"/>
      <c r="OCX16" s="220"/>
      <c r="OCY16" s="223"/>
      <c r="OCZ16" s="223"/>
      <c r="ODA16" s="223"/>
      <c r="ODB16" s="223"/>
      <c r="ODC16" s="223"/>
      <c r="ODD16" s="223"/>
      <c r="ODE16" s="223"/>
      <c r="ODF16" s="223"/>
      <c r="ODG16" s="223"/>
      <c r="ODH16" s="224"/>
      <c r="ODI16" s="225"/>
      <c r="ODJ16" s="226"/>
      <c r="ODK16" s="224"/>
      <c r="ODL16" s="225"/>
      <c r="ODM16" s="225"/>
      <c r="ODN16" s="227"/>
      <c r="ODO16" s="228"/>
      <c r="ODP16" s="228"/>
      <c r="ODQ16" s="229"/>
      <c r="ODR16" s="216"/>
      <c r="ODS16" s="219"/>
      <c r="ODT16" s="220"/>
      <c r="ODU16" s="217"/>
      <c r="ODV16" s="217"/>
      <c r="ODW16" s="217"/>
      <c r="ODX16" s="217"/>
      <c r="ODY16" s="217"/>
      <c r="ODZ16" s="221"/>
      <c r="OEA16" s="222"/>
      <c r="OEB16" s="220"/>
      <c r="OEC16" s="220"/>
      <c r="OED16" s="220"/>
      <c r="OEE16" s="220"/>
      <c r="OEF16" s="223"/>
      <c r="OEG16" s="223"/>
      <c r="OEH16" s="223"/>
      <c r="OEI16" s="223"/>
      <c r="OEJ16" s="223"/>
      <c r="OEK16" s="223"/>
      <c r="OEL16" s="223"/>
      <c r="OEM16" s="223"/>
      <c r="OEN16" s="223"/>
      <c r="OEO16" s="224"/>
      <c r="OEP16" s="225"/>
      <c r="OEQ16" s="226"/>
      <c r="OER16" s="224"/>
      <c r="OES16" s="225"/>
      <c r="OET16" s="225"/>
      <c r="OEU16" s="227"/>
      <c r="OEV16" s="228"/>
      <c r="OEW16" s="228"/>
      <c r="OEX16" s="229"/>
      <c r="OEY16" s="216"/>
      <c r="OEZ16" s="219"/>
      <c r="OFA16" s="220"/>
      <c r="OFB16" s="217"/>
      <c r="OFC16" s="217"/>
      <c r="OFD16" s="217"/>
      <c r="OFE16" s="217"/>
      <c r="OFF16" s="217"/>
      <c r="OFG16" s="221"/>
      <c r="OFH16" s="222"/>
      <c r="OFI16" s="220"/>
      <c r="OFJ16" s="220"/>
      <c r="OFK16" s="220"/>
      <c r="OFL16" s="220"/>
      <c r="OFM16" s="223"/>
      <c r="OFN16" s="223"/>
      <c r="OFO16" s="223"/>
      <c r="OFP16" s="223"/>
      <c r="OFQ16" s="223"/>
      <c r="OFR16" s="223"/>
      <c r="OFS16" s="223"/>
      <c r="OFT16" s="223"/>
      <c r="OFU16" s="223"/>
      <c r="OFV16" s="224"/>
      <c r="OFW16" s="225"/>
      <c r="OFX16" s="226"/>
      <c r="OFY16" s="224"/>
      <c r="OFZ16" s="225"/>
      <c r="OGA16" s="225"/>
      <c r="OGB16" s="227"/>
      <c r="OGC16" s="228"/>
      <c r="OGD16" s="228"/>
      <c r="OGE16" s="229"/>
      <c r="OGF16" s="216"/>
      <c r="OGG16" s="219"/>
      <c r="OGH16" s="220"/>
      <c r="OGI16" s="217"/>
      <c r="OGJ16" s="217"/>
      <c r="OGK16" s="217"/>
      <c r="OGL16" s="217"/>
      <c r="OGM16" s="217"/>
      <c r="OGN16" s="221"/>
      <c r="OGO16" s="222"/>
      <c r="OGP16" s="220"/>
      <c r="OGQ16" s="220"/>
      <c r="OGR16" s="220"/>
      <c r="OGS16" s="220"/>
      <c r="OGT16" s="223"/>
      <c r="OGU16" s="223"/>
      <c r="OGV16" s="223"/>
      <c r="OGW16" s="223"/>
      <c r="OGX16" s="223"/>
      <c r="OGY16" s="223"/>
      <c r="OGZ16" s="223"/>
      <c r="OHA16" s="223"/>
      <c r="OHB16" s="223"/>
      <c r="OHC16" s="224"/>
      <c r="OHD16" s="225"/>
      <c r="OHE16" s="226"/>
      <c r="OHF16" s="224"/>
      <c r="OHG16" s="225"/>
      <c r="OHH16" s="225"/>
      <c r="OHI16" s="227"/>
      <c r="OHJ16" s="228"/>
      <c r="OHK16" s="228"/>
      <c r="OHL16" s="229"/>
      <c r="OHM16" s="216"/>
      <c r="OHN16" s="219"/>
      <c r="OHO16" s="220"/>
      <c r="OHP16" s="217"/>
      <c r="OHQ16" s="217"/>
      <c r="OHR16" s="217"/>
      <c r="OHS16" s="217"/>
      <c r="OHT16" s="217"/>
      <c r="OHU16" s="221"/>
      <c r="OHV16" s="222"/>
      <c r="OHW16" s="220"/>
      <c r="OHX16" s="220"/>
      <c r="OHY16" s="220"/>
      <c r="OHZ16" s="220"/>
      <c r="OIA16" s="223"/>
      <c r="OIB16" s="223"/>
      <c r="OIC16" s="223"/>
      <c r="OID16" s="223"/>
      <c r="OIE16" s="223"/>
      <c r="OIF16" s="223"/>
      <c r="OIG16" s="223"/>
      <c r="OIH16" s="223"/>
      <c r="OII16" s="223"/>
      <c r="OIJ16" s="224"/>
      <c r="OIK16" s="225"/>
      <c r="OIL16" s="226"/>
      <c r="OIM16" s="224"/>
      <c r="OIN16" s="225"/>
      <c r="OIO16" s="225"/>
      <c r="OIP16" s="227"/>
      <c r="OIQ16" s="228"/>
      <c r="OIR16" s="228"/>
      <c r="OIS16" s="229"/>
      <c r="OIT16" s="216"/>
      <c r="OIU16" s="219"/>
      <c r="OIV16" s="220"/>
      <c r="OIW16" s="217"/>
      <c r="OIX16" s="217"/>
      <c r="OIY16" s="217"/>
      <c r="OIZ16" s="217"/>
      <c r="OJA16" s="217"/>
      <c r="OJB16" s="221"/>
      <c r="OJC16" s="222"/>
      <c r="OJD16" s="220"/>
      <c r="OJE16" s="220"/>
      <c r="OJF16" s="220"/>
      <c r="OJG16" s="220"/>
      <c r="OJH16" s="223"/>
      <c r="OJI16" s="223"/>
      <c r="OJJ16" s="223"/>
      <c r="OJK16" s="223"/>
      <c r="OJL16" s="223"/>
      <c r="OJM16" s="223"/>
      <c r="OJN16" s="223"/>
      <c r="OJO16" s="223"/>
      <c r="OJP16" s="223"/>
      <c r="OJQ16" s="224"/>
      <c r="OJR16" s="225"/>
      <c r="OJS16" s="226"/>
      <c r="OJT16" s="224"/>
      <c r="OJU16" s="225"/>
      <c r="OJV16" s="225"/>
      <c r="OJW16" s="227"/>
      <c r="OJX16" s="228"/>
      <c r="OJY16" s="228"/>
      <c r="OJZ16" s="229"/>
      <c r="OKA16" s="216"/>
      <c r="OKB16" s="219"/>
      <c r="OKC16" s="220"/>
      <c r="OKD16" s="217"/>
      <c r="OKE16" s="217"/>
      <c r="OKF16" s="217"/>
      <c r="OKG16" s="217"/>
      <c r="OKH16" s="217"/>
      <c r="OKI16" s="221"/>
      <c r="OKJ16" s="222"/>
      <c r="OKK16" s="220"/>
      <c r="OKL16" s="220"/>
      <c r="OKM16" s="220"/>
      <c r="OKN16" s="220"/>
      <c r="OKO16" s="223"/>
      <c r="OKP16" s="223"/>
      <c r="OKQ16" s="223"/>
      <c r="OKR16" s="223"/>
      <c r="OKS16" s="223"/>
      <c r="OKT16" s="223"/>
      <c r="OKU16" s="223"/>
      <c r="OKV16" s="223"/>
      <c r="OKW16" s="223"/>
      <c r="OKX16" s="224"/>
      <c r="OKY16" s="225"/>
      <c r="OKZ16" s="226"/>
      <c r="OLA16" s="224"/>
      <c r="OLB16" s="225"/>
      <c r="OLC16" s="225"/>
      <c r="OLD16" s="227"/>
      <c r="OLE16" s="228"/>
      <c r="OLF16" s="228"/>
      <c r="OLG16" s="229"/>
      <c r="OLH16" s="216"/>
      <c r="OLI16" s="219"/>
      <c r="OLJ16" s="220"/>
      <c r="OLK16" s="217"/>
      <c r="OLL16" s="217"/>
      <c r="OLM16" s="217"/>
      <c r="OLN16" s="217"/>
      <c r="OLO16" s="217"/>
      <c r="OLP16" s="221"/>
      <c r="OLQ16" s="222"/>
      <c r="OLR16" s="220"/>
      <c r="OLS16" s="220"/>
      <c r="OLT16" s="220"/>
      <c r="OLU16" s="220"/>
      <c r="OLV16" s="223"/>
      <c r="OLW16" s="223"/>
      <c r="OLX16" s="223"/>
      <c r="OLY16" s="223"/>
      <c r="OLZ16" s="223"/>
      <c r="OMA16" s="223"/>
      <c r="OMB16" s="223"/>
      <c r="OMC16" s="223"/>
      <c r="OMD16" s="223"/>
      <c r="OME16" s="224"/>
      <c r="OMF16" s="225"/>
      <c r="OMG16" s="226"/>
      <c r="OMH16" s="224"/>
      <c r="OMI16" s="225"/>
      <c r="OMJ16" s="225"/>
      <c r="OMK16" s="227"/>
      <c r="OML16" s="228"/>
      <c r="OMM16" s="228"/>
      <c r="OMN16" s="229"/>
      <c r="OMO16" s="216"/>
      <c r="OMP16" s="219"/>
      <c r="OMQ16" s="220"/>
      <c r="OMR16" s="217"/>
      <c r="OMS16" s="217"/>
      <c r="OMT16" s="217"/>
      <c r="OMU16" s="217"/>
      <c r="OMV16" s="217"/>
      <c r="OMW16" s="221"/>
      <c r="OMX16" s="222"/>
      <c r="OMY16" s="220"/>
      <c r="OMZ16" s="220"/>
      <c r="ONA16" s="220"/>
      <c r="ONB16" s="220"/>
      <c r="ONC16" s="223"/>
      <c r="OND16" s="223"/>
      <c r="ONE16" s="223"/>
      <c r="ONF16" s="223"/>
      <c r="ONG16" s="223"/>
      <c r="ONH16" s="223"/>
      <c r="ONI16" s="223"/>
      <c r="ONJ16" s="223"/>
      <c r="ONK16" s="223"/>
      <c r="ONL16" s="224"/>
      <c r="ONM16" s="225"/>
      <c r="ONN16" s="226"/>
      <c r="ONO16" s="224"/>
      <c r="ONP16" s="225"/>
      <c r="ONQ16" s="225"/>
      <c r="ONR16" s="227"/>
      <c r="ONS16" s="228"/>
      <c r="ONT16" s="228"/>
      <c r="ONU16" s="229"/>
      <c r="ONV16" s="216"/>
      <c r="ONW16" s="219"/>
      <c r="ONX16" s="220"/>
      <c r="ONY16" s="217"/>
      <c r="ONZ16" s="217"/>
      <c r="OOA16" s="217"/>
      <c r="OOB16" s="217"/>
      <c r="OOC16" s="217"/>
      <c r="OOD16" s="221"/>
      <c r="OOE16" s="222"/>
      <c r="OOF16" s="220"/>
      <c r="OOG16" s="220"/>
      <c r="OOH16" s="220"/>
      <c r="OOI16" s="220"/>
      <c r="OOJ16" s="223"/>
      <c r="OOK16" s="223"/>
      <c r="OOL16" s="223"/>
      <c r="OOM16" s="223"/>
      <c r="OON16" s="223"/>
      <c r="OOO16" s="223"/>
      <c r="OOP16" s="223"/>
      <c r="OOQ16" s="223"/>
      <c r="OOR16" s="223"/>
      <c r="OOS16" s="224"/>
      <c r="OOT16" s="225"/>
      <c r="OOU16" s="226"/>
      <c r="OOV16" s="224"/>
      <c r="OOW16" s="225"/>
      <c r="OOX16" s="225"/>
      <c r="OOY16" s="227"/>
      <c r="OOZ16" s="228"/>
      <c r="OPA16" s="228"/>
      <c r="OPB16" s="229"/>
      <c r="OPC16" s="216"/>
      <c r="OPD16" s="219"/>
      <c r="OPE16" s="220"/>
      <c r="OPF16" s="217"/>
      <c r="OPG16" s="217"/>
      <c r="OPH16" s="217"/>
      <c r="OPI16" s="217"/>
      <c r="OPJ16" s="217"/>
      <c r="OPK16" s="221"/>
      <c r="OPL16" s="222"/>
      <c r="OPM16" s="220"/>
      <c r="OPN16" s="220"/>
      <c r="OPO16" s="220"/>
      <c r="OPP16" s="220"/>
      <c r="OPQ16" s="223"/>
      <c r="OPR16" s="223"/>
      <c r="OPS16" s="223"/>
      <c r="OPT16" s="223"/>
      <c r="OPU16" s="223"/>
      <c r="OPV16" s="223"/>
      <c r="OPW16" s="223"/>
      <c r="OPX16" s="223"/>
      <c r="OPY16" s="223"/>
      <c r="OPZ16" s="224"/>
      <c r="OQA16" s="225"/>
      <c r="OQB16" s="226"/>
      <c r="OQC16" s="224"/>
      <c r="OQD16" s="225"/>
      <c r="OQE16" s="225"/>
      <c r="OQF16" s="227"/>
      <c r="OQG16" s="228"/>
      <c r="OQH16" s="228"/>
      <c r="OQI16" s="229"/>
      <c r="OQJ16" s="216"/>
      <c r="OQK16" s="219"/>
      <c r="OQL16" s="220"/>
      <c r="OQM16" s="217"/>
      <c r="OQN16" s="217"/>
      <c r="OQO16" s="217"/>
      <c r="OQP16" s="217"/>
      <c r="OQQ16" s="217"/>
      <c r="OQR16" s="221"/>
      <c r="OQS16" s="222"/>
      <c r="OQT16" s="220"/>
      <c r="OQU16" s="220"/>
      <c r="OQV16" s="220"/>
      <c r="OQW16" s="220"/>
      <c r="OQX16" s="223"/>
      <c r="OQY16" s="223"/>
      <c r="OQZ16" s="223"/>
      <c r="ORA16" s="223"/>
      <c r="ORB16" s="223"/>
      <c r="ORC16" s="223"/>
      <c r="ORD16" s="223"/>
      <c r="ORE16" s="223"/>
      <c r="ORF16" s="223"/>
      <c r="ORG16" s="224"/>
      <c r="ORH16" s="225"/>
      <c r="ORI16" s="226"/>
      <c r="ORJ16" s="224"/>
      <c r="ORK16" s="225"/>
      <c r="ORL16" s="225"/>
      <c r="ORM16" s="227"/>
      <c r="ORN16" s="228"/>
      <c r="ORO16" s="228"/>
      <c r="ORP16" s="229"/>
      <c r="ORQ16" s="216"/>
      <c r="ORR16" s="219"/>
      <c r="ORS16" s="220"/>
      <c r="ORT16" s="217"/>
      <c r="ORU16" s="217"/>
      <c r="ORV16" s="217"/>
      <c r="ORW16" s="217"/>
      <c r="ORX16" s="217"/>
      <c r="ORY16" s="221"/>
      <c r="ORZ16" s="222"/>
      <c r="OSA16" s="220"/>
      <c r="OSB16" s="220"/>
      <c r="OSC16" s="220"/>
      <c r="OSD16" s="220"/>
      <c r="OSE16" s="223"/>
      <c r="OSF16" s="223"/>
      <c r="OSG16" s="223"/>
      <c r="OSH16" s="223"/>
      <c r="OSI16" s="223"/>
      <c r="OSJ16" s="223"/>
      <c r="OSK16" s="223"/>
      <c r="OSL16" s="223"/>
      <c r="OSM16" s="223"/>
      <c r="OSN16" s="224"/>
      <c r="OSO16" s="225"/>
      <c r="OSP16" s="226"/>
      <c r="OSQ16" s="224"/>
      <c r="OSR16" s="225"/>
      <c r="OSS16" s="225"/>
      <c r="OST16" s="227"/>
      <c r="OSU16" s="228"/>
      <c r="OSV16" s="228"/>
      <c r="OSW16" s="229"/>
      <c r="OSX16" s="216"/>
      <c r="OSY16" s="219"/>
      <c r="OSZ16" s="220"/>
      <c r="OTA16" s="217"/>
      <c r="OTB16" s="217"/>
      <c r="OTC16" s="217"/>
      <c r="OTD16" s="217"/>
      <c r="OTE16" s="217"/>
      <c r="OTF16" s="221"/>
      <c r="OTG16" s="222"/>
      <c r="OTH16" s="220"/>
      <c r="OTI16" s="220"/>
      <c r="OTJ16" s="220"/>
      <c r="OTK16" s="220"/>
      <c r="OTL16" s="223"/>
      <c r="OTM16" s="223"/>
      <c r="OTN16" s="223"/>
      <c r="OTO16" s="223"/>
      <c r="OTP16" s="223"/>
      <c r="OTQ16" s="223"/>
      <c r="OTR16" s="223"/>
      <c r="OTS16" s="223"/>
      <c r="OTT16" s="223"/>
      <c r="OTU16" s="224"/>
      <c r="OTV16" s="225"/>
      <c r="OTW16" s="226"/>
      <c r="OTX16" s="224"/>
      <c r="OTY16" s="225"/>
      <c r="OTZ16" s="225"/>
      <c r="OUA16" s="227"/>
      <c r="OUB16" s="228"/>
      <c r="OUC16" s="228"/>
      <c r="OUD16" s="229"/>
      <c r="OUE16" s="216"/>
      <c r="OUF16" s="219"/>
      <c r="OUG16" s="220"/>
      <c r="OUH16" s="217"/>
      <c r="OUI16" s="217"/>
      <c r="OUJ16" s="217"/>
      <c r="OUK16" s="217"/>
      <c r="OUL16" s="217"/>
      <c r="OUM16" s="221"/>
      <c r="OUN16" s="222"/>
      <c r="OUO16" s="220"/>
      <c r="OUP16" s="220"/>
      <c r="OUQ16" s="220"/>
      <c r="OUR16" s="220"/>
      <c r="OUS16" s="223"/>
      <c r="OUT16" s="223"/>
      <c r="OUU16" s="223"/>
      <c r="OUV16" s="223"/>
      <c r="OUW16" s="223"/>
      <c r="OUX16" s="223"/>
      <c r="OUY16" s="223"/>
      <c r="OUZ16" s="223"/>
      <c r="OVA16" s="223"/>
      <c r="OVB16" s="224"/>
      <c r="OVC16" s="225"/>
      <c r="OVD16" s="226"/>
      <c r="OVE16" s="224"/>
      <c r="OVF16" s="225"/>
      <c r="OVG16" s="225"/>
      <c r="OVH16" s="227"/>
      <c r="OVI16" s="228"/>
      <c r="OVJ16" s="228"/>
      <c r="OVK16" s="229"/>
      <c r="OVL16" s="216"/>
      <c r="OVM16" s="219"/>
      <c r="OVN16" s="220"/>
      <c r="OVO16" s="217"/>
      <c r="OVP16" s="217"/>
      <c r="OVQ16" s="217"/>
      <c r="OVR16" s="217"/>
      <c r="OVS16" s="217"/>
      <c r="OVT16" s="221"/>
      <c r="OVU16" s="222"/>
      <c r="OVV16" s="220"/>
      <c r="OVW16" s="220"/>
      <c r="OVX16" s="220"/>
      <c r="OVY16" s="220"/>
      <c r="OVZ16" s="223"/>
      <c r="OWA16" s="223"/>
      <c r="OWB16" s="223"/>
      <c r="OWC16" s="223"/>
      <c r="OWD16" s="223"/>
      <c r="OWE16" s="223"/>
      <c r="OWF16" s="223"/>
      <c r="OWG16" s="223"/>
      <c r="OWH16" s="223"/>
      <c r="OWI16" s="224"/>
      <c r="OWJ16" s="225"/>
      <c r="OWK16" s="226"/>
      <c r="OWL16" s="224"/>
      <c r="OWM16" s="225"/>
      <c r="OWN16" s="225"/>
      <c r="OWO16" s="227"/>
      <c r="OWP16" s="228"/>
      <c r="OWQ16" s="228"/>
      <c r="OWR16" s="229"/>
      <c r="OWS16" s="216"/>
      <c r="OWT16" s="219"/>
      <c r="OWU16" s="220"/>
      <c r="OWV16" s="217"/>
      <c r="OWW16" s="217"/>
      <c r="OWX16" s="217"/>
      <c r="OWY16" s="217"/>
      <c r="OWZ16" s="217"/>
      <c r="OXA16" s="221"/>
      <c r="OXB16" s="222"/>
      <c r="OXC16" s="220"/>
      <c r="OXD16" s="220"/>
      <c r="OXE16" s="220"/>
      <c r="OXF16" s="220"/>
      <c r="OXG16" s="223"/>
      <c r="OXH16" s="223"/>
      <c r="OXI16" s="223"/>
      <c r="OXJ16" s="223"/>
      <c r="OXK16" s="223"/>
      <c r="OXL16" s="223"/>
      <c r="OXM16" s="223"/>
      <c r="OXN16" s="223"/>
      <c r="OXO16" s="223"/>
      <c r="OXP16" s="224"/>
      <c r="OXQ16" s="225"/>
      <c r="OXR16" s="226"/>
      <c r="OXS16" s="224"/>
      <c r="OXT16" s="225"/>
      <c r="OXU16" s="225"/>
      <c r="OXV16" s="227"/>
      <c r="OXW16" s="228"/>
      <c r="OXX16" s="228"/>
      <c r="OXY16" s="229"/>
      <c r="OXZ16" s="216"/>
      <c r="OYA16" s="219"/>
      <c r="OYB16" s="220"/>
      <c r="OYC16" s="217"/>
      <c r="OYD16" s="217"/>
      <c r="OYE16" s="217"/>
      <c r="OYF16" s="217"/>
      <c r="OYG16" s="217"/>
      <c r="OYH16" s="221"/>
      <c r="OYI16" s="222"/>
      <c r="OYJ16" s="220"/>
      <c r="OYK16" s="220"/>
      <c r="OYL16" s="220"/>
      <c r="OYM16" s="220"/>
      <c r="OYN16" s="223"/>
      <c r="OYO16" s="223"/>
      <c r="OYP16" s="223"/>
      <c r="OYQ16" s="223"/>
      <c r="OYR16" s="223"/>
      <c r="OYS16" s="223"/>
      <c r="OYT16" s="223"/>
      <c r="OYU16" s="223"/>
      <c r="OYV16" s="223"/>
      <c r="OYW16" s="224"/>
      <c r="OYX16" s="225"/>
      <c r="OYY16" s="226"/>
      <c r="OYZ16" s="224"/>
      <c r="OZA16" s="225"/>
      <c r="OZB16" s="225"/>
      <c r="OZC16" s="227"/>
      <c r="OZD16" s="228"/>
      <c r="OZE16" s="228"/>
      <c r="OZF16" s="229"/>
      <c r="OZG16" s="216"/>
      <c r="OZH16" s="219"/>
      <c r="OZI16" s="220"/>
      <c r="OZJ16" s="217"/>
      <c r="OZK16" s="217"/>
      <c r="OZL16" s="217"/>
      <c r="OZM16" s="217"/>
      <c r="OZN16" s="217"/>
      <c r="OZO16" s="221"/>
      <c r="OZP16" s="222"/>
      <c r="OZQ16" s="220"/>
      <c r="OZR16" s="220"/>
      <c r="OZS16" s="220"/>
      <c r="OZT16" s="220"/>
      <c r="OZU16" s="223"/>
      <c r="OZV16" s="223"/>
      <c r="OZW16" s="223"/>
      <c r="OZX16" s="223"/>
      <c r="OZY16" s="223"/>
      <c r="OZZ16" s="223"/>
      <c r="PAA16" s="223"/>
      <c r="PAB16" s="223"/>
      <c r="PAC16" s="223"/>
      <c r="PAD16" s="224"/>
      <c r="PAE16" s="225"/>
      <c r="PAF16" s="226"/>
      <c r="PAG16" s="224"/>
      <c r="PAH16" s="225"/>
      <c r="PAI16" s="225"/>
      <c r="PAJ16" s="227"/>
      <c r="PAK16" s="228"/>
      <c r="PAL16" s="228"/>
      <c r="PAM16" s="229"/>
      <c r="PAN16" s="216"/>
      <c r="PAO16" s="219"/>
      <c r="PAP16" s="220"/>
      <c r="PAQ16" s="217"/>
      <c r="PAR16" s="217"/>
      <c r="PAS16" s="217"/>
      <c r="PAT16" s="217"/>
      <c r="PAU16" s="217"/>
      <c r="PAV16" s="221"/>
      <c r="PAW16" s="222"/>
      <c r="PAX16" s="220"/>
      <c r="PAY16" s="220"/>
      <c r="PAZ16" s="220"/>
      <c r="PBA16" s="220"/>
      <c r="PBB16" s="223"/>
      <c r="PBC16" s="223"/>
      <c r="PBD16" s="223"/>
      <c r="PBE16" s="223"/>
      <c r="PBF16" s="223"/>
      <c r="PBG16" s="223"/>
      <c r="PBH16" s="223"/>
      <c r="PBI16" s="223"/>
      <c r="PBJ16" s="223"/>
      <c r="PBK16" s="224"/>
      <c r="PBL16" s="225"/>
      <c r="PBM16" s="226"/>
      <c r="PBN16" s="224"/>
      <c r="PBO16" s="225"/>
      <c r="PBP16" s="225"/>
      <c r="PBQ16" s="227"/>
      <c r="PBR16" s="228"/>
      <c r="PBS16" s="228"/>
      <c r="PBT16" s="229"/>
      <c r="PBU16" s="216"/>
      <c r="PBV16" s="219"/>
      <c r="PBW16" s="220"/>
      <c r="PBX16" s="217"/>
      <c r="PBY16" s="217"/>
      <c r="PBZ16" s="217"/>
      <c r="PCA16" s="217"/>
      <c r="PCB16" s="217"/>
      <c r="PCC16" s="221"/>
      <c r="PCD16" s="222"/>
      <c r="PCE16" s="220"/>
      <c r="PCF16" s="220"/>
      <c r="PCG16" s="220"/>
      <c r="PCH16" s="220"/>
      <c r="PCI16" s="223"/>
      <c r="PCJ16" s="223"/>
      <c r="PCK16" s="223"/>
      <c r="PCL16" s="223"/>
      <c r="PCM16" s="223"/>
      <c r="PCN16" s="223"/>
      <c r="PCO16" s="223"/>
      <c r="PCP16" s="223"/>
      <c r="PCQ16" s="223"/>
      <c r="PCR16" s="224"/>
      <c r="PCS16" s="225"/>
      <c r="PCT16" s="226"/>
      <c r="PCU16" s="224"/>
      <c r="PCV16" s="225"/>
      <c r="PCW16" s="225"/>
      <c r="PCX16" s="227"/>
      <c r="PCY16" s="228"/>
      <c r="PCZ16" s="228"/>
      <c r="PDA16" s="229"/>
      <c r="PDB16" s="216"/>
      <c r="PDC16" s="219"/>
      <c r="PDD16" s="220"/>
      <c r="PDE16" s="217"/>
      <c r="PDF16" s="217"/>
      <c r="PDG16" s="217"/>
      <c r="PDH16" s="217"/>
      <c r="PDI16" s="217"/>
      <c r="PDJ16" s="221"/>
      <c r="PDK16" s="222"/>
      <c r="PDL16" s="220"/>
      <c r="PDM16" s="220"/>
      <c r="PDN16" s="220"/>
      <c r="PDO16" s="220"/>
      <c r="PDP16" s="223"/>
      <c r="PDQ16" s="223"/>
      <c r="PDR16" s="223"/>
      <c r="PDS16" s="223"/>
      <c r="PDT16" s="223"/>
      <c r="PDU16" s="223"/>
      <c r="PDV16" s="223"/>
      <c r="PDW16" s="223"/>
      <c r="PDX16" s="223"/>
      <c r="PDY16" s="224"/>
      <c r="PDZ16" s="225"/>
      <c r="PEA16" s="226"/>
      <c r="PEB16" s="224"/>
      <c r="PEC16" s="225"/>
      <c r="PED16" s="225"/>
      <c r="PEE16" s="227"/>
      <c r="PEF16" s="228"/>
      <c r="PEG16" s="228"/>
      <c r="PEH16" s="229"/>
      <c r="PEI16" s="216"/>
      <c r="PEJ16" s="219"/>
      <c r="PEK16" s="220"/>
      <c r="PEL16" s="217"/>
      <c r="PEM16" s="217"/>
      <c r="PEN16" s="217"/>
      <c r="PEO16" s="217"/>
      <c r="PEP16" s="217"/>
      <c r="PEQ16" s="221"/>
      <c r="PER16" s="222"/>
      <c r="PES16" s="220"/>
      <c r="PET16" s="220"/>
      <c r="PEU16" s="220"/>
      <c r="PEV16" s="220"/>
      <c r="PEW16" s="223"/>
      <c r="PEX16" s="223"/>
      <c r="PEY16" s="223"/>
      <c r="PEZ16" s="223"/>
      <c r="PFA16" s="223"/>
      <c r="PFB16" s="223"/>
      <c r="PFC16" s="223"/>
      <c r="PFD16" s="223"/>
      <c r="PFE16" s="223"/>
      <c r="PFF16" s="224"/>
      <c r="PFG16" s="225"/>
      <c r="PFH16" s="226"/>
      <c r="PFI16" s="224"/>
      <c r="PFJ16" s="225"/>
      <c r="PFK16" s="225"/>
      <c r="PFL16" s="227"/>
      <c r="PFM16" s="228"/>
      <c r="PFN16" s="228"/>
      <c r="PFO16" s="229"/>
      <c r="PFP16" s="216"/>
      <c r="PFQ16" s="219"/>
      <c r="PFR16" s="220"/>
      <c r="PFS16" s="217"/>
      <c r="PFT16" s="217"/>
      <c r="PFU16" s="217"/>
      <c r="PFV16" s="217"/>
      <c r="PFW16" s="217"/>
      <c r="PFX16" s="221"/>
      <c r="PFY16" s="222"/>
      <c r="PFZ16" s="220"/>
      <c r="PGA16" s="220"/>
      <c r="PGB16" s="220"/>
      <c r="PGC16" s="220"/>
      <c r="PGD16" s="223"/>
      <c r="PGE16" s="223"/>
      <c r="PGF16" s="223"/>
      <c r="PGG16" s="223"/>
      <c r="PGH16" s="223"/>
      <c r="PGI16" s="223"/>
      <c r="PGJ16" s="223"/>
      <c r="PGK16" s="223"/>
      <c r="PGL16" s="223"/>
      <c r="PGM16" s="224"/>
      <c r="PGN16" s="225"/>
      <c r="PGO16" s="226"/>
      <c r="PGP16" s="224"/>
      <c r="PGQ16" s="225"/>
      <c r="PGR16" s="225"/>
      <c r="PGS16" s="227"/>
      <c r="PGT16" s="228"/>
      <c r="PGU16" s="228"/>
      <c r="PGV16" s="229"/>
      <c r="PGW16" s="216"/>
      <c r="PGX16" s="219"/>
      <c r="PGY16" s="220"/>
      <c r="PGZ16" s="217"/>
      <c r="PHA16" s="217"/>
      <c r="PHB16" s="217"/>
      <c r="PHC16" s="217"/>
      <c r="PHD16" s="217"/>
      <c r="PHE16" s="221"/>
      <c r="PHF16" s="222"/>
      <c r="PHG16" s="220"/>
      <c r="PHH16" s="220"/>
      <c r="PHI16" s="220"/>
      <c r="PHJ16" s="220"/>
      <c r="PHK16" s="223"/>
      <c r="PHL16" s="223"/>
      <c r="PHM16" s="223"/>
      <c r="PHN16" s="223"/>
      <c r="PHO16" s="223"/>
      <c r="PHP16" s="223"/>
      <c r="PHQ16" s="223"/>
      <c r="PHR16" s="223"/>
      <c r="PHS16" s="223"/>
      <c r="PHT16" s="224"/>
      <c r="PHU16" s="225"/>
      <c r="PHV16" s="226"/>
      <c r="PHW16" s="224"/>
      <c r="PHX16" s="225"/>
      <c r="PHY16" s="225"/>
      <c r="PHZ16" s="227"/>
      <c r="PIA16" s="228"/>
      <c r="PIB16" s="228"/>
      <c r="PIC16" s="229"/>
      <c r="PID16" s="216"/>
      <c r="PIE16" s="219"/>
      <c r="PIF16" s="220"/>
      <c r="PIG16" s="217"/>
      <c r="PIH16" s="217"/>
      <c r="PII16" s="217"/>
      <c r="PIJ16" s="217"/>
      <c r="PIK16" s="217"/>
      <c r="PIL16" s="221"/>
      <c r="PIM16" s="222"/>
      <c r="PIN16" s="220"/>
      <c r="PIO16" s="220"/>
      <c r="PIP16" s="220"/>
      <c r="PIQ16" s="220"/>
      <c r="PIR16" s="223"/>
      <c r="PIS16" s="223"/>
      <c r="PIT16" s="223"/>
      <c r="PIU16" s="223"/>
      <c r="PIV16" s="223"/>
      <c r="PIW16" s="223"/>
      <c r="PIX16" s="223"/>
      <c r="PIY16" s="223"/>
      <c r="PIZ16" s="223"/>
      <c r="PJA16" s="224"/>
      <c r="PJB16" s="225"/>
      <c r="PJC16" s="226"/>
      <c r="PJD16" s="224"/>
      <c r="PJE16" s="225"/>
      <c r="PJF16" s="225"/>
      <c r="PJG16" s="227"/>
      <c r="PJH16" s="228"/>
      <c r="PJI16" s="228"/>
      <c r="PJJ16" s="229"/>
      <c r="PJK16" s="216"/>
      <c r="PJL16" s="219"/>
      <c r="PJM16" s="220"/>
      <c r="PJN16" s="217"/>
      <c r="PJO16" s="217"/>
      <c r="PJP16" s="217"/>
      <c r="PJQ16" s="217"/>
      <c r="PJR16" s="217"/>
      <c r="PJS16" s="221"/>
      <c r="PJT16" s="222"/>
      <c r="PJU16" s="220"/>
      <c r="PJV16" s="220"/>
      <c r="PJW16" s="220"/>
      <c r="PJX16" s="220"/>
      <c r="PJY16" s="223"/>
      <c r="PJZ16" s="223"/>
      <c r="PKA16" s="223"/>
      <c r="PKB16" s="223"/>
      <c r="PKC16" s="223"/>
      <c r="PKD16" s="223"/>
      <c r="PKE16" s="223"/>
      <c r="PKF16" s="223"/>
      <c r="PKG16" s="223"/>
      <c r="PKH16" s="224"/>
      <c r="PKI16" s="225"/>
      <c r="PKJ16" s="226"/>
      <c r="PKK16" s="224"/>
      <c r="PKL16" s="225"/>
      <c r="PKM16" s="225"/>
      <c r="PKN16" s="227"/>
      <c r="PKO16" s="228"/>
      <c r="PKP16" s="228"/>
      <c r="PKQ16" s="229"/>
      <c r="PKR16" s="216"/>
      <c r="PKS16" s="219"/>
      <c r="PKT16" s="220"/>
      <c r="PKU16" s="217"/>
      <c r="PKV16" s="217"/>
      <c r="PKW16" s="217"/>
      <c r="PKX16" s="217"/>
      <c r="PKY16" s="217"/>
      <c r="PKZ16" s="221"/>
      <c r="PLA16" s="222"/>
      <c r="PLB16" s="220"/>
      <c r="PLC16" s="220"/>
      <c r="PLD16" s="220"/>
      <c r="PLE16" s="220"/>
      <c r="PLF16" s="223"/>
      <c r="PLG16" s="223"/>
      <c r="PLH16" s="223"/>
      <c r="PLI16" s="223"/>
      <c r="PLJ16" s="223"/>
      <c r="PLK16" s="223"/>
      <c r="PLL16" s="223"/>
      <c r="PLM16" s="223"/>
      <c r="PLN16" s="223"/>
      <c r="PLO16" s="224"/>
      <c r="PLP16" s="225"/>
      <c r="PLQ16" s="226"/>
      <c r="PLR16" s="224"/>
      <c r="PLS16" s="225"/>
      <c r="PLT16" s="225"/>
      <c r="PLU16" s="227"/>
      <c r="PLV16" s="228"/>
      <c r="PLW16" s="228"/>
      <c r="PLX16" s="229"/>
      <c r="PLY16" s="216"/>
      <c r="PLZ16" s="219"/>
      <c r="PMA16" s="220"/>
      <c r="PMB16" s="217"/>
      <c r="PMC16" s="217"/>
      <c r="PMD16" s="217"/>
      <c r="PME16" s="217"/>
      <c r="PMF16" s="217"/>
      <c r="PMG16" s="221"/>
      <c r="PMH16" s="222"/>
      <c r="PMI16" s="220"/>
      <c r="PMJ16" s="220"/>
      <c r="PMK16" s="220"/>
      <c r="PML16" s="220"/>
      <c r="PMM16" s="223"/>
      <c r="PMN16" s="223"/>
      <c r="PMO16" s="223"/>
      <c r="PMP16" s="223"/>
      <c r="PMQ16" s="223"/>
      <c r="PMR16" s="223"/>
      <c r="PMS16" s="223"/>
      <c r="PMT16" s="223"/>
      <c r="PMU16" s="223"/>
      <c r="PMV16" s="224"/>
      <c r="PMW16" s="225"/>
      <c r="PMX16" s="226"/>
      <c r="PMY16" s="224"/>
      <c r="PMZ16" s="225"/>
      <c r="PNA16" s="225"/>
      <c r="PNB16" s="227"/>
      <c r="PNC16" s="228"/>
      <c r="PND16" s="228"/>
      <c r="PNE16" s="229"/>
      <c r="PNF16" s="216"/>
      <c r="PNG16" s="219"/>
      <c r="PNH16" s="220"/>
      <c r="PNI16" s="217"/>
      <c r="PNJ16" s="217"/>
      <c r="PNK16" s="217"/>
      <c r="PNL16" s="217"/>
      <c r="PNM16" s="217"/>
      <c r="PNN16" s="221"/>
      <c r="PNO16" s="222"/>
      <c r="PNP16" s="220"/>
      <c r="PNQ16" s="220"/>
      <c r="PNR16" s="220"/>
      <c r="PNS16" s="220"/>
      <c r="PNT16" s="223"/>
      <c r="PNU16" s="223"/>
      <c r="PNV16" s="223"/>
      <c r="PNW16" s="223"/>
      <c r="PNX16" s="223"/>
      <c r="PNY16" s="223"/>
      <c r="PNZ16" s="223"/>
      <c r="POA16" s="223"/>
      <c r="POB16" s="223"/>
      <c r="POC16" s="224"/>
      <c r="POD16" s="225"/>
      <c r="POE16" s="226"/>
      <c r="POF16" s="224"/>
      <c r="POG16" s="225"/>
      <c r="POH16" s="225"/>
      <c r="POI16" s="227"/>
      <c r="POJ16" s="228"/>
      <c r="POK16" s="228"/>
      <c r="POL16" s="229"/>
      <c r="POM16" s="216"/>
      <c r="PON16" s="219"/>
      <c r="POO16" s="220"/>
      <c r="POP16" s="217"/>
      <c r="POQ16" s="217"/>
      <c r="POR16" s="217"/>
      <c r="POS16" s="217"/>
      <c r="POT16" s="217"/>
      <c r="POU16" s="221"/>
      <c r="POV16" s="222"/>
      <c r="POW16" s="220"/>
      <c r="POX16" s="220"/>
      <c r="POY16" s="220"/>
      <c r="POZ16" s="220"/>
      <c r="PPA16" s="223"/>
      <c r="PPB16" s="223"/>
      <c r="PPC16" s="223"/>
      <c r="PPD16" s="223"/>
      <c r="PPE16" s="223"/>
      <c r="PPF16" s="223"/>
      <c r="PPG16" s="223"/>
      <c r="PPH16" s="223"/>
      <c r="PPI16" s="223"/>
      <c r="PPJ16" s="224"/>
      <c r="PPK16" s="225"/>
      <c r="PPL16" s="226"/>
      <c r="PPM16" s="224"/>
      <c r="PPN16" s="225"/>
      <c r="PPO16" s="225"/>
      <c r="PPP16" s="227"/>
      <c r="PPQ16" s="228"/>
      <c r="PPR16" s="228"/>
      <c r="PPS16" s="229"/>
      <c r="PPT16" s="216"/>
      <c r="PPU16" s="219"/>
      <c r="PPV16" s="220"/>
      <c r="PPW16" s="217"/>
      <c r="PPX16" s="217"/>
      <c r="PPY16" s="217"/>
      <c r="PPZ16" s="217"/>
      <c r="PQA16" s="217"/>
      <c r="PQB16" s="221"/>
      <c r="PQC16" s="222"/>
      <c r="PQD16" s="220"/>
      <c r="PQE16" s="220"/>
      <c r="PQF16" s="220"/>
      <c r="PQG16" s="220"/>
      <c r="PQH16" s="223"/>
      <c r="PQI16" s="223"/>
      <c r="PQJ16" s="223"/>
      <c r="PQK16" s="223"/>
      <c r="PQL16" s="223"/>
      <c r="PQM16" s="223"/>
      <c r="PQN16" s="223"/>
      <c r="PQO16" s="223"/>
      <c r="PQP16" s="223"/>
      <c r="PQQ16" s="224"/>
      <c r="PQR16" s="225"/>
      <c r="PQS16" s="226"/>
      <c r="PQT16" s="224"/>
      <c r="PQU16" s="225"/>
      <c r="PQV16" s="225"/>
      <c r="PQW16" s="227"/>
      <c r="PQX16" s="228"/>
      <c r="PQY16" s="228"/>
      <c r="PQZ16" s="229"/>
      <c r="PRA16" s="216"/>
      <c r="PRB16" s="219"/>
      <c r="PRC16" s="220"/>
      <c r="PRD16" s="217"/>
      <c r="PRE16" s="217"/>
      <c r="PRF16" s="217"/>
      <c r="PRG16" s="217"/>
      <c r="PRH16" s="217"/>
      <c r="PRI16" s="221"/>
      <c r="PRJ16" s="222"/>
      <c r="PRK16" s="220"/>
      <c r="PRL16" s="220"/>
      <c r="PRM16" s="220"/>
      <c r="PRN16" s="220"/>
      <c r="PRO16" s="223"/>
      <c r="PRP16" s="223"/>
      <c r="PRQ16" s="223"/>
      <c r="PRR16" s="223"/>
      <c r="PRS16" s="223"/>
      <c r="PRT16" s="223"/>
      <c r="PRU16" s="223"/>
      <c r="PRV16" s="223"/>
      <c r="PRW16" s="223"/>
      <c r="PRX16" s="224"/>
      <c r="PRY16" s="225"/>
      <c r="PRZ16" s="226"/>
      <c r="PSA16" s="224"/>
      <c r="PSB16" s="225"/>
      <c r="PSC16" s="225"/>
      <c r="PSD16" s="227"/>
      <c r="PSE16" s="228"/>
      <c r="PSF16" s="228"/>
      <c r="PSG16" s="229"/>
      <c r="PSH16" s="216"/>
      <c r="PSI16" s="219"/>
      <c r="PSJ16" s="220"/>
      <c r="PSK16" s="217"/>
      <c r="PSL16" s="217"/>
      <c r="PSM16" s="217"/>
      <c r="PSN16" s="217"/>
      <c r="PSO16" s="217"/>
      <c r="PSP16" s="221"/>
      <c r="PSQ16" s="222"/>
      <c r="PSR16" s="220"/>
      <c r="PSS16" s="220"/>
      <c r="PST16" s="220"/>
      <c r="PSU16" s="220"/>
      <c r="PSV16" s="223"/>
      <c r="PSW16" s="223"/>
      <c r="PSX16" s="223"/>
      <c r="PSY16" s="223"/>
      <c r="PSZ16" s="223"/>
      <c r="PTA16" s="223"/>
      <c r="PTB16" s="223"/>
      <c r="PTC16" s="223"/>
      <c r="PTD16" s="223"/>
      <c r="PTE16" s="224"/>
      <c r="PTF16" s="225"/>
      <c r="PTG16" s="226"/>
      <c r="PTH16" s="224"/>
      <c r="PTI16" s="225"/>
      <c r="PTJ16" s="225"/>
      <c r="PTK16" s="227"/>
      <c r="PTL16" s="228"/>
      <c r="PTM16" s="228"/>
      <c r="PTN16" s="229"/>
      <c r="PTO16" s="216"/>
      <c r="PTP16" s="219"/>
      <c r="PTQ16" s="220"/>
      <c r="PTR16" s="217"/>
      <c r="PTS16" s="217"/>
      <c r="PTT16" s="217"/>
      <c r="PTU16" s="217"/>
      <c r="PTV16" s="217"/>
      <c r="PTW16" s="221"/>
      <c r="PTX16" s="222"/>
      <c r="PTY16" s="220"/>
      <c r="PTZ16" s="220"/>
      <c r="PUA16" s="220"/>
      <c r="PUB16" s="220"/>
      <c r="PUC16" s="223"/>
      <c r="PUD16" s="223"/>
      <c r="PUE16" s="223"/>
      <c r="PUF16" s="223"/>
      <c r="PUG16" s="223"/>
      <c r="PUH16" s="223"/>
      <c r="PUI16" s="223"/>
      <c r="PUJ16" s="223"/>
      <c r="PUK16" s="223"/>
      <c r="PUL16" s="224"/>
      <c r="PUM16" s="225"/>
      <c r="PUN16" s="226"/>
      <c r="PUO16" s="224"/>
      <c r="PUP16" s="225"/>
      <c r="PUQ16" s="225"/>
      <c r="PUR16" s="227"/>
      <c r="PUS16" s="228"/>
      <c r="PUT16" s="228"/>
      <c r="PUU16" s="229"/>
      <c r="PUV16" s="216"/>
      <c r="PUW16" s="219"/>
      <c r="PUX16" s="220"/>
      <c r="PUY16" s="217"/>
      <c r="PUZ16" s="217"/>
      <c r="PVA16" s="217"/>
      <c r="PVB16" s="217"/>
      <c r="PVC16" s="217"/>
      <c r="PVD16" s="221"/>
      <c r="PVE16" s="222"/>
      <c r="PVF16" s="220"/>
      <c r="PVG16" s="220"/>
      <c r="PVH16" s="220"/>
      <c r="PVI16" s="220"/>
      <c r="PVJ16" s="223"/>
      <c r="PVK16" s="223"/>
      <c r="PVL16" s="223"/>
      <c r="PVM16" s="223"/>
      <c r="PVN16" s="223"/>
      <c r="PVO16" s="223"/>
      <c r="PVP16" s="223"/>
      <c r="PVQ16" s="223"/>
      <c r="PVR16" s="223"/>
      <c r="PVS16" s="224"/>
      <c r="PVT16" s="225"/>
      <c r="PVU16" s="226"/>
      <c r="PVV16" s="224"/>
      <c r="PVW16" s="225"/>
      <c r="PVX16" s="225"/>
      <c r="PVY16" s="227"/>
      <c r="PVZ16" s="228"/>
      <c r="PWA16" s="228"/>
      <c r="PWB16" s="229"/>
      <c r="PWC16" s="216"/>
      <c r="PWD16" s="219"/>
      <c r="PWE16" s="220"/>
      <c r="PWF16" s="217"/>
      <c r="PWG16" s="217"/>
      <c r="PWH16" s="217"/>
      <c r="PWI16" s="217"/>
      <c r="PWJ16" s="217"/>
      <c r="PWK16" s="221"/>
      <c r="PWL16" s="222"/>
      <c r="PWM16" s="220"/>
      <c r="PWN16" s="220"/>
      <c r="PWO16" s="220"/>
      <c r="PWP16" s="220"/>
      <c r="PWQ16" s="223"/>
      <c r="PWR16" s="223"/>
      <c r="PWS16" s="223"/>
      <c r="PWT16" s="223"/>
      <c r="PWU16" s="223"/>
      <c r="PWV16" s="223"/>
      <c r="PWW16" s="223"/>
      <c r="PWX16" s="223"/>
      <c r="PWY16" s="223"/>
      <c r="PWZ16" s="224"/>
      <c r="PXA16" s="225"/>
      <c r="PXB16" s="226"/>
      <c r="PXC16" s="224"/>
      <c r="PXD16" s="225"/>
      <c r="PXE16" s="225"/>
      <c r="PXF16" s="227"/>
      <c r="PXG16" s="228"/>
      <c r="PXH16" s="228"/>
      <c r="PXI16" s="229"/>
      <c r="PXJ16" s="216"/>
      <c r="PXK16" s="219"/>
      <c r="PXL16" s="220"/>
      <c r="PXM16" s="217"/>
      <c r="PXN16" s="217"/>
      <c r="PXO16" s="217"/>
      <c r="PXP16" s="217"/>
      <c r="PXQ16" s="217"/>
      <c r="PXR16" s="221"/>
      <c r="PXS16" s="222"/>
      <c r="PXT16" s="220"/>
      <c r="PXU16" s="220"/>
      <c r="PXV16" s="220"/>
      <c r="PXW16" s="220"/>
      <c r="PXX16" s="223"/>
      <c r="PXY16" s="223"/>
      <c r="PXZ16" s="223"/>
      <c r="PYA16" s="223"/>
      <c r="PYB16" s="223"/>
      <c r="PYC16" s="223"/>
      <c r="PYD16" s="223"/>
      <c r="PYE16" s="223"/>
      <c r="PYF16" s="223"/>
      <c r="PYG16" s="224"/>
      <c r="PYH16" s="225"/>
      <c r="PYI16" s="226"/>
      <c r="PYJ16" s="224"/>
      <c r="PYK16" s="225"/>
      <c r="PYL16" s="225"/>
      <c r="PYM16" s="227"/>
      <c r="PYN16" s="228"/>
      <c r="PYO16" s="228"/>
      <c r="PYP16" s="229"/>
      <c r="PYQ16" s="216"/>
      <c r="PYR16" s="219"/>
      <c r="PYS16" s="220"/>
      <c r="PYT16" s="217"/>
      <c r="PYU16" s="217"/>
      <c r="PYV16" s="217"/>
      <c r="PYW16" s="217"/>
      <c r="PYX16" s="217"/>
      <c r="PYY16" s="221"/>
      <c r="PYZ16" s="222"/>
      <c r="PZA16" s="220"/>
      <c r="PZB16" s="220"/>
      <c r="PZC16" s="220"/>
      <c r="PZD16" s="220"/>
      <c r="PZE16" s="223"/>
      <c r="PZF16" s="223"/>
      <c r="PZG16" s="223"/>
      <c r="PZH16" s="223"/>
      <c r="PZI16" s="223"/>
      <c r="PZJ16" s="223"/>
      <c r="PZK16" s="223"/>
      <c r="PZL16" s="223"/>
      <c r="PZM16" s="223"/>
      <c r="PZN16" s="224"/>
      <c r="PZO16" s="225"/>
      <c r="PZP16" s="226"/>
      <c r="PZQ16" s="224"/>
      <c r="PZR16" s="225"/>
      <c r="PZS16" s="225"/>
      <c r="PZT16" s="227"/>
      <c r="PZU16" s="228"/>
      <c r="PZV16" s="228"/>
      <c r="PZW16" s="229"/>
      <c r="PZX16" s="216"/>
      <c r="PZY16" s="219"/>
      <c r="PZZ16" s="220"/>
      <c r="QAA16" s="217"/>
      <c r="QAB16" s="217"/>
      <c r="QAC16" s="217"/>
      <c r="QAD16" s="217"/>
      <c r="QAE16" s="217"/>
      <c r="QAF16" s="221"/>
      <c r="QAG16" s="222"/>
      <c r="QAH16" s="220"/>
      <c r="QAI16" s="220"/>
      <c r="QAJ16" s="220"/>
      <c r="QAK16" s="220"/>
      <c r="QAL16" s="223"/>
      <c r="QAM16" s="223"/>
      <c r="QAN16" s="223"/>
      <c r="QAO16" s="223"/>
      <c r="QAP16" s="223"/>
      <c r="QAQ16" s="223"/>
      <c r="QAR16" s="223"/>
      <c r="QAS16" s="223"/>
      <c r="QAT16" s="223"/>
      <c r="QAU16" s="224"/>
      <c r="QAV16" s="225"/>
      <c r="QAW16" s="226"/>
      <c r="QAX16" s="224"/>
      <c r="QAY16" s="225"/>
      <c r="QAZ16" s="225"/>
      <c r="QBA16" s="227"/>
      <c r="QBB16" s="228"/>
      <c r="QBC16" s="228"/>
      <c r="QBD16" s="229"/>
      <c r="QBE16" s="216"/>
      <c r="QBF16" s="219"/>
      <c r="QBG16" s="220"/>
      <c r="QBH16" s="217"/>
      <c r="QBI16" s="217"/>
      <c r="QBJ16" s="217"/>
      <c r="QBK16" s="217"/>
      <c r="QBL16" s="217"/>
      <c r="QBM16" s="221"/>
      <c r="QBN16" s="222"/>
      <c r="QBO16" s="220"/>
      <c r="QBP16" s="220"/>
      <c r="QBQ16" s="220"/>
      <c r="QBR16" s="220"/>
      <c r="QBS16" s="223"/>
      <c r="QBT16" s="223"/>
      <c r="QBU16" s="223"/>
      <c r="QBV16" s="223"/>
      <c r="QBW16" s="223"/>
      <c r="QBX16" s="223"/>
      <c r="QBY16" s="223"/>
      <c r="QBZ16" s="223"/>
      <c r="QCA16" s="223"/>
      <c r="QCB16" s="224"/>
      <c r="QCC16" s="225"/>
      <c r="QCD16" s="226"/>
      <c r="QCE16" s="224"/>
      <c r="QCF16" s="225"/>
      <c r="QCG16" s="225"/>
      <c r="QCH16" s="227"/>
      <c r="QCI16" s="228"/>
      <c r="QCJ16" s="228"/>
      <c r="QCK16" s="229"/>
      <c r="QCL16" s="216"/>
      <c r="QCM16" s="219"/>
      <c r="QCN16" s="220"/>
      <c r="QCO16" s="217"/>
      <c r="QCP16" s="217"/>
      <c r="QCQ16" s="217"/>
      <c r="QCR16" s="217"/>
      <c r="QCS16" s="217"/>
      <c r="QCT16" s="221"/>
      <c r="QCU16" s="222"/>
      <c r="QCV16" s="220"/>
      <c r="QCW16" s="220"/>
      <c r="QCX16" s="220"/>
      <c r="QCY16" s="220"/>
      <c r="QCZ16" s="223"/>
      <c r="QDA16" s="223"/>
      <c r="QDB16" s="223"/>
      <c r="QDC16" s="223"/>
      <c r="QDD16" s="223"/>
      <c r="QDE16" s="223"/>
      <c r="QDF16" s="223"/>
      <c r="QDG16" s="223"/>
      <c r="QDH16" s="223"/>
      <c r="QDI16" s="224"/>
      <c r="QDJ16" s="225"/>
      <c r="QDK16" s="226"/>
      <c r="QDL16" s="224"/>
      <c r="QDM16" s="225"/>
      <c r="QDN16" s="225"/>
      <c r="QDO16" s="227"/>
      <c r="QDP16" s="228"/>
      <c r="QDQ16" s="228"/>
      <c r="QDR16" s="229"/>
      <c r="QDS16" s="216"/>
      <c r="QDT16" s="219"/>
      <c r="QDU16" s="220"/>
      <c r="QDV16" s="217"/>
      <c r="QDW16" s="217"/>
      <c r="QDX16" s="217"/>
      <c r="QDY16" s="217"/>
      <c r="QDZ16" s="217"/>
      <c r="QEA16" s="221"/>
      <c r="QEB16" s="222"/>
      <c r="QEC16" s="220"/>
      <c r="QED16" s="220"/>
      <c r="QEE16" s="220"/>
      <c r="QEF16" s="220"/>
      <c r="QEG16" s="223"/>
      <c r="QEH16" s="223"/>
      <c r="QEI16" s="223"/>
      <c r="QEJ16" s="223"/>
      <c r="QEK16" s="223"/>
      <c r="QEL16" s="223"/>
      <c r="QEM16" s="223"/>
      <c r="QEN16" s="223"/>
      <c r="QEO16" s="223"/>
      <c r="QEP16" s="224"/>
      <c r="QEQ16" s="225"/>
      <c r="QER16" s="226"/>
      <c r="QES16" s="224"/>
      <c r="QET16" s="225"/>
      <c r="QEU16" s="225"/>
      <c r="QEV16" s="227"/>
      <c r="QEW16" s="228"/>
      <c r="QEX16" s="228"/>
      <c r="QEY16" s="229"/>
      <c r="QEZ16" s="216"/>
      <c r="QFA16" s="219"/>
      <c r="QFB16" s="220"/>
      <c r="QFC16" s="217"/>
      <c r="QFD16" s="217"/>
      <c r="QFE16" s="217"/>
      <c r="QFF16" s="217"/>
      <c r="QFG16" s="217"/>
      <c r="QFH16" s="221"/>
      <c r="QFI16" s="222"/>
      <c r="QFJ16" s="220"/>
      <c r="QFK16" s="220"/>
      <c r="QFL16" s="220"/>
      <c r="QFM16" s="220"/>
      <c r="QFN16" s="223"/>
      <c r="QFO16" s="223"/>
      <c r="QFP16" s="223"/>
      <c r="QFQ16" s="223"/>
      <c r="QFR16" s="223"/>
      <c r="QFS16" s="223"/>
      <c r="QFT16" s="223"/>
      <c r="QFU16" s="223"/>
      <c r="QFV16" s="223"/>
      <c r="QFW16" s="224"/>
      <c r="QFX16" s="225"/>
      <c r="QFY16" s="226"/>
      <c r="QFZ16" s="224"/>
      <c r="QGA16" s="225"/>
      <c r="QGB16" s="225"/>
      <c r="QGC16" s="227"/>
      <c r="QGD16" s="228"/>
      <c r="QGE16" s="228"/>
      <c r="QGF16" s="229"/>
      <c r="QGG16" s="216"/>
      <c r="QGH16" s="219"/>
      <c r="QGI16" s="220"/>
      <c r="QGJ16" s="217"/>
      <c r="QGK16" s="217"/>
      <c r="QGL16" s="217"/>
      <c r="QGM16" s="217"/>
      <c r="QGN16" s="217"/>
      <c r="QGO16" s="221"/>
      <c r="QGP16" s="222"/>
      <c r="QGQ16" s="220"/>
      <c r="QGR16" s="220"/>
      <c r="QGS16" s="220"/>
      <c r="QGT16" s="220"/>
      <c r="QGU16" s="223"/>
      <c r="QGV16" s="223"/>
      <c r="QGW16" s="223"/>
      <c r="QGX16" s="223"/>
      <c r="QGY16" s="223"/>
      <c r="QGZ16" s="223"/>
      <c r="QHA16" s="223"/>
      <c r="QHB16" s="223"/>
      <c r="QHC16" s="223"/>
      <c r="QHD16" s="224"/>
      <c r="QHE16" s="225"/>
      <c r="QHF16" s="226"/>
      <c r="QHG16" s="224"/>
      <c r="QHH16" s="225"/>
      <c r="QHI16" s="225"/>
      <c r="QHJ16" s="227"/>
      <c r="QHK16" s="228"/>
      <c r="QHL16" s="228"/>
      <c r="QHM16" s="229"/>
      <c r="QHN16" s="216"/>
      <c r="QHO16" s="219"/>
      <c r="QHP16" s="220"/>
      <c r="QHQ16" s="217"/>
      <c r="QHR16" s="217"/>
      <c r="QHS16" s="217"/>
      <c r="QHT16" s="217"/>
      <c r="QHU16" s="217"/>
      <c r="QHV16" s="221"/>
      <c r="QHW16" s="222"/>
      <c r="QHX16" s="220"/>
      <c r="QHY16" s="220"/>
      <c r="QHZ16" s="220"/>
      <c r="QIA16" s="220"/>
      <c r="QIB16" s="223"/>
      <c r="QIC16" s="223"/>
      <c r="QID16" s="223"/>
      <c r="QIE16" s="223"/>
      <c r="QIF16" s="223"/>
      <c r="QIG16" s="223"/>
      <c r="QIH16" s="223"/>
      <c r="QII16" s="223"/>
      <c r="QIJ16" s="223"/>
      <c r="QIK16" s="224"/>
      <c r="QIL16" s="225"/>
      <c r="QIM16" s="226"/>
      <c r="QIN16" s="224"/>
      <c r="QIO16" s="225"/>
      <c r="QIP16" s="225"/>
      <c r="QIQ16" s="227"/>
      <c r="QIR16" s="228"/>
      <c r="QIS16" s="228"/>
      <c r="QIT16" s="229"/>
      <c r="QIU16" s="216"/>
      <c r="QIV16" s="219"/>
      <c r="QIW16" s="220"/>
      <c r="QIX16" s="217"/>
      <c r="QIY16" s="217"/>
      <c r="QIZ16" s="217"/>
      <c r="QJA16" s="217"/>
      <c r="QJB16" s="217"/>
      <c r="QJC16" s="221"/>
      <c r="QJD16" s="222"/>
      <c r="QJE16" s="220"/>
      <c r="QJF16" s="220"/>
      <c r="QJG16" s="220"/>
      <c r="QJH16" s="220"/>
      <c r="QJI16" s="223"/>
      <c r="QJJ16" s="223"/>
      <c r="QJK16" s="223"/>
      <c r="QJL16" s="223"/>
      <c r="QJM16" s="223"/>
      <c r="QJN16" s="223"/>
      <c r="QJO16" s="223"/>
      <c r="QJP16" s="223"/>
      <c r="QJQ16" s="223"/>
      <c r="QJR16" s="224"/>
      <c r="QJS16" s="225"/>
      <c r="QJT16" s="226"/>
      <c r="QJU16" s="224"/>
      <c r="QJV16" s="225"/>
      <c r="QJW16" s="225"/>
      <c r="QJX16" s="227"/>
      <c r="QJY16" s="228"/>
      <c r="QJZ16" s="228"/>
      <c r="QKA16" s="229"/>
      <c r="QKB16" s="216"/>
      <c r="QKC16" s="219"/>
      <c r="QKD16" s="220"/>
      <c r="QKE16" s="217"/>
      <c r="QKF16" s="217"/>
      <c r="QKG16" s="217"/>
      <c r="QKH16" s="217"/>
      <c r="QKI16" s="217"/>
      <c r="QKJ16" s="221"/>
      <c r="QKK16" s="222"/>
      <c r="QKL16" s="220"/>
      <c r="QKM16" s="220"/>
      <c r="QKN16" s="220"/>
      <c r="QKO16" s="220"/>
      <c r="QKP16" s="223"/>
      <c r="QKQ16" s="223"/>
      <c r="QKR16" s="223"/>
      <c r="QKS16" s="223"/>
      <c r="QKT16" s="223"/>
      <c r="QKU16" s="223"/>
      <c r="QKV16" s="223"/>
      <c r="QKW16" s="223"/>
      <c r="QKX16" s="223"/>
      <c r="QKY16" s="224"/>
      <c r="QKZ16" s="225"/>
      <c r="QLA16" s="226"/>
      <c r="QLB16" s="224"/>
      <c r="QLC16" s="225"/>
      <c r="QLD16" s="225"/>
      <c r="QLE16" s="227"/>
      <c r="QLF16" s="228"/>
      <c r="QLG16" s="228"/>
      <c r="QLH16" s="229"/>
      <c r="QLI16" s="216"/>
      <c r="QLJ16" s="219"/>
      <c r="QLK16" s="220"/>
      <c r="QLL16" s="217"/>
      <c r="QLM16" s="217"/>
      <c r="QLN16" s="217"/>
      <c r="QLO16" s="217"/>
      <c r="QLP16" s="217"/>
      <c r="QLQ16" s="221"/>
      <c r="QLR16" s="222"/>
      <c r="QLS16" s="220"/>
      <c r="QLT16" s="220"/>
      <c r="QLU16" s="220"/>
      <c r="QLV16" s="220"/>
      <c r="QLW16" s="223"/>
      <c r="QLX16" s="223"/>
      <c r="QLY16" s="223"/>
      <c r="QLZ16" s="223"/>
      <c r="QMA16" s="223"/>
      <c r="QMB16" s="223"/>
      <c r="QMC16" s="223"/>
      <c r="QMD16" s="223"/>
      <c r="QME16" s="223"/>
      <c r="QMF16" s="224"/>
      <c r="QMG16" s="225"/>
      <c r="QMH16" s="226"/>
      <c r="QMI16" s="224"/>
      <c r="QMJ16" s="225"/>
      <c r="QMK16" s="225"/>
      <c r="QML16" s="227"/>
      <c r="QMM16" s="228"/>
      <c r="QMN16" s="228"/>
      <c r="QMO16" s="229"/>
      <c r="QMP16" s="216"/>
      <c r="QMQ16" s="219"/>
      <c r="QMR16" s="220"/>
      <c r="QMS16" s="217"/>
      <c r="QMT16" s="217"/>
      <c r="QMU16" s="217"/>
      <c r="QMV16" s="217"/>
      <c r="QMW16" s="217"/>
      <c r="QMX16" s="221"/>
      <c r="QMY16" s="222"/>
      <c r="QMZ16" s="220"/>
      <c r="QNA16" s="220"/>
      <c r="QNB16" s="220"/>
      <c r="QNC16" s="220"/>
      <c r="QND16" s="223"/>
      <c r="QNE16" s="223"/>
      <c r="QNF16" s="223"/>
      <c r="QNG16" s="223"/>
      <c r="QNH16" s="223"/>
      <c r="QNI16" s="223"/>
      <c r="QNJ16" s="223"/>
      <c r="QNK16" s="223"/>
      <c r="QNL16" s="223"/>
      <c r="QNM16" s="224"/>
      <c r="QNN16" s="225"/>
      <c r="QNO16" s="226"/>
      <c r="QNP16" s="224"/>
      <c r="QNQ16" s="225"/>
      <c r="QNR16" s="225"/>
      <c r="QNS16" s="227"/>
      <c r="QNT16" s="228"/>
      <c r="QNU16" s="228"/>
      <c r="QNV16" s="229"/>
      <c r="QNW16" s="216"/>
      <c r="QNX16" s="219"/>
      <c r="QNY16" s="220"/>
      <c r="QNZ16" s="217"/>
      <c r="QOA16" s="217"/>
      <c r="QOB16" s="217"/>
      <c r="QOC16" s="217"/>
      <c r="QOD16" s="217"/>
      <c r="QOE16" s="221"/>
      <c r="QOF16" s="222"/>
      <c r="QOG16" s="220"/>
      <c r="QOH16" s="220"/>
      <c r="QOI16" s="220"/>
      <c r="QOJ16" s="220"/>
      <c r="QOK16" s="223"/>
      <c r="QOL16" s="223"/>
      <c r="QOM16" s="223"/>
      <c r="QON16" s="223"/>
      <c r="QOO16" s="223"/>
      <c r="QOP16" s="223"/>
      <c r="QOQ16" s="223"/>
      <c r="QOR16" s="223"/>
      <c r="QOS16" s="223"/>
      <c r="QOT16" s="224"/>
      <c r="QOU16" s="225"/>
      <c r="QOV16" s="226"/>
      <c r="QOW16" s="224"/>
      <c r="QOX16" s="225"/>
      <c r="QOY16" s="225"/>
      <c r="QOZ16" s="227"/>
      <c r="QPA16" s="228"/>
      <c r="QPB16" s="228"/>
      <c r="QPC16" s="229"/>
      <c r="QPD16" s="216"/>
      <c r="QPE16" s="219"/>
      <c r="QPF16" s="220"/>
      <c r="QPG16" s="217"/>
      <c r="QPH16" s="217"/>
      <c r="QPI16" s="217"/>
      <c r="QPJ16" s="217"/>
      <c r="QPK16" s="217"/>
      <c r="QPL16" s="221"/>
      <c r="QPM16" s="222"/>
      <c r="QPN16" s="220"/>
      <c r="QPO16" s="220"/>
      <c r="QPP16" s="220"/>
      <c r="QPQ16" s="220"/>
      <c r="QPR16" s="223"/>
      <c r="QPS16" s="223"/>
      <c r="QPT16" s="223"/>
      <c r="QPU16" s="223"/>
      <c r="QPV16" s="223"/>
      <c r="QPW16" s="223"/>
      <c r="QPX16" s="223"/>
      <c r="QPY16" s="223"/>
      <c r="QPZ16" s="223"/>
      <c r="QQA16" s="224"/>
      <c r="QQB16" s="225"/>
      <c r="QQC16" s="226"/>
      <c r="QQD16" s="224"/>
      <c r="QQE16" s="225"/>
      <c r="QQF16" s="225"/>
      <c r="QQG16" s="227"/>
      <c r="QQH16" s="228"/>
      <c r="QQI16" s="228"/>
      <c r="QQJ16" s="229"/>
      <c r="QQK16" s="216"/>
      <c r="QQL16" s="219"/>
      <c r="QQM16" s="220"/>
      <c r="QQN16" s="217"/>
      <c r="QQO16" s="217"/>
      <c r="QQP16" s="217"/>
      <c r="QQQ16" s="217"/>
      <c r="QQR16" s="217"/>
      <c r="QQS16" s="221"/>
      <c r="QQT16" s="222"/>
      <c r="QQU16" s="220"/>
      <c r="QQV16" s="220"/>
      <c r="QQW16" s="220"/>
      <c r="QQX16" s="220"/>
      <c r="QQY16" s="223"/>
      <c r="QQZ16" s="223"/>
      <c r="QRA16" s="223"/>
      <c r="QRB16" s="223"/>
      <c r="QRC16" s="223"/>
      <c r="QRD16" s="223"/>
      <c r="QRE16" s="223"/>
      <c r="QRF16" s="223"/>
      <c r="QRG16" s="223"/>
      <c r="QRH16" s="224"/>
      <c r="QRI16" s="225"/>
      <c r="QRJ16" s="226"/>
      <c r="QRK16" s="224"/>
      <c r="QRL16" s="225"/>
      <c r="QRM16" s="225"/>
      <c r="QRN16" s="227"/>
      <c r="QRO16" s="228"/>
      <c r="QRP16" s="228"/>
      <c r="QRQ16" s="229"/>
      <c r="QRR16" s="216"/>
      <c r="QRS16" s="219"/>
      <c r="QRT16" s="220"/>
      <c r="QRU16" s="217"/>
      <c r="QRV16" s="217"/>
      <c r="QRW16" s="217"/>
      <c r="QRX16" s="217"/>
      <c r="QRY16" s="217"/>
      <c r="QRZ16" s="221"/>
      <c r="QSA16" s="222"/>
      <c r="QSB16" s="220"/>
      <c r="QSC16" s="220"/>
      <c r="QSD16" s="220"/>
      <c r="QSE16" s="220"/>
      <c r="QSF16" s="223"/>
      <c r="QSG16" s="223"/>
      <c r="QSH16" s="223"/>
      <c r="QSI16" s="223"/>
      <c r="QSJ16" s="223"/>
      <c r="QSK16" s="223"/>
      <c r="QSL16" s="223"/>
      <c r="QSM16" s="223"/>
      <c r="QSN16" s="223"/>
      <c r="QSO16" s="224"/>
      <c r="QSP16" s="225"/>
      <c r="QSQ16" s="226"/>
      <c r="QSR16" s="224"/>
      <c r="QSS16" s="225"/>
      <c r="QST16" s="225"/>
      <c r="QSU16" s="227"/>
      <c r="QSV16" s="228"/>
      <c r="QSW16" s="228"/>
      <c r="QSX16" s="229"/>
      <c r="QSY16" s="216"/>
      <c r="QSZ16" s="219"/>
      <c r="QTA16" s="220"/>
      <c r="QTB16" s="217"/>
      <c r="QTC16" s="217"/>
      <c r="QTD16" s="217"/>
      <c r="QTE16" s="217"/>
      <c r="QTF16" s="217"/>
      <c r="QTG16" s="221"/>
      <c r="QTH16" s="222"/>
      <c r="QTI16" s="220"/>
      <c r="QTJ16" s="220"/>
      <c r="QTK16" s="220"/>
      <c r="QTL16" s="220"/>
      <c r="QTM16" s="223"/>
      <c r="QTN16" s="223"/>
      <c r="QTO16" s="223"/>
      <c r="QTP16" s="223"/>
      <c r="QTQ16" s="223"/>
      <c r="QTR16" s="223"/>
      <c r="QTS16" s="223"/>
      <c r="QTT16" s="223"/>
      <c r="QTU16" s="223"/>
      <c r="QTV16" s="224"/>
      <c r="QTW16" s="225"/>
      <c r="QTX16" s="226"/>
      <c r="QTY16" s="224"/>
      <c r="QTZ16" s="225"/>
      <c r="QUA16" s="225"/>
      <c r="QUB16" s="227"/>
      <c r="QUC16" s="228"/>
      <c r="QUD16" s="228"/>
      <c r="QUE16" s="229"/>
      <c r="QUF16" s="216"/>
      <c r="QUG16" s="219"/>
      <c r="QUH16" s="220"/>
      <c r="QUI16" s="217"/>
      <c r="QUJ16" s="217"/>
      <c r="QUK16" s="217"/>
      <c r="QUL16" s="217"/>
      <c r="QUM16" s="217"/>
      <c r="QUN16" s="221"/>
      <c r="QUO16" s="222"/>
      <c r="QUP16" s="220"/>
      <c r="QUQ16" s="220"/>
      <c r="QUR16" s="220"/>
      <c r="QUS16" s="220"/>
      <c r="QUT16" s="223"/>
      <c r="QUU16" s="223"/>
      <c r="QUV16" s="223"/>
      <c r="QUW16" s="223"/>
      <c r="QUX16" s="223"/>
      <c r="QUY16" s="223"/>
      <c r="QUZ16" s="223"/>
      <c r="QVA16" s="223"/>
      <c r="QVB16" s="223"/>
      <c r="QVC16" s="224"/>
      <c r="QVD16" s="225"/>
      <c r="QVE16" s="226"/>
      <c r="QVF16" s="224"/>
      <c r="QVG16" s="225"/>
      <c r="QVH16" s="225"/>
      <c r="QVI16" s="227"/>
      <c r="QVJ16" s="228"/>
      <c r="QVK16" s="228"/>
      <c r="QVL16" s="229"/>
      <c r="QVM16" s="216"/>
      <c r="QVN16" s="219"/>
      <c r="QVO16" s="220"/>
      <c r="QVP16" s="217"/>
      <c r="QVQ16" s="217"/>
      <c r="QVR16" s="217"/>
      <c r="QVS16" s="217"/>
      <c r="QVT16" s="217"/>
      <c r="QVU16" s="221"/>
      <c r="QVV16" s="222"/>
      <c r="QVW16" s="220"/>
      <c r="QVX16" s="220"/>
      <c r="QVY16" s="220"/>
      <c r="QVZ16" s="220"/>
      <c r="QWA16" s="223"/>
      <c r="QWB16" s="223"/>
      <c r="QWC16" s="223"/>
      <c r="QWD16" s="223"/>
      <c r="QWE16" s="223"/>
      <c r="QWF16" s="223"/>
      <c r="QWG16" s="223"/>
      <c r="QWH16" s="223"/>
      <c r="QWI16" s="223"/>
      <c r="QWJ16" s="224"/>
      <c r="QWK16" s="225"/>
      <c r="QWL16" s="226"/>
      <c r="QWM16" s="224"/>
      <c r="QWN16" s="225"/>
      <c r="QWO16" s="225"/>
      <c r="QWP16" s="227"/>
      <c r="QWQ16" s="228"/>
      <c r="QWR16" s="228"/>
      <c r="QWS16" s="229"/>
      <c r="QWT16" s="216"/>
      <c r="QWU16" s="219"/>
      <c r="QWV16" s="220"/>
      <c r="QWW16" s="217"/>
      <c r="QWX16" s="217"/>
      <c r="QWY16" s="217"/>
      <c r="QWZ16" s="217"/>
      <c r="QXA16" s="217"/>
      <c r="QXB16" s="221"/>
      <c r="QXC16" s="222"/>
      <c r="QXD16" s="220"/>
      <c r="QXE16" s="220"/>
      <c r="QXF16" s="220"/>
      <c r="QXG16" s="220"/>
      <c r="QXH16" s="223"/>
      <c r="QXI16" s="223"/>
      <c r="QXJ16" s="223"/>
      <c r="QXK16" s="223"/>
      <c r="QXL16" s="223"/>
      <c r="QXM16" s="223"/>
      <c r="QXN16" s="223"/>
      <c r="QXO16" s="223"/>
      <c r="QXP16" s="223"/>
      <c r="QXQ16" s="224"/>
      <c r="QXR16" s="225"/>
      <c r="QXS16" s="226"/>
      <c r="QXT16" s="224"/>
      <c r="QXU16" s="225"/>
      <c r="QXV16" s="225"/>
      <c r="QXW16" s="227"/>
      <c r="QXX16" s="228"/>
      <c r="QXY16" s="228"/>
      <c r="QXZ16" s="229"/>
      <c r="QYA16" s="216"/>
      <c r="QYB16" s="219"/>
      <c r="QYC16" s="220"/>
      <c r="QYD16" s="217"/>
      <c r="QYE16" s="217"/>
      <c r="QYF16" s="217"/>
      <c r="QYG16" s="217"/>
      <c r="QYH16" s="217"/>
      <c r="QYI16" s="221"/>
      <c r="QYJ16" s="222"/>
      <c r="QYK16" s="220"/>
      <c r="QYL16" s="220"/>
      <c r="QYM16" s="220"/>
      <c r="QYN16" s="220"/>
      <c r="QYO16" s="223"/>
      <c r="QYP16" s="223"/>
      <c r="QYQ16" s="223"/>
      <c r="QYR16" s="223"/>
      <c r="QYS16" s="223"/>
      <c r="QYT16" s="223"/>
      <c r="QYU16" s="223"/>
      <c r="QYV16" s="223"/>
      <c r="QYW16" s="223"/>
      <c r="QYX16" s="224"/>
      <c r="QYY16" s="225"/>
      <c r="QYZ16" s="226"/>
      <c r="QZA16" s="224"/>
      <c r="QZB16" s="225"/>
      <c r="QZC16" s="225"/>
      <c r="QZD16" s="227"/>
      <c r="QZE16" s="228"/>
      <c r="QZF16" s="228"/>
      <c r="QZG16" s="229"/>
      <c r="QZH16" s="216"/>
      <c r="QZI16" s="219"/>
      <c r="QZJ16" s="220"/>
      <c r="QZK16" s="217"/>
      <c r="QZL16" s="217"/>
      <c r="QZM16" s="217"/>
      <c r="QZN16" s="217"/>
      <c r="QZO16" s="217"/>
      <c r="QZP16" s="221"/>
      <c r="QZQ16" s="222"/>
      <c r="QZR16" s="220"/>
      <c r="QZS16" s="220"/>
      <c r="QZT16" s="220"/>
      <c r="QZU16" s="220"/>
      <c r="QZV16" s="223"/>
      <c r="QZW16" s="223"/>
      <c r="QZX16" s="223"/>
      <c r="QZY16" s="223"/>
      <c r="QZZ16" s="223"/>
      <c r="RAA16" s="223"/>
      <c r="RAB16" s="223"/>
      <c r="RAC16" s="223"/>
      <c r="RAD16" s="223"/>
      <c r="RAE16" s="224"/>
      <c r="RAF16" s="225"/>
      <c r="RAG16" s="226"/>
      <c r="RAH16" s="224"/>
      <c r="RAI16" s="225"/>
      <c r="RAJ16" s="225"/>
      <c r="RAK16" s="227"/>
      <c r="RAL16" s="228"/>
      <c r="RAM16" s="228"/>
      <c r="RAN16" s="229"/>
      <c r="RAO16" s="216"/>
      <c r="RAP16" s="219"/>
      <c r="RAQ16" s="220"/>
      <c r="RAR16" s="217"/>
      <c r="RAS16" s="217"/>
      <c r="RAT16" s="217"/>
      <c r="RAU16" s="217"/>
      <c r="RAV16" s="217"/>
      <c r="RAW16" s="221"/>
      <c r="RAX16" s="222"/>
      <c r="RAY16" s="220"/>
      <c r="RAZ16" s="220"/>
      <c r="RBA16" s="220"/>
      <c r="RBB16" s="220"/>
      <c r="RBC16" s="223"/>
      <c r="RBD16" s="223"/>
      <c r="RBE16" s="223"/>
      <c r="RBF16" s="223"/>
      <c r="RBG16" s="223"/>
      <c r="RBH16" s="223"/>
      <c r="RBI16" s="223"/>
      <c r="RBJ16" s="223"/>
      <c r="RBK16" s="223"/>
      <c r="RBL16" s="224"/>
      <c r="RBM16" s="225"/>
      <c r="RBN16" s="226"/>
      <c r="RBO16" s="224"/>
      <c r="RBP16" s="225"/>
      <c r="RBQ16" s="225"/>
      <c r="RBR16" s="227"/>
      <c r="RBS16" s="228"/>
      <c r="RBT16" s="228"/>
      <c r="RBU16" s="229"/>
      <c r="RBV16" s="216"/>
      <c r="RBW16" s="219"/>
      <c r="RBX16" s="220"/>
      <c r="RBY16" s="217"/>
      <c r="RBZ16" s="217"/>
      <c r="RCA16" s="217"/>
      <c r="RCB16" s="217"/>
      <c r="RCC16" s="217"/>
      <c r="RCD16" s="221"/>
      <c r="RCE16" s="222"/>
      <c r="RCF16" s="220"/>
      <c r="RCG16" s="220"/>
      <c r="RCH16" s="220"/>
      <c r="RCI16" s="220"/>
      <c r="RCJ16" s="223"/>
      <c r="RCK16" s="223"/>
      <c r="RCL16" s="223"/>
      <c r="RCM16" s="223"/>
      <c r="RCN16" s="223"/>
      <c r="RCO16" s="223"/>
      <c r="RCP16" s="223"/>
      <c r="RCQ16" s="223"/>
      <c r="RCR16" s="223"/>
      <c r="RCS16" s="224"/>
      <c r="RCT16" s="225"/>
      <c r="RCU16" s="226"/>
      <c r="RCV16" s="224"/>
      <c r="RCW16" s="225"/>
      <c r="RCX16" s="225"/>
      <c r="RCY16" s="227"/>
      <c r="RCZ16" s="228"/>
      <c r="RDA16" s="228"/>
      <c r="RDB16" s="229"/>
      <c r="RDC16" s="216"/>
      <c r="RDD16" s="219"/>
      <c r="RDE16" s="220"/>
      <c r="RDF16" s="217"/>
      <c r="RDG16" s="217"/>
      <c r="RDH16" s="217"/>
      <c r="RDI16" s="217"/>
      <c r="RDJ16" s="217"/>
      <c r="RDK16" s="221"/>
      <c r="RDL16" s="222"/>
      <c r="RDM16" s="220"/>
      <c r="RDN16" s="220"/>
      <c r="RDO16" s="220"/>
      <c r="RDP16" s="220"/>
      <c r="RDQ16" s="223"/>
      <c r="RDR16" s="223"/>
      <c r="RDS16" s="223"/>
      <c r="RDT16" s="223"/>
      <c r="RDU16" s="223"/>
      <c r="RDV16" s="223"/>
      <c r="RDW16" s="223"/>
      <c r="RDX16" s="223"/>
      <c r="RDY16" s="223"/>
      <c r="RDZ16" s="224"/>
      <c r="REA16" s="225"/>
      <c r="REB16" s="226"/>
      <c r="REC16" s="224"/>
      <c r="RED16" s="225"/>
      <c r="REE16" s="225"/>
      <c r="REF16" s="227"/>
      <c r="REG16" s="228"/>
      <c r="REH16" s="228"/>
      <c r="REI16" s="229"/>
      <c r="REJ16" s="216"/>
      <c r="REK16" s="219"/>
      <c r="REL16" s="220"/>
      <c r="REM16" s="217"/>
      <c r="REN16" s="217"/>
      <c r="REO16" s="217"/>
      <c r="REP16" s="217"/>
      <c r="REQ16" s="217"/>
      <c r="RER16" s="221"/>
      <c r="RES16" s="222"/>
      <c r="RET16" s="220"/>
      <c r="REU16" s="220"/>
      <c r="REV16" s="220"/>
      <c r="REW16" s="220"/>
      <c r="REX16" s="223"/>
      <c r="REY16" s="223"/>
      <c r="REZ16" s="223"/>
      <c r="RFA16" s="223"/>
      <c r="RFB16" s="223"/>
      <c r="RFC16" s="223"/>
      <c r="RFD16" s="223"/>
      <c r="RFE16" s="223"/>
      <c r="RFF16" s="223"/>
      <c r="RFG16" s="224"/>
      <c r="RFH16" s="225"/>
      <c r="RFI16" s="226"/>
      <c r="RFJ16" s="224"/>
      <c r="RFK16" s="225"/>
      <c r="RFL16" s="225"/>
      <c r="RFM16" s="227"/>
      <c r="RFN16" s="228"/>
      <c r="RFO16" s="228"/>
      <c r="RFP16" s="229"/>
      <c r="RFQ16" s="216"/>
      <c r="RFR16" s="219"/>
      <c r="RFS16" s="220"/>
      <c r="RFT16" s="217"/>
      <c r="RFU16" s="217"/>
      <c r="RFV16" s="217"/>
      <c r="RFW16" s="217"/>
      <c r="RFX16" s="217"/>
      <c r="RFY16" s="221"/>
      <c r="RFZ16" s="222"/>
      <c r="RGA16" s="220"/>
      <c r="RGB16" s="220"/>
      <c r="RGC16" s="220"/>
      <c r="RGD16" s="220"/>
      <c r="RGE16" s="223"/>
      <c r="RGF16" s="223"/>
      <c r="RGG16" s="223"/>
      <c r="RGH16" s="223"/>
      <c r="RGI16" s="223"/>
      <c r="RGJ16" s="223"/>
      <c r="RGK16" s="223"/>
      <c r="RGL16" s="223"/>
      <c r="RGM16" s="223"/>
      <c r="RGN16" s="224"/>
      <c r="RGO16" s="225"/>
      <c r="RGP16" s="226"/>
      <c r="RGQ16" s="224"/>
      <c r="RGR16" s="225"/>
      <c r="RGS16" s="225"/>
      <c r="RGT16" s="227"/>
      <c r="RGU16" s="228"/>
      <c r="RGV16" s="228"/>
      <c r="RGW16" s="229"/>
      <c r="RGX16" s="216"/>
      <c r="RGY16" s="219"/>
      <c r="RGZ16" s="220"/>
      <c r="RHA16" s="217"/>
      <c r="RHB16" s="217"/>
      <c r="RHC16" s="217"/>
      <c r="RHD16" s="217"/>
      <c r="RHE16" s="217"/>
      <c r="RHF16" s="221"/>
      <c r="RHG16" s="222"/>
      <c r="RHH16" s="220"/>
      <c r="RHI16" s="220"/>
      <c r="RHJ16" s="220"/>
      <c r="RHK16" s="220"/>
      <c r="RHL16" s="223"/>
      <c r="RHM16" s="223"/>
      <c r="RHN16" s="223"/>
      <c r="RHO16" s="223"/>
      <c r="RHP16" s="223"/>
      <c r="RHQ16" s="223"/>
      <c r="RHR16" s="223"/>
      <c r="RHS16" s="223"/>
      <c r="RHT16" s="223"/>
      <c r="RHU16" s="224"/>
      <c r="RHV16" s="225"/>
      <c r="RHW16" s="226"/>
      <c r="RHX16" s="224"/>
      <c r="RHY16" s="225"/>
      <c r="RHZ16" s="225"/>
      <c r="RIA16" s="227"/>
      <c r="RIB16" s="228"/>
      <c r="RIC16" s="228"/>
      <c r="RID16" s="229"/>
      <c r="RIE16" s="216"/>
      <c r="RIF16" s="219"/>
      <c r="RIG16" s="220"/>
      <c r="RIH16" s="217"/>
      <c r="RII16" s="217"/>
      <c r="RIJ16" s="217"/>
      <c r="RIK16" s="217"/>
      <c r="RIL16" s="217"/>
      <c r="RIM16" s="221"/>
      <c r="RIN16" s="222"/>
      <c r="RIO16" s="220"/>
      <c r="RIP16" s="220"/>
      <c r="RIQ16" s="220"/>
      <c r="RIR16" s="220"/>
      <c r="RIS16" s="223"/>
      <c r="RIT16" s="223"/>
      <c r="RIU16" s="223"/>
      <c r="RIV16" s="223"/>
      <c r="RIW16" s="223"/>
      <c r="RIX16" s="223"/>
      <c r="RIY16" s="223"/>
      <c r="RIZ16" s="223"/>
      <c r="RJA16" s="223"/>
      <c r="RJB16" s="224"/>
      <c r="RJC16" s="225"/>
      <c r="RJD16" s="226"/>
      <c r="RJE16" s="224"/>
      <c r="RJF16" s="225"/>
      <c r="RJG16" s="225"/>
      <c r="RJH16" s="227"/>
      <c r="RJI16" s="228"/>
      <c r="RJJ16" s="228"/>
      <c r="RJK16" s="229"/>
      <c r="RJL16" s="216"/>
      <c r="RJM16" s="219"/>
      <c r="RJN16" s="220"/>
      <c r="RJO16" s="217"/>
      <c r="RJP16" s="217"/>
      <c r="RJQ16" s="217"/>
      <c r="RJR16" s="217"/>
      <c r="RJS16" s="217"/>
      <c r="RJT16" s="221"/>
      <c r="RJU16" s="222"/>
      <c r="RJV16" s="220"/>
      <c r="RJW16" s="220"/>
      <c r="RJX16" s="220"/>
      <c r="RJY16" s="220"/>
      <c r="RJZ16" s="223"/>
      <c r="RKA16" s="223"/>
      <c r="RKB16" s="223"/>
      <c r="RKC16" s="223"/>
      <c r="RKD16" s="223"/>
      <c r="RKE16" s="223"/>
      <c r="RKF16" s="223"/>
      <c r="RKG16" s="223"/>
      <c r="RKH16" s="223"/>
      <c r="RKI16" s="224"/>
      <c r="RKJ16" s="225"/>
      <c r="RKK16" s="226"/>
      <c r="RKL16" s="224"/>
      <c r="RKM16" s="225"/>
      <c r="RKN16" s="225"/>
      <c r="RKO16" s="227"/>
      <c r="RKP16" s="228"/>
      <c r="RKQ16" s="228"/>
      <c r="RKR16" s="229"/>
      <c r="RKS16" s="216"/>
      <c r="RKT16" s="219"/>
      <c r="RKU16" s="220"/>
      <c r="RKV16" s="217"/>
      <c r="RKW16" s="217"/>
      <c r="RKX16" s="217"/>
      <c r="RKY16" s="217"/>
      <c r="RKZ16" s="217"/>
      <c r="RLA16" s="221"/>
      <c r="RLB16" s="222"/>
      <c r="RLC16" s="220"/>
      <c r="RLD16" s="220"/>
      <c r="RLE16" s="220"/>
      <c r="RLF16" s="220"/>
      <c r="RLG16" s="223"/>
      <c r="RLH16" s="223"/>
      <c r="RLI16" s="223"/>
      <c r="RLJ16" s="223"/>
      <c r="RLK16" s="223"/>
      <c r="RLL16" s="223"/>
      <c r="RLM16" s="223"/>
      <c r="RLN16" s="223"/>
      <c r="RLO16" s="223"/>
      <c r="RLP16" s="224"/>
      <c r="RLQ16" s="225"/>
      <c r="RLR16" s="226"/>
      <c r="RLS16" s="224"/>
      <c r="RLT16" s="225"/>
      <c r="RLU16" s="225"/>
      <c r="RLV16" s="227"/>
      <c r="RLW16" s="228"/>
      <c r="RLX16" s="228"/>
      <c r="RLY16" s="229"/>
      <c r="RLZ16" s="216"/>
      <c r="RMA16" s="219"/>
      <c r="RMB16" s="220"/>
      <c r="RMC16" s="217"/>
      <c r="RMD16" s="217"/>
      <c r="RME16" s="217"/>
      <c r="RMF16" s="217"/>
      <c r="RMG16" s="217"/>
      <c r="RMH16" s="221"/>
      <c r="RMI16" s="222"/>
      <c r="RMJ16" s="220"/>
      <c r="RMK16" s="220"/>
      <c r="RML16" s="220"/>
      <c r="RMM16" s="220"/>
      <c r="RMN16" s="223"/>
      <c r="RMO16" s="223"/>
      <c r="RMP16" s="223"/>
      <c r="RMQ16" s="223"/>
      <c r="RMR16" s="223"/>
      <c r="RMS16" s="223"/>
      <c r="RMT16" s="223"/>
      <c r="RMU16" s="223"/>
      <c r="RMV16" s="223"/>
      <c r="RMW16" s="224"/>
      <c r="RMX16" s="225"/>
      <c r="RMY16" s="226"/>
      <c r="RMZ16" s="224"/>
      <c r="RNA16" s="225"/>
      <c r="RNB16" s="225"/>
      <c r="RNC16" s="227"/>
      <c r="RND16" s="228"/>
      <c r="RNE16" s="228"/>
      <c r="RNF16" s="229"/>
      <c r="RNG16" s="216"/>
      <c r="RNH16" s="219"/>
      <c r="RNI16" s="220"/>
      <c r="RNJ16" s="217"/>
      <c r="RNK16" s="217"/>
      <c r="RNL16" s="217"/>
      <c r="RNM16" s="217"/>
      <c r="RNN16" s="217"/>
      <c r="RNO16" s="221"/>
      <c r="RNP16" s="222"/>
      <c r="RNQ16" s="220"/>
      <c r="RNR16" s="220"/>
      <c r="RNS16" s="220"/>
      <c r="RNT16" s="220"/>
      <c r="RNU16" s="223"/>
      <c r="RNV16" s="223"/>
      <c r="RNW16" s="223"/>
      <c r="RNX16" s="223"/>
      <c r="RNY16" s="223"/>
      <c r="RNZ16" s="223"/>
      <c r="ROA16" s="223"/>
      <c r="ROB16" s="223"/>
      <c r="ROC16" s="223"/>
      <c r="ROD16" s="224"/>
      <c r="ROE16" s="225"/>
      <c r="ROF16" s="226"/>
      <c r="ROG16" s="224"/>
      <c r="ROH16" s="225"/>
      <c r="ROI16" s="225"/>
      <c r="ROJ16" s="227"/>
      <c r="ROK16" s="228"/>
      <c r="ROL16" s="228"/>
      <c r="ROM16" s="229"/>
      <c r="RON16" s="216"/>
      <c r="ROO16" s="219"/>
      <c r="ROP16" s="220"/>
      <c r="ROQ16" s="217"/>
      <c r="ROR16" s="217"/>
      <c r="ROS16" s="217"/>
      <c r="ROT16" s="217"/>
      <c r="ROU16" s="217"/>
      <c r="ROV16" s="221"/>
      <c r="ROW16" s="222"/>
      <c r="ROX16" s="220"/>
      <c r="ROY16" s="220"/>
      <c r="ROZ16" s="220"/>
      <c r="RPA16" s="220"/>
      <c r="RPB16" s="223"/>
      <c r="RPC16" s="223"/>
      <c r="RPD16" s="223"/>
      <c r="RPE16" s="223"/>
      <c r="RPF16" s="223"/>
      <c r="RPG16" s="223"/>
      <c r="RPH16" s="223"/>
      <c r="RPI16" s="223"/>
      <c r="RPJ16" s="223"/>
      <c r="RPK16" s="224"/>
      <c r="RPL16" s="225"/>
      <c r="RPM16" s="226"/>
      <c r="RPN16" s="224"/>
      <c r="RPO16" s="225"/>
      <c r="RPP16" s="225"/>
      <c r="RPQ16" s="227"/>
      <c r="RPR16" s="228"/>
      <c r="RPS16" s="228"/>
      <c r="RPT16" s="229"/>
      <c r="RPU16" s="216"/>
      <c r="RPV16" s="219"/>
      <c r="RPW16" s="220"/>
      <c r="RPX16" s="217"/>
      <c r="RPY16" s="217"/>
      <c r="RPZ16" s="217"/>
      <c r="RQA16" s="217"/>
      <c r="RQB16" s="217"/>
      <c r="RQC16" s="221"/>
      <c r="RQD16" s="222"/>
      <c r="RQE16" s="220"/>
      <c r="RQF16" s="220"/>
      <c r="RQG16" s="220"/>
      <c r="RQH16" s="220"/>
      <c r="RQI16" s="223"/>
      <c r="RQJ16" s="223"/>
      <c r="RQK16" s="223"/>
      <c r="RQL16" s="223"/>
      <c r="RQM16" s="223"/>
      <c r="RQN16" s="223"/>
      <c r="RQO16" s="223"/>
      <c r="RQP16" s="223"/>
      <c r="RQQ16" s="223"/>
      <c r="RQR16" s="224"/>
      <c r="RQS16" s="225"/>
      <c r="RQT16" s="226"/>
      <c r="RQU16" s="224"/>
      <c r="RQV16" s="225"/>
      <c r="RQW16" s="225"/>
      <c r="RQX16" s="227"/>
      <c r="RQY16" s="228"/>
      <c r="RQZ16" s="228"/>
      <c r="RRA16" s="229"/>
      <c r="RRB16" s="216"/>
      <c r="RRC16" s="219"/>
      <c r="RRD16" s="220"/>
      <c r="RRE16" s="217"/>
      <c r="RRF16" s="217"/>
      <c r="RRG16" s="217"/>
      <c r="RRH16" s="217"/>
      <c r="RRI16" s="217"/>
      <c r="RRJ16" s="221"/>
      <c r="RRK16" s="222"/>
      <c r="RRL16" s="220"/>
      <c r="RRM16" s="220"/>
      <c r="RRN16" s="220"/>
      <c r="RRO16" s="220"/>
      <c r="RRP16" s="223"/>
      <c r="RRQ16" s="223"/>
      <c r="RRR16" s="223"/>
      <c r="RRS16" s="223"/>
      <c r="RRT16" s="223"/>
      <c r="RRU16" s="223"/>
      <c r="RRV16" s="223"/>
      <c r="RRW16" s="223"/>
      <c r="RRX16" s="223"/>
      <c r="RRY16" s="224"/>
      <c r="RRZ16" s="225"/>
      <c r="RSA16" s="226"/>
      <c r="RSB16" s="224"/>
      <c r="RSC16" s="225"/>
      <c r="RSD16" s="225"/>
      <c r="RSE16" s="227"/>
      <c r="RSF16" s="228"/>
      <c r="RSG16" s="228"/>
      <c r="RSH16" s="229"/>
      <c r="RSI16" s="216"/>
      <c r="RSJ16" s="219"/>
      <c r="RSK16" s="220"/>
      <c r="RSL16" s="217"/>
      <c r="RSM16" s="217"/>
      <c r="RSN16" s="217"/>
      <c r="RSO16" s="217"/>
      <c r="RSP16" s="217"/>
      <c r="RSQ16" s="221"/>
      <c r="RSR16" s="222"/>
      <c r="RSS16" s="220"/>
      <c r="RST16" s="220"/>
      <c r="RSU16" s="220"/>
      <c r="RSV16" s="220"/>
      <c r="RSW16" s="223"/>
      <c r="RSX16" s="223"/>
      <c r="RSY16" s="223"/>
      <c r="RSZ16" s="223"/>
      <c r="RTA16" s="223"/>
      <c r="RTB16" s="223"/>
      <c r="RTC16" s="223"/>
      <c r="RTD16" s="223"/>
      <c r="RTE16" s="223"/>
      <c r="RTF16" s="224"/>
      <c r="RTG16" s="225"/>
      <c r="RTH16" s="226"/>
      <c r="RTI16" s="224"/>
      <c r="RTJ16" s="225"/>
      <c r="RTK16" s="225"/>
      <c r="RTL16" s="227"/>
      <c r="RTM16" s="228"/>
      <c r="RTN16" s="228"/>
      <c r="RTO16" s="229"/>
      <c r="RTP16" s="216"/>
      <c r="RTQ16" s="219"/>
      <c r="RTR16" s="220"/>
      <c r="RTS16" s="217"/>
      <c r="RTT16" s="217"/>
      <c r="RTU16" s="217"/>
      <c r="RTV16" s="217"/>
      <c r="RTW16" s="217"/>
      <c r="RTX16" s="221"/>
      <c r="RTY16" s="222"/>
      <c r="RTZ16" s="220"/>
      <c r="RUA16" s="220"/>
      <c r="RUB16" s="220"/>
      <c r="RUC16" s="220"/>
      <c r="RUD16" s="223"/>
      <c r="RUE16" s="223"/>
      <c r="RUF16" s="223"/>
      <c r="RUG16" s="223"/>
      <c r="RUH16" s="223"/>
      <c r="RUI16" s="223"/>
      <c r="RUJ16" s="223"/>
      <c r="RUK16" s="223"/>
      <c r="RUL16" s="223"/>
      <c r="RUM16" s="224"/>
      <c r="RUN16" s="225"/>
      <c r="RUO16" s="226"/>
      <c r="RUP16" s="224"/>
      <c r="RUQ16" s="225"/>
      <c r="RUR16" s="225"/>
      <c r="RUS16" s="227"/>
      <c r="RUT16" s="228"/>
      <c r="RUU16" s="228"/>
      <c r="RUV16" s="229"/>
      <c r="RUW16" s="216"/>
      <c r="RUX16" s="219"/>
      <c r="RUY16" s="220"/>
      <c r="RUZ16" s="217"/>
      <c r="RVA16" s="217"/>
      <c r="RVB16" s="217"/>
      <c r="RVC16" s="217"/>
      <c r="RVD16" s="217"/>
      <c r="RVE16" s="221"/>
      <c r="RVF16" s="222"/>
      <c r="RVG16" s="220"/>
      <c r="RVH16" s="220"/>
      <c r="RVI16" s="220"/>
      <c r="RVJ16" s="220"/>
      <c r="RVK16" s="223"/>
      <c r="RVL16" s="223"/>
      <c r="RVM16" s="223"/>
      <c r="RVN16" s="223"/>
      <c r="RVO16" s="223"/>
      <c r="RVP16" s="223"/>
      <c r="RVQ16" s="223"/>
      <c r="RVR16" s="223"/>
      <c r="RVS16" s="223"/>
      <c r="RVT16" s="224"/>
      <c r="RVU16" s="225"/>
      <c r="RVV16" s="226"/>
      <c r="RVW16" s="224"/>
      <c r="RVX16" s="225"/>
      <c r="RVY16" s="225"/>
      <c r="RVZ16" s="227"/>
      <c r="RWA16" s="228"/>
      <c r="RWB16" s="228"/>
      <c r="RWC16" s="229"/>
      <c r="RWD16" s="216"/>
      <c r="RWE16" s="219"/>
      <c r="RWF16" s="220"/>
      <c r="RWG16" s="217"/>
      <c r="RWH16" s="217"/>
      <c r="RWI16" s="217"/>
      <c r="RWJ16" s="217"/>
      <c r="RWK16" s="217"/>
      <c r="RWL16" s="221"/>
      <c r="RWM16" s="222"/>
      <c r="RWN16" s="220"/>
      <c r="RWO16" s="220"/>
      <c r="RWP16" s="220"/>
      <c r="RWQ16" s="220"/>
      <c r="RWR16" s="223"/>
      <c r="RWS16" s="223"/>
      <c r="RWT16" s="223"/>
      <c r="RWU16" s="223"/>
      <c r="RWV16" s="223"/>
      <c r="RWW16" s="223"/>
      <c r="RWX16" s="223"/>
      <c r="RWY16" s="223"/>
      <c r="RWZ16" s="223"/>
      <c r="RXA16" s="224"/>
      <c r="RXB16" s="225"/>
      <c r="RXC16" s="226"/>
      <c r="RXD16" s="224"/>
      <c r="RXE16" s="225"/>
      <c r="RXF16" s="225"/>
      <c r="RXG16" s="227"/>
      <c r="RXH16" s="228"/>
      <c r="RXI16" s="228"/>
      <c r="RXJ16" s="229"/>
      <c r="RXK16" s="216"/>
      <c r="RXL16" s="219"/>
      <c r="RXM16" s="220"/>
      <c r="RXN16" s="217"/>
      <c r="RXO16" s="217"/>
      <c r="RXP16" s="217"/>
      <c r="RXQ16" s="217"/>
      <c r="RXR16" s="217"/>
      <c r="RXS16" s="221"/>
      <c r="RXT16" s="222"/>
      <c r="RXU16" s="220"/>
      <c r="RXV16" s="220"/>
      <c r="RXW16" s="220"/>
      <c r="RXX16" s="220"/>
      <c r="RXY16" s="223"/>
      <c r="RXZ16" s="223"/>
      <c r="RYA16" s="223"/>
      <c r="RYB16" s="223"/>
      <c r="RYC16" s="223"/>
      <c r="RYD16" s="223"/>
      <c r="RYE16" s="223"/>
      <c r="RYF16" s="223"/>
      <c r="RYG16" s="223"/>
      <c r="RYH16" s="224"/>
      <c r="RYI16" s="225"/>
      <c r="RYJ16" s="226"/>
      <c r="RYK16" s="224"/>
      <c r="RYL16" s="225"/>
      <c r="RYM16" s="225"/>
      <c r="RYN16" s="227"/>
      <c r="RYO16" s="228"/>
      <c r="RYP16" s="228"/>
      <c r="RYQ16" s="229"/>
      <c r="RYR16" s="216"/>
      <c r="RYS16" s="219"/>
      <c r="RYT16" s="220"/>
      <c r="RYU16" s="217"/>
      <c r="RYV16" s="217"/>
      <c r="RYW16" s="217"/>
      <c r="RYX16" s="217"/>
      <c r="RYY16" s="217"/>
      <c r="RYZ16" s="221"/>
      <c r="RZA16" s="222"/>
      <c r="RZB16" s="220"/>
      <c r="RZC16" s="220"/>
      <c r="RZD16" s="220"/>
      <c r="RZE16" s="220"/>
      <c r="RZF16" s="223"/>
      <c r="RZG16" s="223"/>
      <c r="RZH16" s="223"/>
      <c r="RZI16" s="223"/>
      <c r="RZJ16" s="223"/>
      <c r="RZK16" s="223"/>
      <c r="RZL16" s="223"/>
      <c r="RZM16" s="223"/>
      <c r="RZN16" s="223"/>
      <c r="RZO16" s="224"/>
      <c r="RZP16" s="225"/>
      <c r="RZQ16" s="226"/>
      <c r="RZR16" s="224"/>
      <c r="RZS16" s="225"/>
      <c r="RZT16" s="225"/>
      <c r="RZU16" s="227"/>
      <c r="RZV16" s="228"/>
      <c r="RZW16" s="228"/>
      <c r="RZX16" s="229"/>
      <c r="RZY16" s="216"/>
      <c r="RZZ16" s="219"/>
      <c r="SAA16" s="220"/>
      <c r="SAB16" s="217"/>
      <c r="SAC16" s="217"/>
      <c r="SAD16" s="217"/>
      <c r="SAE16" s="217"/>
      <c r="SAF16" s="217"/>
      <c r="SAG16" s="221"/>
      <c r="SAH16" s="222"/>
      <c r="SAI16" s="220"/>
      <c r="SAJ16" s="220"/>
      <c r="SAK16" s="220"/>
      <c r="SAL16" s="220"/>
      <c r="SAM16" s="223"/>
      <c r="SAN16" s="223"/>
      <c r="SAO16" s="223"/>
      <c r="SAP16" s="223"/>
      <c r="SAQ16" s="223"/>
      <c r="SAR16" s="223"/>
      <c r="SAS16" s="223"/>
      <c r="SAT16" s="223"/>
      <c r="SAU16" s="223"/>
      <c r="SAV16" s="224"/>
      <c r="SAW16" s="225"/>
      <c r="SAX16" s="226"/>
      <c r="SAY16" s="224"/>
      <c r="SAZ16" s="225"/>
      <c r="SBA16" s="225"/>
      <c r="SBB16" s="227"/>
      <c r="SBC16" s="228"/>
      <c r="SBD16" s="228"/>
      <c r="SBE16" s="229"/>
      <c r="SBF16" s="216"/>
      <c r="SBG16" s="219"/>
      <c r="SBH16" s="220"/>
      <c r="SBI16" s="217"/>
      <c r="SBJ16" s="217"/>
      <c r="SBK16" s="217"/>
      <c r="SBL16" s="217"/>
      <c r="SBM16" s="217"/>
      <c r="SBN16" s="221"/>
      <c r="SBO16" s="222"/>
      <c r="SBP16" s="220"/>
      <c r="SBQ16" s="220"/>
      <c r="SBR16" s="220"/>
      <c r="SBS16" s="220"/>
      <c r="SBT16" s="223"/>
      <c r="SBU16" s="223"/>
      <c r="SBV16" s="223"/>
      <c r="SBW16" s="223"/>
      <c r="SBX16" s="223"/>
      <c r="SBY16" s="223"/>
      <c r="SBZ16" s="223"/>
      <c r="SCA16" s="223"/>
      <c r="SCB16" s="223"/>
      <c r="SCC16" s="224"/>
      <c r="SCD16" s="225"/>
      <c r="SCE16" s="226"/>
      <c r="SCF16" s="224"/>
      <c r="SCG16" s="225"/>
      <c r="SCH16" s="225"/>
      <c r="SCI16" s="227"/>
      <c r="SCJ16" s="228"/>
      <c r="SCK16" s="228"/>
      <c r="SCL16" s="229"/>
      <c r="SCM16" s="216"/>
      <c r="SCN16" s="219"/>
      <c r="SCO16" s="220"/>
      <c r="SCP16" s="217"/>
      <c r="SCQ16" s="217"/>
      <c r="SCR16" s="217"/>
      <c r="SCS16" s="217"/>
      <c r="SCT16" s="217"/>
      <c r="SCU16" s="221"/>
      <c r="SCV16" s="222"/>
      <c r="SCW16" s="220"/>
      <c r="SCX16" s="220"/>
      <c r="SCY16" s="220"/>
      <c r="SCZ16" s="220"/>
      <c r="SDA16" s="223"/>
      <c r="SDB16" s="223"/>
      <c r="SDC16" s="223"/>
      <c r="SDD16" s="223"/>
      <c r="SDE16" s="223"/>
      <c r="SDF16" s="223"/>
      <c r="SDG16" s="223"/>
      <c r="SDH16" s="223"/>
      <c r="SDI16" s="223"/>
      <c r="SDJ16" s="224"/>
      <c r="SDK16" s="225"/>
      <c r="SDL16" s="226"/>
      <c r="SDM16" s="224"/>
      <c r="SDN16" s="225"/>
      <c r="SDO16" s="225"/>
      <c r="SDP16" s="227"/>
      <c r="SDQ16" s="228"/>
      <c r="SDR16" s="228"/>
      <c r="SDS16" s="229"/>
      <c r="SDT16" s="216"/>
      <c r="SDU16" s="219"/>
      <c r="SDV16" s="220"/>
      <c r="SDW16" s="217"/>
      <c r="SDX16" s="217"/>
      <c r="SDY16" s="217"/>
      <c r="SDZ16" s="217"/>
      <c r="SEA16" s="217"/>
      <c r="SEB16" s="221"/>
      <c r="SEC16" s="222"/>
      <c r="SED16" s="220"/>
      <c r="SEE16" s="220"/>
      <c r="SEF16" s="220"/>
      <c r="SEG16" s="220"/>
      <c r="SEH16" s="223"/>
      <c r="SEI16" s="223"/>
      <c r="SEJ16" s="223"/>
      <c r="SEK16" s="223"/>
      <c r="SEL16" s="223"/>
      <c r="SEM16" s="223"/>
      <c r="SEN16" s="223"/>
      <c r="SEO16" s="223"/>
      <c r="SEP16" s="223"/>
      <c r="SEQ16" s="224"/>
      <c r="SER16" s="225"/>
      <c r="SES16" s="226"/>
      <c r="SET16" s="224"/>
      <c r="SEU16" s="225"/>
      <c r="SEV16" s="225"/>
      <c r="SEW16" s="227"/>
      <c r="SEX16" s="228"/>
      <c r="SEY16" s="228"/>
      <c r="SEZ16" s="229"/>
      <c r="SFA16" s="216"/>
      <c r="SFB16" s="219"/>
      <c r="SFC16" s="220"/>
      <c r="SFD16" s="217"/>
      <c r="SFE16" s="217"/>
      <c r="SFF16" s="217"/>
      <c r="SFG16" s="217"/>
      <c r="SFH16" s="217"/>
      <c r="SFI16" s="221"/>
      <c r="SFJ16" s="222"/>
      <c r="SFK16" s="220"/>
      <c r="SFL16" s="220"/>
      <c r="SFM16" s="220"/>
      <c r="SFN16" s="220"/>
      <c r="SFO16" s="223"/>
      <c r="SFP16" s="223"/>
      <c r="SFQ16" s="223"/>
      <c r="SFR16" s="223"/>
      <c r="SFS16" s="223"/>
      <c r="SFT16" s="223"/>
      <c r="SFU16" s="223"/>
      <c r="SFV16" s="223"/>
      <c r="SFW16" s="223"/>
      <c r="SFX16" s="224"/>
      <c r="SFY16" s="225"/>
      <c r="SFZ16" s="226"/>
      <c r="SGA16" s="224"/>
      <c r="SGB16" s="225"/>
      <c r="SGC16" s="225"/>
      <c r="SGD16" s="227"/>
      <c r="SGE16" s="228"/>
      <c r="SGF16" s="228"/>
      <c r="SGG16" s="229"/>
      <c r="SGH16" s="216"/>
      <c r="SGI16" s="219"/>
      <c r="SGJ16" s="220"/>
      <c r="SGK16" s="217"/>
      <c r="SGL16" s="217"/>
      <c r="SGM16" s="217"/>
      <c r="SGN16" s="217"/>
      <c r="SGO16" s="217"/>
      <c r="SGP16" s="221"/>
      <c r="SGQ16" s="222"/>
      <c r="SGR16" s="220"/>
      <c r="SGS16" s="220"/>
      <c r="SGT16" s="220"/>
      <c r="SGU16" s="220"/>
      <c r="SGV16" s="223"/>
      <c r="SGW16" s="223"/>
      <c r="SGX16" s="223"/>
      <c r="SGY16" s="223"/>
      <c r="SGZ16" s="223"/>
      <c r="SHA16" s="223"/>
      <c r="SHB16" s="223"/>
      <c r="SHC16" s="223"/>
      <c r="SHD16" s="223"/>
      <c r="SHE16" s="224"/>
      <c r="SHF16" s="225"/>
      <c r="SHG16" s="226"/>
      <c r="SHH16" s="224"/>
      <c r="SHI16" s="225"/>
      <c r="SHJ16" s="225"/>
      <c r="SHK16" s="227"/>
      <c r="SHL16" s="228"/>
      <c r="SHM16" s="228"/>
      <c r="SHN16" s="229"/>
      <c r="SHO16" s="216"/>
      <c r="SHP16" s="219"/>
      <c r="SHQ16" s="220"/>
      <c r="SHR16" s="217"/>
      <c r="SHS16" s="217"/>
      <c r="SHT16" s="217"/>
      <c r="SHU16" s="217"/>
      <c r="SHV16" s="217"/>
      <c r="SHW16" s="221"/>
      <c r="SHX16" s="222"/>
      <c r="SHY16" s="220"/>
      <c r="SHZ16" s="220"/>
      <c r="SIA16" s="220"/>
      <c r="SIB16" s="220"/>
      <c r="SIC16" s="223"/>
      <c r="SID16" s="223"/>
      <c r="SIE16" s="223"/>
      <c r="SIF16" s="223"/>
      <c r="SIG16" s="223"/>
      <c r="SIH16" s="223"/>
      <c r="SII16" s="223"/>
      <c r="SIJ16" s="223"/>
      <c r="SIK16" s="223"/>
      <c r="SIL16" s="224"/>
      <c r="SIM16" s="225"/>
      <c r="SIN16" s="226"/>
      <c r="SIO16" s="224"/>
      <c r="SIP16" s="225"/>
      <c r="SIQ16" s="225"/>
      <c r="SIR16" s="227"/>
      <c r="SIS16" s="228"/>
      <c r="SIT16" s="228"/>
      <c r="SIU16" s="229"/>
      <c r="SIV16" s="216"/>
      <c r="SIW16" s="219"/>
      <c r="SIX16" s="220"/>
      <c r="SIY16" s="217"/>
      <c r="SIZ16" s="217"/>
      <c r="SJA16" s="217"/>
      <c r="SJB16" s="217"/>
      <c r="SJC16" s="217"/>
      <c r="SJD16" s="221"/>
      <c r="SJE16" s="222"/>
      <c r="SJF16" s="220"/>
      <c r="SJG16" s="220"/>
      <c r="SJH16" s="220"/>
      <c r="SJI16" s="220"/>
      <c r="SJJ16" s="223"/>
      <c r="SJK16" s="223"/>
      <c r="SJL16" s="223"/>
      <c r="SJM16" s="223"/>
      <c r="SJN16" s="223"/>
      <c r="SJO16" s="223"/>
      <c r="SJP16" s="223"/>
      <c r="SJQ16" s="223"/>
      <c r="SJR16" s="223"/>
      <c r="SJS16" s="224"/>
      <c r="SJT16" s="225"/>
      <c r="SJU16" s="226"/>
      <c r="SJV16" s="224"/>
      <c r="SJW16" s="225"/>
      <c r="SJX16" s="225"/>
      <c r="SJY16" s="227"/>
      <c r="SJZ16" s="228"/>
      <c r="SKA16" s="228"/>
      <c r="SKB16" s="229"/>
      <c r="SKC16" s="216"/>
      <c r="SKD16" s="219"/>
      <c r="SKE16" s="220"/>
      <c r="SKF16" s="217"/>
      <c r="SKG16" s="217"/>
      <c r="SKH16" s="217"/>
      <c r="SKI16" s="217"/>
      <c r="SKJ16" s="217"/>
      <c r="SKK16" s="221"/>
      <c r="SKL16" s="222"/>
      <c r="SKM16" s="220"/>
      <c r="SKN16" s="220"/>
      <c r="SKO16" s="220"/>
      <c r="SKP16" s="220"/>
      <c r="SKQ16" s="223"/>
      <c r="SKR16" s="223"/>
      <c r="SKS16" s="223"/>
      <c r="SKT16" s="223"/>
      <c r="SKU16" s="223"/>
      <c r="SKV16" s="223"/>
      <c r="SKW16" s="223"/>
      <c r="SKX16" s="223"/>
      <c r="SKY16" s="223"/>
      <c r="SKZ16" s="224"/>
      <c r="SLA16" s="225"/>
      <c r="SLB16" s="226"/>
      <c r="SLC16" s="224"/>
      <c r="SLD16" s="225"/>
      <c r="SLE16" s="225"/>
      <c r="SLF16" s="227"/>
      <c r="SLG16" s="228"/>
      <c r="SLH16" s="228"/>
      <c r="SLI16" s="229"/>
      <c r="SLJ16" s="216"/>
      <c r="SLK16" s="219"/>
      <c r="SLL16" s="220"/>
      <c r="SLM16" s="217"/>
      <c r="SLN16" s="217"/>
      <c r="SLO16" s="217"/>
      <c r="SLP16" s="217"/>
      <c r="SLQ16" s="217"/>
      <c r="SLR16" s="221"/>
      <c r="SLS16" s="222"/>
      <c r="SLT16" s="220"/>
      <c r="SLU16" s="220"/>
      <c r="SLV16" s="220"/>
      <c r="SLW16" s="220"/>
      <c r="SLX16" s="223"/>
      <c r="SLY16" s="223"/>
      <c r="SLZ16" s="223"/>
      <c r="SMA16" s="223"/>
      <c r="SMB16" s="223"/>
      <c r="SMC16" s="223"/>
      <c r="SMD16" s="223"/>
      <c r="SME16" s="223"/>
      <c r="SMF16" s="223"/>
      <c r="SMG16" s="224"/>
      <c r="SMH16" s="225"/>
      <c r="SMI16" s="226"/>
      <c r="SMJ16" s="224"/>
      <c r="SMK16" s="225"/>
      <c r="SML16" s="225"/>
      <c r="SMM16" s="227"/>
      <c r="SMN16" s="228"/>
      <c r="SMO16" s="228"/>
      <c r="SMP16" s="229"/>
      <c r="SMQ16" s="216"/>
      <c r="SMR16" s="219"/>
      <c r="SMS16" s="220"/>
      <c r="SMT16" s="217"/>
      <c r="SMU16" s="217"/>
      <c r="SMV16" s="217"/>
      <c r="SMW16" s="217"/>
      <c r="SMX16" s="217"/>
      <c r="SMY16" s="221"/>
      <c r="SMZ16" s="222"/>
      <c r="SNA16" s="220"/>
      <c r="SNB16" s="220"/>
      <c r="SNC16" s="220"/>
      <c r="SND16" s="220"/>
      <c r="SNE16" s="223"/>
      <c r="SNF16" s="223"/>
      <c r="SNG16" s="223"/>
      <c r="SNH16" s="223"/>
      <c r="SNI16" s="223"/>
      <c r="SNJ16" s="223"/>
      <c r="SNK16" s="223"/>
      <c r="SNL16" s="223"/>
      <c r="SNM16" s="223"/>
      <c r="SNN16" s="224"/>
      <c r="SNO16" s="225"/>
      <c r="SNP16" s="226"/>
      <c r="SNQ16" s="224"/>
      <c r="SNR16" s="225"/>
      <c r="SNS16" s="225"/>
      <c r="SNT16" s="227"/>
      <c r="SNU16" s="228"/>
      <c r="SNV16" s="228"/>
      <c r="SNW16" s="229"/>
      <c r="SNX16" s="216"/>
      <c r="SNY16" s="219"/>
      <c r="SNZ16" s="220"/>
      <c r="SOA16" s="217"/>
      <c r="SOB16" s="217"/>
      <c r="SOC16" s="217"/>
      <c r="SOD16" s="217"/>
      <c r="SOE16" s="217"/>
      <c r="SOF16" s="221"/>
      <c r="SOG16" s="222"/>
      <c r="SOH16" s="220"/>
      <c r="SOI16" s="220"/>
      <c r="SOJ16" s="220"/>
      <c r="SOK16" s="220"/>
      <c r="SOL16" s="223"/>
      <c r="SOM16" s="223"/>
      <c r="SON16" s="223"/>
      <c r="SOO16" s="223"/>
      <c r="SOP16" s="223"/>
      <c r="SOQ16" s="223"/>
      <c r="SOR16" s="223"/>
      <c r="SOS16" s="223"/>
      <c r="SOT16" s="223"/>
      <c r="SOU16" s="224"/>
      <c r="SOV16" s="225"/>
      <c r="SOW16" s="226"/>
      <c r="SOX16" s="224"/>
      <c r="SOY16" s="225"/>
      <c r="SOZ16" s="225"/>
      <c r="SPA16" s="227"/>
      <c r="SPB16" s="228"/>
      <c r="SPC16" s="228"/>
      <c r="SPD16" s="229"/>
      <c r="SPE16" s="216"/>
      <c r="SPF16" s="219"/>
      <c r="SPG16" s="220"/>
      <c r="SPH16" s="217"/>
      <c r="SPI16" s="217"/>
      <c r="SPJ16" s="217"/>
      <c r="SPK16" s="217"/>
      <c r="SPL16" s="217"/>
      <c r="SPM16" s="221"/>
      <c r="SPN16" s="222"/>
      <c r="SPO16" s="220"/>
      <c r="SPP16" s="220"/>
      <c r="SPQ16" s="220"/>
      <c r="SPR16" s="220"/>
      <c r="SPS16" s="223"/>
      <c r="SPT16" s="223"/>
      <c r="SPU16" s="223"/>
      <c r="SPV16" s="223"/>
      <c r="SPW16" s="223"/>
      <c r="SPX16" s="223"/>
      <c r="SPY16" s="223"/>
      <c r="SPZ16" s="223"/>
      <c r="SQA16" s="223"/>
      <c r="SQB16" s="224"/>
      <c r="SQC16" s="225"/>
      <c r="SQD16" s="226"/>
      <c r="SQE16" s="224"/>
      <c r="SQF16" s="225"/>
      <c r="SQG16" s="225"/>
      <c r="SQH16" s="227"/>
      <c r="SQI16" s="228"/>
      <c r="SQJ16" s="228"/>
      <c r="SQK16" s="229"/>
      <c r="SQL16" s="216"/>
      <c r="SQM16" s="219"/>
      <c r="SQN16" s="220"/>
      <c r="SQO16" s="217"/>
      <c r="SQP16" s="217"/>
      <c r="SQQ16" s="217"/>
      <c r="SQR16" s="217"/>
      <c r="SQS16" s="217"/>
      <c r="SQT16" s="221"/>
      <c r="SQU16" s="222"/>
      <c r="SQV16" s="220"/>
      <c r="SQW16" s="220"/>
      <c r="SQX16" s="220"/>
      <c r="SQY16" s="220"/>
      <c r="SQZ16" s="223"/>
      <c r="SRA16" s="223"/>
      <c r="SRB16" s="223"/>
      <c r="SRC16" s="223"/>
      <c r="SRD16" s="223"/>
      <c r="SRE16" s="223"/>
      <c r="SRF16" s="223"/>
      <c r="SRG16" s="223"/>
      <c r="SRH16" s="223"/>
      <c r="SRI16" s="224"/>
      <c r="SRJ16" s="225"/>
      <c r="SRK16" s="226"/>
      <c r="SRL16" s="224"/>
      <c r="SRM16" s="225"/>
      <c r="SRN16" s="225"/>
      <c r="SRO16" s="227"/>
      <c r="SRP16" s="228"/>
      <c r="SRQ16" s="228"/>
      <c r="SRR16" s="229"/>
      <c r="SRS16" s="216"/>
      <c r="SRT16" s="219"/>
      <c r="SRU16" s="220"/>
      <c r="SRV16" s="217"/>
      <c r="SRW16" s="217"/>
      <c r="SRX16" s="217"/>
      <c r="SRY16" s="217"/>
      <c r="SRZ16" s="217"/>
      <c r="SSA16" s="221"/>
      <c r="SSB16" s="222"/>
      <c r="SSC16" s="220"/>
      <c r="SSD16" s="220"/>
      <c r="SSE16" s="220"/>
      <c r="SSF16" s="220"/>
      <c r="SSG16" s="223"/>
      <c r="SSH16" s="223"/>
      <c r="SSI16" s="223"/>
      <c r="SSJ16" s="223"/>
      <c r="SSK16" s="223"/>
      <c r="SSL16" s="223"/>
      <c r="SSM16" s="223"/>
      <c r="SSN16" s="223"/>
      <c r="SSO16" s="223"/>
      <c r="SSP16" s="224"/>
      <c r="SSQ16" s="225"/>
      <c r="SSR16" s="226"/>
      <c r="SSS16" s="224"/>
      <c r="SST16" s="225"/>
      <c r="SSU16" s="225"/>
      <c r="SSV16" s="227"/>
      <c r="SSW16" s="228"/>
      <c r="SSX16" s="228"/>
      <c r="SSY16" s="229"/>
      <c r="SSZ16" s="216"/>
      <c r="STA16" s="219"/>
      <c r="STB16" s="220"/>
      <c r="STC16" s="217"/>
      <c r="STD16" s="217"/>
      <c r="STE16" s="217"/>
      <c r="STF16" s="217"/>
      <c r="STG16" s="217"/>
      <c r="STH16" s="221"/>
      <c r="STI16" s="222"/>
      <c r="STJ16" s="220"/>
      <c r="STK16" s="220"/>
      <c r="STL16" s="220"/>
      <c r="STM16" s="220"/>
      <c r="STN16" s="223"/>
      <c r="STO16" s="223"/>
      <c r="STP16" s="223"/>
      <c r="STQ16" s="223"/>
      <c r="STR16" s="223"/>
      <c r="STS16" s="223"/>
      <c r="STT16" s="223"/>
      <c r="STU16" s="223"/>
      <c r="STV16" s="223"/>
      <c r="STW16" s="224"/>
      <c r="STX16" s="225"/>
      <c r="STY16" s="226"/>
      <c r="STZ16" s="224"/>
      <c r="SUA16" s="225"/>
      <c r="SUB16" s="225"/>
      <c r="SUC16" s="227"/>
      <c r="SUD16" s="228"/>
      <c r="SUE16" s="228"/>
      <c r="SUF16" s="229"/>
      <c r="SUG16" s="216"/>
      <c r="SUH16" s="219"/>
      <c r="SUI16" s="220"/>
      <c r="SUJ16" s="217"/>
      <c r="SUK16" s="217"/>
      <c r="SUL16" s="217"/>
      <c r="SUM16" s="217"/>
      <c r="SUN16" s="217"/>
      <c r="SUO16" s="221"/>
      <c r="SUP16" s="222"/>
      <c r="SUQ16" s="220"/>
      <c r="SUR16" s="220"/>
      <c r="SUS16" s="220"/>
      <c r="SUT16" s="220"/>
      <c r="SUU16" s="223"/>
      <c r="SUV16" s="223"/>
      <c r="SUW16" s="223"/>
      <c r="SUX16" s="223"/>
      <c r="SUY16" s="223"/>
      <c r="SUZ16" s="223"/>
      <c r="SVA16" s="223"/>
      <c r="SVB16" s="223"/>
      <c r="SVC16" s="223"/>
      <c r="SVD16" s="224"/>
      <c r="SVE16" s="225"/>
      <c r="SVF16" s="226"/>
      <c r="SVG16" s="224"/>
      <c r="SVH16" s="225"/>
      <c r="SVI16" s="225"/>
      <c r="SVJ16" s="227"/>
      <c r="SVK16" s="228"/>
      <c r="SVL16" s="228"/>
      <c r="SVM16" s="229"/>
      <c r="SVN16" s="216"/>
      <c r="SVO16" s="219"/>
      <c r="SVP16" s="220"/>
      <c r="SVQ16" s="217"/>
      <c r="SVR16" s="217"/>
      <c r="SVS16" s="217"/>
      <c r="SVT16" s="217"/>
      <c r="SVU16" s="217"/>
      <c r="SVV16" s="221"/>
      <c r="SVW16" s="222"/>
      <c r="SVX16" s="220"/>
      <c r="SVY16" s="220"/>
      <c r="SVZ16" s="220"/>
      <c r="SWA16" s="220"/>
      <c r="SWB16" s="223"/>
      <c r="SWC16" s="223"/>
      <c r="SWD16" s="223"/>
      <c r="SWE16" s="223"/>
      <c r="SWF16" s="223"/>
      <c r="SWG16" s="223"/>
      <c r="SWH16" s="223"/>
      <c r="SWI16" s="223"/>
      <c r="SWJ16" s="223"/>
      <c r="SWK16" s="224"/>
      <c r="SWL16" s="225"/>
      <c r="SWM16" s="226"/>
      <c r="SWN16" s="224"/>
      <c r="SWO16" s="225"/>
      <c r="SWP16" s="225"/>
      <c r="SWQ16" s="227"/>
      <c r="SWR16" s="228"/>
      <c r="SWS16" s="228"/>
      <c r="SWT16" s="229"/>
      <c r="SWU16" s="216"/>
      <c r="SWV16" s="219"/>
      <c r="SWW16" s="220"/>
      <c r="SWX16" s="217"/>
      <c r="SWY16" s="217"/>
      <c r="SWZ16" s="217"/>
      <c r="SXA16" s="217"/>
      <c r="SXB16" s="217"/>
      <c r="SXC16" s="221"/>
      <c r="SXD16" s="222"/>
      <c r="SXE16" s="220"/>
      <c r="SXF16" s="220"/>
      <c r="SXG16" s="220"/>
      <c r="SXH16" s="220"/>
      <c r="SXI16" s="223"/>
      <c r="SXJ16" s="223"/>
      <c r="SXK16" s="223"/>
      <c r="SXL16" s="223"/>
      <c r="SXM16" s="223"/>
      <c r="SXN16" s="223"/>
      <c r="SXO16" s="223"/>
      <c r="SXP16" s="223"/>
      <c r="SXQ16" s="223"/>
      <c r="SXR16" s="224"/>
      <c r="SXS16" s="225"/>
      <c r="SXT16" s="226"/>
      <c r="SXU16" s="224"/>
      <c r="SXV16" s="225"/>
      <c r="SXW16" s="225"/>
      <c r="SXX16" s="227"/>
      <c r="SXY16" s="228"/>
      <c r="SXZ16" s="228"/>
      <c r="SYA16" s="229"/>
      <c r="SYB16" s="216"/>
      <c r="SYC16" s="219"/>
      <c r="SYD16" s="220"/>
      <c r="SYE16" s="217"/>
      <c r="SYF16" s="217"/>
      <c r="SYG16" s="217"/>
      <c r="SYH16" s="217"/>
      <c r="SYI16" s="217"/>
      <c r="SYJ16" s="221"/>
      <c r="SYK16" s="222"/>
      <c r="SYL16" s="220"/>
      <c r="SYM16" s="220"/>
      <c r="SYN16" s="220"/>
      <c r="SYO16" s="220"/>
      <c r="SYP16" s="223"/>
      <c r="SYQ16" s="223"/>
      <c r="SYR16" s="223"/>
      <c r="SYS16" s="223"/>
      <c r="SYT16" s="223"/>
      <c r="SYU16" s="223"/>
      <c r="SYV16" s="223"/>
      <c r="SYW16" s="223"/>
      <c r="SYX16" s="223"/>
      <c r="SYY16" s="224"/>
      <c r="SYZ16" s="225"/>
      <c r="SZA16" s="226"/>
      <c r="SZB16" s="224"/>
      <c r="SZC16" s="225"/>
      <c r="SZD16" s="225"/>
      <c r="SZE16" s="227"/>
      <c r="SZF16" s="228"/>
      <c r="SZG16" s="228"/>
      <c r="SZH16" s="229"/>
      <c r="SZI16" s="216"/>
      <c r="SZJ16" s="219"/>
      <c r="SZK16" s="220"/>
      <c r="SZL16" s="217"/>
      <c r="SZM16" s="217"/>
      <c r="SZN16" s="217"/>
      <c r="SZO16" s="217"/>
      <c r="SZP16" s="217"/>
      <c r="SZQ16" s="221"/>
      <c r="SZR16" s="222"/>
      <c r="SZS16" s="220"/>
      <c r="SZT16" s="220"/>
      <c r="SZU16" s="220"/>
      <c r="SZV16" s="220"/>
      <c r="SZW16" s="223"/>
      <c r="SZX16" s="223"/>
      <c r="SZY16" s="223"/>
      <c r="SZZ16" s="223"/>
      <c r="TAA16" s="223"/>
      <c r="TAB16" s="223"/>
      <c r="TAC16" s="223"/>
      <c r="TAD16" s="223"/>
      <c r="TAE16" s="223"/>
      <c r="TAF16" s="224"/>
      <c r="TAG16" s="225"/>
      <c r="TAH16" s="226"/>
      <c r="TAI16" s="224"/>
      <c r="TAJ16" s="225"/>
      <c r="TAK16" s="225"/>
      <c r="TAL16" s="227"/>
      <c r="TAM16" s="228"/>
      <c r="TAN16" s="228"/>
      <c r="TAO16" s="229"/>
      <c r="TAP16" s="216"/>
      <c r="TAQ16" s="219"/>
      <c r="TAR16" s="220"/>
      <c r="TAS16" s="217"/>
      <c r="TAT16" s="217"/>
      <c r="TAU16" s="217"/>
      <c r="TAV16" s="217"/>
      <c r="TAW16" s="217"/>
      <c r="TAX16" s="221"/>
      <c r="TAY16" s="222"/>
      <c r="TAZ16" s="220"/>
      <c r="TBA16" s="220"/>
      <c r="TBB16" s="220"/>
      <c r="TBC16" s="220"/>
      <c r="TBD16" s="223"/>
      <c r="TBE16" s="223"/>
      <c r="TBF16" s="223"/>
      <c r="TBG16" s="223"/>
      <c r="TBH16" s="223"/>
      <c r="TBI16" s="223"/>
      <c r="TBJ16" s="223"/>
      <c r="TBK16" s="223"/>
      <c r="TBL16" s="223"/>
      <c r="TBM16" s="224"/>
      <c r="TBN16" s="225"/>
      <c r="TBO16" s="226"/>
      <c r="TBP16" s="224"/>
      <c r="TBQ16" s="225"/>
      <c r="TBR16" s="225"/>
      <c r="TBS16" s="227"/>
      <c r="TBT16" s="228"/>
      <c r="TBU16" s="228"/>
      <c r="TBV16" s="229"/>
      <c r="TBW16" s="216"/>
      <c r="TBX16" s="219"/>
      <c r="TBY16" s="220"/>
      <c r="TBZ16" s="217"/>
      <c r="TCA16" s="217"/>
      <c r="TCB16" s="217"/>
      <c r="TCC16" s="217"/>
      <c r="TCD16" s="217"/>
      <c r="TCE16" s="221"/>
      <c r="TCF16" s="222"/>
      <c r="TCG16" s="220"/>
      <c r="TCH16" s="220"/>
      <c r="TCI16" s="220"/>
      <c r="TCJ16" s="220"/>
      <c r="TCK16" s="223"/>
      <c r="TCL16" s="223"/>
      <c r="TCM16" s="223"/>
      <c r="TCN16" s="223"/>
      <c r="TCO16" s="223"/>
      <c r="TCP16" s="223"/>
      <c r="TCQ16" s="223"/>
      <c r="TCR16" s="223"/>
      <c r="TCS16" s="223"/>
      <c r="TCT16" s="224"/>
      <c r="TCU16" s="225"/>
      <c r="TCV16" s="226"/>
      <c r="TCW16" s="224"/>
      <c r="TCX16" s="225"/>
      <c r="TCY16" s="225"/>
      <c r="TCZ16" s="227"/>
      <c r="TDA16" s="228"/>
      <c r="TDB16" s="228"/>
      <c r="TDC16" s="229"/>
      <c r="TDD16" s="216"/>
      <c r="TDE16" s="219"/>
      <c r="TDF16" s="220"/>
      <c r="TDG16" s="217"/>
      <c r="TDH16" s="217"/>
      <c r="TDI16" s="217"/>
      <c r="TDJ16" s="217"/>
      <c r="TDK16" s="217"/>
      <c r="TDL16" s="221"/>
      <c r="TDM16" s="222"/>
      <c r="TDN16" s="220"/>
      <c r="TDO16" s="220"/>
      <c r="TDP16" s="220"/>
      <c r="TDQ16" s="220"/>
      <c r="TDR16" s="223"/>
      <c r="TDS16" s="223"/>
      <c r="TDT16" s="223"/>
      <c r="TDU16" s="223"/>
      <c r="TDV16" s="223"/>
      <c r="TDW16" s="223"/>
      <c r="TDX16" s="223"/>
      <c r="TDY16" s="223"/>
      <c r="TDZ16" s="223"/>
      <c r="TEA16" s="224"/>
      <c r="TEB16" s="225"/>
      <c r="TEC16" s="226"/>
      <c r="TED16" s="224"/>
      <c r="TEE16" s="225"/>
      <c r="TEF16" s="225"/>
      <c r="TEG16" s="227"/>
      <c r="TEH16" s="228"/>
      <c r="TEI16" s="228"/>
      <c r="TEJ16" s="229"/>
      <c r="TEK16" s="216"/>
      <c r="TEL16" s="219"/>
      <c r="TEM16" s="220"/>
      <c r="TEN16" s="217"/>
      <c r="TEO16" s="217"/>
      <c r="TEP16" s="217"/>
      <c r="TEQ16" s="217"/>
      <c r="TER16" s="217"/>
      <c r="TES16" s="221"/>
      <c r="TET16" s="222"/>
      <c r="TEU16" s="220"/>
      <c r="TEV16" s="220"/>
      <c r="TEW16" s="220"/>
      <c r="TEX16" s="220"/>
      <c r="TEY16" s="223"/>
      <c r="TEZ16" s="223"/>
      <c r="TFA16" s="223"/>
      <c r="TFB16" s="223"/>
      <c r="TFC16" s="223"/>
      <c r="TFD16" s="223"/>
      <c r="TFE16" s="223"/>
      <c r="TFF16" s="223"/>
      <c r="TFG16" s="223"/>
      <c r="TFH16" s="224"/>
      <c r="TFI16" s="225"/>
      <c r="TFJ16" s="226"/>
      <c r="TFK16" s="224"/>
      <c r="TFL16" s="225"/>
      <c r="TFM16" s="225"/>
      <c r="TFN16" s="227"/>
      <c r="TFO16" s="228"/>
      <c r="TFP16" s="228"/>
      <c r="TFQ16" s="229"/>
      <c r="TFR16" s="216"/>
      <c r="TFS16" s="219"/>
      <c r="TFT16" s="220"/>
      <c r="TFU16" s="217"/>
      <c r="TFV16" s="217"/>
      <c r="TFW16" s="217"/>
      <c r="TFX16" s="217"/>
      <c r="TFY16" s="217"/>
      <c r="TFZ16" s="221"/>
      <c r="TGA16" s="222"/>
      <c r="TGB16" s="220"/>
      <c r="TGC16" s="220"/>
      <c r="TGD16" s="220"/>
      <c r="TGE16" s="220"/>
      <c r="TGF16" s="223"/>
      <c r="TGG16" s="223"/>
      <c r="TGH16" s="223"/>
      <c r="TGI16" s="223"/>
      <c r="TGJ16" s="223"/>
      <c r="TGK16" s="223"/>
      <c r="TGL16" s="223"/>
      <c r="TGM16" s="223"/>
      <c r="TGN16" s="223"/>
      <c r="TGO16" s="224"/>
      <c r="TGP16" s="225"/>
      <c r="TGQ16" s="226"/>
      <c r="TGR16" s="224"/>
      <c r="TGS16" s="225"/>
      <c r="TGT16" s="225"/>
      <c r="TGU16" s="227"/>
      <c r="TGV16" s="228"/>
      <c r="TGW16" s="228"/>
      <c r="TGX16" s="229"/>
      <c r="TGY16" s="216"/>
      <c r="TGZ16" s="219"/>
      <c r="THA16" s="220"/>
      <c r="THB16" s="217"/>
      <c r="THC16" s="217"/>
      <c r="THD16" s="217"/>
      <c r="THE16" s="217"/>
      <c r="THF16" s="217"/>
      <c r="THG16" s="221"/>
      <c r="THH16" s="222"/>
      <c r="THI16" s="220"/>
      <c r="THJ16" s="220"/>
      <c r="THK16" s="220"/>
      <c r="THL16" s="220"/>
      <c r="THM16" s="223"/>
      <c r="THN16" s="223"/>
      <c r="THO16" s="223"/>
      <c r="THP16" s="223"/>
      <c r="THQ16" s="223"/>
      <c r="THR16" s="223"/>
      <c r="THS16" s="223"/>
      <c r="THT16" s="223"/>
      <c r="THU16" s="223"/>
      <c r="THV16" s="224"/>
      <c r="THW16" s="225"/>
      <c r="THX16" s="226"/>
      <c r="THY16" s="224"/>
      <c r="THZ16" s="225"/>
      <c r="TIA16" s="225"/>
      <c r="TIB16" s="227"/>
      <c r="TIC16" s="228"/>
      <c r="TID16" s="228"/>
      <c r="TIE16" s="229"/>
      <c r="TIF16" s="216"/>
      <c r="TIG16" s="219"/>
      <c r="TIH16" s="220"/>
      <c r="TII16" s="217"/>
      <c r="TIJ16" s="217"/>
      <c r="TIK16" s="217"/>
      <c r="TIL16" s="217"/>
      <c r="TIM16" s="217"/>
      <c r="TIN16" s="221"/>
      <c r="TIO16" s="222"/>
      <c r="TIP16" s="220"/>
      <c r="TIQ16" s="220"/>
      <c r="TIR16" s="220"/>
      <c r="TIS16" s="220"/>
      <c r="TIT16" s="223"/>
      <c r="TIU16" s="223"/>
      <c r="TIV16" s="223"/>
      <c r="TIW16" s="223"/>
      <c r="TIX16" s="223"/>
      <c r="TIY16" s="223"/>
      <c r="TIZ16" s="223"/>
      <c r="TJA16" s="223"/>
      <c r="TJB16" s="223"/>
      <c r="TJC16" s="224"/>
      <c r="TJD16" s="225"/>
      <c r="TJE16" s="226"/>
      <c r="TJF16" s="224"/>
      <c r="TJG16" s="225"/>
      <c r="TJH16" s="225"/>
      <c r="TJI16" s="227"/>
      <c r="TJJ16" s="228"/>
      <c r="TJK16" s="228"/>
      <c r="TJL16" s="229"/>
      <c r="TJM16" s="216"/>
      <c r="TJN16" s="219"/>
      <c r="TJO16" s="220"/>
      <c r="TJP16" s="217"/>
      <c r="TJQ16" s="217"/>
      <c r="TJR16" s="217"/>
      <c r="TJS16" s="217"/>
      <c r="TJT16" s="217"/>
      <c r="TJU16" s="221"/>
      <c r="TJV16" s="222"/>
      <c r="TJW16" s="220"/>
      <c r="TJX16" s="220"/>
      <c r="TJY16" s="220"/>
      <c r="TJZ16" s="220"/>
      <c r="TKA16" s="223"/>
      <c r="TKB16" s="223"/>
      <c r="TKC16" s="223"/>
      <c r="TKD16" s="223"/>
      <c r="TKE16" s="223"/>
      <c r="TKF16" s="223"/>
      <c r="TKG16" s="223"/>
      <c r="TKH16" s="223"/>
      <c r="TKI16" s="223"/>
      <c r="TKJ16" s="224"/>
      <c r="TKK16" s="225"/>
      <c r="TKL16" s="226"/>
      <c r="TKM16" s="224"/>
      <c r="TKN16" s="225"/>
      <c r="TKO16" s="225"/>
      <c r="TKP16" s="227"/>
      <c r="TKQ16" s="228"/>
      <c r="TKR16" s="228"/>
      <c r="TKS16" s="229"/>
      <c r="TKT16" s="216"/>
      <c r="TKU16" s="219"/>
      <c r="TKV16" s="220"/>
      <c r="TKW16" s="217"/>
      <c r="TKX16" s="217"/>
      <c r="TKY16" s="217"/>
      <c r="TKZ16" s="217"/>
      <c r="TLA16" s="217"/>
      <c r="TLB16" s="221"/>
      <c r="TLC16" s="222"/>
      <c r="TLD16" s="220"/>
      <c r="TLE16" s="220"/>
      <c r="TLF16" s="220"/>
      <c r="TLG16" s="220"/>
      <c r="TLH16" s="223"/>
      <c r="TLI16" s="223"/>
      <c r="TLJ16" s="223"/>
      <c r="TLK16" s="223"/>
      <c r="TLL16" s="223"/>
      <c r="TLM16" s="223"/>
      <c r="TLN16" s="223"/>
      <c r="TLO16" s="223"/>
      <c r="TLP16" s="223"/>
      <c r="TLQ16" s="224"/>
      <c r="TLR16" s="225"/>
      <c r="TLS16" s="226"/>
      <c r="TLT16" s="224"/>
      <c r="TLU16" s="225"/>
      <c r="TLV16" s="225"/>
      <c r="TLW16" s="227"/>
      <c r="TLX16" s="228"/>
      <c r="TLY16" s="228"/>
      <c r="TLZ16" s="229"/>
      <c r="TMA16" s="216"/>
      <c r="TMB16" s="219"/>
      <c r="TMC16" s="220"/>
      <c r="TMD16" s="217"/>
      <c r="TME16" s="217"/>
      <c r="TMF16" s="217"/>
      <c r="TMG16" s="217"/>
      <c r="TMH16" s="217"/>
      <c r="TMI16" s="221"/>
      <c r="TMJ16" s="222"/>
      <c r="TMK16" s="220"/>
      <c r="TML16" s="220"/>
      <c r="TMM16" s="220"/>
      <c r="TMN16" s="220"/>
      <c r="TMO16" s="223"/>
      <c r="TMP16" s="223"/>
      <c r="TMQ16" s="223"/>
      <c r="TMR16" s="223"/>
      <c r="TMS16" s="223"/>
      <c r="TMT16" s="223"/>
      <c r="TMU16" s="223"/>
      <c r="TMV16" s="223"/>
      <c r="TMW16" s="223"/>
      <c r="TMX16" s="224"/>
      <c r="TMY16" s="225"/>
      <c r="TMZ16" s="226"/>
      <c r="TNA16" s="224"/>
      <c r="TNB16" s="225"/>
      <c r="TNC16" s="225"/>
      <c r="TND16" s="227"/>
      <c r="TNE16" s="228"/>
      <c r="TNF16" s="228"/>
      <c r="TNG16" s="229"/>
      <c r="TNH16" s="216"/>
      <c r="TNI16" s="219"/>
      <c r="TNJ16" s="220"/>
      <c r="TNK16" s="217"/>
      <c r="TNL16" s="217"/>
      <c r="TNM16" s="217"/>
      <c r="TNN16" s="217"/>
      <c r="TNO16" s="217"/>
      <c r="TNP16" s="221"/>
      <c r="TNQ16" s="222"/>
      <c r="TNR16" s="220"/>
      <c r="TNS16" s="220"/>
      <c r="TNT16" s="220"/>
      <c r="TNU16" s="220"/>
      <c r="TNV16" s="223"/>
      <c r="TNW16" s="223"/>
      <c r="TNX16" s="223"/>
      <c r="TNY16" s="223"/>
      <c r="TNZ16" s="223"/>
      <c r="TOA16" s="223"/>
      <c r="TOB16" s="223"/>
      <c r="TOC16" s="223"/>
      <c r="TOD16" s="223"/>
      <c r="TOE16" s="224"/>
      <c r="TOF16" s="225"/>
      <c r="TOG16" s="226"/>
      <c r="TOH16" s="224"/>
      <c r="TOI16" s="225"/>
      <c r="TOJ16" s="225"/>
      <c r="TOK16" s="227"/>
      <c r="TOL16" s="228"/>
      <c r="TOM16" s="228"/>
      <c r="TON16" s="229"/>
      <c r="TOO16" s="216"/>
      <c r="TOP16" s="219"/>
      <c r="TOQ16" s="220"/>
      <c r="TOR16" s="217"/>
      <c r="TOS16" s="217"/>
      <c r="TOT16" s="217"/>
      <c r="TOU16" s="217"/>
      <c r="TOV16" s="217"/>
      <c r="TOW16" s="221"/>
      <c r="TOX16" s="222"/>
      <c r="TOY16" s="220"/>
      <c r="TOZ16" s="220"/>
      <c r="TPA16" s="220"/>
      <c r="TPB16" s="220"/>
      <c r="TPC16" s="223"/>
      <c r="TPD16" s="223"/>
      <c r="TPE16" s="223"/>
      <c r="TPF16" s="223"/>
      <c r="TPG16" s="223"/>
      <c r="TPH16" s="223"/>
      <c r="TPI16" s="223"/>
      <c r="TPJ16" s="223"/>
      <c r="TPK16" s="223"/>
      <c r="TPL16" s="224"/>
      <c r="TPM16" s="225"/>
      <c r="TPN16" s="226"/>
      <c r="TPO16" s="224"/>
      <c r="TPP16" s="225"/>
      <c r="TPQ16" s="225"/>
      <c r="TPR16" s="227"/>
      <c r="TPS16" s="228"/>
      <c r="TPT16" s="228"/>
      <c r="TPU16" s="229"/>
      <c r="TPV16" s="216"/>
      <c r="TPW16" s="219"/>
      <c r="TPX16" s="220"/>
      <c r="TPY16" s="217"/>
      <c r="TPZ16" s="217"/>
      <c r="TQA16" s="217"/>
      <c r="TQB16" s="217"/>
      <c r="TQC16" s="217"/>
      <c r="TQD16" s="221"/>
      <c r="TQE16" s="222"/>
      <c r="TQF16" s="220"/>
      <c r="TQG16" s="220"/>
      <c r="TQH16" s="220"/>
      <c r="TQI16" s="220"/>
      <c r="TQJ16" s="223"/>
      <c r="TQK16" s="223"/>
      <c r="TQL16" s="223"/>
      <c r="TQM16" s="223"/>
      <c r="TQN16" s="223"/>
      <c r="TQO16" s="223"/>
      <c r="TQP16" s="223"/>
      <c r="TQQ16" s="223"/>
      <c r="TQR16" s="223"/>
      <c r="TQS16" s="224"/>
      <c r="TQT16" s="225"/>
      <c r="TQU16" s="226"/>
      <c r="TQV16" s="224"/>
      <c r="TQW16" s="225"/>
      <c r="TQX16" s="225"/>
      <c r="TQY16" s="227"/>
      <c r="TQZ16" s="228"/>
      <c r="TRA16" s="228"/>
      <c r="TRB16" s="229"/>
      <c r="TRC16" s="216"/>
      <c r="TRD16" s="219"/>
      <c r="TRE16" s="220"/>
      <c r="TRF16" s="217"/>
      <c r="TRG16" s="217"/>
      <c r="TRH16" s="217"/>
      <c r="TRI16" s="217"/>
      <c r="TRJ16" s="217"/>
      <c r="TRK16" s="221"/>
      <c r="TRL16" s="222"/>
      <c r="TRM16" s="220"/>
      <c r="TRN16" s="220"/>
      <c r="TRO16" s="220"/>
      <c r="TRP16" s="220"/>
      <c r="TRQ16" s="223"/>
      <c r="TRR16" s="223"/>
      <c r="TRS16" s="223"/>
      <c r="TRT16" s="223"/>
      <c r="TRU16" s="223"/>
      <c r="TRV16" s="223"/>
      <c r="TRW16" s="223"/>
      <c r="TRX16" s="223"/>
      <c r="TRY16" s="223"/>
      <c r="TRZ16" s="224"/>
      <c r="TSA16" s="225"/>
      <c r="TSB16" s="226"/>
      <c r="TSC16" s="224"/>
      <c r="TSD16" s="225"/>
      <c r="TSE16" s="225"/>
      <c r="TSF16" s="227"/>
      <c r="TSG16" s="228"/>
      <c r="TSH16" s="228"/>
      <c r="TSI16" s="229"/>
      <c r="TSJ16" s="216"/>
      <c r="TSK16" s="219"/>
      <c r="TSL16" s="220"/>
      <c r="TSM16" s="217"/>
      <c r="TSN16" s="217"/>
      <c r="TSO16" s="217"/>
      <c r="TSP16" s="217"/>
      <c r="TSQ16" s="217"/>
      <c r="TSR16" s="221"/>
      <c r="TSS16" s="222"/>
      <c r="TST16" s="220"/>
      <c r="TSU16" s="220"/>
      <c r="TSV16" s="220"/>
      <c r="TSW16" s="220"/>
      <c r="TSX16" s="223"/>
      <c r="TSY16" s="223"/>
      <c r="TSZ16" s="223"/>
      <c r="TTA16" s="223"/>
      <c r="TTB16" s="223"/>
      <c r="TTC16" s="223"/>
      <c r="TTD16" s="223"/>
      <c r="TTE16" s="223"/>
      <c r="TTF16" s="223"/>
      <c r="TTG16" s="224"/>
      <c r="TTH16" s="225"/>
      <c r="TTI16" s="226"/>
      <c r="TTJ16" s="224"/>
      <c r="TTK16" s="225"/>
      <c r="TTL16" s="225"/>
      <c r="TTM16" s="227"/>
      <c r="TTN16" s="228"/>
      <c r="TTO16" s="228"/>
      <c r="TTP16" s="229"/>
      <c r="TTQ16" s="216"/>
      <c r="TTR16" s="219"/>
      <c r="TTS16" s="220"/>
      <c r="TTT16" s="217"/>
      <c r="TTU16" s="217"/>
      <c r="TTV16" s="217"/>
      <c r="TTW16" s="217"/>
      <c r="TTX16" s="217"/>
      <c r="TTY16" s="221"/>
      <c r="TTZ16" s="222"/>
      <c r="TUA16" s="220"/>
      <c r="TUB16" s="220"/>
      <c r="TUC16" s="220"/>
      <c r="TUD16" s="220"/>
      <c r="TUE16" s="223"/>
      <c r="TUF16" s="223"/>
      <c r="TUG16" s="223"/>
      <c r="TUH16" s="223"/>
      <c r="TUI16" s="223"/>
      <c r="TUJ16" s="223"/>
      <c r="TUK16" s="223"/>
      <c r="TUL16" s="223"/>
      <c r="TUM16" s="223"/>
      <c r="TUN16" s="224"/>
      <c r="TUO16" s="225"/>
      <c r="TUP16" s="226"/>
      <c r="TUQ16" s="224"/>
      <c r="TUR16" s="225"/>
      <c r="TUS16" s="225"/>
      <c r="TUT16" s="227"/>
      <c r="TUU16" s="228"/>
      <c r="TUV16" s="228"/>
      <c r="TUW16" s="229"/>
      <c r="TUX16" s="216"/>
      <c r="TUY16" s="219"/>
      <c r="TUZ16" s="220"/>
      <c r="TVA16" s="217"/>
      <c r="TVB16" s="217"/>
      <c r="TVC16" s="217"/>
      <c r="TVD16" s="217"/>
      <c r="TVE16" s="217"/>
      <c r="TVF16" s="221"/>
      <c r="TVG16" s="222"/>
      <c r="TVH16" s="220"/>
      <c r="TVI16" s="220"/>
      <c r="TVJ16" s="220"/>
      <c r="TVK16" s="220"/>
      <c r="TVL16" s="223"/>
      <c r="TVM16" s="223"/>
      <c r="TVN16" s="223"/>
      <c r="TVO16" s="223"/>
      <c r="TVP16" s="223"/>
      <c r="TVQ16" s="223"/>
      <c r="TVR16" s="223"/>
      <c r="TVS16" s="223"/>
      <c r="TVT16" s="223"/>
      <c r="TVU16" s="224"/>
      <c r="TVV16" s="225"/>
      <c r="TVW16" s="226"/>
      <c r="TVX16" s="224"/>
      <c r="TVY16" s="225"/>
      <c r="TVZ16" s="225"/>
      <c r="TWA16" s="227"/>
      <c r="TWB16" s="228"/>
      <c r="TWC16" s="228"/>
      <c r="TWD16" s="229"/>
      <c r="TWE16" s="216"/>
      <c r="TWF16" s="219"/>
      <c r="TWG16" s="220"/>
      <c r="TWH16" s="217"/>
      <c r="TWI16" s="217"/>
      <c r="TWJ16" s="217"/>
      <c r="TWK16" s="217"/>
      <c r="TWL16" s="217"/>
      <c r="TWM16" s="221"/>
      <c r="TWN16" s="222"/>
      <c r="TWO16" s="220"/>
      <c r="TWP16" s="220"/>
      <c r="TWQ16" s="220"/>
      <c r="TWR16" s="220"/>
      <c r="TWS16" s="223"/>
      <c r="TWT16" s="223"/>
      <c r="TWU16" s="223"/>
      <c r="TWV16" s="223"/>
      <c r="TWW16" s="223"/>
      <c r="TWX16" s="223"/>
      <c r="TWY16" s="223"/>
      <c r="TWZ16" s="223"/>
      <c r="TXA16" s="223"/>
      <c r="TXB16" s="224"/>
      <c r="TXC16" s="225"/>
      <c r="TXD16" s="226"/>
      <c r="TXE16" s="224"/>
      <c r="TXF16" s="225"/>
      <c r="TXG16" s="225"/>
      <c r="TXH16" s="227"/>
      <c r="TXI16" s="228"/>
      <c r="TXJ16" s="228"/>
      <c r="TXK16" s="229"/>
      <c r="TXL16" s="216"/>
      <c r="TXM16" s="219"/>
      <c r="TXN16" s="220"/>
      <c r="TXO16" s="217"/>
      <c r="TXP16" s="217"/>
      <c r="TXQ16" s="217"/>
      <c r="TXR16" s="217"/>
      <c r="TXS16" s="217"/>
      <c r="TXT16" s="221"/>
      <c r="TXU16" s="222"/>
      <c r="TXV16" s="220"/>
      <c r="TXW16" s="220"/>
      <c r="TXX16" s="220"/>
      <c r="TXY16" s="220"/>
      <c r="TXZ16" s="223"/>
      <c r="TYA16" s="223"/>
      <c r="TYB16" s="223"/>
      <c r="TYC16" s="223"/>
      <c r="TYD16" s="223"/>
      <c r="TYE16" s="223"/>
      <c r="TYF16" s="223"/>
      <c r="TYG16" s="223"/>
      <c r="TYH16" s="223"/>
      <c r="TYI16" s="224"/>
      <c r="TYJ16" s="225"/>
      <c r="TYK16" s="226"/>
      <c r="TYL16" s="224"/>
      <c r="TYM16" s="225"/>
      <c r="TYN16" s="225"/>
      <c r="TYO16" s="227"/>
      <c r="TYP16" s="228"/>
      <c r="TYQ16" s="228"/>
      <c r="TYR16" s="229"/>
      <c r="TYS16" s="216"/>
      <c r="TYT16" s="219"/>
      <c r="TYU16" s="220"/>
      <c r="TYV16" s="217"/>
      <c r="TYW16" s="217"/>
      <c r="TYX16" s="217"/>
      <c r="TYY16" s="217"/>
      <c r="TYZ16" s="217"/>
      <c r="TZA16" s="221"/>
      <c r="TZB16" s="222"/>
      <c r="TZC16" s="220"/>
      <c r="TZD16" s="220"/>
      <c r="TZE16" s="220"/>
      <c r="TZF16" s="220"/>
      <c r="TZG16" s="223"/>
      <c r="TZH16" s="223"/>
      <c r="TZI16" s="223"/>
      <c r="TZJ16" s="223"/>
      <c r="TZK16" s="223"/>
      <c r="TZL16" s="223"/>
      <c r="TZM16" s="223"/>
      <c r="TZN16" s="223"/>
      <c r="TZO16" s="223"/>
      <c r="TZP16" s="224"/>
      <c r="TZQ16" s="225"/>
      <c r="TZR16" s="226"/>
      <c r="TZS16" s="224"/>
      <c r="TZT16" s="225"/>
      <c r="TZU16" s="225"/>
      <c r="TZV16" s="227"/>
      <c r="TZW16" s="228"/>
      <c r="TZX16" s="228"/>
      <c r="TZY16" s="229"/>
      <c r="TZZ16" s="216"/>
      <c r="UAA16" s="219"/>
      <c r="UAB16" s="220"/>
      <c r="UAC16" s="217"/>
      <c r="UAD16" s="217"/>
      <c r="UAE16" s="217"/>
      <c r="UAF16" s="217"/>
      <c r="UAG16" s="217"/>
      <c r="UAH16" s="221"/>
      <c r="UAI16" s="222"/>
      <c r="UAJ16" s="220"/>
      <c r="UAK16" s="220"/>
      <c r="UAL16" s="220"/>
      <c r="UAM16" s="220"/>
      <c r="UAN16" s="223"/>
      <c r="UAO16" s="223"/>
      <c r="UAP16" s="223"/>
      <c r="UAQ16" s="223"/>
      <c r="UAR16" s="223"/>
      <c r="UAS16" s="223"/>
      <c r="UAT16" s="223"/>
      <c r="UAU16" s="223"/>
      <c r="UAV16" s="223"/>
      <c r="UAW16" s="224"/>
      <c r="UAX16" s="225"/>
      <c r="UAY16" s="226"/>
      <c r="UAZ16" s="224"/>
      <c r="UBA16" s="225"/>
      <c r="UBB16" s="225"/>
      <c r="UBC16" s="227"/>
      <c r="UBD16" s="228"/>
      <c r="UBE16" s="228"/>
      <c r="UBF16" s="229"/>
      <c r="UBG16" s="216"/>
      <c r="UBH16" s="219"/>
      <c r="UBI16" s="220"/>
      <c r="UBJ16" s="217"/>
      <c r="UBK16" s="217"/>
      <c r="UBL16" s="217"/>
      <c r="UBM16" s="217"/>
      <c r="UBN16" s="217"/>
      <c r="UBO16" s="221"/>
      <c r="UBP16" s="222"/>
      <c r="UBQ16" s="220"/>
      <c r="UBR16" s="220"/>
      <c r="UBS16" s="220"/>
      <c r="UBT16" s="220"/>
      <c r="UBU16" s="223"/>
      <c r="UBV16" s="223"/>
      <c r="UBW16" s="223"/>
      <c r="UBX16" s="223"/>
      <c r="UBY16" s="223"/>
      <c r="UBZ16" s="223"/>
      <c r="UCA16" s="223"/>
      <c r="UCB16" s="223"/>
      <c r="UCC16" s="223"/>
      <c r="UCD16" s="224"/>
      <c r="UCE16" s="225"/>
      <c r="UCF16" s="226"/>
      <c r="UCG16" s="224"/>
      <c r="UCH16" s="225"/>
      <c r="UCI16" s="225"/>
      <c r="UCJ16" s="227"/>
      <c r="UCK16" s="228"/>
      <c r="UCL16" s="228"/>
      <c r="UCM16" s="229"/>
      <c r="UCN16" s="216"/>
      <c r="UCO16" s="219"/>
      <c r="UCP16" s="220"/>
      <c r="UCQ16" s="217"/>
      <c r="UCR16" s="217"/>
      <c r="UCS16" s="217"/>
      <c r="UCT16" s="217"/>
      <c r="UCU16" s="217"/>
      <c r="UCV16" s="221"/>
      <c r="UCW16" s="222"/>
      <c r="UCX16" s="220"/>
      <c r="UCY16" s="220"/>
      <c r="UCZ16" s="220"/>
      <c r="UDA16" s="220"/>
      <c r="UDB16" s="223"/>
      <c r="UDC16" s="223"/>
      <c r="UDD16" s="223"/>
      <c r="UDE16" s="223"/>
      <c r="UDF16" s="223"/>
      <c r="UDG16" s="223"/>
      <c r="UDH16" s="223"/>
      <c r="UDI16" s="223"/>
      <c r="UDJ16" s="223"/>
      <c r="UDK16" s="224"/>
      <c r="UDL16" s="225"/>
      <c r="UDM16" s="226"/>
      <c r="UDN16" s="224"/>
      <c r="UDO16" s="225"/>
      <c r="UDP16" s="225"/>
      <c r="UDQ16" s="227"/>
      <c r="UDR16" s="228"/>
      <c r="UDS16" s="228"/>
      <c r="UDT16" s="229"/>
      <c r="UDU16" s="216"/>
      <c r="UDV16" s="219"/>
      <c r="UDW16" s="220"/>
      <c r="UDX16" s="217"/>
      <c r="UDY16" s="217"/>
      <c r="UDZ16" s="217"/>
      <c r="UEA16" s="217"/>
      <c r="UEB16" s="217"/>
      <c r="UEC16" s="221"/>
      <c r="UED16" s="222"/>
      <c r="UEE16" s="220"/>
      <c r="UEF16" s="220"/>
      <c r="UEG16" s="220"/>
      <c r="UEH16" s="220"/>
      <c r="UEI16" s="223"/>
      <c r="UEJ16" s="223"/>
      <c r="UEK16" s="223"/>
      <c r="UEL16" s="223"/>
      <c r="UEM16" s="223"/>
      <c r="UEN16" s="223"/>
      <c r="UEO16" s="223"/>
      <c r="UEP16" s="223"/>
      <c r="UEQ16" s="223"/>
      <c r="UER16" s="224"/>
      <c r="UES16" s="225"/>
      <c r="UET16" s="226"/>
      <c r="UEU16" s="224"/>
      <c r="UEV16" s="225"/>
      <c r="UEW16" s="225"/>
      <c r="UEX16" s="227"/>
      <c r="UEY16" s="228"/>
      <c r="UEZ16" s="228"/>
      <c r="UFA16" s="229"/>
      <c r="UFB16" s="216"/>
      <c r="UFC16" s="219"/>
      <c r="UFD16" s="220"/>
      <c r="UFE16" s="217"/>
      <c r="UFF16" s="217"/>
      <c r="UFG16" s="217"/>
      <c r="UFH16" s="217"/>
      <c r="UFI16" s="217"/>
      <c r="UFJ16" s="221"/>
      <c r="UFK16" s="222"/>
      <c r="UFL16" s="220"/>
      <c r="UFM16" s="220"/>
      <c r="UFN16" s="220"/>
      <c r="UFO16" s="220"/>
      <c r="UFP16" s="223"/>
      <c r="UFQ16" s="223"/>
      <c r="UFR16" s="223"/>
      <c r="UFS16" s="223"/>
      <c r="UFT16" s="223"/>
      <c r="UFU16" s="223"/>
      <c r="UFV16" s="223"/>
      <c r="UFW16" s="223"/>
      <c r="UFX16" s="223"/>
      <c r="UFY16" s="224"/>
      <c r="UFZ16" s="225"/>
      <c r="UGA16" s="226"/>
      <c r="UGB16" s="224"/>
      <c r="UGC16" s="225"/>
      <c r="UGD16" s="225"/>
      <c r="UGE16" s="227"/>
      <c r="UGF16" s="228"/>
      <c r="UGG16" s="228"/>
      <c r="UGH16" s="229"/>
      <c r="UGI16" s="216"/>
      <c r="UGJ16" s="219"/>
      <c r="UGK16" s="220"/>
      <c r="UGL16" s="217"/>
      <c r="UGM16" s="217"/>
      <c r="UGN16" s="217"/>
      <c r="UGO16" s="217"/>
      <c r="UGP16" s="217"/>
      <c r="UGQ16" s="221"/>
      <c r="UGR16" s="222"/>
      <c r="UGS16" s="220"/>
      <c r="UGT16" s="220"/>
      <c r="UGU16" s="220"/>
      <c r="UGV16" s="220"/>
      <c r="UGW16" s="223"/>
      <c r="UGX16" s="223"/>
      <c r="UGY16" s="223"/>
      <c r="UGZ16" s="223"/>
      <c r="UHA16" s="223"/>
      <c r="UHB16" s="223"/>
      <c r="UHC16" s="223"/>
      <c r="UHD16" s="223"/>
      <c r="UHE16" s="223"/>
      <c r="UHF16" s="224"/>
      <c r="UHG16" s="225"/>
      <c r="UHH16" s="226"/>
      <c r="UHI16" s="224"/>
      <c r="UHJ16" s="225"/>
      <c r="UHK16" s="225"/>
      <c r="UHL16" s="227"/>
      <c r="UHM16" s="228"/>
      <c r="UHN16" s="228"/>
      <c r="UHO16" s="229"/>
      <c r="UHP16" s="216"/>
      <c r="UHQ16" s="219"/>
      <c r="UHR16" s="220"/>
      <c r="UHS16" s="217"/>
      <c r="UHT16" s="217"/>
      <c r="UHU16" s="217"/>
      <c r="UHV16" s="217"/>
      <c r="UHW16" s="217"/>
      <c r="UHX16" s="221"/>
      <c r="UHY16" s="222"/>
      <c r="UHZ16" s="220"/>
      <c r="UIA16" s="220"/>
      <c r="UIB16" s="220"/>
      <c r="UIC16" s="220"/>
      <c r="UID16" s="223"/>
      <c r="UIE16" s="223"/>
      <c r="UIF16" s="223"/>
      <c r="UIG16" s="223"/>
      <c r="UIH16" s="223"/>
      <c r="UII16" s="223"/>
      <c r="UIJ16" s="223"/>
      <c r="UIK16" s="223"/>
      <c r="UIL16" s="223"/>
      <c r="UIM16" s="224"/>
      <c r="UIN16" s="225"/>
      <c r="UIO16" s="226"/>
      <c r="UIP16" s="224"/>
      <c r="UIQ16" s="225"/>
      <c r="UIR16" s="225"/>
      <c r="UIS16" s="227"/>
      <c r="UIT16" s="228"/>
      <c r="UIU16" s="228"/>
      <c r="UIV16" s="229"/>
      <c r="UIW16" s="216"/>
      <c r="UIX16" s="219"/>
      <c r="UIY16" s="220"/>
      <c r="UIZ16" s="217"/>
      <c r="UJA16" s="217"/>
      <c r="UJB16" s="217"/>
      <c r="UJC16" s="217"/>
      <c r="UJD16" s="217"/>
      <c r="UJE16" s="221"/>
      <c r="UJF16" s="222"/>
      <c r="UJG16" s="220"/>
      <c r="UJH16" s="220"/>
      <c r="UJI16" s="220"/>
      <c r="UJJ16" s="220"/>
      <c r="UJK16" s="223"/>
      <c r="UJL16" s="223"/>
      <c r="UJM16" s="223"/>
      <c r="UJN16" s="223"/>
      <c r="UJO16" s="223"/>
      <c r="UJP16" s="223"/>
      <c r="UJQ16" s="223"/>
      <c r="UJR16" s="223"/>
      <c r="UJS16" s="223"/>
      <c r="UJT16" s="224"/>
      <c r="UJU16" s="225"/>
      <c r="UJV16" s="226"/>
      <c r="UJW16" s="224"/>
      <c r="UJX16" s="225"/>
      <c r="UJY16" s="225"/>
      <c r="UJZ16" s="227"/>
      <c r="UKA16" s="228"/>
      <c r="UKB16" s="228"/>
      <c r="UKC16" s="229"/>
      <c r="UKD16" s="216"/>
      <c r="UKE16" s="219"/>
      <c r="UKF16" s="220"/>
      <c r="UKG16" s="217"/>
      <c r="UKH16" s="217"/>
      <c r="UKI16" s="217"/>
      <c r="UKJ16" s="217"/>
      <c r="UKK16" s="217"/>
      <c r="UKL16" s="221"/>
      <c r="UKM16" s="222"/>
      <c r="UKN16" s="220"/>
      <c r="UKO16" s="220"/>
      <c r="UKP16" s="220"/>
      <c r="UKQ16" s="220"/>
      <c r="UKR16" s="223"/>
      <c r="UKS16" s="223"/>
      <c r="UKT16" s="223"/>
      <c r="UKU16" s="223"/>
      <c r="UKV16" s="223"/>
      <c r="UKW16" s="223"/>
      <c r="UKX16" s="223"/>
      <c r="UKY16" s="223"/>
      <c r="UKZ16" s="223"/>
      <c r="ULA16" s="224"/>
      <c r="ULB16" s="225"/>
      <c r="ULC16" s="226"/>
      <c r="ULD16" s="224"/>
      <c r="ULE16" s="225"/>
      <c r="ULF16" s="225"/>
      <c r="ULG16" s="227"/>
      <c r="ULH16" s="228"/>
      <c r="ULI16" s="228"/>
      <c r="ULJ16" s="229"/>
      <c r="ULK16" s="216"/>
      <c r="ULL16" s="219"/>
      <c r="ULM16" s="220"/>
      <c r="ULN16" s="217"/>
      <c r="ULO16" s="217"/>
      <c r="ULP16" s="217"/>
      <c r="ULQ16" s="217"/>
      <c r="ULR16" s="217"/>
      <c r="ULS16" s="221"/>
      <c r="ULT16" s="222"/>
      <c r="ULU16" s="220"/>
      <c r="ULV16" s="220"/>
      <c r="ULW16" s="220"/>
      <c r="ULX16" s="220"/>
      <c r="ULY16" s="223"/>
      <c r="ULZ16" s="223"/>
      <c r="UMA16" s="223"/>
      <c r="UMB16" s="223"/>
      <c r="UMC16" s="223"/>
      <c r="UMD16" s="223"/>
      <c r="UME16" s="223"/>
      <c r="UMF16" s="223"/>
      <c r="UMG16" s="223"/>
      <c r="UMH16" s="224"/>
      <c r="UMI16" s="225"/>
      <c r="UMJ16" s="226"/>
      <c r="UMK16" s="224"/>
      <c r="UML16" s="225"/>
      <c r="UMM16" s="225"/>
      <c r="UMN16" s="227"/>
      <c r="UMO16" s="228"/>
      <c r="UMP16" s="228"/>
      <c r="UMQ16" s="229"/>
      <c r="UMR16" s="216"/>
      <c r="UMS16" s="219"/>
      <c r="UMT16" s="220"/>
      <c r="UMU16" s="217"/>
      <c r="UMV16" s="217"/>
      <c r="UMW16" s="217"/>
      <c r="UMX16" s="217"/>
      <c r="UMY16" s="217"/>
      <c r="UMZ16" s="221"/>
      <c r="UNA16" s="222"/>
      <c r="UNB16" s="220"/>
      <c r="UNC16" s="220"/>
      <c r="UND16" s="220"/>
      <c r="UNE16" s="220"/>
      <c r="UNF16" s="223"/>
      <c r="UNG16" s="223"/>
      <c r="UNH16" s="223"/>
      <c r="UNI16" s="223"/>
      <c r="UNJ16" s="223"/>
      <c r="UNK16" s="223"/>
      <c r="UNL16" s="223"/>
      <c r="UNM16" s="223"/>
      <c r="UNN16" s="223"/>
      <c r="UNO16" s="224"/>
      <c r="UNP16" s="225"/>
      <c r="UNQ16" s="226"/>
      <c r="UNR16" s="224"/>
      <c r="UNS16" s="225"/>
      <c r="UNT16" s="225"/>
      <c r="UNU16" s="227"/>
      <c r="UNV16" s="228"/>
      <c r="UNW16" s="228"/>
      <c r="UNX16" s="229"/>
      <c r="UNY16" s="216"/>
      <c r="UNZ16" s="219"/>
      <c r="UOA16" s="220"/>
      <c r="UOB16" s="217"/>
      <c r="UOC16" s="217"/>
      <c r="UOD16" s="217"/>
      <c r="UOE16" s="217"/>
      <c r="UOF16" s="217"/>
      <c r="UOG16" s="221"/>
      <c r="UOH16" s="222"/>
      <c r="UOI16" s="220"/>
      <c r="UOJ16" s="220"/>
      <c r="UOK16" s="220"/>
      <c r="UOL16" s="220"/>
      <c r="UOM16" s="223"/>
      <c r="UON16" s="223"/>
      <c r="UOO16" s="223"/>
      <c r="UOP16" s="223"/>
      <c r="UOQ16" s="223"/>
      <c r="UOR16" s="223"/>
      <c r="UOS16" s="223"/>
      <c r="UOT16" s="223"/>
      <c r="UOU16" s="223"/>
      <c r="UOV16" s="224"/>
      <c r="UOW16" s="225"/>
      <c r="UOX16" s="226"/>
      <c r="UOY16" s="224"/>
      <c r="UOZ16" s="225"/>
      <c r="UPA16" s="225"/>
      <c r="UPB16" s="227"/>
      <c r="UPC16" s="228"/>
      <c r="UPD16" s="228"/>
      <c r="UPE16" s="229"/>
      <c r="UPF16" s="216"/>
      <c r="UPG16" s="219"/>
      <c r="UPH16" s="220"/>
      <c r="UPI16" s="217"/>
      <c r="UPJ16" s="217"/>
      <c r="UPK16" s="217"/>
      <c r="UPL16" s="217"/>
      <c r="UPM16" s="217"/>
      <c r="UPN16" s="221"/>
      <c r="UPO16" s="222"/>
      <c r="UPP16" s="220"/>
      <c r="UPQ16" s="220"/>
      <c r="UPR16" s="220"/>
      <c r="UPS16" s="220"/>
      <c r="UPT16" s="223"/>
      <c r="UPU16" s="223"/>
      <c r="UPV16" s="223"/>
      <c r="UPW16" s="223"/>
      <c r="UPX16" s="223"/>
      <c r="UPY16" s="223"/>
      <c r="UPZ16" s="223"/>
      <c r="UQA16" s="223"/>
      <c r="UQB16" s="223"/>
      <c r="UQC16" s="224"/>
      <c r="UQD16" s="225"/>
      <c r="UQE16" s="226"/>
      <c r="UQF16" s="224"/>
      <c r="UQG16" s="225"/>
      <c r="UQH16" s="225"/>
      <c r="UQI16" s="227"/>
      <c r="UQJ16" s="228"/>
      <c r="UQK16" s="228"/>
      <c r="UQL16" s="229"/>
      <c r="UQM16" s="216"/>
      <c r="UQN16" s="219"/>
      <c r="UQO16" s="220"/>
      <c r="UQP16" s="217"/>
      <c r="UQQ16" s="217"/>
      <c r="UQR16" s="217"/>
      <c r="UQS16" s="217"/>
      <c r="UQT16" s="217"/>
      <c r="UQU16" s="221"/>
      <c r="UQV16" s="222"/>
      <c r="UQW16" s="220"/>
      <c r="UQX16" s="220"/>
      <c r="UQY16" s="220"/>
      <c r="UQZ16" s="220"/>
      <c r="URA16" s="223"/>
      <c r="URB16" s="223"/>
      <c r="URC16" s="223"/>
      <c r="URD16" s="223"/>
      <c r="URE16" s="223"/>
      <c r="URF16" s="223"/>
      <c r="URG16" s="223"/>
      <c r="URH16" s="223"/>
      <c r="URI16" s="223"/>
      <c r="URJ16" s="224"/>
      <c r="URK16" s="225"/>
      <c r="URL16" s="226"/>
      <c r="URM16" s="224"/>
      <c r="URN16" s="225"/>
      <c r="URO16" s="225"/>
      <c r="URP16" s="227"/>
      <c r="URQ16" s="228"/>
      <c r="URR16" s="228"/>
      <c r="URS16" s="229"/>
      <c r="URT16" s="216"/>
      <c r="URU16" s="219"/>
      <c r="URV16" s="220"/>
      <c r="URW16" s="217"/>
      <c r="URX16" s="217"/>
      <c r="URY16" s="217"/>
      <c r="URZ16" s="217"/>
      <c r="USA16" s="217"/>
      <c r="USB16" s="221"/>
      <c r="USC16" s="222"/>
      <c r="USD16" s="220"/>
      <c r="USE16" s="220"/>
      <c r="USF16" s="220"/>
      <c r="USG16" s="220"/>
      <c r="USH16" s="223"/>
      <c r="USI16" s="223"/>
      <c r="USJ16" s="223"/>
      <c r="USK16" s="223"/>
      <c r="USL16" s="223"/>
      <c r="USM16" s="223"/>
      <c r="USN16" s="223"/>
      <c r="USO16" s="223"/>
      <c r="USP16" s="223"/>
      <c r="USQ16" s="224"/>
      <c r="USR16" s="225"/>
      <c r="USS16" s="226"/>
      <c r="UST16" s="224"/>
      <c r="USU16" s="225"/>
      <c r="USV16" s="225"/>
      <c r="USW16" s="227"/>
      <c r="USX16" s="228"/>
      <c r="USY16" s="228"/>
      <c r="USZ16" s="229"/>
      <c r="UTA16" s="216"/>
      <c r="UTB16" s="219"/>
      <c r="UTC16" s="220"/>
      <c r="UTD16" s="217"/>
      <c r="UTE16" s="217"/>
      <c r="UTF16" s="217"/>
      <c r="UTG16" s="217"/>
      <c r="UTH16" s="217"/>
      <c r="UTI16" s="221"/>
      <c r="UTJ16" s="222"/>
      <c r="UTK16" s="220"/>
      <c r="UTL16" s="220"/>
      <c r="UTM16" s="220"/>
      <c r="UTN16" s="220"/>
      <c r="UTO16" s="223"/>
      <c r="UTP16" s="223"/>
      <c r="UTQ16" s="223"/>
      <c r="UTR16" s="223"/>
      <c r="UTS16" s="223"/>
      <c r="UTT16" s="223"/>
      <c r="UTU16" s="223"/>
      <c r="UTV16" s="223"/>
      <c r="UTW16" s="223"/>
      <c r="UTX16" s="224"/>
      <c r="UTY16" s="225"/>
      <c r="UTZ16" s="226"/>
      <c r="UUA16" s="224"/>
      <c r="UUB16" s="225"/>
      <c r="UUC16" s="225"/>
      <c r="UUD16" s="227"/>
      <c r="UUE16" s="228"/>
      <c r="UUF16" s="228"/>
      <c r="UUG16" s="229"/>
      <c r="UUH16" s="216"/>
      <c r="UUI16" s="219"/>
      <c r="UUJ16" s="220"/>
      <c r="UUK16" s="217"/>
      <c r="UUL16" s="217"/>
      <c r="UUM16" s="217"/>
      <c r="UUN16" s="217"/>
      <c r="UUO16" s="217"/>
      <c r="UUP16" s="221"/>
      <c r="UUQ16" s="222"/>
      <c r="UUR16" s="220"/>
      <c r="UUS16" s="220"/>
      <c r="UUT16" s="220"/>
      <c r="UUU16" s="220"/>
      <c r="UUV16" s="223"/>
      <c r="UUW16" s="223"/>
      <c r="UUX16" s="223"/>
      <c r="UUY16" s="223"/>
      <c r="UUZ16" s="223"/>
      <c r="UVA16" s="223"/>
      <c r="UVB16" s="223"/>
      <c r="UVC16" s="223"/>
      <c r="UVD16" s="223"/>
      <c r="UVE16" s="224"/>
      <c r="UVF16" s="225"/>
      <c r="UVG16" s="226"/>
      <c r="UVH16" s="224"/>
      <c r="UVI16" s="225"/>
      <c r="UVJ16" s="225"/>
      <c r="UVK16" s="227"/>
      <c r="UVL16" s="228"/>
      <c r="UVM16" s="228"/>
      <c r="UVN16" s="229"/>
      <c r="UVO16" s="216"/>
      <c r="UVP16" s="219"/>
      <c r="UVQ16" s="220"/>
      <c r="UVR16" s="217"/>
      <c r="UVS16" s="217"/>
      <c r="UVT16" s="217"/>
      <c r="UVU16" s="217"/>
      <c r="UVV16" s="217"/>
      <c r="UVW16" s="221"/>
      <c r="UVX16" s="222"/>
      <c r="UVY16" s="220"/>
      <c r="UVZ16" s="220"/>
      <c r="UWA16" s="220"/>
      <c r="UWB16" s="220"/>
      <c r="UWC16" s="223"/>
      <c r="UWD16" s="223"/>
      <c r="UWE16" s="223"/>
      <c r="UWF16" s="223"/>
      <c r="UWG16" s="223"/>
      <c r="UWH16" s="223"/>
      <c r="UWI16" s="223"/>
      <c r="UWJ16" s="223"/>
      <c r="UWK16" s="223"/>
      <c r="UWL16" s="224"/>
      <c r="UWM16" s="225"/>
      <c r="UWN16" s="226"/>
      <c r="UWO16" s="224"/>
      <c r="UWP16" s="225"/>
      <c r="UWQ16" s="225"/>
      <c r="UWR16" s="227"/>
      <c r="UWS16" s="228"/>
      <c r="UWT16" s="228"/>
      <c r="UWU16" s="229"/>
      <c r="UWV16" s="216"/>
      <c r="UWW16" s="219"/>
      <c r="UWX16" s="220"/>
      <c r="UWY16" s="217"/>
      <c r="UWZ16" s="217"/>
      <c r="UXA16" s="217"/>
      <c r="UXB16" s="217"/>
      <c r="UXC16" s="217"/>
      <c r="UXD16" s="221"/>
      <c r="UXE16" s="222"/>
      <c r="UXF16" s="220"/>
      <c r="UXG16" s="220"/>
      <c r="UXH16" s="220"/>
      <c r="UXI16" s="220"/>
      <c r="UXJ16" s="223"/>
      <c r="UXK16" s="223"/>
      <c r="UXL16" s="223"/>
      <c r="UXM16" s="223"/>
      <c r="UXN16" s="223"/>
      <c r="UXO16" s="223"/>
      <c r="UXP16" s="223"/>
      <c r="UXQ16" s="223"/>
      <c r="UXR16" s="223"/>
      <c r="UXS16" s="224"/>
      <c r="UXT16" s="225"/>
      <c r="UXU16" s="226"/>
      <c r="UXV16" s="224"/>
      <c r="UXW16" s="225"/>
      <c r="UXX16" s="225"/>
      <c r="UXY16" s="227"/>
      <c r="UXZ16" s="228"/>
      <c r="UYA16" s="228"/>
      <c r="UYB16" s="229"/>
      <c r="UYC16" s="216"/>
      <c r="UYD16" s="219"/>
      <c r="UYE16" s="220"/>
      <c r="UYF16" s="217"/>
      <c r="UYG16" s="217"/>
      <c r="UYH16" s="217"/>
      <c r="UYI16" s="217"/>
      <c r="UYJ16" s="217"/>
      <c r="UYK16" s="221"/>
      <c r="UYL16" s="222"/>
      <c r="UYM16" s="220"/>
      <c r="UYN16" s="220"/>
      <c r="UYO16" s="220"/>
      <c r="UYP16" s="220"/>
      <c r="UYQ16" s="223"/>
      <c r="UYR16" s="223"/>
      <c r="UYS16" s="223"/>
      <c r="UYT16" s="223"/>
      <c r="UYU16" s="223"/>
      <c r="UYV16" s="223"/>
      <c r="UYW16" s="223"/>
      <c r="UYX16" s="223"/>
      <c r="UYY16" s="223"/>
      <c r="UYZ16" s="224"/>
      <c r="UZA16" s="225"/>
      <c r="UZB16" s="226"/>
      <c r="UZC16" s="224"/>
      <c r="UZD16" s="225"/>
      <c r="UZE16" s="225"/>
      <c r="UZF16" s="227"/>
      <c r="UZG16" s="228"/>
      <c r="UZH16" s="228"/>
      <c r="UZI16" s="229"/>
      <c r="UZJ16" s="216"/>
      <c r="UZK16" s="219"/>
      <c r="UZL16" s="220"/>
      <c r="UZM16" s="217"/>
      <c r="UZN16" s="217"/>
      <c r="UZO16" s="217"/>
      <c r="UZP16" s="217"/>
      <c r="UZQ16" s="217"/>
      <c r="UZR16" s="221"/>
      <c r="UZS16" s="222"/>
      <c r="UZT16" s="220"/>
      <c r="UZU16" s="220"/>
      <c r="UZV16" s="220"/>
      <c r="UZW16" s="220"/>
      <c r="UZX16" s="223"/>
      <c r="UZY16" s="223"/>
      <c r="UZZ16" s="223"/>
      <c r="VAA16" s="223"/>
      <c r="VAB16" s="223"/>
      <c r="VAC16" s="223"/>
      <c r="VAD16" s="223"/>
      <c r="VAE16" s="223"/>
      <c r="VAF16" s="223"/>
      <c r="VAG16" s="224"/>
      <c r="VAH16" s="225"/>
      <c r="VAI16" s="226"/>
      <c r="VAJ16" s="224"/>
      <c r="VAK16" s="225"/>
      <c r="VAL16" s="225"/>
      <c r="VAM16" s="227"/>
      <c r="VAN16" s="228"/>
      <c r="VAO16" s="228"/>
      <c r="VAP16" s="229"/>
      <c r="VAQ16" s="216"/>
      <c r="VAR16" s="219"/>
      <c r="VAS16" s="220"/>
      <c r="VAT16" s="217"/>
      <c r="VAU16" s="217"/>
      <c r="VAV16" s="217"/>
      <c r="VAW16" s="217"/>
      <c r="VAX16" s="217"/>
      <c r="VAY16" s="221"/>
      <c r="VAZ16" s="222"/>
      <c r="VBA16" s="220"/>
      <c r="VBB16" s="220"/>
      <c r="VBC16" s="220"/>
      <c r="VBD16" s="220"/>
      <c r="VBE16" s="223"/>
      <c r="VBF16" s="223"/>
      <c r="VBG16" s="223"/>
      <c r="VBH16" s="223"/>
      <c r="VBI16" s="223"/>
      <c r="VBJ16" s="223"/>
      <c r="VBK16" s="223"/>
      <c r="VBL16" s="223"/>
      <c r="VBM16" s="223"/>
      <c r="VBN16" s="224"/>
      <c r="VBO16" s="225"/>
      <c r="VBP16" s="226"/>
      <c r="VBQ16" s="224"/>
      <c r="VBR16" s="225"/>
      <c r="VBS16" s="225"/>
      <c r="VBT16" s="227"/>
      <c r="VBU16" s="228"/>
      <c r="VBV16" s="228"/>
      <c r="VBW16" s="229"/>
      <c r="VBX16" s="216"/>
      <c r="VBY16" s="219"/>
      <c r="VBZ16" s="220"/>
      <c r="VCA16" s="217"/>
      <c r="VCB16" s="217"/>
      <c r="VCC16" s="217"/>
      <c r="VCD16" s="217"/>
      <c r="VCE16" s="217"/>
      <c r="VCF16" s="221"/>
      <c r="VCG16" s="222"/>
      <c r="VCH16" s="220"/>
      <c r="VCI16" s="220"/>
      <c r="VCJ16" s="220"/>
      <c r="VCK16" s="220"/>
      <c r="VCL16" s="223"/>
      <c r="VCM16" s="223"/>
      <c r="VCN16" s="223"/>
      <c r="VCO16" s="223"/>
      <c r="VCP16" s="223"/>
      <c r="VCQ16" s="223"/>
      <c r="VCR16" s="223"/>
      <c r="VCS16" s="223"/>
      <c r="VCT16" s="223"/>
      <c r="VCU16" s="224"/>
      <c r="VCV16" s="225"/>
      <c r="VCW16" s="226"/>
      <c r="VCX16" s="224"/>
      <c r="VCY16" s="225"/>
      <c r="VCZ16" s="225"/>
      <c r="VDA16" s="227"/>
      <c r="VDB16" s="228"/>
      <c r="VDC16" s="228"/>
      <c r="VDD16" s="229"/>
      <c r="VDE16" s="216"/>
      <c r="VDF16" s="219"/>
      <c r="VDG16" s="220"/>
      <c r="VDH16" s="217"/>
      <c r="VDI16" s="217"/>
      <c r="VDJ16" s="217"/>
      <c r="VDK16" s="217"/>
      <c r="VDL16" s="217"/>
      <c r="VDM16" s="221"/>
      <c r="VDN16" s="222"/>
      <c r="VDO16" s="220"/>
      <c r="VDP16" s="220"/>
      <c r="VDQ16" s="220"/>
      <c r="VDR16" s="220"/>
      <c r="VDS16" s="223"/>
      <c r="VDT16" s="223"/>
      <c r="VDU16" s="223"/>
      <c r="VDV16" s="223"/>
      <c r="VDW16" s="223"/>
      <c r="VDX16" s="223"/>
      <c r="VDY16" s="223"/>
      <c r="VDZ16" s="223"/>
      <c r="VEA16" s="223"/>
      <c r="VEB16" s="224"/>
      <c r="VEC16" s="225"/>
      <c r="VED16" s="226"/>
      <c r="VEE16" s="224"/>
      <c r="VEF16" s="225"/>
      <c r="VEG16" s="225"/>
      <c r="VEH16" s="227"/>
      <c r="VEI16" s="228"/>
      <c r="VEJ16" s="228"/>
      <c r="VEK16" s="229"/>
      <c r="VEL16" s="216"/>
      <c r="VEM16" s="219"/>
      <c r="VEN16" s="220"/>
      <c r="VEO16" s="217"/>
      <c r="VEP16" s="217"/>
      <c r="VEQ16" s="217"/>
      <c r="VER16" s="217"/>
      <c r="VES16" s="217"/>
      <c r="VET16" s="221"/>
      <c r="VEU16" s="222"/>
      <c r="VEV16" s="220"/>
      <c r="VEW16" s="220"/>
      <c r="VEX16" s="220"/>
      <c r="VEY16" s="220"/>
      <c r="VEZ16" s="223"/>
      <c r="VFA16" s="223"/>
      <c r="VFB16" s="223"/>
      <c r="VFC16" s="223"/>
      <c r="VFD16" s="223"/>
      <c r="VFE16" s="223"/>
      <c r="VFF16" s="223"/>
      <c r="VFG16" s="223"/>
      <c r="VFH16" s="223"/>
      <c r="VFI16" s="224"/>
      <c r="VFJ16" s="225"/>
      <c r="VFK16" s="226"/>
      <c r="VFL16" s="224"/>
      <c r="VFM16" s="225"/>
      <c r="VFN16" s="225"/>
      <c r="VFO16" s="227"/>
      <c r="VFP16" s="228"/>
      <c r="VFQ16" s="228"/>
      <c r="VFR16" s="229"/>
      <c r="VFS16" s="216"/>
      <c r="VFT16" s="219"/>
      <c r="VFU16" s="220"/>
      <c r="VFV16" s="217"/>
      <c r="VFW16" s="217"/>
      <c r="VFX16" s="217"/>
      <c r="VFY16" s="217"/>
      <c r="VFZ16" s="217"/>
      <c r="VGA16" s="221"/>
      <c r="VGB16" s="222"/>
      <c r="VGC16" s="220"/>
      <c r="VGD16" s="220"/>
      <c r="VGE16" s="220"/>
      <c r="VGF16" s="220"/>
      <c r="VGG16" s="223"/>
      <c r="VGH16" s="223"/>
      <c r="VGI16" s="223"/>
      <c r="VGJ16" s="223"/>
      <c r="VGK16" s="223"/>
      <c r="VGL16" s="223"/>
      <c r="VGM16" s="223"/>
      <c r="VGN16" s="223"/>
      <c r="VGO16" s="223"/>
      <c r="VGP16" s="224"/>
      <c r="VGQ16" s="225"/>
      <c r="VGR16" s="226"/>
      <c r="VGS16" s="224"/>
      <c r="VGT16" s="225"/>
      <c r="VGU16" s="225"/>
      <c r="VGV16" s="227"/>
      <c r="VGW16" s="228"/>
      <c r="VGX16" s="228"/>
      <c r="VGY16" s="229"/>
      <c r="VGZ16" s="216"/>
      <c r="VHA16" s="219"/>
      <c r="VHB16" s="220"/>
      <c r="VHC16" s="217"/>
      <c r="VHD16" s="217"/>
      <c r="VHE16" s="217"/>
      <c r="VHF16" s="217"/>
      <c r="VHG16" s="217"/>
      <c r="VHH16" s="221"/>
      <c r="VHI16" s="222"/>
      <c r="VHJ16" s="220"/>
      <c r="VHK16" s="220"/>
      <c r="VHL16" s="220"/>
      <c r="VHM16" s="220"/>
      <c r="VHN16" s="223"/>
      <c r="VHO16" s="223"/>
      <c r="VHP16" s="223"/>
      <c r="VHQ16" s="223"/>
      <c r="VHR16" s="223"/>
      <c r="VHS16" s="223"/>
      <c r="VHT16" s="223"/>
      <c r="VHU16" s="223"/>
      <c r="VHV16" s="223"/>
      <c r="VHW16" s="224"/>
      <c r="VHX16" s="225"/>
      <c r="VHY16" s="226"/>
      <c r="VHZ16" s="224"/>
      <c r="VIA16" s="225"/>
      <c r="VIB16" s="225"/>
      <c r="VIC16" s="227"/>
      <c r="VID16" s="228"/>
      <c r="VIE16" s="228"/>
      <c r="VIF16" s="229"/>
      <c r="VIG16" s="216"/>
      <c r="VIH16" s="219"/>
      <c r="VII16" s="220"/>
      <c r="VIJ16" s="217"/>
      <c r="VIK16" s="217"/>
      <c r="VIL16" s="217"/>
      <c r="VIM16" s="217"/>
      <c r="VIN16" s="217"/>
      <c r="VIO16" s="221"/>
      <c r="VIP16" s="222"/>
      <c r="VIQ16" s="220"/>
      <c r="VIR16" s="220"/>
      <c r="VIS16" s="220"/>
      <c r="VIT16" s="220"/>
      <c r="VIU16" s="223"/>
      <c r="VIV16" s="223"/>
      <c r="VIW16" s="223"/>
      <c r="VIX16" s="223"/>
      <c r="VIY16" s="223"/>
      <c r="VIZ16" s="223"/>
      <c r="VJA16" s="223"/>
      <c r="VJB16" s="223"/>
      <c r="VJC16" s="223"/>
      <c r="VJD16" s="224"/>
      <c r="VJE16" s="225"/>
      <c r="VJF16" s="226"/>
      <c r="VJG16" s="224"/>
      <c r="VJH16" s="225"/>
      <c r="VJI16" s="225"/>
      <c r="VJJ16" s="227"/>
      <c r="VJK16" s="228"/>
      <c r="VJL16" s="228"/>
      <c r="VJM16" s="229"/>
      <c r="VJN16" s="216"/>
      <c r="VJO16" s="219"/>
      <c r="VJP16" s="220"/>
      <c r="VJQ16" s="217"/>
      <c r="VJR16" s="217"/>
      <c r="VJS16" s="217"/>
      <c r="VJT16" s="217"/>
      <c r="VJU16" s="217"/>
      <c r="VJV16" s="221"/>
      <c r="VJW16" s="222"/>
      <c r="VJX16" s="220"/>
      <c r="VJY16" s="220"/>
      <c r="VJZ16" s="220"/>
      <c r="VKA16" s="220"/>
      <c r="VKB16" s="223"/>
      <c r="VKC16" s="223"/>
      <c r="VKD16" s="223"/>
      <c r="VKE16" s="223"/>
      <c r="VKF16" s="223"/>
      <c r="VKG16" s="223"/>
      <c r="VKH16" s="223"/>
      <c r="VKI16" s="223"/>
      <c r="VKJ16" s="223"/>
      <c r="VKK16" s="224"/>
      <c r="VKL16" s="225"/>
      <c r="VKM16" s="226"/>
      <c r="VKN16" s="224"/>
      <c r="VKO16" s="225"/>
      <c r="VKP16" s="225"/>
      <c r="VKQ16" s="227"/>
      <c r="VKR16" s="228"/>
      <c r="VKS16" s="228"/>
      <c r="VKT16" s="229"/>
      <c r="VKU16" s="216"/>
      <c r="VKV16" s="219"/>
      <c r="VKW16" s="220"/>
      <c r="VKX16" s="217"/>
      <c r="VKY16" s="217"/>
      <c r="VKZ16" s="217"/>
      <c r="VLA16" s="217"/>
      <c r="VLB16" s="217"/>
      <c r="VLC16" s="221"/>
      <c r="VLD16" s="222"/>
      <c r="VLE16" s="220"/>
      <c r="VLF16" s="220"/>
      <c r="VLG16" s="220"/>
      <c r="VLH16" s="220"/>
      <c r="VLI16" s="223"/>
      <c r="VLJ16" s="223"/>
      <c r="VLK16" s="223"/>
      <c r="VLL16" s="223"/>
      <c r="VLM16" s="223"/>
      <c r="VLN16" s="223"/>
      <c r="VLO16" s="223"/>
      <c r="VLP16" s="223"/>
      <c r="VLQ16" s="223"/>
      <c r="VLR16" s="224"/>
      <c r="VLS16" s="225"/>
      <c r="VLT16" s="226"/>
      <c r="VLU16" s="224"/>
      <c r="VLV16" s="225"/>
      <c r="VLW16" s="225"/>
      <c r="VLX16" s="227"/>
      <c r="VLY16" s="228"/>
      <c r="VLZ16" s="228"/>
      <c r="VMA16" s="229"/>
      <c r="VMB16" s="216"/>
      <c r="VMC16" s="219"/>
      <c r="VMD16" s="220"/>
      <c r="VME16" s="217"/>
      <c r="VMF16" s="217"/>
      <c r="VMG16" s="217"/>
      <c r="VMH16" s="217"/>
      <c r="VMI16" s="217"/>
      <c r="VMJ16" s="221"/>
      <c r="VMK16" s="222"/>
      <c r="VML16" s="220"/>
      <c r="VMM16" s="220"/>
      <c r="VMN16" s="220"/>
      <c r="VMO16" s="220"/>
      <c r="VMP16" s="223"/>
      <c r="VMQ16" s="223"/>
      <c r="VMR16" s="223"/>
      <c r="VMS16" s="223"/>
      <c r="VMT16" s="223"/>
      <c r="VMU16" s="223"/>
      <c r="VMV16" s="223"/>
      <c r="VMW16" s="223"/>
      <c r="VMX16" s="223"/>
      <c r="VMY16" s="224"/>
      <c r="VMZ16" s="225"/>
      <c r="VNA16" s="226"/>
      <c r="VNB16" s="224"/>
      <c r="VNC16" s="225"/>
      <c r="VND16" s="225"/>
      <c r="VNE16" s="227"/>
      <c r="VNF16" s="228"/>
      <c r="VNG16" s="228"/>
      <c r="VNH16" s="229"/>
      <c r="VNI16" s="216"/>
      <c r="VNJ16" s="219"/>
      <c r="VNK16" s="220"/>
      <c r="VNL16" s="217"/>
      <c r="VNM16" s="217"/>
      <c r="VNN16" s="217"/>
      <c r="VNO16" s="217"/>
      <c r="VNP16" s="217"/>
      <c r="VNQ16" s="221"/>
      <c r="VNR16" s="222"/>
      <c r="VNS16" s="220"/>
      <c r="VNT16" s="220"/>
      <c r="VNU16" s="220"/>
      <c r="VNV16" s="220"/>
      <c r="VNW16" s="223"/>
      <c r="VNX16" s="223"/>
      <c r="VNY16" s="223"/>
      <c r="VNZ16" s="223"/>
      <c r="VOA16" s="223"/>
      <c r="VOB16" s="223"/>
      <c r="VOC16" s="223"/>
      <c r="VOD16" s="223"/>
      <c r="VOE16" s="223"/>
      <c r="VOF16" s="224"/>
      <c r="VOG16" s="225"/>
      <c r="VOH16" s="226"/>
      <c r="VOI16" s="224"/>
      <c r="VOJ16" s="225"/>
      <c r="VOK16" s="225"/>
      <c r="VOL16" s="227"/>
      <c r="VOM16" s="228"/>
      <c r="VON16" s="228"/>
      <c r="VOO16" s="229"/>
      <c r="VOP16" s="216"/>
      <c r="VOQ16" s="219"/>
      <c r="VOR16" s="220"/>
      <c r="VOS16" s="217"/>
      <c r="VOT16" s="217"/>
      <c r="VOU16" s="217"/>
      <c r="VOV16" s="217"/>
      <c r="VOW16" s="217"/>
      <c r="VOX16" s="221"/>
      <c r="VOY16" s="222"/>
      <c r="VOZ16" s="220"/>
      <c r="VPA16" s="220"/>
      <c r="VPB16" s="220"/>
      <c r="VPC16" s="220"/>
      <c r="VPD16" s="223"/>
      <c r="VPE16" s="223"/>
      <c r="VPF16" s="223"/>
      <c r="VPG16" s="223"/>
      <c r="VPH16" s="223"/>
      <c r="VPI16" s="223"/>
      <c r="VPJ16" s="223"/>
      <c r="VPK16" s="223"/>
      <c r="VPL16" s="223"/>
      <c r="VPM16" s="224"/>
      <c r="VPN16" s="225"/>
      <c r="VPO16" s="226"/>
      <c r="VPP16" s="224"/>
      <c r="VPQ16" s="225"/>
      <c r="VPR16" s="225"/>
      <c r="VPS16" s="227"/>
      <c r="VPT16" s="228"/>
      <c r="VPU16" s="228"/>
      <c r="VPV16" s="229"/>
      <c r="VPW16" s="216"/>
      <c r="VPX16" s="219"/>
      <c r="VPY16" s="220"/>
      <c r="VPZ16" s="217"/>
      <c r="VQA16" s="217"/>
      <c r="VQB16" s="217"/>
      <c r="VQC16" s="217"/>
      <c r="VQD16" s="217"/>
      <c r="VQE16" s="221"/>
      <c r="VQF16" s="222"/>
      <c r="VQG16" s="220"/>
      <c r="VQH16" s="220"/>
      <c r="VQI16" s="220"/>
      <c r="VQJ16" s="220"/>
      <c r="VQK16" s="223"/>
      <c r="VQL16" s="223"/>
      <c r="VQM16" s="223"/>
      <c r="VQN16" s="223"/>
      <c r="VQO16" s="223"/>
      <c r="VQP16" s="223"/>
      <c r="VQQ16" s="223"/>
      <c r="VQR16" s="223"/>
      <c r="VQS16" s="223"/>
      <c r="VQT16" s="224"/>
      <c r="VQU16" s="225"/>
      <c r="VQV16" s="226"/>
      <c r="VQW16" s="224"/>
      <c r="VQX16" s="225"/>
      <c r="VQY16" s="225"/>
      <c r="VQZ16" s="227"/>
      <c r="VRA16" s="228"/>
      <c r="VRB16" s="228"/>
      <c r="VRC16" s="229"/>
      <c r="VRD16" s="216"/>
      <c r="VRE16" s="219"/>
      <c r="VRF16" s="220"/>
      <c r="VRG16" s="217"/>
      <c r="VRH16" s="217"/>
      <c r="VRI16" s="217"/>
      <c r="VRJ16" s="217"/>
      <c r="VRK16" s="217"/>
      <c r="VRL16" s="221"/>
      <c r="VRM16" s="222"/>
      <c r="VRN16" s="220"/>
      <c r="VRO16" s="220"/>
      <c r="VRP16" s="220"/>
      <c r="VRQ16" s="220"/>
      <c r="VRR16" s="223"/>
      <c r="VRS16" s="223"/>
      <c r="VRT16" s="223"/>
      <c r="VRU16" s="223"/>
      <c r="VRV16" s="223"/>
      <c r="VRW16" s="223"/>
      <c r="VRX16" s="223"/>
      <c r="VRY16" s="223"/>
      <c r="VRZ16" s="223"/>
      <c r="VSA16" s="224"/>
      <c r="VSB16" s="225"/>
      <c r="VSC16" s="226"/>
      <c r="VSD16" s="224"/>
      <c r="VSE16" s="225"/>
      <c r="VSF16" s="225"/>
      <c r="VSG16" s="227"/>
      <c r="VSH16" s="228"/>
      <c r="VSI16" s="228"/>
      <c r="VSJ16" s="229"/>
      <c r="VSK16" s="216"/>
      <c r="VSL16" s="219"/>
      <c r="VSM16" s="220"/>
      <c r="VSN16" s="217"/>
      <c r="VSO16" s="217"/>
      <c r="VSP16" s="217"/>
      <c r="VSQ16" s="217"/>
      <c r="VSR16" s="217"/>
      <c r="VSS16" s="221"/>
      <c r="VST16" s="222"/>
      <c r="VSU16" s="220"/>
      <c r="VSV16" s="220"/>
      <c r="VSW16" s="220"/>
      <c r="VSX16" s="220"/>
      <c r="VSY16" s="223"/>
      <c r="VSZ16" s="223"/>
      <c r="VTA16" s="223"/>
      <c r="VTB16" s="223"/>
      <c r="VTC16" s="223"/>
      <c r="VTD16" s="223"/>
      <c r="VTE16" s="223"/>
      <c r="VTF16" s="223"/>
      <c r="VTG16" s="223"/>
      <c r="VTH16" s="224"/>
      <c r="VTI16" s="225"/>
      <c r="VTJ16" s="226"/>
      <c r="VTK16" s="224"/>
      <c r="VTL16" s="225"/>
      <c r="VTM16" s="225"/>
      <c r="VTN16" s="227"/>
      <c r="VTO16" s="228"/>
      <c r="VTP16" s="228"/>
      <c r="VTQ16" s="229"/>
      <c r="VTR16" s="216"/>
      <c r="VTS16" s="219"/>
      <c r="VTT16" s="220"/>
      <c r="VTU16" s="217"/>
      <c r="VTV16" s="217"/>
      <c r="VTW16" s="217"/>
      <c r="VTX16" s="217"/>
      <c r="VTY16" s="217"/>
      <c r="VTZ16" s="221"/>
      <c r="VUA16" s="222"/>
      <c r="VUB16" s="220"/>
      <c r="VUC16" s="220"/>
      <c r="VUD16" s="220"/>
      <c r="VUE16" s="220"/>
      <c r="VUF16" s="223"/>
      <c r="VUG16" s="223"/>
      <c r="VUH16" s="223"/>
      <c r="VUI16" s="223"/>
      <c r="VUJ16" s="223"/>
      <c r="VUK16" s="223"/>
      <c r="VUL16" s="223"/>
      <c r="VUM16" s="223"/>
      <c r="VUN16" s="223"/>
      <c r="VUO16" s="224"/>
      <c r="VUP16" s="225"/>
      <c r="VUQ16" s="226"/>
      <c r="VUR16" s="224"/>
      <c r="VUS16" s="225"/>
      <c r="VUT16" s="225"/>
      <c r="VUU16" s="227"/>
      <c r="VUV16" s="228"/>
      <c r="VUW16" s="228"/>
      <c r="VUX16" s="229"/>
      <c r="VUY16" s="216"/>
      <c r="VUZ16" s="219"/>
      <c r="VVA16" s="220"/>
      <c r="VVB16" s="217"/>
      <c r="VVC16" s="217"/>
      <c r="VVD16" s="217"/>
      <c r="VVE16" s="217"/>
      <c r="VVF16" s="217"/>
      <c r="VVG16" s="221"/>
      <c r="VVH16" s="222"/>
      <c r="VVI16" s="220"/>
      <c r="VVJ16" s="220"/>
      <c r="VVK16" s="220"/>
      <c r="VVL16" s="220"/>
      <c r="VVM16" s="223"/>
      <c r="VVN16" s="223"/>
      <c r="VVO16" s="223"/>
      <c r="VVP16" s="223"/>
      <c r="VVQ16" s="223"/>
      <c r="VVR16" s="223"/>
      <c r="VVS16" s="223"/>
      <c r="VVT16" s="223"/>
      <c r="VVU16" s="223"/>
      <c r="VVV16" s="224"/>
      <c r="VVW16" s="225"/>
      <c r="VVX16" s="226"/>
      <c r="VVY16" s="224"/>
      <c r="VVZ16" s="225"/>
      <c r="VWA16" s="225"/>
      <c r="VWB16" s="227"/>
      <c r="VWC16" s="228"/>
      <c r="VWD16" s="228"/>
      <c r="VWE16" s="229"/>
      <c r="VWF16" s="216"/>
      <c r="VWG16" s="219"/>
      <c r="VWH16" s="220"/>
      <c r="VWI16" s="217"/>
      <c r="VWJ16" s="217"/>
      <c r="VWK16" s="217"/>
      <c r="VWL16" s="217"/>
      <c r="VWM16" s="217"/>
      <c r="VWN16" s="221"/>
      <c r="VWO16" s="222"/>
      <c r="VWP16" s="220"/>
      <c r="VWQ16" s="220"/>
      <c r="VWR16" s="220"/>
      <c r="VWS16" s="220"/>
      <c r="VWT16" s="223"/>
      <c r="VWU16" s="223"/>
      <c r="VWV16" s="223"/>
      <c r="VWW16" s="223"/>
      <c r="VWX16" s="223"/>
      <c r="VWY16" s="223"/>
      <c r="VWZ16" s="223"/>
      <c r="VXA16" s="223"/>
      <c r="VXB16" s="223"/>
      <c r="VXC16" s="224"/>
      <c r="VXD16" s="225"/>
      <c r="VXE16" s="226"/>
      <c r="VXF16" s="224"/>
      <c r="VXG16" s="225"/>
      <c r="VXH16" s="225"/>
      <c r="VXI16" s="227"/>
      <c r="VXJ16" s="228"/>
      <c r="VXK16" s="228"/>
      <c r="VXL16" s="229"/>
      <c r="VXM16" s="216"/>
      <c r="VXN16" s="219"/>
      <c r="VXO16" s="220"/>
      <c r="VXP16" s="217"/>
      <c r="VXQ16" s="217"/>
      <c r="VXR16" s="217"/>
      <c r="VXS16" s="217"/>
      <c r="VXT16" s="217"/>
      <c r="VXU16" s="221"/>
      <c r="VXV16" s="222"/>
      <c r="VXW16" s="220"/>
      <c r="VXX16" s="220"/>
      <c r="VXY16" s="220"/>
      <c r="VXZ16" s="220"/>
      <c r="VYA16" s="223"/>
      <c r="VYB16" s="223"/>
      <c r="VYC16" s="223"/>
      <c r="VYD16" s="223"/>
      <c r="VYE16" s="223"/>
      <c r="VYF16" s="223"/>
      <c r="VYG16" s="223"/>
      <c r="VYH16" s="223"/>
      <c r="VYI16" s="223"/>
      <c r="VYJ16" s="224"/>
      <c r="VYK16" s="225"/>
      <c r="VYL16" s="226"/>
      <c r="VYM16" s="224"/>
      <c r="VYN16" s="225"/>
      <c r="VYO16" s="225"/>
      <c r="VYP16" s="227"/>
      <c r="VYQ16" s="228"/>
      <c r="VYR16" s="228"/>
      <c r="VYS16" s="229"/>
      <c r="VYT16" s="216"/>
      <c r="VYU16" s="219"/>
      <c r="VYV16" s="220"/>
      <c r="VYW16" s="217"/>
      <c r="VYX16" s="217"/>
      <c r="VYY16" s="217"/>
      <c r="VYZ16" s="217"/>
      <c r="VZA16" s="217"/>
      <c r="VZB16" s="221"/>
      <c r="VZC16" s="222"/>
      <c r="VZD16" s="220"/>
      <c r="VZE16" s="220"/>
      <c r="VZF16" s="220"/>
      <c r="VZG16" s="220"/>
      <c r="VZH16" s="223"/>
      <c r="VZI16" s="223"/>
      <c r="VZJ16" s="223"/>
      <c r="VZK16" s="223"/>
      <c r="VZL16" s="223"/>
      <c r="VZM16" s="223"/>
      <c r="VZN16" s="223"/>
      <c r="VZO16" s="223"/>
      <c r="VZP16" s="223"/>
      <c r="VZQ16" s="224"/>
      <c r="VZR16" s="225"/>
      <c r="VZS16" s="226"/>
      <c r="VZT16" s="224"/>
      <c r="VZU16" s="225"/>
      <c r="VZV16" s="225"/>
      <c r="VZW16" s="227"/>
      <c r="VZX16" s="228"/>
      <c r="VZY16" s="228"/>
      <c r="VZZ16" s="229"/>
      <c r="WAA16" s="216"/>
      <c r="WAB16" s="219"/>
      <c r="WAC16" s="220"/>
      <c r="WAD16" s="217"/>
      <c r="WAE16" s="217"/>
      <c r="WAF16" s="217"/>
      <c r="WAG16" s="217"/>
      <c r="WAH16" s="217"/>
      <c r="WAI16" s="221"/>
      <c r="WAJ16" s="222"/>
      <c r="WAK16" s="220"/>
      <c r="WAL16" s="220"/>
      <c r="WAM16" s="220"/>
      <c r="WAN16" s="220"/>
      <c r="WAO16" s="223"/>
      <c r="WAP16" s="223"/>
      <c r="WAQ16" s="223"/>
      <c r="WAR16" s="223"/>
      <c r="WAS16" s="223"/>
      <c r="WAT16" s="223"/>
      <c r="WAU16" s="223"/>
      <c r="WAV16" s="223"/>
      <c r="WAW16" s="223"/>
      <c r="WAX16" s="224"/>
      <c r="WAY16" s="225"/>
      <c r="WAZ16" s="226"/>
      <c r="WBA16" s="224"/>
      <c r="WBB16" s="225"/>
      <c r="WBC16" s="225"/>
      <c r="WBD16" s="227"/>
      <c r="WBE16" s="228"/>
      <c r="WBF16" s="228"/>
      <c r="WBG16" s="229"/>
      <c r="WBH16" s="216"/>
      <c r="WBI16" s="219"/>
      <c r="WBJ16" s="220"/>
      <c r="WBK16" s="217"/>
      <c r="WBL16" s="217"/>
      <c r="WBM16" s="217"/>
      <c r="WBN16" s="217"/>
      <c r="WBO16" s="217"/>
      <c r="WBP16" s="221"/>
      <c r="WBQ16" s="222"/>
      <c r="WBR16" s="220"/>
      <c r="WBS16" s="220"/>
      <c r="WBT16" s="220"/>
      <c r="WBU16" s="220"/>
      <c r="WBV16" s="223"/>
      <c r="WBW16" s="223"/>
      <c r="WBX16" s="223"/>
      <c r="WBY16" s="223"/>
      <c r="WBZ16" s="223"/>
      <c r="WCA16" s="223"/>
      <c r="WCB16" s="223"/>
      <c r="WCC16" s="223"/>
      <c r="WCD16" s="223"/>
      <c r="WCE16" s="224"/>
      <c r="WCF16" s="225"/>
      <c r="WCG16" s="226"/>
      <c r="WCH16" s="224"/>
      <c r="WCI16" s="225"/>
      <c r="WCJ16" s="225"/>
      <c r="WCK16" s="227"/>
      <c r="WCL16" s="228"/>
      <c r="WCM16" s="228"/>
      <c r="WCN16" s="229"/>
      <c r="WCO16" s="216"/>
      <c r="WCP16" s="219"/>
      <c r="WCQ16" s="220"/>
      <c r="WCR16" s="217"/>
      <c r="WCS16" s="217"/>
      <c r="WCT16" s="217"/>
      <c r="WCU16" s="217"/>
      <c r="WCV16" s="217"/>
      <c r="WCW16" s="221"/>
      <c r="WCX16" s="222"/>
      <c r="WCY16" s="220"/>
      <c r="WCZ16" s="220"/>
      <c r="WDA16" s="220"/>
      <c r="WDB16" s="220"/>
      <c r="WDC16" s="223"/>
      <c r="WDD16" s="223"/>
      <c r="WDE16" s="223"/>
      <c r="WDF16" s="223"/>
      <c r="WDG16" s="223"/>
      <c r="WDH16" s="223"/>
      <c r="WDI16" s="223"/>
      <c r="WDJ16" s="223"/>
      <c r="WDK16" s="223"/>
      <c r="WDL16" s="224"/>
      <c r="WDM16" s="225"/>
      <c r="WDN16" s="226"/>
      <c r="WDO16" s="224"/>
      <c r="WDP16" s="225"/>
      <c r="WDQ16" s="225"/>
      <c r="WDR16" s="227"/>
      <c r="WDS16" s="228"/>
      <c r="WDT16" s="228"/>
      <c r="WDU16" s="229"/>
      <c r="WDV16" s="216"/>
      <c r="WDW16" s="219"/>
      <c r="WDX16" s="220"/>
      <c r="WDY16" s="217"/>
      <c r="WDZ16" s="217"/>
      <c r="WEA16" s="217"/>
      <c r="WEB16" s="217"/>
      <c r="WEC16" s="217"/>
      <c r="WED16" s="221"/>
      <c r="WEE16" s="222"/>
      <c r="WEF16" s="220"/>
      <c r="WEG16" s="220"/>
      <c r="WEH16" s="220"/>
      <c r="WEI16" s="220"/>
      <c r="WEJ16" s="223"/>
      <c r="WEK16" s="223"/>
      <c r="WEL16" s="223"/>
      <c r="WEM16" s="223"/>
      <c r="WEN16" s="223"/>
      <c r="WEO16" s="223"/>
      <c r="WEP16" s="223"/>
      <c r="WEQ16" s="223"/>
      <c r="WER16" s="223"/>
      <c r="WES16" s="224"/>
      <c r="WET16" s="225"/>
      <c r="WEU16" s="226"/>
      <c r="WEV16" s="224"/>
      <c r="WEW16" s="225"/>
      <c r="WEX16" s="225"/>
      <c r="WEY16" s="227"/>
      <c r="WEZ16" s="228"/>
      <c r="WFA16" s="228"/>
      <c r="WFB16" s="229"/>
      <c r="WFC16" s="216"/>
      <c r="WFD16" s="219"/>
      <c r="WFE16" s="220"/>
      <c r="WFF16" s="217"/>
      <c r="WFG16" s="217"/>
      <c r="WFH16" s="217"/>
      <c r="WFI16" s="217"/>
      <c r="WFJ16" s="217"/>
      <c r="WFK16" s="221"/>
      <c r="WFL16" s="222"/>
      <c r="WFM16" s="220"/>
      <c r="WFN16" s="220"/>
      <c r="WFO16" s="220"/>
      <c r="WFP16" s="220"/>
      <c r="WFQ16" s="223"/>
      <c r="WFR16" s="223"/>
      <c r="WFS16" s="223"/>
      <c r="WFT16" s="223"/>
      <c r="WFU16" s="223"/>
      <c r="WFV16" s="223"/>
      <c r="WFW16" s="223"/>
      <c r="WFX16" s="223"/>
      <c r="WFY16" s="223"/>
      <c r="WFZ16" s="224"/>
      <c r="WGA16" s="225"/>
      <c r="WGB16" s="226"/>
      <c r="WGC16" s="224"/>
      <c r="WGD16" s="225"/>
      <c r="WGE16" s="225"/>
      <c r="WGF16" s="227"/>
      <c r="WGG16" s="228"/>
      <c r="WGH16" s="228"/>
      <c r="WGI16" s="229"/>
      <c r="WGJ16" s="216"/>
      <c r="WGK16" s="219"/>
      <c r="WGL16" s="220"/>
      <c r="WGM16" s="217"/>
      <c r="WGN16" s="217"/>
      <c r="WGO16" s="217"/>
      <c r="WGP16" s="217"/>
      <c r="WGQ16" s="217"/>
      <c r="WGR16" s="221"/>
      <c r="WGS16" s="222"/>
      <c r="WGT16" s="220"/>
      <c r="WGU16" s="220"/>
      <c r="WGV16" s="220"/>
      <c r="WGW16" s="220"/>
      <c r="WGX16" s="223"/>
      <c r="WGY16" s="223"/>
      <c r="WGZ16" s="223"/>
      <c r="WHA16" s="223"/>
      <c r="WHB16" s="223"/>
      <c r="WHC16" s="223"/>
      <c r="WHD16" s="223"/>
      <c r="WHE16" s="223"/>
      <c r="WHF16" s="223"/>
      <c r="WHG16" s="224"/>
      <c r="WHH16" s="225"/>
      <c r="WHI16" s="226"/>
      <c r="WHJ16" s="224"/>
      <c r="WHK16" s="225"/>
      <c r="WHL16" s="225"/>
      <c r="WHM16" s="227"/>
      <c r="WHN16" s="228"/>
      <c r="WHO16" s="228"/>
      <c r="WHP16" s="229"/>
      <c r="WHQ16" s="216"/>
      <c r="WHR16" s="219"/>
      <c r="WHS16" s="220"/>
      <c r="WHT16" s="217"/>
      <c r="WHU16" s="217"/>
      <c r="WHV16" s="217"/>
      <c r="WHW16" s="217"/>
      <c r="WHX16" s="217"/>
      <c r="WHY16" s="221"/>
      <c r="WHZ16" s="222"/>
      <c r="WIA16" s="220"/>
      <c r="WIB16" s="220"/>
      <c r="WIC16" s="220"/>
      <c r="WID16" s="220"/>
      <c r="WIE16" s="223"/>
      <c r="WIF16" s="223"/>
      <c r="WIG16" s="223"/>
      <c r="WIH16" s="223"/>
      <c r="WII16" s="223"/>
      <c r="WIJ16" s="223"/>
      <c r="WIK16" s="223"/>
      <c r="WIL16" s="223"/>
      <c r="WIM16" s="223"/>
      <c r="WIN16" s="224"/>
      <c r="WIO16" s="225"/>
      <c r="WIP16" s="226"/>
      <c r="WIQ16" s="224"/>
      <c r="WIR16" s="225"/>
      <c r="WIS16" s="225"/>
      <c r="WIT16" s="227"/>
      <c r="WIU16" s="228"/>
      <c r="WIV16" s="228"/>
      <c r="WIW16" s="229"/>
      <c r="WIX16" s="216"/>
      <c r="WIY16" s="219"/>
      <c r="WIZ16" s="220"/>
      <c r="WJA16" s="217"/>
      <c r="WJB16" s="217"/>
      <c r="WJC16" s="217"/>
      <c r="WJD16" s="217"/>
      <c r="WJE16" s="217"/>
      <c r="WJF16" s="221"/>
      <c r="WJG16" s="222"/>
      <c r="WJH16" s="220"/>
      <c r="WJI16" s="220"/>
      <c r="WJJ16" s="220"/>
      <c r="WJK16" s="220"/>
      <c r="WJL16" s="223"/>
      <c r="WJM16" s="223"/>
      <c r="WJN16" s="223"/>
      <c r="WJO16" s="223"/>
      <c r="WJP16" s="223"/>
      <c r="WJQ16" s="223"/>
      <c r="WJR16" s="223"/>
      <c r="WJS16" s="223"/>
      <c r="WJT16" s="223"/>
      <c r="WJU16" s="224"/>
      <c r="WJV16" s="225"/>
      <c r="WJW16" s="226"/>
      <c r="WJX16" s="224"/>
      <c r="WJY16" s="225"/>
      <c r="WJZ16" s="225"/>
      <c r="WKA16" s="227"/>
      <c r="WKB16" s="228"/>
      <c r="WKC16" s="228"/>
      <c r="WKD16" s="229"/>
      <c r="WKE16" s="216"/>
      <c r="WKF16" s="219"/>
      <c r="WKG16" s="220"/>
      <c r="WKH16" s="217"/>
      <c r="WKI16" s="217"/>
      <c r="WKJ16" s="217"/>
      <c r="WKK16" s="217"/>
      <c r="WKL16" s="217"/>
      <c r="WKM16" s="221"/>
      <c r="WKN16" s="222"/>
      <c r="WKO16" s="220"/>
      <c r="WKP16" s="220"/>
      <c r="WKQ16" s="220"/>
      <c r="WKR16" s="220"/>
      <c r="WKS16" s="223"/>
      <c r="WKT16" s="223"/>
      <c r="WKU16" s="223"/>
      <c r="WKV16" s="223"/>
      <c r="WKW16" s="223"/>
      <c r="WKX16" s="223"/>
      <c r="WKY16" s="223"/>
      <c r="WKZ16" s="223"/>
      <c r="WLA16" s="223"/>
      <c r="WLB16" s="224"/>
      <c r="WLC16" s="225"/>
      <c r="WLD16" s="226"/>
      <c r="WLE16" s="224"/>
      <c r="WLF16" s="225"/>
      <c r="WLG16" s="225"/>
      <c r="WLH16" s="227"/>
      <c r="WLI16" s="228"/>
      <c r="WLJ16" s="228"/>
      <c r="WLK16" s="229"/>
      <c r="WLL16" s="216"/>
      <c r="WLM16" s="219"/>
      <c r="WLN16" s="220"/>
      <c r="WLO16" s="217"/>
      <c r="WLP16" s="217"/>
      <c r="WLQ16" s="217"/>
      <c r="WLR16" s="217"/>
      <c r="WLS16" s="217"/>
      <c r="WLT16" s="221"/>
      <c r="WLU16" s="222"/>
      <c r="WLV16" s="220"/>
      <c r="WLW16" s="220"/>
      <c r="WLX16" s="220"/>
      <c r="WLY16" s="220"/>
      <c r="WLZ16" s="223"/>
      <c r="WMA16" s="223"/>
      <c r="WMB16" s="223"/>
      <c r="WMC16" s="223"/>
      <c r="WMD16" s="223"/>
      <c r="WME16" s="223"/>
      <c r="WMF16" s="223"/>
      <c r="WMG16" s="223"/>
      <c r="WMH16" s="223"/>
      <c r="WMI16" s="224"/>
      <c r="WMJ16" s="225"/>
      <c r="WMK16" s="226"/>
      <c r="WML16" s="224"/>
      <c r="WMM16" s="225"/>
      <c r="WMN16" s="225"/>
      <c r="WMO16" s="227"/>
      <c r="WMP16" s="228"/>
      <c r="WMQ16" s="228"/>
      <c r="WMR16" s="229"/>
      <c r="WMS16" s="216"/>
      <c r="WMT16" s="219"/>
      <c r="WMU16" s="220"/>
      <c r="WMV16" s="217"/>
      <c r="WMW16" s="217"/>
      <c r="WMX16" s="217"/>
      <c r="WMY16" s="217"/>
      <c r="WMZ16" s="217"/>
      <c r="WNA16" s="221"/>
      <c r="WNB16" s="222"/>
      <c r="WNC16" s="220"/>
      <c r="WND16" s="220"/>
      <c r="WNE16" s="220"/>
      <c r="WNF16" s="220"/>
      <c r="WNG16" s="223"/>
      <c r="WNH16" s="223"/>
      <c r="WNI16" s="223"/>
      <c r="WNJ16" s="223"/>
      <c r="WNK16" s="223"/>
      <c r="WNL16" s="223"/>
      <c r="WNM16" s="223"/>
      <c r="WNN16" s="223"/>
      <c r="WNO16" s="223"/>
      <c r="WNP16" s="224"/>
      <c r="WNQ16" s="225"/>
      <c r="WNR16" s="226"/>
      <c r="WNS16" s="224"/>
      <c r="WNT16" s="225"/>
      <c r="WNU16" s="225"/>
      <c r="WNV16" s="227"/>
      <c r="WNW16" s="228"/>
      <c r="WNX16" s="228"/>
      <c r="WNY16" s="229"/>
      <c r="WNZ16" s="216"/>
      <c r="WOA16" s="219"/>
      <c r="WOB16" s="220"/>
      <c r="WOC16" s="217"/>
      <c r="WOD16" s="217"/>
      <c r="WOE16" s="217"/>
      <c r="WOF16" s="217"/>
      <c r="WOG16" s="217"/>
      <c r="WOH16" s="221"/>
      <c r="WOI16" s="222"/>
      <c r="WOJ16" s="220"/>
      <c r="WOK16" s="220"/>
      <c r="WOL16" s="220"/>
      <c r="WOM16" s="220"/>
      <c r="WON16" s="223"/>
      <c r="WOO16" s="223"/>
      <c r="WOP16" s="223"/>
      <c r="WOQ16" s="223"/>
      <c r="WOR16" s="223"/>
      <c r="WOS16" s="223"/>
      <c r="WOT16" s="223"/>
      <c r="WOU16" s="223"/>
      <c r="WOV16" s="223"/>
      <c r="WOW16" s="224"/>
      <c r="WOX16" s="225"/>
      <c r="WOY16" s="226"/>
      <c r="WOZ16" s="224"/>
      <c r="WPA16" s="225"/>
      <c r="WPB16" s="225"/>
      <c r="WPC16" s="227"/>
      <c r="WPD16" s="228"/>
      <c r="WPE16" s="228"/>
      <c r="WPF16" s="229"/>
      <c r="WPG16" s="216"/>
      <c r="WPH16" s="219"/>
      <c r="WPI16" s="220"/>
      <c r="WPJ16" s="217"/>
      <c r="WPK16" s="217"/>
      <c r="WPL16" s="217"/>
      <c r="WPM16" s="217"/>
      <c r="WPN16" s="217"/>
      <c r="WPO16" s="221"/>
      <c r="WPP16" s="222"/>
      <c r="WPQ16" s="220"/>
      <c r="WPR16" s="220"/>
      <c r="WPS16" s="220"/>
      <c r="WPT16" s="220"/>
      <c r="WPU16" s="223"/>
      <c r="WPV16" s="223"/>
      <c r="WPW16" s="223"/>
      <c r="WPX16" s="223"/>
      <c r="WPY16" s="223"/>
      <c r="WPZ16" s="223"/>
      <c r="WQA16" s="223"/>
      <c r="WQB16" s="223"/>
      <c r="WQC16" s="223"/>
      <c r="WQD16" s="224"/>
      <c r="WQE16" s="225"/>
      <c r="WQF16" s="226"/>
      <c r="WQG16" s="224"/>
      <c r="WQH16" s="225"/>
      <c r="WQI16" s="225"/>
      <c r="WQJ16" s="227"/>
      <c r="WQK16" s="228"/>
      <c r="WQL16" s="228"/>
      <c r="WQM16" s="229"/>
      <c r="WQN16" s="216"/>
      <c r="WQO16" s="219"/>
      <c r="WQP16" s="220"/>
      <c r="WQQ16" s="217"/>
      <c r="WQR16" s="217"/>
      <c r="WQS16" s="217"/>
      <c r="WQT16" s="217"/>
      <c r="WQU16" s="217"/>
      <c r="WQV16" s="221"/>
      <c r="WQW16" s="222"/>
      <c r="WQX16" s="220"/>
      <c r="WQY16" s="220"/>
      <c r="WQZ16" s="220"/>
      <c r="WRA16" s="220"/>
      <c r="WRB16" s="223"/>
      <c r="WRC16" s="223"/>
      <c r="WRD16" s="223"/>
      <c r="WRE16" s="223"/>
      <c r="WRF16" s="223"/>
      <c r="WRG16" s="223"/>
      <c r="WRH16" s="223"/>
      <c r="WRI16" s="223"/>
      <c r="WRJ16" s="223"/>
      <c r="WRK16" s="224"/>
      <c r="WRL16" s="225"/>
      <c r="WRM16" s="226"/>
      <c r="WRN16" s="224"/>
      <c r="WRO16" s="225"/>
      <c r="WRP16" s="225"/>
      <c r="WRQ16" s="227"/>
      <c r="WRR16" s="228"/>
      <c r="WRS16" s="228"/>
      <c r="WRT16" s="229"/>
      <c r="WRU16" s="216"/>
      <c r="WRV16" s="219"/>
      <c r="WRW16" s="220"/>
      <c r="WRX16" s="217"/>
      <c r="WRY16" s="217"/>
      <c r="WRZ16" s="217"/>
      <c r="WSA16" s="217"/>
      <c r="WSB16" s="217"/>
      <c r="WSC16" s="221"/>
      <c r="WSD16" s="222"/>
      <c r="WSE16" s="220"/>
      <c r="WSF16" s="220"/>
      <c r="WSG16" s="220"/>
      <c r="WSH16" s="220"/>
      <c r="WSI16" s="223"/>
      <c r="WSJ16" s="223"/>
      <c r="WSK16" s="223"/>
      <c r="WSL16" s="223"/>
      <c r="WSM16" s="223"/>
      <c r="WSN16" s="223"/>
      <c r="WSO16" s="223"/>
      <c r="WSP16" s="223"/>
      <c r="WSQ16" s="223"/>
      <c r="WSR16" s="224"/>
      <c r="WSS16" s="225"/>
      <c r="WST16" s="226"/>
      <c r="WSU16" s="224"/>
      <c r="WSV16" s="225"/>
      <c r="WSW16" s="225"/>
      <c r="WSX16" s="227"/>
      <c r="WSY16" s="228"/>
      <c r="WSZ16" s="228"/>
      <c r="WTA16" s="229"/>
      <c r="WTB16" s="216"/>
      <c r="WTC16" s="219"/>
      <c r="WTD16" s="220"/>
      <c r="WTE16" s="217"/>
      <c r="WTF16" s="217"/>
      <c r="WTG16" s="217"/>
      <c r="WTH16" s="217"/>
      <c r="WTI16" s="217"/>
      <c r="WTJ16" s="221"/>
      <c r="WTK16" s="222"/>
      <c r="WTL16" s="220"/>
      <c r="WTM16" s="220"/>
      <c r="WTN16" s="220"/>
      <c r="WTO16" s="220"/>
      <c r="WTP16" s="223"/>
      <c r="WTQ16" s="223"/>
      <c r="WTR16" s="223"/>
      <c r="WTS16" s="223"/>
      <c r="WTT16" s="223"/>
      <c r="WTU16" s="223"/>
      <c r="WTV16" s="223"/>
      <c r="WTW16" s="223"/>
      <c r="WTX16" s="223"/>
      <c r="WTY16" s="224"/>
      <c r="WTZ16" s="225"/>
      <c r="WUA16" s="226"/>
      <c r="WUB16" s="224"/>
      <c r="WUC16" s="225"/>
      <c r="WUD16" s="225"/>
      <c r="WUE16" s="227"/>
      <c r="WUF16" s="228"/>
      <c r="WUG16" s="228"/>
      <c r="WUH16" s="229"/>
      <c r="WUI16" s="216"/>
      <c r="WUJ16" s="219"/>
      <c r="WUK16" s="220"/>
      <c r="WUL16" s="217"/>
      <c r="WUM16" s="217"/>
      <c r="WUN16" s="217"/>
      <c r="WUO16" s="217"/>
      <c r="WUP16" s="217"/>
      <c r="WUQ16" s="221"/>
      <c r="WUR16" s="222"/>
      <c r="WUS16" s="220"/>
      <c r="WUT16" s="220"/>
      <c r="WUU16" s="220"/>
      <c r="WUV16" s="220"/>
      <c r="WUW16" s="223"/>
      <c r="WUX16" s="223"/>
      <c r="WUY16" s="223"/>
      <c r="WUZ16" s="223"/>
      <c r="WVA16" s="223"/>
      <c r="WVB16" s="223"/>
      <c r="WVC16" s="223"/>
      <c r="WVD16" s="223"/>
      <c r="WVE16" s="223"/>
      <c r="WVF16" s="224"/>
      <c r="WVG16" s="225"/>
      <c r="WVH16" s="226"/>
      <c r="WVI16" s="224"/>
      <c r="WVJ16" s="225"/>
      <c r="WVK16" s="225"/>
      <c r="WVL16" s="227"/>
      <c r="WVM16" s="228"/>
      <c r="WVN16" s="228"/>
      <c r="WVO16" s="229"/>
      <c r="WVP16" s="216"/>
      <c r="WVQ16" s="219"/>
      <c r="WVR16" s="220"/>
      <c r="WVS16" s="217"/>
      <c r="WVT16" s="217"/>
      <c r="WVU16" s="217"/>
      <c r="WVV16" s="217"/>
      <c r="WVW16" s="217"/>
      <c r="WVX16" s="221"/>
      <c r="WVY16" s="222"/>
      <c r="WVZ16" s="220"/>
      <c r="WWA16" s="220"/>
      <c r="WWB16" s="220"/>
      <c r="WWC16" s="220"/>
      <c r="WWD16" s="223"/>
      <c r="WWE16" s="223"/>
      <c r="WWF16" s="223"/>
      <c r="WWG16" s="223"/>
      <c r="WWH16" s="223"/>
      <c r="WWI16" s="223"/>
      <c r="WWJ16" s="223"/>
      <c r="WWK16" s="223"/>
      <c r="WWL16" s="223"/>
      <c r="WWM16" s="224"/>
      <c r="WWN16" s="225"/>
      <c r="WWO16" s="226"/>
      <c r="WWP16" s="224"/>
      <c r="WWQ16" s="225"/>
      <c r="WWR16" s="225"/>
      <c r="WWS16" s="227"/>
      <c r="WWT16" s="228"/>
      <c r="WWU16" s="228"/>
      <c r="WWV16" s="229"/>
      <c r="WWW16" s="216"/>
      <c r="WWX16" s="219"/>
      <c r="WWY16" s="220"/>
      <c r="WWZ16" s="217"/>
      <c r="WXA16" s="217"/>
      <c r="WXB16" s="217"/>
      <c r="WXC16" s="217"/>
      <c r="WXD16" s="217"/>
      <c r="WXE16" s="221"/>
      <c r="WXF16" s="222"/>
      <c r="WXG16" s="220"/>
      <c r="WXH16" s="220"/>
      <c r="WXI16" s="220"/>
      <c r="WXJ16" s="220"/>
      <c r="WXK16" s="223"/>
      <c r="WXL16" s="223"/>
      <c r="WXM16" s="223"/>
      <c r="WXN16" s="223"/>
      <c r="WXO16" s="223"/>
      <c r="WXP16" s="223"/>
      <c r="WXQ16" s="223"/>
      <c r="WXR16" s="223"/>
      <c r="WXS16" s="223"/>
      <c r="WXT16" s="224"/>
      <c r="WXU16" s="225"/>
      <c r="WXV16" s="226"/>
      <c r="WXW16" s="224"/>
      <c r="WXX16" s="225"/>
      <c r="WXY16" s="225"/>
      <c r="WXZ16" s="227"/>
      <c r="WYA16" s="228"/>
      <c r="WYB16" s="228"/>
      <c r="WYC16" s="229"/>
      <c r="WYD16" s="216"/>
      <c r="WYE16" s="219"/>
      <c r="WYF16" s="220"/>
      <c r="WYG16" s="217"/>
      <c r="WYH16" s="217"/>
      <c r="WYI16" s="217"/>
      <c r="WYJ16" s="217"/>
      <c r="WYK16" s="217"/>
      <c r="WYL16" s="221"/>
      <c r="WYM16" s="222"/>
      <c r="WYN16" s="220"/>
      <c r="WYO16" s="220"/>
      <c r="WYP16" s="220"/>
      <c r="WYQ16" s="220"/>
      <c r="WYR16" s="223"/>
      <c r="WYS16" s="223"/>
      <c r="WYT16" s="223"/>
      <c r="WYU16" s="223"/>
      <c r="WYV16" s="223"/>
      <c r="WYW16" s="223"/>
      <c r="WYX16" s="223"/>
      <c r="WYY16" s="223"/>
      <c r="WYZ16" s="223"/>
      <c r="WZA16" s="224"/>
      <c r="WZB16" s="225"/>
      <c r="WZC16" s="226"/>
      <c r="WZD16" s="224"/>
      <c r="WZE16" s="225"/>
      <c r="WZF16" s="225"/>
      <c r="WZG16" s="227"/>
      <c r="WZH16" s="228"/>
      <c r="WZI16" s="228"/>
      <c r="WZJ16" s="229"/>
      <c r="WZK16" s="216"/>
      <c r="WZL16" s="219"/>
      <c r="WZM16" s="220"/>
      <c r="WZN16" s="217"/>
      <c r="WZO16" s="217"/>
      <c r="WZP16" s="217"/>
      <c r="WZQ16" s="217"/>
      <c r="WZR16" s="217"/>
      <c r="WZS16" s="221"/>
      <c r="WZT16" s="222"/>
      <c r="WZU16" s="220"/>
      <c r="WZV16" s="220"/>
      <c r="WZW16" s="220"/>
      <c r="WZX16" s="220"/>
      <c r="WZY16" s="223"/>
      <c r="WZZ16" s="223"/>
      <c r="XAA16" s="223"/>
      <c r="XAB16" s="223"/>
      <c r="XAC16" s="223"/>
      <c r="XAD16" s="223"/>
      <c r="XAE16" s="223"/>
      <c r="XAF16" s="223"/>
      <c r="XAG16" s="223"/>
      <c r="XAH16" s="224"/>
      <c r="XAI16" s="225"/>
      <c r="XAJ16" s="226"/>
      <c r="XAK16" s="224"/>
      <c r="XAL16" s="225"/>
      <c r="XAM16" s="225"/>
      <c r="XAN16" s="227"/>
      <c r="XAO16" s="228"/>
      <c r="XAP16" s="228"/>
      <c r="XAQ16" s="229"/>
      <c r="XAR16" s="216"/>
      <c r="XAS16" s="219"/>
      <c r="XAT16" s="220"/>
      <c r="XAU16" s="217"/>
      <c r="XAV16" s="217"/>
      <c r="XAW16" s="217"/>
      <c r="XAX16" s="217"/>
      <c r="XAY16" s="217"/>
      <c r="XAZ16" s="221"/>
      <c r="XBA16" s="222"/>
      <c r="XBB16" s="220"/>
      <c r="XBC16" s="220"/>
      <c r="XBD16" s="220"/>
      <c r="XBE16" s="220"/>
      <c r="XBF16" s="223"/>
      <c r="XBG16" s="223"/>
      <c r="XBH16" s="223"/>
      <c r="XBI16" s="223"/>
      <c r="XBJ16" s="223"/>
      <c r="XBK16" s="223"/>
      <c r="XBL16" s="223"/>
      <c r="XBM16" s="223"/>
      <c r="XBN16" s="223"/>
      <c r="XBO16" s="224"/>
      <c r="XBP16" s="225"/>
      <c r="XBQ16" s="226"/>
      <c r="XBR16" s="224"/>
      <c r="XBS16" s="225"/>
      <c r="XBT16" s="225"/>
      <c r="XBU16" s="227"/>
      <c r="XBV16" s="228"/>
      <c r="XBW16" s="228"/>
      <c r="XBX16" s="229"/>
      <c r="XBY16" s="216"/>
      <c r="XBZ16" s="219"/>
      <c r="XCA16" s="220"/>
      <c r="XCB16" s="217"/>
      <c r="XCC16" s="217"/>
      <c r="XCD16" s="217"/>
      <c r="XCE16" s="217"/>
      <c r="XCF16" s="217"/>
      <c r="XCG16" s="221"/>
      <c r="XCH16" s="222"/>
      <c r="XCI16" s="220"/>
      <c r="XCJ16" s="220"/>
      <c r="XCK16" s="220"/>
      <c r="XCL16" s="220"/>
      <c r="XCM16" s="223"/>
      <c r="XCN16" s="223"/>
      <c r="XCO16" s="223"/>
      <c r="XCP16" s="223"/>
      <c r="XCQ16" s="223"/>
      <c r="XCR16" s="223"/>
      <c r="XCS16" s="223"/>
      <c r="XCT16" s="223"/>
      <c r="XCU16" s="223"/>
      <c r="XCV16" s="224"/>
      <c r="XCW16" s="225"/>
      <c r="XCX16" s="226"/>
      <c r="XCY16" s="224"/>
      <c r="XCZ16" s="225"/>
      <c r="XDA16" s="225"/>
      <c r="XDB16" s="227"/>
      <c r="XDC16" s="228"/>
      <c r="XDD16" s="228"/>
      <c r="XDE16" s="229"/>
      <c r="XDF16" s="216"/>
      <c r="XDG16" s="219"/>
      <c r="XDH16" s="220"/>
      <c r="XDI16" s="217"/>
      <c r="XDJ16" s="217"/>
      <c r="XDK16" s="217"/>
      <c r="XDL16" s="217"/>
      <c r="XDM16" s="217"/>
      <c r="XDN16" s="221"/>
      <c r="XDO16" s="222"/>
      <c r="XDP16" s="220"/>
      <c r="XDQ16" s="220"/>
      <c r="XDR16" s="220"/>
      <c r="XDS16" s="220"/>
      <c r="XDT16" s="223"/>
      <c r="XDU16" s="223"/>
      <c r="XDV16" s="223"/>
      <c r="XDW16" s="223"/>
      <c r="XDX16" s="223"/>
      <c r="XDY16" s="223"/>
      <c r="XDZ16" s="223"/>
      <c r="XEA16" s="223"/>
      <c r="XEB16" s="223"/>
      <c r="XEC16" s="224"/>
      <c r="XED16" s="225"/>
      <c r="XEE16" s="226"/>
      <c r="XEF16" s="224"/>
      <c r="XEG16" s="225"/>
      <c r="XEH16" s="225"/>
      <c r="XEI16" s="227"/>
      <c r="XEJ16" s="228"/>
      <c r="XEK16" s="228"/>
      <c r="XEL16" s="229"/>
      <c r="XEM16" s="216"/>
      <c r="XEN16" s="219"/>
      <c r="XEO16" s="220"/>
      <c r="XEP16" s="217"/>
      <c r="XEQ16" s="217"/>
      <c r="XER16" s="217"/>
      <c r="XES16" s="217"/>
      <c r="XET16" s="217"/>
      <c r="XEU16" s="221"/>
      <c r="XEV16" s="222"/>
      <c r="XEW16" s="220"/>
      <c r="XEX16" s="220"/>
      <c r="XEY16" s="220"/>
      <c r="XEZ16" s="220"/>
      <c r="XFA16" s="223"/>
      <c r="XFB16" s="223"/>
    </row>
  </sheetData>
  <pageMargins left="0.7" right="0.7" top="0.75" bottom="0.75" header="0.3" footer="0.3"/>
  <pageSetup orientation="portrait" verticalDpi="120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F2870-8FA1-4692-9955-700DA5B4726C}">
  <dimension ref="A1:S684"/>
  <sheetViews>
    <sheetView topLeftCell="A55" workbookViewId="0">
      <selection activeCell="A222" sqref="A222"/>
    </sheetView>
  </sheetViews>
  <sheetFormatPr defaultRowHeight="15" outlineLevelRow="1" x14ac:dyDescent="0.25"/>
  <cols>
    <col min="1" max="1" width="16.140625" style="54" customWidth="1"/>
    <col min="2" max="2" width="70" customWidth="1"/>
    <col min="3" max="3" width="26.28515625" style="2" bestFit="1" customWidth="1"/>
    <col min="4" max="4" width="22.140625" customWidth="1"/>
    <col min="5" max="5" width="29.5703125" bestFit="1" customWidth="1"/>
    <col min="6" max="6" width="12.7109375" bestFit="1" customWidth="1"/>
    <col min="7" max="7" width="18.140625" style="2" bestFit="1" customWidth="1"/>
    <col min="8" max="8" width="17.140625" bestFit="1" customWidth="1"/>
    <col min="9" max="9" width="12.42578125" bestFit="1" customWidth="1"/>
    <col min="10" max="10" width="3.5703125" customWidth="1"/>
    <col min="11" max="11" width="12" style="54" customWidth="1"/>
    <col min="12" max="12" width="36.42578125" customWidth="1"/>
    <col min="13" max="13" width="12.5703125" style="2" bestFit="1" customWidth="1"/>
    <col min="16" max="16" width="11.5703125" bestFit="1" customWidth="1"/>
    <col min="17" max="17" width="26.28515625" style="2" customWidth="1"/>
    <col min="18" max="18" width="12.5703125" bestFit="1" customWidth="1"/>
    <col min="19" max="19" width="10.5703125" bestFit="1" customWidth="1"/>
  </cols>
  <sheetData>
    <row r="1" spans="1:19" x14ac:dyDescent="0.25">
      <c r="A1" s="54" t="s">
        <v>767</v>
      </c>
      <c r="K1" s="54" t="s">
        <v>768</v>
      </c>
    </row>
    <row r="2" spans="1:19" x14ac:dyDescent="0.25">
      <c r="A2" s="106" t="s">
        <v>14</v>
      </c>
      <c r="B2" s="106"/>
      <c r="C2" s="111">
        <f>VLOOKUP(A2,'FY24 Service Agreements'!$A:$AF,31,FALSE)</f>
        <v>45444</v>
      </c>
      <c r="D2" s="106"/>
      <c r="E2" s="106" t="s">
        <v>769</v>
      </c>
      <c r="F2" s="106"/>
      <c r="G2" s="114"/>
      <c r="H2" s="123" t="str">
        <f>VLOOKUP($A2,'FY24 Service Agreements'!$A:$AD,27,FALSE)</f>
        <v>P23000336</v>
      </c>
      <c r="I2" s="123" t="str">
        <f>VLOOKUP($A2,'FY24 Service Agreements'!$A:$AD,30,FALSE)</f>
        <v>P24004070</v>
      </c>
      <c r="K2" s="106" t="s">
        <v>770</v>
      </c>
      <c r="L2" s="106"/>
      <c r="M2" s="123" t="e">
        <f>VLOOKUP(K2,'Storeroom Blankets'!A:Z,27,FALSE)</f>
        <v>#N/A</v>
      </c>
      <c r="N2" s="106"/>
      <c r="O2" s="175" t="s">
        <v>771</v>
      </c>
      <c r="P2" s="106" t="s">
        <v>772</v>
      </c>
      <c r="Q2" s="175" t="s">
        <v>773</v>
      </c>
      <c r="R2" s="123" t="e">
        <f>VLOOKUP($K2,'Storeroom Blankets'!$A:$Z,25,FALSE)</f>
        <v>#N/A</v>
      </c>
      <c r="S2" s="123" t="e">
        <f>VLOOKUP($K2,'Storeroom Blankets'!$A:$Z,26,FALSE)</f>
        <v>#N/A</v>
      </c>
    </row>
    <row r="3" spans="1:19" x14ac:dyDescent="0.25">
      <c r="B3" t="s">
        <v>774</v>
      </c>
      <c r="C3" s="361">
        <v>9500</v>
      </c>
      <c r="K3" t="s">
        <v>775</v>
      </c>
    </row>
    <row r="4" spans="1:19" x14ac:dyDescent="0.25">
      <c r="B4" t="s">
        <v>776</v>
      </c>
      <c r="C4" s="361">
        <v>7500</v>
      </c>
      <c r="G4" s="103"/>
      <c r="H4" s="40"/>
      <c r="I4" s="40"/>
      <c r="L4" t="s">
        <v>777</v>
      </c>
    </row>
    <row r="5" spans="1:19" x14ac:dyDescent="0.25">
      <c r="B5" s="291" t="s">
        <v>778</v>
      </c>
      <c r="C5" s="290">
        <v>7500</v>
      </c>
      <c r="L5" s="52" t="s">
        <v>779</v>
      </c>
    </row>
    <row r="6" spans="1:19" x14ac:dyDescent="0.25">
      <c r="B6" t="s">
        <v>780</v>
      </c>
      <c r="C6" s="119">
        <f>+SUM(C3:C5)</f>
        <v>24500</v>
      </c>
      <c r="L6" t="s">
        <v>781</v>
      </c>
    </row>
    <row r="7" spans="1:19" x14ac:dyDescent="0.25">
      <c r="L7" t="s">
        <v>782</v>
      </c>
    </row>
    <row r="8" spans="1:19" x14ac:dyDescent="0.25">
      <c r="B8" s="192" t="s">
        <v>783</v>
      </c>
      <c r="C8" s="193" t="s">
        <v>784</v>
      </c>
      <c r="D8" s="192" t="s">
        <v>785</v>
      </c>
      <c r="L8" t="s">
        <v>786</v>
      </c>
    </row>
    <row r="9" spans="1:19" x14ac:dyDescent="0.25">
      <c r="B9" t="s">
        <v>787</v>
      </c>
      <c r="C9" s="178">
        <v>375</v>
      </c>
      <c r="D9" t="s">
        <v>788</v>
      </c>
      <c r="F9" s="139"/>
      <c r="L9" t="s">
        <v>789</v>
      </c>
      <c r="Q9" s="187"/>
    </row>
    <row r="10" spans="1:19" x14ac:dyDescent="0.25">
      <c r="A10"/>
      <c r="B10" t="s">
        <v>790</v>
      </c>
      <c r="C10" s="360">
        <v>249</v>
      </c>
      <c r="D10" t="s">
        <v>791</v>
      </c>
      <c r="G10"/>
      <c r="L10" t="s">
        <v>792</v>
      </c>
    </row>
    <row r="11" spans="1:19" x14ac:dyDescent="0.25">
      <c r="B11" t="s">
        <v>793</v>
      </c>
      <c r="C11" s="360">
        <v>179</v>
      </c>
      <c r="D11" t="s">
        <v>794</v>
      </c>
      <c r="L11" t="s">
        <v>795</v>
      </c>
    </row>
    <row r="12" spans="1:19" x14ac:dyDescent="0.25">
      <c r="B12" t="s">
        <v>796</v>
      </c>
      <c r="C12" s="360">
        <v>149</v>
      </c>
      <c r="D12" t="s">
        <v>797</v>
      </c>
      <c r="L12" t="s">
        <v>798</v>
      </c>
    </row>
    <row r="13" spans="1:19" x14ac:dyDescent="0.25">
      <c r="B13" t="s">
        <v>799</v>
      </c>
      <c r="C13" s="360">
        <v>149</v>
      </c>
      <c r="D13" t="s">
        <v>797</v>
      </c>
      <c r="L13" s="54" t="s">
        <v>800</v>
      </c>
      <c r="M13" s="120">
        <f>SUM(M4:M12)</f>
        <v>0</v>
      </c>
    </row>
    <row r="14" spans="1:19" x14ac:dyDescent="0.25">
      <c r="B14" t="s">
        <v>801</v>
      </c>
      <c r="C14" s="178">
        <v>149</v>
      </c>
      <c r="D14" t="s">
        <v>797</v>
      </c>
    </row>
    <row r="15" spans="1:19" x14ac:dyDescent="0.25">
      <c r="B15" t="s">
        <v>802</v>
      </c>
      <c r="C15" s="178">
        <v>875</v>
      </c>
      <c r="D15" t="s">
        <v>803</v>
      </c>
    </row>
    <row r="16" spans="1:19" x14ac:dyDescent="0.25">
      <c r="B16" t="s">
        <v>804</v>
      </c>
      <c r="C16" s="360">
        <v>295</v>
      </c>
      <c r="D16" t="s">
        <v>805</v>
      </c>
    </row>
    <row r="17" spans="2:19" x14ac:dyDescent="0.25">
      <c r="B17" t="s">
        <v>806</v>
      </c>
      <c r="C17" s="360">
        <v>875</v>
      </c>
      <c r="D17" t="s">
        <v>807</v>
      </c>
    </row>
    <row r="18" spans="2:19" x14ac:dyDescent="0.25">
      <c r="B18" t="s">
        <v>808</v>
      </c>
      <c r="C18" s="360">
        <v>179</v>
      </c>
      <c r="D18" t="s">
        <v>809</v>
      </c>
    </row>
    <row r="19" spans="2:19" x14ac:dyDescent="0.25">
      <c r="B19" t="s">
        <v>810</v>
      </c>
      <c r="C19" s="360">
        <v>1150</v>
      </c>
      <c r="D19" t="s">
        <v>811</v>
      </c>
      <c r="K19" s="106" t="s">
        <v>770</v>
      </c>
      <c r="L19" s="106"/>
      <c r="M19" s="123" t="e">
        <f>VLOOKUP(K19,'Storeroom Blankets'!A:Z,27,FALSE)</f>
        <v>#N/A</v>
      </c>
      <c r="N19" s="106"/>
      <c r="O19" s="175" t="s">
        <v>771</v>
      </c>
      <c r="P19" s="106" t="s">
        <v>772</v>
      </c>
      <c r="Q19" s="175" t="s">
        <v>773</v>
      </c>
      <c r="R19" s="123" t="e">
        <f>VLOOKUP($K19,'Storeroom Blankets'!$A:$Z,25,FALSE)</f>
        <v>#N/A</v>
      </c>
      <c r="S19" s="123" t="e">
        <f>VLOOKUP($K19,'Storeroom Blankets'!$A:$Z,26,FALSE)</f>
        <v>#N/A</v>
      </c>
    </row>
    <row r="20" spans="2:19" x14ac:dyDescent="0.25">
      <c r="B20" t="s">
        <v>812</v>
      </c>
      <c r="C20" s="360">
        <v>350</v>
      </c>
      <c r="D20" t="s">
        <v>813</v>
      </c>
      <c r="K20" t="s">
        <v>814</v>
      </c>
    </row>
    <row r="21" spans="2:19" x14ac:dyDescent="0.25">
      <c r="B21" s="291" t="s">
        <v>815</v>
      </c>
      <c r="C21" s="362">
        <v>375</v>
      </c>
      <c r="D21" t="s">
        <v>816</v>
      </c>
      <c r="L21" t="s">
        <v>795</v>
      </c>
      <c r="M21" s="2">
        <v>2172.98</v>
      </c>
    </row>
    <row r="22" spans="2:19" x14ac:dyDescent="0.25">
      <c r="C22" s="323">
        <f>SUM(C9:C21)</f>
        <v>5349</v>
      </c>
      <c r="L22" t="s">
        <v>798</v>
      </c>
      <c r="M22" s="2">
        <v>843.94</v>
      </c>
    </row>
    <row r="23" spans="2:19" x14ac:dyDescent="0.25">
      <c r="K23"/>
      <c r="M23" s="2">
        <f>SUM(M21:M22)</f>
        <v>3016.92</v>
      </c>
    </row>
    <row r="24" spans="2:19" ht="14.25" customHeight="1" x14ac:dyDescent="0.25">
      <c r="B24" s="322" t="s">
        <v>1975</v>
      </c>
      <c r="C24" s="321">
        <f>+C22+C6</f>
        <v>29849</v>
      </c>
      <c r="K24"/>
    </row>
    <row r="25" spans="2:19" x14ac:dyDescent="0.25">
      <c r="K25"/>
    </row>
    <row r="26" spans="2:19" x14ac:dyDescent="0.25">
      <c r="C26" s="178"/>
      <c r="K26"/>
    </row>
    <row r="27" spans="2:19" x14ac:dyDescent="0.25">
      <c r="C27" s="178"/>
      <c r="K27"/>
    </row>
    <row r="28" spans="2:19" x14ac:dyDescent="0.25">
      <c r="C28" s="178"/>
      <c r="K28"/>
    </row>
    <row r="29" spans="2:19" x14ac:dyDescent="0.25">
      <c r="C29" s="178"/>
      <c r="K29"/>
    </row>
    <row r="30" spans="2:19" x14ac:dyDescent="0.25">
      <c r="C30" s="178"/>
      <c r="K30"/>
    </row>
    <row r="31" spans="2:19" x14ac:dyDescent="0.25">
      <c r="K31"/>
    </row>
    <row r="33" spans="1:19" x14ac:dyDescent="0.25">
      <c r="A33" s="183" t="s">
        <v>208</v>
      </c>
      <c r="B33" s="184"/>
      <c r="C33" s="245" t="e">
        <f>VLOOKUP(A33,'FY24 Service Agreements'!$A:$AF,29,FALSE)</f>
        <v>#N/A</v>
      </c>
      <c r="D33" s="246"/>
      <c r="E33" s="246" t="s">
        <v>769</v>
      </c>
      <c r="F33" s="246"/>
      <c r="G33" s="185"/>
      <c r="H33" s="247" t="e">
        <f>VLOOKUP($A33,'FY24 Service Agreements'!$A:$AD,27,FALSE)</f>
        <v>#N/A</v>
      </c>
      <c r="I33" s="247" t="e">
        <f>VLOOKUP($A33,'FY24 Service Agreements'!$A:$AD,28,FALSE)</f>
        <v>#N/A</v>
      </c>
      <c r="K33" s="108" t="s">
        <v>826</v>
      </c>
      <c r="L33" s="108"/>
      <c r="M33" s="122" t="e">
        <f>VLOOKUP(K33,'Storeroom Blankets'!A:Z,27,FALSE)</f>
        <v>#N/A</v>
      </c>
      <c r="N33" s="108"/>
      <c r="O33" s="280" t="s">
        <v>771</v>
      </c>
      <c r="P33" s="108" t="s">
        <v>772</v>
      </c>
      <c r="Q33" s="280" t="s">
        <v>773</v>
      </c>
      <c r="R33" s="122" t="e">
        <f>VLOOKUP($K33,'Storeroom Blankets'!$A:$Z,25,FALSE)</f>
        <v>#N/A</v>
      </c>
      <c r="S33" s="122" t="e">
        <f>VLOOKUP($K33,'Storeroom Blankets'!$A:$Z,26,FALSE)</f>
        <v>#N/A</v>
      </c>
    </row>
    <row r="34" spans="1:19" x14ac:dyDescent="0.25">
      <c r="A34" t="s">
        <v>817</v>
      </c>
      <c r="B34" t="s">
        <v>818</v>
      </c>
      <c r="C34" s="457">
        <v>55</v>
      </c>
      <c r="D34" s="139">
        <f>C34*12</f>
        <v>660</v>
      </c>
      <c r="E34" s="186"/>
      <c r="F34" t="s">
        <v>819</v>
      </c>
      <c r="G34" s="187"/>
      <c r="H34" s="188"/>
      <c r="I34" s="188"/>
      <c r="L34" t="s">
        <v>827</v>
      </c>
      <c r="M34" s="2">
        <v>591.4</v>
      </c>
      <c r="N34" s="142" t="s">
        <v>828</v>
      </c>
    </row>
    <row r="35" spans="1:19" x14ac:dyDescent="0.25">
      <c r="B35" t="s">
        <v>820</v>
      </c>
      <c r="C35" s="454">
        <v>55</v>
      </c>
      <c r="D35" s="139">
        <f>C35*12</f>
        <v>660</v>
      </c>
      <c r="F35" t="s">
        <v>821</v>
      </c>
      <c r="L35" t="s">
        <v>829</v>
      </c>
      <c r="M35" s="2">
        <v>808.22</v>
      </c>
      <c r="N35" s="142" t="s">
        <v>830</v>
      </c>
    </row>
    <row r="36" spans="1:19" x14ac:dyDescent="0.25">
      <c r="L36" t="s">
        <v>834</v>
      </c>
      <c r="M36" s="2">
        <v>713.14</v>
      </c>
      <c r="N36" s="142" t="s">
        <v>835</v>
      </c>
    </row>
    <row r="37" spans="1:19" x14ac:dyDescent="0.25">
      <c r="A37" s="115" t="s">
        <v>22</v>
      </c>
      <c r="B37" s="115"/>
      <c r="C37" s="121">
        <f>VLOOKUP(A37,'FY24 Service Agreements'!$A:$AF,31,FALSE)</f>
        <v>45444</v>
      </c>
      <c r="D37" s="115"/>
      <c r="E37" s="333" t="s">
        <v>769</v>
      </c>
      <c r="F37" s="115" t="s">
        <v>772</v>
      </c>
      <c r="G37" s="283" t="s">
        <v>822</v>
      </c>
      <c r="H37" s="121">
        <f>VLOOKUP($A37,'FY24 Service Agreements'!$A:$AD,29,FALSE)</f>
        <v>45473</v>
      </c>
      <c r="I37" s="121" t="str">
        <f>VLOOKUP($A44,'FY24 Service Agreements'!$A:$AD,30,FALSE)</f>
        <v>P24000969</v>
      </c>
      <c r="L37" t="s">
        <v>838</v>
      </c>
      <c r="M37" s="2">
        <v>639.67999999999995</v>
      </c>
      <c r="N37" s="142" t="s">
        <v>839</v>
      </c>
    </row>
    <row r="38" spans="1:19" x14ac:dyDescent="0.25">
      <c r="B38" t="s">
        <v>823</v>
      </c>
      <c r="L38" t="s">
        <v>842</v>
      </c>
      <c r="M38" s="2">
        <v>281.22000000000003</v>
      </c>
      <c r="N38" s="142" t="s">
        <v>843</v>
      </c>
    </row>
    <row r="39" spans="1:19" x14ac:dyDescent="0.25">
      <c r="B39" t="s">
        <v>824</v>
      </c>
    </row>
    <row r="41" spans="1:19" x14ac:dyDescent="0.25">
      <c r="A41" s="108" t="s">
        <v>30</v>
      </c>
      <c r="B41" s="248"/>
      <c r="C41" s="249">
        <f>VLOOKUP(A41,'FY24 Service Agreements'!$A:$AF,31,FALSE)</f>
        <v>45444</v>
      </c>
      <c r="D41" s="250"/>
      <c r="E41" s="250" t="s">
        <v>769</v>
      </c>
      <c r="F41" s="250"/>
      <c r="G41" s="286" t="s">
        <v>822</v>
      </c>
      <c r="H41" s="252">
        <f>VLOOKUP($A41,'FY24 Service Agreements'!$A:$AD,29,FALSE)</f>
        <v>45473</v>
      </c>
      <c r="I41" s="252" t="str">
        <f>VLOOKUP($A41,'FY24 Service Agreements'!$A:$AD,30,FALSE)</f>
        <v>P23055119</v>
      </c>
    </row>
    <row r="42" spans="1:19" x14ac:dyDescent="0.25">
      <c r="A42" s="186"/>
      <c r="B42" t="s">
        <v>825</v>
      </c>
      <c r="C42" s="2">
        <v>120</v>
      </c>
      <c r="D42" s="186"/>
      <c r="E42" s="186"/>
      <c r="F42" s="186"/>
      <c r="G42" s="194"/>
      <c r="H42" s="195"/>
      <c r="I42" s="195"/>
    </row>
    <row r="43" spans="1:19" x14ac:dyDescent="0.25">
      <c r="K43" s="107" t="s">
        <v>848</v>
      </c>
      <c r="L43" s="107"/>
      <c r="M43" s="113" t="e">
        <f>VLOOKUP(K43,'Storeroom Blankets'!A:Z,27,FALSE)</f>
        <v>#N/A</v>
      </c>
      <c r="N43" s="107"/>
      <c r="O43" s="281" t="s">
        <v>771</v>
      </c>
      <c r="P43" s="107" t="s">
        <v>772</v>
      </c>
      <c r="Q43" s="281" t="s">
        <v>773</v>
      </c>
      <c r="R43" s="113" t="e">
        <f>VLOOKUP($K43,'Storeroom Blankets'!$A:$Z,25,FALSE)</f>
        <v>#N/A</v>
      </c>
      <c r="S43" s="113" t="e">
        <f>VLOOKUP($K43,'Storeroom Blankets'!$A:$Z,26,FALSE)</f>
        <v>#N/A</v>
      </c>
    </row>
    <row r="44" spans="1:19" x14ac:dyDescent="0.25">
      <c r="A44" s="107" t="s">
        <v>36</v>
      </c>
      <c r="B44" s="107"/>
      <c r="C44" s="253">
        <f>VLOOKUP(A44,'FY24 Service Agreements'!$A:$AF,31,FALSE)</f>
        <v>45444</v>
      </c>
      <c r="D44" s="254"/>
      <c r="E44" s="254" t="s">
        <v>769</v>
      </c>
      <c r="F44" s="254"/>
      <c r="G44" s="255"/>
      <c r="H44" s="256" t="str">
        <f>VLOOKUP($A44,'FY24 Service Agreements'!$A:$AD,27,FALSE)</f>
        <v>P23000360</v>
      </c>
      <c r="I44" s="256" t="str">
        <f>VLOOKUP($A44,'FY24 Service Agreements'!$A:$AD,30,FALSE)</f>
        <v>P24000969</v>
      </c>
      <c r="L44" t="s">
        <v>849</v>
      </c>
      <c r="M44" s="2">
        <v>29500</v>
      </c>
    </row>
    <row r="45" spans="1:19" x14ac:dyDescent="0.25">
      <c r="B45" t="s">
        <v>831</v>
      </c>
      <c r="C45" s="2">
        <v>165</v>
      </c>
      <c r="D45" t="s">
        <v>832</v>
      </c>
      <c r="F45" s="503" t="s">
        <v>833</v>
      </c>
      <c r="G45" s="503"/>
      <c r="H45" s="503"/>
      <c r="I45" s="503"/>
      <c r="L45" t="s">
        <v>851</v>
      </c>
      <c r="M45" s="2">
        <v>29500</v>
      </c>
      <c r="N45" s="40" t="s">
        <v>852</v>
      </c>
    </row>
    <row r="46" spans="1:19" x14ac:dyDescent="0.25">
      <c r="B46" t="s">
        <v>836</v>
      </c>
      <c r="C46" s="2">
        <v>82.5</v>
      </c>
      <c r="D46" t="s">
        <v>837</v>
      </c>
      <c r="F46" s="503"/>
      <c r="G46" s="503"/>
      <c r="H46" s="503"/>
      <c r="I46" s="503"/>
      <c r="L46" t="s">
        <v>854</v>
      </c>
      <c r="M46" s="2">
        <v>29500</v>
      </c>
      <c r="N46" s="40" t="s">
        <v>852</v>
      </c>
    </row>
    <row r="47" spans="1:19" x14ac:dyDescent="0.25">
      <c r="B47" t="s">
        <v>840</v>
      </c>
      <c r="C47" s="2">
        <v>495</v>
      </c>
      <c r="D47" t="s">
        <v>832</v>
      </c>
      <c r="F47" s="503" t="s">
        <v>841</v>
      </c>
      <c r="G47" s="503"/>
      <c r="H47" s="503"/>
      <c r="I47" s="503"/>
    </row>
    <row r="48" spans="1:19" x14ac:dyDescent="0.25">
      <c r="B48" t="s">
        <v>844</v>
      </c>
      <c r="C48" s="2">
        <v>123.75</v>
      </c>
      <c r="D48" t="s">
        <v>837</v>
      </c>
      <c r="F48" s="503"/>
      <c r="G48" s="503"/>
      <c r="H48" s="503"/>
      <c r="I48" s="503"/>
      <c r="K48" s="104" t="s">
        <v>564</v>
      </c>
      <c r="L48" s="104"/>
      <c r="M48" s="124" t="e">
        <f>VLOOKUP(K48,'Storeroom Blankets'!A:Z,27,FALSE)</f>
        <v>#N/A</v>
      </c>
      <c r="N48" s="104"/>
      <c r="O48" s="282" t="s">
        <v>771</v>
      </c>
      <c r="P48" s="104" t="s">
        <v>772</v>
      </c>
      <c r="Q48" s="282" t="s">
        <v>773</v>
      </c>
      <c r="R48" s="124" t="e">
        <f>VLOOKUP($K48,'Storeroom Blankets'!$A:$Z,25,FALSE)</f>
        <v>#N/A</v>
      </c>
      <c r="S48" s="124" t="e">
        <f>VLOOKUP($K48,'Storeroom Blankets'!$A:$Z,26,FALSE)</f>
        <v>#N/A</v>
      </c>
    </row>
    <row r="49" spans="1:19" x14ac:dyDescent="0.25">
      <c r="B49" t="s">
        <v>845</v>
      </c>
      <c r="C49" s="2">
        <v>660</v>
      </c>
      <c r="D49" t="s">
        <v>832</v>
      </c>
      <c r="F49" s="503" t="s">
        <v>846</v>
      </c>
      <c r="G49" s="503"/>
      <c r="H49" s="503"/>
      <c r="I49" s="503"/>
      <c r="L49" t="s">
        <v>856</v>
      </c>
      <c r="M49" s="2">
        <v>216541.92</v>
      </c>
      <c r="N49" s="142" t="s">
        <v>857</v>
      </c>
    </row>
    <row r="50" spans="1:19" x14ac:dyDescent="0.25">
      <c r="B50" t="s">
        <v>845</v>
      </c>
      <c r="C50" s="2">
        <v>165</v>
      </c>
      <c r="D50" t="s">
        <v>837</v>
      </c>
      <c r="F50" s="503"/>
      <c r="G50" s="503"/>
      <c r="H50" s="503"/>
      <c r="I50" s="503"/>
    </row>
    <row r="51" spans="1:19" x14ac:dyDescent="0.25">
      <c r="K51" s="115" t="s">
        <v>860</v>
      </c>
      <c r="L51" s="115"/>
      <c r="M51" s="121" t="e">
        <f>VLOOKUP(K51,'Storeroom Blankets'!A:Z,27,FALSE)</f>
        <v>#N/A</v>
      </c>
      <c r="N51" s="115"/>
      <c r="O51" s="283" t="s">
        <v>771</v>
      </c>
      <c r="P51" s="115" t="s">
        <v>772</v>
      </c>
      <c r="Q51" s="283" t="s">
        <v>773</v>
      </c>
      <c r="R51" s="121" t="e">
        <f>VLOOKUP($K51,'Storeroom Blankets'!$A:$Z,25,FALSE)</f>
        <v>#N/A</v>
      </c>
      <c r="S51" s="121" t="e">
        <f>VLOOKUP($K51,'Storeroom Blankets'!$A:$Z,26,FALSE)</f>
        <v>#N/A</v>
      </c>
    </row>
    <row r="52" spans="1:19" x14ac:dyDescent="0.25">
      <c r="B52" t="s">
        <v>1976</v>
      </c>
      <c r="C52" s="454">
        <v>10000</v>
      </c>
      <c r="L52" t="s">
        <v>863</v>
      </c>
      <c r="M52" s="2">
        <v>2500</v>
      </c>
      <c r="N52" t="s">
        <v>864</v>
      </c>
      <c r="P52" s="139">
        <f>M52*12</f>
        <v>30000</v>
      </c>
    </row>
    <row r="53" spans="1:19" x14ac:dyDescent="0.25">
      <c r="L53" t="s">
        <v>865</v>
      </c>
      <c r="M53" s="2">
        <v>1000</v>
      </c>
      <c r="N53" t="s">
        <v>864</v>
      </c>
      <c r="P53" s="139">
        <f>M53*12</f>
        <v>12000</v>
      </c>
    </row>
    <row r="54" spans="1:19" x14ac:dyDescent="0.25">
      <c r="A54" s="104" t="s">
        <v>34</v>
      </c>
      <c r="B54" s="104"/>
      <c r="C54" s="105" t="e">
        <f>VLOOKUP(A54,'FY24 Service Agreements'!$A:$AF,31,FALSE)</f>
        <v>#N/A</v>
      </c>
      <c r="D54" s="104"/>
      <c r="E54" s="104" t="s">
        <v>769</v>
      </c>
      <c r="F54" s="104" t="s">
        <v>850</v>
      </c>
      <c r="G54" s="287" t="s">
        <v>822</v>
      </c>
      <c r="H54" s="124" t="e">
        <f>VLOOKUP($A54,'FY24 Service Agreements'!$A:$AD,27,FALSE)</f>
        <v>#N/A</v>
      </c>
      <c r="I54" s="124" t="e">
        <f>VLOOKUP($A54,'FY24 Service Agreements'!$A:$AD,28,FALSE)</f>
        <v>#N/A</v>
      </c>
      <c r="L54" t="s">
        <v>867</v>
      </c>
      <c r="M54" s="2">
        <v>4000</v>
      </c>
      <c r="P54" s="139">
        <f>M54</f>
        <v>4000</v>
      </c>
    </row>
    <row r="55" spans="1:19" x14ac:dyDescent="0.25">
      <c r="B55" t="s">
        <v>853</v>
      </c>
      <c r="C55" s="2">
        <v>5000</v>
      </c>
      <c r="L55" s="54" t="s">
        <v>868</v>
      </c>
      <c r="M55" s="120">
        <f>SUM(M52:M54)</f>
        <v>7500</v>
      </c>
      <c r="N55" s="54"/>
      <c r="O55" s="176" t="s">
        <v>869</v>
      </c>
      <c r="P55" s="177">
        <f>SUM(P52:P54)</f>
        <v>46000</v>
      </c>
    </row>
    <row r="56" spans="1:19" x14ac:dyDescent="0.25">
      <c r="B56" t="s">
        <v>855</v>
      </c>
    </row>
    <row r="58" spans="1:19" x14ac:dyDescent="0.25">
      <c r="A58" s="389" t="s">
        <v>435</v>
      </c>
      <c r="B58" s="389"/>
      <c r="C58" s="390">
        <f>VLOOKUP(A58,'Service Agreements'!$A:$AI,22,FALSE)</f>
        <v>3000</v>
      </c>
      <c r="D58" s="389"/>
      <c r="E58" s="389" t="s">
        <v>769</v>
      </c>
      <c r="F58" s="389" t="s">
        <v>850</v>
      </c>
      <c r="G58" s="391" t="s">
        <v>822</v>
      </c>
      <c r="H58" s="392" t="str">
        <f>VLOOKUP($A58,'Service Agreements'!$A:$AG,30,FALSE)</f>
        <v>P25019504</v>
      </c>
      <c r="I58" s="392" t="str">
        <f>VLOOKUP($A58,'Service Agreements'!$A:$AG,29,FALSE)</f>
        <v>P24019269</v>
      </c>
    </row>
    <row r="60" spans="1:19" x14ac:dyDescent="0.25">
      <c r="B60" t="s">
        <v>1977</v>
      </c>
      <c r="C60" s="2">
        <v>2839.85</v>
      </c>
    </row>
    <row r="62" spans="1:19" x14ac:dyDescent="0.25">
      <c r="A62" s="104" t="s">
        <v>444</v>
      </c>
      <c r="B62" s="104"/>
      <c r="C62" s="105">
        <f>VLOOKUP(A62,'Service Agreements'!$A:$AI,22,FALSE)</f>
        <v>250000</v>
      </c>
      <c r="D62" s="104"/>
      <c r="E62" s="104" t="s">
        <v>769</v>
      </c>
      <c r="F62" s="104" t="s">
        <v>850</v>
      </c>
      <c r="G62" s="287" t="s">
        <v>822</v>
      </c>
      <c r="H62" s="124" t="str">
        <f>VLOOKUP($A62,'Service Agreements'!$A:$AG,30,FALSE)</f>
        <v>P24063910</v>
      </c>
      <c r="I62" s="124" t="str">
        <f>VLOOKUP($A62,'Service Agreements'!$A:$AG,29,FALSE)</f>
        <v>P24002247</v>
      </c>
    </row>
    <row r="63" spans="1:19" x14ac:dyDescent="0.25">
      <c r="A63"/>
      <c r="B63" t="s">
        <v>1978</v>
      </c>
      <c r="C63"/>
      <c r="G63"/>
      <c r="K63"/>
      <c r="M63"/>
      <c r="Q63"/>
    </row>
    <row r="64" spans="1:19" x14ac:dyDescent="0.25">
      <c r="C64" s="13"/>
    </row>
    <row r="65" spans="2:3" x14ac:dyDescent="0.25">
      <c r="B65" t="s">
        <v>1979</v>
      </c>
      <c r="C65" s="2">
        <v>86465.22</v>
      </c>
    </row>
    <row r="66" spans="2:3" x14ac:dyDescent="0.25">
      <c r="B66" t="s">
        <v>1980</v>
      </c>
      <c r="C66" s="2">
        <v>14842.43</v>
      </c>
    </row>
    <row r="67" spans="2:3" x14ac:dyDescent="0.25">
      <c r="B67" t="s">
        <v>1981</v>
      </c>
      <c r="C67" s="2">
        <v>13399.8</v>
      </c>
    </row>
    <row r="68" spans="2:3" x14ac:dyDescent="0.25">
      <c r="B68" t="s">
        <v>1468</v>
      </c>
      <c r="C68" s="2">
        <v>7124.29</v>
      </c>
    </row>
    <row r="69" spans="2:3" x14ac:dyDescent="0.25">
      <c r="B69" t="s">
        <v>1982</v>
      </c>
      <c r="C69" s="2">
        <v>4452.7299999999996</v>
      </c>
    </row>
    <row r="70" spans="2:3" x14ac:dyDescent="0.25">
      <c r="B70" t="s">
        <v>1983</v>
      </c>
      <c r="C70" s="2">
        <v>13256.73</v>
      </c>
    </row>
    <row r="71" spans="2:3" x14ac:dyDescent="0.25">
      <c r="B71" t="s">
        <v>1984</v>
      </c>
      <c r="C71" s="2">
        <v>28771.29</v>
      </c>
    </row>
    <row r="72" spans="2:3" x14ac:dyDescent="0.25">
      <c r="B72" t="s">
        <v>1985</v>
      </c>
      <c r="C72" s="2">
        <v>2344.7399999999998</v>
      </c>
    </row>
    <row r="73" spans="2:3" x14ac:dyDescent="0.25">
      <c r="B73" t="s">
        <v>1986</v>
      </c>
      <c r="C73" s="2">
        <v>16234.98</v>
      </c>
    </row>
    <row r="74" spans="2:3" x14ac:dyDescent="0.25">
      <c r="B74" t="s">
        <v>789</v>
      </c>
      <c r="C74" s="2">
        <v>20814.080000000002</v>
      </c>
    </row>
    <row r="75" spans="2:3" x14ac:dyDescent="0.25">
      <c r="B75" t="s">
        <v>792</v>
      </c>
      <c r="C75" s="2">
        <v>653.04999999999995</v>
      </c>
    </row>
    <row r="76" spans="2:3" x14ac:dyDescent="0.25">
      <c r="B76" t="s">
        <v>1987</v>
      </c>
      <c r="C76" s="112">
        <v>6151.65</v>
      </c>
    </row>
    <row r="77" spans="2:3" x14ac:dyDescent="0.25">
      <c r="C77" s="112"/>
    </row>
    <row r="78" spans="2:3" x14ac:dyDescent="0.25">
      <c r="B78" t="s">
        <v>1988</v>
      </c>
      <c r="C78" s="2">
        <v>9302.2199999999993</v>
      </c>
    </row>
    <row r="79" spans="2:3" x14ac:dyDescent="0.25">
      <c r="B79" t="s">
        <v>1989</v>
      </c>
      <c r="C79" s="2">
        <v>1860.44</v>
      </c>
    </row>
    <row r="80" spans="2:3" x14ac:dyDescent="0.25">
      <c r="B80" s="386" t="s">
        <v>1990</v>
      </c>
      <c r="C80" s="387">
        <v>2088.67</v>
      </c>
    </row>
    <row r="81" spans="1:9" x14ac:dyDescent="0.25">
      <c r="C81" s="112"/>
    </row>
    <row r="82" spans="1:9" x14ac:dyDescent="0.25">
      <c r="B82" s="54" t="s">
        <v>780</v>
      </c>
      <c r="C82" s="119">
        <f>+SUM(C65:C80)</f>
        <v>227762.31999999998</v>
      </c>
    </row>
    <row r="83" spans="1:9" x14ac:dyDescent="0.25">
      <c r="B83" s="388"/>
      <c r="C83" s="119"/>
    </row>
    <row r="84" spans="1:9" x14ac:dyDescent="0.25">
      <c r="C84" s="103"/>
    </row>
    <row r="85" spans="1:9" x14ac:dyDescent="0.25">
      <c r="A85" s="117" t="s">
        <v>456</v>
      </c>
      <c r="B85" s="117"/>
      <c r="C85" s="118">
        <f>VLOOKUP(A85,'Service Agreements'!$A:$AI,22,FALSE)</f>
        <v>24760</v>
      </c>
      <c r="D85" s="117"/>
      <c r="E85" s="117" t="s">
        <v>769</v>
      </c>
      <c r="F85" s="159" t="s">
        <v>1092</v>
      </c>
      <c r="G85" s="163" t="s">
        <v>1991</v>
      </c>
      <c r="H85" s="125" t="str">
        <f>VLOOKUP($A85,'Service Agreements'!$A:$AG,30,FALSE)</f>
        <v>P22052202</v>
      </c>
      <c r="I85" s="125" t="str">
        <f>VLOOKUP($A85,'Service Agreements'!$A:$AG,29,FALSE)</f>
        <v>P22052202</v>
      </c>
    </row>
    <row r="86" spans="1:9" x14ac:dyDescent="0.25">
      <c r="C86" s="2">
        <f>(F86*12)+(G86*2)</f>
        <v>8125.73</v>
      </c>
      <c r="E86" t="s">
        <v>858</v>
      </c>
      <c r="F86" s="480">
        <v>677.14416666666659</v>
      </c>
      <c r="G86" s="480"/>
    </row>
    <row r="87" spans="1:9" x14ac:dyDescent="0.25">
      <c r="C87" s="2">
        <f t="shared" ref="C87:C92" si="0">(F87*12)+(G87*2)</f>
        <v>0</v>
      </c>
      <c r="E87" t="s">
        <v>859</v>
      </c>
      <c r="F87" s="480">
        <v>0</v>
      </c>
      <c r="G87" s="480"/>
    </row>
    <row r="88" spans="1:9" x14ac:dyDescent="0.25">
      <c r="C88" s="2">
        <f t="shared" si="0"/>
        <v>2468.2800000000002</v>
      </c>
      <c r="E88" t="s">
        <v>862</v>
      </c>
      <c r="F88" s="480">
        <v>205.69000000000003</v>
      </c>
      <c r="G88" s="480"/>
    </row>
    <row r="89" spans="1:9" x14ac:dyDescent="0.25">
      <c r="C89" s="2">
        <f t="shared" si="0"/>
        <v>2502.12</v>
      </c>
      <c r="E89" t="s">
        <v>862</v>
      </c>
      <c r="F89" s="480">
        <v>208.51</v>
      </c>
      <c r="G89" s="480"/>
    </row>
    <row r="90" spans="1:9" x14ac:dyDescent="0.25">
      <c r="C90" s="2">
        <f t="shared" si="0"/>
        <v>2615.73</v>
      </c>
      <c r="E90" t="s">
        <v>866</v>
      </c>
      <c r="F90" s="480">
        <v>217.97749999999999</v>
      </c>
      <c r="G90" s="480"/>
    </row>
    <row r="91" spans="1:9" x14ac:dyDescent="0.25">
      <c r="C91" s="2">
        <f t="shared" si="0"/>
        <v>2615.73</v>
      </c>
      <c r="E91" t="s">
        <v>866</v>
      </c>
      <c r="F91" s="480">
        <v>217.97749999999999</v>
      </c>
      <c r="G91" s="480"/>
    </row>
    <row r="92" spans="1:9" x14ac:dyDescent="0.25">
      <c r="C92" s="2">
        <f t="shared" si="0"/>
        <v>6432</v>
      </c>
      <c r="E92" t="s">
        <v>1992</v>
      </c>
      <c r="F92" s="480"/>
      <c r="G92" s="480">
        <v>3216</v>
      </c>
    </row>
    <row r="93" spans="1:9" x14ac:dyDescent="0.25">
      <c r="C93" s="110">
        <f>SUM(C86:C92)</f>
        <v>24759.59</v>
      </c>
      <c r="F93" s="481">
        <f>SUM(F86:F91)</f>
        <v>1527.2991666666667</v>
      </c>
      <c r="G93" s="481">
        <f>SUM(G86:G92)</f>
        <v>3216</v>
      </c>
    </row>
    <row r="94" spans="1:9" x14ac:dyDescent="0.25">
      <c r="C94" s="112"/>
    </row>
    <row r="95" spans="1:9" x14ac:dyDescent="0.25">
      <c r="A95" s="106" t="s">
        <v>1993</v>
      </c>
      <c r="B95" s="106"/>
      <c r="C95" s="111" t="e">
        <f>VLOOKUP(A95,'FY24 Service Agreements'!$A:$AF,31,FALSE)</f>
        <v>#N/A</v>
      </c>
      <c r="D95" s="106"/>
      <c r="E95" s="106" t="s">
        <v>769</v>
      </c>
      <c r="F95" s="106"/>
      <c r="G95" s="111"/>
      <c r="H95" s="123" t="e">
        <f>VLOOKUP($A95,'FY24 Service Agreements'!$A:$AD,29,FALSE)</f>
        <v>#N/A</v>
      </c>
      <c r="I95" s="123" t="e">
        <f>VLOOKUP($A95,'FY24 Service Agreements'!$A:$AD,30,FALSE)</f>
        <v>#N/A</v>
      </c>
    </row>
    <row r="96" spans="1:9" x14ac:dyDescent="0.25">
      <c r="B96" t="s">
        <v>870</v>
      </c>
      <c r="C96" s="2">
        <f>83800.2/60</f>
        <v>1396.6699999999998</v>
      </c>
    </row>
    <row r="98" spans="1:19" x14ac:dyDescent="0.25">
      <c r="A98" s="106" t="s">
        <v>871</v>
      </c>
      <c r="B98" s="106"/>
      <c r="C98" s="111" t="e">
        <f>VLOOKUP(A98,'FY24 Service Agreements'!$A:$AF,28,FALSE)</f>
        <v>#N/A</v>
      </c>
      <c r="D98" s="106"/>
      <c r="E98" s="106" t="s">
        <v>769</v>
      </c>
      <c r="F98" s="106"/>
      <c r="G98" s="111"/>
      <c r="H98" s="123" t="e">
        <f>VLOOKUP($A98,'FY24 Service Agreements'!$A:$AD,29,FALSE)</f>
        <v>#N/A</v>
      </c>
      <c r="I98" s="123" t="e">
        <f>VLOOKUP($A98,'FY24 Service Agreements'!$A:$AD,30,FALSE)</f>
        <v>#N/A</v>
      </c>
    </row>
    <row r="99" spans="1:19" x14ac:dyDescent="0.25">
      <c r="B99" t="s">
        <v>870</v>
      </c>
      <c r="C99" s="2">
        <f>27344/12</f>
        <v>2278.6666666666665</v>
      </c>
    </row>
    <row r="101" spans="1:19" x14ac:dyDescent="0.25">
      <c r="A101" s="106" t="s">
        <v>872</v>
      </c>
      <c r="B101" s="106"/>
      <c r="C101" s="111" t="e">
        <f>VLOOKUP(A101,'FY24 Service Agreements'!$A:$AF,28,FALSE)</f>
        <v>#N/A</v>
      </c>
      <c r="D101" s="106"/>
      <c r="E101" s="106" t="s">
        <v>769</v>
      </c>
      <c r="F101" s="106"/>
      <c r="G101" s="111"/>
      <c r="H101" s="123" t="e">
        <f>VLOOKUP($A101,'FY24 Service Agreements'!$A:$AD,29,FALSE)</f>
        <v>#N/A</v>
      </c>
      <c r="I101" s="123" t="e">
        <f>VLOOKUP($A101,'FY24 Service Agreements'!$A:$AD,30,FALSE)</f>
        <v>#N/A</v>
      </c>
    </row>
    <row r="102" spans="1:19" x14ac:dyDescent="0.25">
      <c r="B102" t="s">
        <v>870</v>
      </c>
      <c r="C102" s="2">
        <f>26338/12</f>
        <v>2194.8333333333335</v>
      </c>
    </row>
    <row r="104" spans="1:19" x14ac:dyDescent="0.25">
      <c r="A104" s="104" t="s">
        <v>42</v>
      </c>
      <c r="B104" s="104"/>
      <c r="C104" s="105">
        <f>VLOOKUP(A104,'FY24 Service Agreements'!$A:$AF,31,FALSE)</f>
        <v>45444</v>
      </c>
      <c r="D104" s="104"/>
      <c r="E104" s="104" t="s">
        <v>769</v>
      </c>
      <c r="F104" s="104"/>
      <c r="G104" s="287" t="s">
        <v>822</v>
      </c>
      <c r="H104" s="124">
        <f>VLOOKUP($A104,'FY24 Service Agreements'!$A:$AD,29,FALSE)</f>
        <v>45473</v>
      </c>
      <c r="I104" s="124" t="str">
        <f>VLOOKUP($A104,'FY24 Service Agreements'!$A:$AD,30,FALSE)</f>
        <v>P23062724</v>
      </c>
    </row>
    <row r="105" spans="1:19" ht="30" x14ac:dyDescent="0.25">
      <c r="B105" s="8" t="s">
        <v>1994</v>
      </c>
      <c r="C105" s="2">
        <f>130757.4/12</f>
        <v>10896.449999999999</v>
      </c>
      <c r="E105" t="s">
        <v>874</v>
      </c>
      <c r="G105" s="178">
        <v>130757.4</v>
      </c>
    </row>
    <row r="107" spans="1:19" x14ac:dyDescent="0.25">
      <c r="A107" s="278" t="s">
        <v>46</v>
      </c>
      <c r="B107" s="279"/>
      <c r="C107" s="266">
        <f>VLOOKUP(A107,'FY24 Service Agreements'!$A:$AF,31,FALSE)</f>
        <v>45444</v>
      </c>
      <c r="D107" s="267"/>
      <c r="E107" s="267" t="s">
        <v>769</v>
      </c>
      <c r="F107" s="267"/>
      <c r="G107" s="288" t="s">
        <v>822</v>
      </c>
      <c r="H107" s="268">
        <f>VLOOKUP($A107,'FY24 Service Agreements'!$A:$AD,29,FALSE)</f>
        <v>45473</v>
      </c>
      <c r="I107" s="268" t="str">
        <f>VLOOKUP($A107,'FY24 Service Agreements'!$A:$AD,30,FALSE)</f>
        <v>P24007015</v>
      </c>
      <c r="K107" s="117" t="s">
        <v>880</v>
      </c>
      <c r="L107" s="117"/>
      <c r="M107" s="125" t="e">
        <f>VLOOKUP(K107,'Storeroom Blankets'!A:Z,27,FALSE)</f>
        <v>#N/A</v>
      </c>
      <c r="N107" s="117"/>
      <c r="O107" s="284" t="s">
        <v>771</v>
      </c>
      <c r="P107" s="117" t="s">
        <v>772</v>
      </c>
      <c r="Q107" s="284" t="s">
        <v>773</v>
      </c>
      <c r="R107" s="125" t="e">
        <f>VLOOKUP($K107,'Storeroom Blankets'!$A:$Z,25,FALSE)</f>
        <v>#N/A</v>
      </c>
      <c r="S107" s="125" t="e">
        <f>VLOOKUP($K107,'Storeroom Blankets'!$A:$Z,26,FALSE)</f>
        <v>#N/A</v>
      </c>
    </row>
    <row r="108" spans="1:19" x14ac:dyDescent="0.25">
      <c r="B108" t="s">
        <v>875</v>
      </c>
      <c r="E108" t="s">
        <v>874</v>
      </c>
      <c r="G108" s="2">
        <v>73900</v>
      </c>
      <c r="L108" t="s">
        <v>883</v>
      </c>
    </row>
    <row r="109" spans="1:19" x14ac:dyDescent="0.25">
      <c r="B109" s="54"/>
      <c r="L109" s="52" t="s">
        <v>885</v>
      </c>
      <c r="M109" s="2">
        <v>6932.25</v>
      </c>
    </row>
    <row r="110" spans="1:19" x14ac:dyDescent="0.25">
      <c r="L110" t="s">
        <v>887</v>
      </c>
      <c r="M110" s="2">
        <v>2437.5</v>
      </c>
    </row>
    <row r="111" spans="1:19" x14ac:dyDescent="0.25">
      <c r="A111" s="107" t="s">
        <v>485</v>
      </c>
      <c r="B111" s="107"/>
      <c r="C111" s="253" t="e">
        <f>VLOOKUP(A111,'Service Agreements'!$A:$AI,22,FALSE)</f>
        <v>#N/A</v>
      </c>
      <c r="D111" s="254"/>
      <c r="E111" s="254" t="s">
        <v>769</v>
      </c>
      <c r="F111" s="254"/>
      <c r="G111" s="255"/>
      <c r="H111" s="256" t="e">
        <f>VLOOKUP($A111,'Service Agreements'!$A:$AG,30,FALSE)</f>
        <v>#N/A</v>
      </c>
      <c r="I111" s="256" t="e">
        <f>VLOOKUP($A111,'Service Agreements'!$A:$AG,29,FALSE)</f>
        <v>#N/A</v>
      </c>
      <c r="L111" t="s">
        <v>889</v>
      </c>
      <c r="M111" s="2">
        <v>600</v>
      </c>
    </row>
    <row r="112" spans="1:19" x14ac:dyDescent="0.25">
      <c r="B112" t="s">
        <v>870</v>
      </c>
      <c r="C112" s="2">
        <f>G112/12</f>
        <v>2338.6666666666665</v>
      </c>
      <c r="E112" t="s">
        <v>876</v>
      </c>
      <c r="G112" s="2">
        <v>28064</v>
      </c>
      <c r="L112" t="s">
        <v>780</v>
      </c>
      <c r="M112" s="110">
        <f>SUM(M109:M111)</f>
        <v>9969.75</v>
      </c>
    </row>
    <row r="114" spans="1:19" x14ac:dyDescent="0.25">
      <c r="A114" s="108" t="s">
        <v>1680</v>
      </c>
      <c r="B114" s="108"/>
      <c r="C114" s="109">
        <f>VLOOKUP(A114,'Service Agreements'!$A:$AI,22,FALSE)</f>
        <v>177835</v>
      </c>
      <c r="D114" s="108"/>
      <c r="E114" s="108" t="s">
        <v>769</v>
      </c>
      <c r="F114" s="108"/>
      <c r="G114" s="109"/>
      <c r="H114" s="122" t="str">
        <f>VLOOKUP($A114,'Service Agreements'!$A:$AG,30,FALSE)</f>
        <v>P25006264</v>
      </c>
      <c r="I114" s="122" t="str">
        <f>VLOOKUP($A114,'Service Agreements'!$A:$AG,29,FALSE)</f>
        <v>P24001557</v>
      </c>
    </row>
    <row r="115" spans="1:19" x14ac:dyDescent="0.25">
      <c r="B115" t="s">
        <v>884</v>
      </c>
      <c r="C115" s="2">
        <v>500</v>
      </c>
      <c r="E115" s="178">
        <f t="shared" ref="E115:E128" si="1">+C115/4</f>
        <v>125</v>
      </c>
      <c r="G115" s="112"/>
      <c r="K115" s="307" t="s">
        <v>894</v>
      </c>
      <c r="L115" s="304"/>
      <c r="M115" s="305" t="e">
        <f>VLOOKUP(K115,'Storeroom Blankets'!A:Z,27,FALSE)</f>
        <v>#N/A</v>
      </c>
      <c r="N115" s="304"/>
      <c r="O115" s="306" t="s">
        <v>771</v>
      </c>
      <c r="P115" s="304"/>
      <c r="Q115" s="306" t="s">
        <v>773</v>
      </c>
      <c r="R115" s="305" t="e">
        <f>VLOOKUP(P115,'Storeroom Blankets'!F:AG,27,FALSE)</f>
        <v>#N/A</v>
      </c>
      <c r="S115" s="305" t="e">
        <f>VLOOKUP(Q115,'Storeroom Blankets'!G:AH,27,FALSE)</f>
        <v>#N/A</v>
      </c>
    </row>
    <row r="116" spans="1:19" x14ac:dyDescent="0.25">
      <c r="B116" t="s">
        <v>878</v>
      </c>
      <c r="C116" s="2">
        <v>500</v>
      </c>
      <c r="E116" s="178">
        <f t="shared" si="1"/>
        <v>125</v>
      </c>
      <c r="G116" s="112"/>
      <c r="L116" t="s">
        <v>897</v>
      </c>
    </row>
    <row r="117" spans="1:19" x14ac:dyDescent="0.25">
      <c r="B117" t="s">
        <v>879</v>
      </c>
      <c r="C117" s="2">
        <v>500</v>
      </c>
      <c r="E117" s="178">
        <f t="shared" si="1"/>
        <v>125</v>
      </c>
      <c r="G117" s="112"/>
      <c r="I117" s="2"/>
      <c r="L117" t="s">
        <v>899</v>
      </c>
      <c r="M117" s="2">
        <v>10850</v>
      </c>
      <c r="P117" s="139">
        <v>310</v>
      </c>
      <c r="Q117" s="2" t="s">
        <v>900</v>
      </c>
    </row>
    <row r="118" spans="1:19" x14ac:dyDescent="0.25">
      <c r="B118" t="s">
        <v>901</v>
      </c>
      <c r="C118" s="2">
        <v>3000</v>
      </c>
      <c r="E118" s="178">
        <f t="shared" si="1"/>
        <v>750</v>
      </c>
      <c r="G118" s="112"/>
      <c r="I118" s="139"/>
      <c r="L118" t="s">
        <v>902</v>
      </c>
      <c r="M118" s="2">
        <v>18480</v>
      </c>
      <c r="P118" s="139">
        <v>44</v>
      </c>
      <c r="Q118" s="2" t="s">
        <v>903</v>
      </c>
    </row>
    <row r="119" spans="1:19" x14ac:dyDescent="0.25">
      <c r="B119" t="s">
        <v>881</v>
      </c>
      <c r="C119" s="2">
        <v>3000</v>
      </c>
      <c r="E119" s="178">
        <f t="shared" si="1"/>
        <v>750</v>
      </c>
      <c r="G119" s="112"/>
      <c r="I119" s="139"/>
    </row>
    <row r="120" spans="1:19" x14ac:dyDescent="0.25">
      <c r="B120" t="s">
        <v>888</v>
      </c>
      <c r="C120" s="2">
        <v>500</v>
      </c>
      <c r="E120" s="178">
        <f t="shared" si="1"/>
        <v>125</v>
      </c>
      <c r="G120" s="112"/>
      <c r="I120" s="139"/>
      <c r="M120" s="2">
        <f>+M117+M118</f>
        <v>29330</v>
      </c>
    </row>
    <row r="121" spans="1:19" x14ac:dyDescent="0.25">
      <c r="B121" t="s">
        <v>890</v>
      </c>
      <c r="C121" s="2">
        <v>10775</v>
      </c>
      <c r="E121" s="178">
        <f t="shared" si="1"/>
        <v>2693.75</v>
      </c>
      <c r="G121" s="112"/>
      <c r="I121" s="178"/>
    </row>
    <row r="122" spans="1:19" x14ac:dyDescent="0.25">
      <c r="B122" t="s">
        <v>891</v>
      </c>
      <c r="C122" s="2">
        <v>10260</v>
      </c>
      <c r="E122" s="178">
        <f t="shared" si="1"/>
        <v>2565</v>
      </c>
      <c r="G122" s="112"/>
    </row>
    <row r="123" spans="1:19" x14ac:dyDescent="0.25">
      <c r="B123" t="s">
        <v>892</v>
      </c>
      <c r="C123" s="2">
        <v>500</v>
      </c>
      <c r="E123" s="178">
        <f t="shared" si="1"/>
        <v>125</v>
      </c>
      <c r="G123" s="112"/>
      <c r="I123" s="139"/>
    </row>
    <row r="124" spans="1:19" x14ac:dyDescent="0.25">
      <c r="A124"/>
      <c r="B124" t="s">
        <v>896</v>
      </c>
      <c r="C124" s="2">
        <v>3000</v>
      </c>
      <c r="E124" s="178">
        <f t="shared" si="1"/>
        <v>750</v>
      </c>
      <c r="G124" s="112"/>
      <c r="H124" s="178"/>
    </row>
    <row r="125" spans="1:19" x14ac:dyDescent="0.25">
      <c r="B125" t="s">
        <v>893</v>
      </c>
      <c r="C125" s="2">
        <v>500</v>
      </c>
      <c r="E125" s="178">
        <f t="shared" si="1"/>
        <v>125</v>
      </c>
      <c r="G125" s="112"/>
      <c r="H125" s="178"/>
      <c r="I125" s="139"/>
    </row>
    <row r="126" spans="1:19" x14ac:dyDescent="0.25">
      <c r="B126" t="s">
        <v>1995</v>
      </c>
      <c r="C126" s="2">
        <v>3000</v>
      </c>
      <c r="E126" s="178">
        <f t="shared" si="1"/>
        <v>750</v>
      </c>
      <c r="G126" s="112"/>
      <c r="H126" s="178"/>
    </row>
    <row r="127" spans="1:19" x14ac:dyDescent="0.25">
      <c r="B127" t="s">
        <v>898</v>
      </c>
      <c r="C127" s="2">
        <v>8000</v>
      </c>
      <c r="E127" s="178">
        <f t="shared" si="1"/>
        <v>2000</v>
      </c>
      <c r="G127" s="112"/>
      <c r="H127" s="178"/>
      <c r="K127" s="106" t="s">
        <v>909</v>
      </c>
      <c r="L127" s="106"/>
      <c r="M127" s="123" t="e">
        <f>VLOOKUP(K127,'Storeroom Blankets'!A:Z,27,FALSE)</f>
        <v>#N/A</v>
      </c>
      <c r="N127" s="106"/>
      <c r="O127" s="175" t="s">
        <v>771</v>
      </c>
      <c r="P127" s="106" t="s">
        <v>772</v>
      </c>
      <c r="Q127" s="175" t="s">
        <v>773</v>
      </c>
      <c r="R127" s="123" t="e">
        <f>VLOOKUP($K127,'Storeroom Blankets'!$A:$Z,25,FALSE)</f>
        <v>#N/A</v>
      </c>
      <c r="S127" s="123" t="e">
        <f>VLOOKUP($K127,'Storeroom Blankets'!$A:$Z,26,FALSE)</f>
        <v>#N/A</v>
      </c>
    </row>
    <row r="128" spans="1:19" x14ac:dyDescent="0.25">
      <c r="B128" t="s">
        <v>1996</v>
      </c>
      <c r="C128" s="2">
        <v>8000</v>
      </c>
      <c r="E128" s="178">
        <f t="shared" si="1"/>
        <v>2000</v>
      </c>
      <c r="G128" s="112"/>
      <c r="H128" s="178"/>
      <c r="K128" s="106"/>
      <c r="L128" s="106"/>
      <c r="M128" s="123"/>
      <c r="N128" s="106"/>
      <c r="O128" s="175"/>
      <c r="P128" s="106"/>
      <c r="Q128" s="175"/>
      <c r="R128" s="123"/>
      <c r="S128" s="123"/>
    </row>
    <row r="129" spans="1:19" x14ac:dyDescent="0.25">
      <c r="B129" t="s">
        <v>904</v>
      </c>
      <c r="C129" s="110">
        <f>+SUM(C115:C128)</f>
        <v>52035</v>
      </c>
      <c r="E129" s="110">
        <f>+SUM(E115:E128)</f>
        <v>13008.75</v>
      </c>
      <c r="F129" s="51"/>
      <c r="G129" s="244"/>
      <c r="H129" s="178"/>
    </row>
    <row r="130" spans="1:19" x14ac:dyDescent="0.25">
      <c r="C130" s="112"/>
      <c r="E130" s="178"/>
      <c r="F130" s="51"/>
      <c r="G130" s="244"/>
    </row>
    <row r="131" spans="1:19" x14ac:dyDescent="0.25">
      <c r="A131" s="54" t="s">
        <v>905</v>
      </c>
      <c r="B131" t="s">
        <v>901</v>
      </c>
      <c r="C131" s="112">
        <v>1750</v>
      </c>
      <c r="E131" s="178">
        <f t="shared" ref="E131:E138" si="2">+C131/4</f>
        <v>437.5</v>
      </c>
      <c r="F131" s="51"/>
    </row>
    <row r="132" spans="1:19" x14ac:dyDescent="0.25">
      <c r="B132" t="s">
        <v>906</v>
      </c>
      <c r="C132" s="112">
        <v>3500</v>
      </c>
      <c r="E132" s="178">
        <f t="shared" si="2"/>
        <v>875</v>
      </c>
      <c r="F132" s="51"/>
      <c r="G132" s="112"/>
    </row>
    <row r="133" spans="1:19" x14ac:dyDescent="0.25">
      <c r="B133" t="s">
        <v>907</v>
      </c>
      <c r="C133" s="112">
        <v>3500</v>
      </c>
      <c r="E133" s="178">
        <f t="shared" si="2"/>
        <v>875</v>
      </c>
      <c r="F133" s="51"/>
      <c r="G133" s="244"/>
    </row>
    <row r="134" spans="1:19" x14ac:dyDescent="0.25">
      <c r="B134" t="s">
        <v>890</v>
      </c>
      <c r="C134" s="112">
        <v>3500</v>
      </c>
      <c r="E134" s="178">
        <f t="shared" si="2"/>
        <v>875</v>
      </c>
      <c r="F134" s="51"/>
      <c r="G134" s="244"/>
    </row>
    <row r="135" spans="1:19" x14ac:dyDescent="0.25">
      <c r="B135" t="s">
        <v>891</v>
      </c>
      <c r="C135" s="112">
        <v>7000</v>
      </c>
      <c r="E135" s="178">
        <f t="shared" si="2"/>
        <v>1750</v>
      </c>
      <c r="F135" s="51"/>
      <c r="G135" s="112"/>
      <c r="K135" s="108" t="s">
        <v>913</v>
      </c>
      <c r="L135" s="108"/>
      <c r="M135" s="122" t="e">
        <f>VLOOKUP(K135,'Storeroom Blankets'!A:Z,27,FALSE)</f>
        <v>#N/A</v>
      </c>
      <c r="N135" s="108"/>
      <c r="O135" s="280" t="s">
        <v>771</v>
      </c>
      <c r="P135" s="108" t="s">
        <v>772</v>
      </c>
      <c r="Q135" s="280" t="s">
        <v>773</v>
      </c>
      <c r="R135" s="122" t="e">
        <f>VLOOKUP($K135,'Storeroom Blankets'!$A:$Z,25,FALSE)</f>
        <v>#N/A</v>
      </c>
      <c r="S135" s="122" t="e">
        <f>VLOOKUP($K135,'Storeroom Blankets'!$A:$Z,26,FALSE)</f>
        <v>#N/A</v>
      </c>
    </row>
    <row r="136" spans="1:19" x14ac:dyDescent="0.25">
      <c r="B136" t="s">
        <v>896</v>
      </c>
      <c r="C136" s="112">
        <v>3500</v>
      </c>
      <c r="E136" s="178">
        <f t="shared" si="2"/>
        <v>875</v>
      </c>
      <c r="F136" s="51"/>
      <c r="G136" s="112"/>
      <c r="L136" t="s">
        <v>915</v>
      </c>
    </row>
    <row r="137" spans="1:19" x14ac:dyDescent="0.25">
      <c r="B137" t="s">
        <v>908</v>
      </c>
      <c r="C137" s="112">
        <v>5200</v>
      </c>
      <c r="E137" s="178">
        <f t="shared" si="2"/>
        <v>1300</v>
      </c>
      <c r="F137" s="51"/>
      <c r="G137" s="112"/>
      <c r="L137" s="52" t="s">
        <v>917</v>
      </c>
    </row>
    <row r="138" spans="1:19" x14ac:dyDescent="0.25">
      <c r="B138" t="s">
        <v>910</v>
      </c>
      <c r="C138" s="112">
        <v>1750</v>
      </c>
      <c r="E138" s="178">
        <f t="shared" si="2"/>
        <v>437.5</v>
      </c>
      <c r="G138" s="112"/>
      <c r="L138" s="52" t="s">
        <v>918</v>
      </c>
      <c r="M138" s="2">
        <v>332</v>
      </c>
    </row>
    <row r="139" spans="1:19" x14ac:dyDescent="0.25">
      <c r="B139" t="s">
        <v>904</v>
      </c>
      <c r="C139" s="110">
        <f>+SUM(C131:C138)</f>
        <v>29700</v>
      </c>
      <c r="E139" s="243">
        <f>+SUM(E131:E138)</f>
        <v>7425</v>
      </c>
      <c r="F139" s="51"/>
      <c r="G139" s="112"/>
    </row>
    <row r="140" spans="1:19" x14ac:dyDescent="0.25">
      <c r="C140" s="112"/>
      <c r="E140" s="244"/>
      <c r="F140" s="51"/>
      <c r="G140" s="359" t="s">
        <v>1997</v>
      </c>
    </row>
    <row r="141" spans="1:19" x14ac:dyDescent="0.25">
      <c r="B141" s="112" t="s">
        <v>1998</v>
      </c>
      <c r="C141" s="112">
        <v>8500</v>
      </c>
      <c r="E141" s="178">
        <f t="shared" ref="E141:E151" si="3">+C141/4</f>
        <v>2125</v>
      </c>
      <c r="F141" s="51"/>
      <c r="G141" s="358">
        <f>+E151</f>
        <v>41808.75</v>
      </c>
    </row>
    <row r="142" spans="1:19" x14ac:dyDescent="0.25">
      <c r="B142" s="112"/>
      <c r="C142" s="112"/>
      <c r="E142" s="178"/>
      <c r="F142" s="51"/>
      <c r="G142" s="358"/>
    </row>
    <row r="143" spans="1:19" x14ac:dyDescent="0.25">
      <c r="B143" t="s">
        <v>1999</v>
      </c>
      <c r="C143" s="112">
        <f>+C139+C141</f>
        <v>38200</v>
      </c>
      <c r="E143" s="178">
        <f t="shared" si="3"/>
        <v>9550</v>
      </c>
      <c r="F143" s="51"/>
      <c r="G143" s="112"/>
    </row>
    <row r="144" spans="1:19" x14ac:dyDescent="0.25">
      <c r="C144" s="112"/>
      <c r="E144" s="244"/>
      <c r="F144" s="51"/>
      <c r="G144" s="112"/>
    </row>
    <row r="145" spans="1:9" x14ac:dyDescent="0.25">
      <c r="B145" s="382" t="s">
        <v>2000</v>
      </c>
      <c r="C145" s="112">
        <v>20000</v>
      </c>
      <c r="E145" s="178">
        <f t="shared" si="3"/>
        <v>5000</v>
      </c>
      <c r="F145" s="51"/>
      <c r="G145" s="112"/>
    </row>
    <row r="146" spans="1:9" x14ac:dyDescent="0.25">
      <c r="B146" s="382" t="s">
        <v>2001</v>
      </c>
      <c r="C146" s="112">
        <v>4800</v>
      </c>
      <c r="E146" s="178">
        <f t="shared" si="3"/>
        <v>1200</v>
      </c>
      <c r="F146" s="51"/>
      <c r="G146" s="112"/>
    </row>
    <row r="147" spans="1:9" x14ac:dyDescent="0.25">
      <c r="B147" s="382" t="s">
        <v>2002</v>
      </c>
      <c r="C147" s="112">
        <v>33600</v>
      </c>
      <c r="E147" s="178">
        <f t="shared" si="3"/>
        <v>8400</v>
      </c>
      <c r="F147" s="51"/>
      <c r="G147" s="112"/>
    </row>
    <row r="148" spans="1:9" x14ac:dyDescent="0.25">
      <c r="B148" s="382" t="s">
        <v>2003</v>
      </c>
      <c r="C148" s="112">
        <f>+C129</f>
        <v>52035</v>
      </c>
      <c r="E148" s="178">
        <f t="shared" si="3"/>
        <v>13008.75</v>
      </c>
      <c r="F148" s="51"/>
      <c r="G148" s="112"/>
    </row>
    <row r="149" spans="1:9" x14ac:dyDescent="0.25">
      <c r="B149" s="382" t="s">
        <v>2004</v>
      </c>
      <c r="C149" s="112">
        <v>18600</v>
      </c>
      <c r="E149" s="178">
        <f t="shared" si="3"/>
        <v>4650</v>
      </c>
      <c r="F149" s="51"/>
      <c r="G149" s="112"/>
    </row>
    <row r="150" spans="1:9" x14ac:dyDescent="0.25">
      <c r="B150" s="382" t="s">
        <v>2005</v>
      </c>
      <c r="C150" s="387">
        <f>+C143</f>
        <v>38200</v>
      </c>
      <c r="D150" s="386"/>
      <c r="E150" s="398">
        <f t="shared" si="3"/>
        <v>9550</v>
      </c>
      <c r="F150" s="51"/>
      <c r="G150" s="112"/>
    </row>
    <row r="151" spans="1:9" x14ac:dyDescent="0.25">
      <c r="B151" s="382" t="s">
        <v>2006</v>
      </c>
      <c r="C151" s="112">
        <f>+SUM(C145:C150)</f>
        <v>167235</v>
      </c>
      <c r="E151" s="178">
        <f t="shared" si="3"/>
        <v>41808.75</v>
      </c>
      <c r="F151" s="51"/>
      <c r="G151" s="112"/>
    </row>
    <row r="152" spans="1:9" x14ac:dyDescent="0.25">
      <c r="B152" s="382"/>
      <c r="C152" s="112"/>
      <c r="E152" s="178"/>
      <c r="F152" s="51"/>
      <c r="G152" s="112"/>
    </row>
    <row r="153" spans="1:9" x14ac:dyDescent="0.25">
      <c r="A153" s="115" t="s">
        <v>1674</v>
      </c>
      <c r="B153" s="115"/>
      <c r="C153" s="116">
        <f>VLOOKUP(A153,'Service Agreements'!$A:$AI,22,FALSE)</f>
        <v>0</v>
      </c>
      <c r="D153" s="115"/>
      <c r="E153" s="115" t="s">
        <v>769</v>
      </c>
      <c r="F153" s="115"/>
      <c r="G153" s="116"/>
      <c r="H153" s="121" t="str">
        <f>VLOOKUP($A153,'Service Agreements'!$A:$AG,30,FALSE)</f>
        <v>P25005895</v>
      </c>
      <c r="I153" s="121" t="str">
        <f>VLOOKUP($A153,'Service Agreements'!$A:$AG,29,FALSE)</f>
        <v>P24004918</v>
      </c>
    </row>
    <row r="154" spans="1:9" x14ac:dyDescent="0.25">
      <c r="B154" s="382"/>
      <c r="C154" s="112"/>
      <c r="E154" s="178"/>
      <c r="F154" s="51"/>
      <c r="G154" s="112"/>
    </row>
    <row r="155" spans="1:9" x14ac:dyDescent="0.25">
      <c r="B155" s="382" t="s">
        <v>2007</v>
      </c>
      <c r="C155" s="112">
        <v>12000</v>
      </c>
      <c r="E155" s="178"/>
      <c r="F155" s="51"/>
      <c r="G155" s="112"/>
    </row>
    <row r="156" spans="1:9" x14ac:dyDescent="0.25">
      <c r="C156" s="112"/>
      <c r="E156" s="244"/>
      <c r="F156" s="51"/>
      <c r="G156" s="112"/>
    </row>
    <row r="157" spans="1:9" x14ac:dyDescent="0.25">
      <c r="A157" s="101" t="s">
        <v>498</v>
      </c>
      <c r="B157" s="101"/>
      <c r="C157" s="266">
        <f>VLOOKUP(A157,'FY24 Service Agreements'!$A:$AF,31,FALSE)</f>
        <v>45444</v>
      </c>
      <c r="D157" s="267"/>
      <c r="E157" s="267" t="s">
        <v>769</v>
      </c>
      <c r="F157" s="267"/>
      <c r="G157" s="288" t="s">
        <v>822</v>
      </c>
      <c r="H157" s="268">
        <f>VLOOKUP($A157,'FY24 Service Agreements'!$A:$AD,29,FALSE)</f>
        <v>45473</v>
      </c>
      <c r="I157" s="268" t="str">
        <f>VLOOKUP($A157,'FY24 Service Agreements'!$A:$AD,30,FALSE)</f>
        <v>P24002297</v>
      </c>
    </row>
    <row r="158" spans="1:9" x14ac:dyDescent="0.25">
      <c r="B158" t="s">
        <v>2008</v>
      </c>
      <c r="C158" s="112"/>
      <c r="E158" s="244"/>
      <c r="F158" s="51"/>
      <c r="G158" s="2">
        <v>10000</v>
      </c>
    </row>
    <row r="160" spans="1:9" x14ac:dyDescent="0.25">
      <c r="A160" s="104" t="s">
        <v>170</v>
      </c>
      <c r="B160" s="104"/>
      <c r="C160" s="105">
        <f>VLOOKUP(A160,'FY24 Service Agreements'!$A:$AF,31,FALSE)</f>
        <v>45231</v>
      </c>
      <c r="D160" s="104"/>
      <c r="E160" s="104" t="s">
        <v>769</v>
      </c>
      <c r="F160" s="104"/>
      <c r="G160" s="287" t="s">
        <v>822</v>
      </c>
      <c r="H160" s="124">
        <f>VLOOKUP($A160,'FY24 Service Agreements'!$A:$AD,29,FALSE)</f>
        <v>45322</v>
      </c>
      <c r="I160" s="124" t="str">
        <f>VLOOKUP($A160,'FY24 Service Agreements'!$A:$AD,30,FALSE)</f>
        <v>P23050745</v>
      </c>
    </row>
    <row r="161" spans="1:19" x14ac:dyDescent="0.25">
      <c r="B161" t="s">
        <v>870</v>
      </c>
      <c r="C161" s="2">
        <f>G161/12/3</f>
        <v>325</v>
      </c>
      <c r="D161" s="139"/>
      <c r="G161" s="2">
        <v>11700</v>
      </c>
    </row>
    <row r="162" spans="1:19" x14ac:dyDescent="0.25">
      <c r="B162" t="s">
        <v>912</v>
      </c>
      <c r="D162" s="139"/>
      <c r="K162" s="107" t="s">
        <v>920</v>
      </c>
      <c r="L162" s="107"/>
      <c r="M162" s="113" t="e">
        <f>VLOOKUP(K162,'Storeroom Blankets'!A:Z,27,FALSE)</f>
        <v>#N/A</v>
      </c>
      <c r="N162" s="107"/>
      <c r="O162" s="281" t="s">
        <v>771</v>
      </c>
      <c r="P162" s="107" t="s">
        <v>772</v>
      </c>
      <c r="Q162" s="281" t="s">
        <v>773</v>
      </c>
      <c r="R162" s="113" t="e">
        <f>VLOOKUP($K162,'Storeroom Blankets'!$A:$Z,25,FALSE)</f>
        <v>#N/A</v>
      </c>
      <c r="S162" s="113" t="e">
        <f>VLOOKUP($K162,'Storeroom Blankets'!$A:$Z,26,FALSE)</f>
        <v>#N/A</v>
      </c>
    </row>
    <row r="163" spans="1:19" x14ac:dyDescent="0.25">
      <c r="B163" s="40" t="s">
        <v>2009</v>
      </c>
      <c r="L163" t="s">
        <v>921</v>
      </c>
      <c r="M163" s="2">
        <v>11280</v>
      </c>
      <c r="N163" s="142" t="s">
        <v>922</v>
      </c>
    </row>
    <row r="164" spans="1:19" x14ac:dyDescent="0.25">
      <c r="A164" s="115" t="s">
        <v>914</v>
      </c>
      <c r="B164" s="115"/>
      <c r="C164" s="116" t="e">
        <f>VLOOKUP(A164,'FY24 Service Agreements'!$A:$AF,29,FALSE)</f>
        <v>#N/A</v>
      </c>
      <c r="D164" s="115"/>
      <c r="E164" s="115" t="s">
        <v>769</v>
      </c>
      <c r="F164" s="115"/>
      <c r="G164" s="116"/>
      <c r="H164" s="121" t="e">
        <f>VLOOKUP($A164,'FY24 Service Agreements'!$A:$AD,27,FALSE)</f>
        <v>#N/A</v>
      </c>
      <c r="I164" s="121" t="e">
        <f>VLOOKUP($A164,'FY24 Service Agreements'!$A:$AD,28,FALSE)</f>
        <v>#N/A</v>
      </c>
      <c r="L164" t="s">
        <v>923</v>
      </c>
      <c r="M164" s="2">
        <v>4240</v>
      </c>
      <c r="N164" s="142" t="s">
        <v>924</v>
      </c>
      <c r="Q164" s="103"/>
      <c r="R164" s="40"/>
      <c r="S164" s="40"/>
    </row>
    <row r="165" spans="1:19" x14ac:dyDescent="0.25">
      <c r="B165" t="s">
        <v>916</v>
      </c>
      <c r="C165" s="2">
        <v>25000</v>
      </c>
      <c r="L165" t="s">
        <v>925</v>
      </c>
      <c r="M165" s="2">
        <v>0</v>
      </c>
      <c r="N165" s="142" t="s">
        <v>926</v>
      </c>
    </row>
    <row r="166" spans="1:19" x14ac:dyDescent="0.25">
      <c r="L166" t="s">
        <v>927</v>
      </c>
      <c r="M166" s="2">
        <v>750</v>
      </c>
      <c r="N166" s="142" t="s">
        <v>928</v>
      </c>
    </row>
    <row r="167" spans="1:19" x14ac:dyDescent="0.25">
      <c r="L167" s="54" t="s">
        <v>929</v>
      </c>
      <c r="M167" s="120">
        <f>SUM(M163:M166)</f>
        <v>16270</v>
      </c>
    </row>
    <row r="168" spans="1:19" x14ac:dyDescent="0.25">
      <c r="A168" s="101" t="s">
        <v>52</v>
      </c>
      <c r="B168" s="101"/>
      <c r="C168" s="266">
        <f>VLOOKUP(A168,'FY24 Service Agreements'!$A:$AF,31,FALSE)</f>
        <v>45444</v>
      </c>
      <c r="D168" s="267"/>
      <c r="E168" s="267" t="s">
        <v>769</v>
      </c>
      <c r="F168" s="267"/>
      <c r="G168" s="102"/>
      <c r="H168" s="268">
        <f>VLOOKUP($A168,'FY24 Service Agreements'!$A:$AD,29,FALSE)</f>
        <v>45473</v>
      </c>
      <c r="I168" s="268" t="str">
        <f>VLOOKUP($A168,'FY24 Service Agreements'!$A:$AD,30,FALSE)</f>
        <v>P24002797</v>
      </c>
      <c r="L168" s="54"/>
      <c r="M168" s="189"/>
    </row>
    <row r="169" spans="1:19" x14ac:dyDescent="0.25">
      <c r="B169" t="s">
        <v>919</v>
      </c>
      <c r="G169" s="2">
        <v>40001.279999999999</v>
      </c>
    </row>
    <row r="170" spans="1:19" x14ac:dyDescent="0.25">
      <c r="K170" s="107" t="s">
        <v>931</v>
      </c>
      <c r="L170" s="107"/>
      <c r="M170" s="113" t="e">
        <f>VLOOKUP(K170,'Storeroom Blankets'!A:Z,27,FALSE)</f>
        <v>#N/A</v>
      </c>
      <c r="N170" s="107"/>
      <c r="O170" s="281" t="s">
        <v>771</v>
      </c>
      <c r="P170" s="107" t="s">
        <v>772</v>
      </c>
      <c r="Q170" s="281" t="s">
        <v>773</v>
      </c>
      <c r="R170" s="113" t="e">
        <f>VLOOKUP($K170,'Storeroom Blankets'!$A:$Z,25,FALSE)</f>
        <v>#N/A</v>
      </c>
      <c r="S170" s="113" t="e">
        <f>VLOOKUP($K170,'Storeroom Blankets'!$A:$Z,26,FALSE)</f>
        <v>#N/A</v>
      </c>
    </row>
    <row r="171" spans="1:19" x14ac:dyDescent="0.25">
      <c r="L171" t="s">
        <v>752</v>
      </c>
    </row>
    <row r="172" spans="1:19" x14ac:dyDescent="0.25">
      <c r="L172" s="52" t="s">
        <v>932</v>
      </c>
      <c r="M172" s="2">
        <v>5480</v>
      </c>
    </row>
    <row r="173" spans="1:19" x14ac:dyDescent="0.25">
      <c r="B173" s="22"/>
    </row>
    <row r="174" spans="1:19" x14ac:dyDescent="0.25">
      <c r="B174" s="22"/>
    </row>
    <row r="175" spans="1:19" x14ac:dyDescent="0.25">
      <c r="B175" s="22"/>
      <c r="D175" s="40" t="s">
        <v>2010</v>
      </c>
    </row>
    <row r="176" spans="1:19" x14ac:dyDescent="0.25">
      <c r="B176" s="22"/>
      <c r="D176" s="40" t="s">
        <v>2011</v>
      </c>
    </row>
    <row r="178" spans="1:9" x14ac:dyDescent="0.25">
      <c r="A178" s="101" t="s">
        <v>509</v>
      </c>
      <c r="B178" s="101"/>
      <c r="C178" s="266">
        <f>VLOOKUP(A178,'FY24 Service Agreements'!$A:$AF,31,FALSE)</f>
        <v>45444</v>
      </c>
      <c r="D178" s="267"/>
      <c r="E178" s="267" t="s">
        <v>769</v>
      </c>
      <c r="F178" s="267"/>
      <c r="G178" s="102"/>
      <c r="H178" s="268" t="str">
        <f>VLOOKUP($A178,'FY24 Service Agreements'!$A:$AD,30,FALSE)</f>
        <v>P23062682</v>
      </c>
      <c r="I178" s="268">
        <f>VLOOKUP($A178,'FY24 Service Agreements'!$A:$AD,28,FALSE)</f>
        <v>45108</v>
      </c>
    </row>
    <row r="179" spans="1:9" x14ac:dyDescent="0.25">
      <c r="B179" t="s">
        <v>930</v>
      </c>
      <c r="C179" s="2">
        <v>130000</v>
      </c>
    </row>
    <row r="182" spans="1:9" x14ac:dyDescent="0.25">
      <c r="A182" s="101" t="s">
        <v>933</v>
      </c>
      <c r="B182" s="101"/>
      <c r="C182" s="266" t="e">
        <f>VLOOKUP(A182,'FY24 Service Agreements'!$A:$AF,29,FALSE)</f>
        <v>#N/A</v>
      </c>
      <c r="D182" s="267"/>
      <c r="E182" s="267" t="s">
        <v>769</v>
      </c>
      <c r="F182" s="267"/>
      <c r="G182" s="102"/>
      <c r="H182" s="268" t="e">
        <f>VLOOKUP($A182,'FY24 Service Agreements'!$A:$AD,27,FALSE)</f>
        <v>#N/A</v>
      </c>
      <c r="I182" s="268" t="e">
        <f>VLOOKUP($A182,'FY24 Service Agreements'!$A:$AD,28,FALSE)</f>
        <v>#N/A</v>
      </c>
    </row>
    <row r="183" spans="1:9" x14ac:dyDescent="0.25">
      <c r="B183" t="s">
        <v>934</v>
      </c>
      <c r="C183" s="2">
        <v>11.36</v>
      </c>
      <c r="D183" t="s">
        <v>935</v>
      </c>
    </row>
    <row r="184" spans="1:9" x14ac:dyDescent="0.25">
      <c r="B184" t="s">
        <v>936</v>
      </c>
      <c r="C184" s="2">
        <v>11.36</v>
      </c>
    </row>
    <row r="185" spans="1:9" x14ac:dyDescent="0.25">
      <c r="B185" t="s">
        <v>937</v>
      </c>
      <c r="C185" s="2">
        <v>2.5</v>
      </c>
      <c r="D185" t="s">
        <v>935</v>
      </c>
    </row>
    <row r="186" spans="1:9" x14ac:dyDescent="0.25">
      <c r="B186" s="40" t="s">
        <v>938</v>
      </c>
    </row>
    <row r="188" spans="1:9" x14ac:dyDescent="0.25">
      <c r="A188" s="104" t="s">
        <v>514</v>
      </c>
      <c r="B188" s="104"/>
      <c r="C188" s="105">
        <f>VLOOKUP(A188,'FY24 Service Agreements'!$A:$AF,31,FALSE)</f>
        <v>0</v>
      </c>
      <c r="D188" s="104"/>
      <c r="E188" s="104" t="s">
        <v>769</v>
      </c>
      <c r="F188" s="104" t="s">
        <v>850</v>
      </c>
      <c r="G188" s="287" t="s">
        <v>822</v>
      </c>
      <c r="H188" s="124">
        <f>VLOOKUP($A188,'FY24 Service Agreements'!$A:$AD,29,FALSE)</f>
        <v>0</v>
      </c>
      <c r="I188" s="124">
        <f>VLOOKUP($A188,'FY24 Service Agreements'!$A:$AD,30,FALSE)</f>
        <v>0</v>
      </c>
    </row>
    <row r="189" spans="1:9" x14ac:dyDescent="0.25">
      <c r="B189" s="40"/>
    </row>
    <row r="191" spans="1:9" x14ac:dyDescent="0.25">
      <c r="A191" s="262" t="s">
        <v>54</v>
      </c>
      <c r="B191" s="262"/>
      <c r="C191" s="263">
        <f>VLOOKUP(A191,'Service Agreements'!$A:$AI,22,FALSE)</f>
        <v>24486</v>
      </c>
      <c r="D191" s="262"/>
      <c r="E191" s="262" t="s">
        <v>769</v>
      </c>
      <c r="F191" s="262"/>
      <c r="G191" s="264"/>
      <c r="H191" s="265" t="str">
        <f>VLOOKUP($A191,'Service Agreements'!$A:$AG,30,FALSE)</f>
        <v>P25011404</v>
      </c>
      <c r="I191" s="265" t="str">
        <f>VLOOKUP($A191,'Service Agreements'!$A:$AG,29,FALSE)</f>
        <v>P24017537</v>
      </c>
    </row>
    <row r="192" spans="1:9" x14ac:dyDescent="0.25">
      <c r="B192" t="s">
        <v>2012</v>
      </c>
      <c r="C192" s="2">
        <f>+G192/4</f>
        <v>5775</v>
      </c>
      <c r="E192" t="s">
        <v>911</v>
      </c>
      <c r="G192" s="2">
        <v>23100</v>
      </c>
    </row>
    <row r="195" spans="1:9" x14ac:dyDescent="0.25">
      <c r="A195" s="54" t="s">
        <v>2013</v>
      </c>
      <c r="B195" t="s">
        <v>2014</v>
      </c>
      <c r="C195" s="2">
        <f>+G195/2</f>
        <v>8563</v>
      </c>
      <c r="E195" t="s">
        <v>911</v>
      </c>
      <c r="G195" s="2">
        <v>17126</v>
      </c>
    </row>
    <row r="196" spans="1:9" x14ac:dyDescent="0.25">
      <c r="E196" s="139"/>
    </row>
    <row r="197" spans="1:9" x14ac:dyDescent="0.25">
      <c r="B197" s="40"/>
      <c r="C197" s="103"/>
      <c r="D197" s="40"/>
      <c r="E197" s="40"/>
      <c r="F197" s="40"/>
      <c r="G197" s="103"/>
    </row>
    <row r="199" spans="1:9" x14ac:dyDescent="0.25">
      <c r="A199" s="107" t="s">
        <v>57</v>
      </c>
      <c r="B199" s="107"/>
      <c r="C199" s="253">
        <f>VLOOKUP(A199,'Service Agreements'!$A:$AI,22,FALSE)</f>
        <v>9820</v>
      </c>
      <c r="D199" s="254"/>
      <c r="E199" s="254" t="s">
        <v>769</v>
      </c>
      <c r="F199" s="254"/>
      <c r="G199" s="255"/>
      <c r="H199" s="256" t="str">
        <f>VLOOKUP($A199,'Service Agreements'!$A:$AG,30,FALSE)</f>
        <v>P24057936</v>
      </c>
      <c r="I199" s="256" t="str">
        <f>VLOOKUP($A199,'Service Agreements'!$A:$AG,29,FALSE)</f>
        <v>P23062611</v>
      </c>
    </row>
    <row r="200" spans="1:9" x14ac:dyDescent="0.25">
      <c r="B200" t="s">
        <v>943</v>
      </c>
      <c r="C200" s="2">
        <v>9430</v>
      </c>
    </row>
    <row r="202" spans="1:9" x14ac:dyDescent="0.25">
      <c r="A202" s="277" t="s">
        <v>59</v>
      </c>
      <c r="B202" s="277"/>
      <c r="C202" s="253">
        <f>VLOOKUP(A202,'FY24 Service Agreements'!$A:$AF,31,FALSE)</f>
        <v>45444</v>
      </c>
      <c r="D202" s="254"/>
      <c r="E202" s="254" t="s">
        <v>769</v>
      </c>
      <c r="F202" s="254"/>
      <c r="G202" s="289" t="s">
        <v>822</v>
      </c>
      <c r="H202" s="256">
        <f>VLOOKUP($A202,'FY24 Service Agreements'!$A:$AD,29,FALSE)</f>
        <v>45473</v>
      </c>
      <c r="I202" s="256">
        <f>VLOOKUP($A202,'FY24 Service Agreements'!$A:$AD,30,FALSE)</f>
        <v>0</v>
      </c>
    </row>
    <row r="203" spans="1:9" x14ac:dyDescent="0.25">
      <c r="B203" t="s">
        <v>944</v>
      </c>
    </row>
    <row r="204" spans="1:9" x14ac:dyDescent="0.25">
      <c r="B204" s="291" t="s">
        <v>945</v>
      </c>
      <c r="C204" s="290" t="s">
        <v>946</v>
      </c>
      <c r="D204" s="291" t="s">
        <v>947</v>
      </c>
      <c r="E204" s="291" t="s">
        <v>948</v>
      </c>
      <c r="F204" s="291" t="s">
        <v>2015</v>
      </c>
      <c r="G204" s="290" t="s">
        <v>2016</v>
      </c>
    </row>
    <row r="205" spans="1:9" x14ac:dyDescent="0.25">
      <c r="B205" t="s">
        <v>951</v>
      </c>
      <c r="C205" s="2" t="s">
        <v>952</v>
      </c>
      <c r="D205">
        <v>1</v>
      </c>
      <c r="E205">
        <v>136.64392000000001</v>
      </c>
      <c r="F205">
        <v>135</v>
      </c>
      <c r="G205" s="2">
        <v>18446.929200000002</v>
      </c>
    </row>
    <row r="206" spans="1:9" x14ac:dyDescent="0.25">
      <c r="B206" t="s">
        <v>951</v>
      </c>
      <c r="C206" s="2" t="s">
        <v>953</v>
      </c>
      <c r="D206">
        <v>10</v>
      </c>
      <c r="E206">
        <v>21.218000000000004</v>
      </c>
      <c r="F206">
        <v>135</v>
      </c>
      <c r="G206" s="2">
        <v>28644.300000000007</v>
      </c>
    </row>
    <row r="207" spans="1:9" x14ac:dyDescent="0.25">
      <c r="B207" t="s">
        <v>886</v>
      </c>
      <c r="C207" s="2" t="s">
        <v>953</v>
      </c>
      <c r="D207">
        <v>6</v>
      </c>
      <c r="E207">
        <v>21.218000000000004</v>
      </c>
      <c r="F207">
        <v>135</v>
      </c>
      <c r="G207" s="2">
        <v>17186.580000000002</v>
      </c>
    </row>
    <row r="208" spans="1:9" x14ac:dyDescent="0.25">
      <c r="B208" t="s">
        <v>886</v>
      </c>
      <c r="C208" s="2" t="s">
        <v>954</v>
      </c>
      <c r="D208">
        <v>9</v>
      </c>
      <c r="E208">
        <v>14.003880000000001</v>
      </c>
      <c r="F208">
        <v>135</v>
      </c>
      <c r="G208" s="2">
        <v>17014.714199999999</v>
      </c>
    </row>
    <row r="209" spans="1:9" x14ac:dyDescent="0.25">
      <c r="B209" t="s">
        <v>955</v>
      </c>
      <c r="C209" s="2" t="s">
        <v>953</v>
      </c>
      <c r="D209">
        <v>3</v>
      </c>
      <c r="E209">
        <v>21.218000000000004</v>
      </c>
      <c r="F209">
        <v>135</v>
      </c>
      <c r="G209" s="2">
        <v>8593.2900000000009</v>
      </c>
    </row>
    <row r="210" spans="1:9" x14ac:dyDescent="0.25">
      <c r="B210" t="s">
        <v>956</v>
      </c>
      <c r="C210" s="2" t="s">
        <v>953</v>
      </c>
      <c r="D210">
        <v>6</v>
      </c>
      <c r="E210">
        <v>21.218000000000004</v>
      </c>
      <c r="F210">
        <v>135</v>
      </c>
      <c r="G210" s="2">
        <v>17186.580000000002</v>
      </c>
    </row>
    <row r="211" spans="1:9" x14ac:dyDescent="0.25">
      <c r="B211" t="s">
        <v>957</v>
      </c>
      <c r="C211" s="2" t="s">
        <v>953</v>
      </c>
      <c r="D211">
        <v>3</v>
      </c>
      <c r="E211">
        <v>21.218000000000004</v>
      </c>
      <c r="F211">
        <v>135</v>
      </c>
      <c r="G211" s="2">
        <v>8593.2900000000009</v>
      </c>
    </row>
    <row r="212" spans="1:9" x14ac:dyDescent="0.25">
      <c r="B212" t="s">
        <v>958</v>
      </c>
      <c r="C212" s="2" t="s">
        <v>953</v>
      </c>
      <c r="D212">
        <v>6</v>
      </c>
      <c r="E212">
        <v>21.218000000000004</v>
      </c>
      <c r="F212">
        <v>135</v>
      </c>
      <c r="G212" s="2">
        <v>17186.580000000002</v>
      </c>
    </row>
    <row r="213" spans="1:9" x14ac:dyDescent="0.25">
      <c r="B213" t="s">
        <v>959</v>
      </c>
      <c r="C213" s="2" t="s">
        <v>953</v>
      </c>
      <c r="D213">
        <v>6</v>
      </c>
      <c r="E213">
        <v>21.218000000000004</v>
      </c>
      <c r="F213">
        <v>135</v>
      </c>
      <c r="G213" s="2">
        <v>17186.580000000002</v>
      </c>
    </row>
    <row r="214" spans="1:9" x14ac:dyDescent="0.25">
      <c r="B214" t="s">
        <v>961</v>
      </c>
      <c r="C214" s="2" t="s">
        <v>953</v>
      </c>
      <c r="D214">
        <v>2</v>
      </c>
      <c r="E214">
        <v>21.218000000000004</v>
      </c>
      <c r="F214">
        <v>135</v>
      </c>
      <c r="G214" s="2">
        <v>5728.8600000000006</v>
      </c>
    </row>
    <row r="215" spans="1:9" x14ac:dyDescent="0.25">
      <c r="B215" t="s">
        <v>962</v>
      </c>
      <c r="C215" s="2" t="s">
        <v>953</v>
      </c>
      <c r="D215">
        <v>2</v>
      </c>
      <c r="E215">
        <v>21.218000000000004</v>
      </c>
      <c r="F215">
        <v>135</v>
      </c>
      <c r="G215" s="2">
        <v>5728.8600000000006</v>
      </c>
    </row>
    <row r="216" spans="1:9" x14ac:dyDescent="0.25">
      <c r="B216" t="s">
        <v>2017</v>
      </c>
      <c r="C216" s="2" t="s">
        <v>953</v>
      </c>
      <c r="D216">
        <v>6</v>
      </c>
      <c r="E216">
        <v>21.218000000000004</v>
      </c>
      <c r="F216">
        <v>135</v>
      </c>
      <c r="G216" s="2">
        <v>17186.580000000002</v>
      </c>
    </row>
    <row r="217" spans="1:9" x14ac:dyDescent="0.25">
      <c r="B217" t="s">
        <v>964</v>
      </c>
      <c r="C217" s="2" t="s">
        <v>953</v>
      </c>
      <c r="D217">
        <v>18</v>
      </c>
      <c r="E217">
        <v>21.218000000000004</v>
      </c>
      <c r="F217">
        <v>135</v>
      </c>
      <c r="G217" s="290">
        <v>51559.740000000013</v>
      </c>
    </row>
    <row r="218" spans="1:9" x14ac:dyDescent="0.25">
      <c r="F218" t="s">
        <v>874</v>
      </c>
      <c r="G218" s="2">
        <f>SUM(G205:G217)</f>
        <v>230242.88340000002</v>
      </c>
    </row>
    <row r="219" spans="1:9" x14ac:dyDescent="0.25">
      <c r="D219" t="s">
        <v>2018</v>
      </c>
    </row>
    <row r="220" spans="1:9" x14ac:dyDescent="0.25">
      <c r="B220" s="22" t="s">
        <v>965</v>
      </c>
      <c r="D220" t="s">
        <v>2019</v>
      </c>
    </row>
    <row r="221" spans="1:9" x14ac:dyDescent="0.25">
      <c r="B221" s="22"/>
      <c r="D221" t="s">
        <v>2020</v>
      </c>
    </row>
    <row r="222" spans="1:9" x14ac:dyDescent="0.25">
      <c r="A222" s="331" t="s">
        <v>61</v>
      </c>
      <c r="B222" s="331"/>
      <c r="C222" s="263">
        <f>VLOOKUP(A222,'Service Agreements'!$A:$AI,22,FALSE)</f>
        <v>14449</v>
      </c>
      <c r="D222" s="262"/>
      <c r="E222" s="262" t="s">
        <v>769</v>
      </c>
      <c r="F222" s="262"/>
      <c r="G222" s="264"/>
      <c r="H222" s="265" t="str">
        <f>VLOOKUP($A222,'Service Agreements'!$A:$AG,30,FALSE)</f>
        <v>P24050303</v>
      </c>
      <c r="I222" s="265" t="str">
        <f>VLOOKUP($A222,'Service Agreements'!$A:$AG,29,FALSE)</f>
        <v>P24001015</v>
      </c>
    </row>
    <row r="223" spans="1:9" x14ac:dyDescent="0.25">
      <c r="B223" s="22"/>
      <c r="C223" s="2">
        <v>13631</v>
      </c>
    </row>
    <row r="224" spans="1:9" x14ac:dyDescent="0.25">
      <c r="B224" s="22"/>
    </row>
    <row r="225" spans="1:12" x14ac:dyDescent="0.25">
      <c r="B225" s="22"/>
    </row>
    <row r="226" spans="1:12" x14ac:dyDescent="0.25">
      <c r="A226" s="407" t="s">
        <v>1718</v>
      </c>
      <c r="B226" s="407"/>
      <c r="C226" s="408">
        <f>VLOOKUP(A226,'Service Agreements'!$A:$AI,22,FALSE)</f>
        <v>0</v>
      </c>
      <c r="D226" s="409"/>
      <c r="E226" s="409" t="s">
        <v>769</v>
      </c>
      <c r="F226" s="409"/>
      <c r="G226" s="410"/>
      <c r="H226" s="411" t="str">
        <f>VLOOKUP($A226,'Service Agreements'!$A:$AG,30,FALSE)</f>
        <v>P25031976</v>
      </c>
      <c r="I226" s="411" t="e">
        <f>VLOOKUP($A226,'FY24 Service Agreements'!$A:$AD,29,FALSE)</f>
        <v>#N/A</v>
      </c>
    </row>
    <row r="227" spans="1:12" x14ac:dyDescent="0.25">
      <c r="B227" s="22"/>
    </row>
    <row r="228" spans="1:12" x14ac:dyDescent="0.25">
      <c r="B228" s="459" t="s">
        <v>2021</v>
      </c>
      <c r="C228" s="2">
        <v>1720.12</v>
      </c>
    </row>
    <row r="229" spans="1:12" x14ac:dyDescent="0.25">
      <c r="B229" s="459" t="s">
        <v>2022</v>
      </c>
      <c r="C229" s="2">
        <v>9214.9599999999991</v>
      </c>
    </row>
    <row r="230" spans="1:12" x14ac:dyDescent="0.25">
      <c r="B230" s="459"/>
    </row>
    <row r="231" spans="1:12" x14ac:dyDescent="0.25">
      <c r="B231" s="459" t="s">
        <v>2023</v>
      </c>
      <c r="C231" s="2">
        <f>+C228+C229</f>
        <v>10935.079999999998</v>
      </c>
    </row>
    <row r="232" spans="1:12" x14ac:dyDescent="0.25">
      <c r="B232" s="22"/>
    </row>
    <row r="233" spans="1:12" ht="15" customHeight="1" x14ac:dyDescent="0.25">
      <c r="A233" s="101" t="s">
        <v>63</v>
      </c>
      <c r="B233" s="101"/>
      <c r="C233" s="266">
        <f>VLOOKUP(A233,'FY24 Service Agreements'!$A:$AF,31,FALSE)</f>
        <v>45444</v>
      </c>
      <c r="D233" s="267"/>
      <c r="E233" s="267" t="s">
        <v>769</v>
      </c>
      <c r="F233" s="267"/>
      <c r="G233" s="102"/>
      <c r="H233" s="268">
        <f>VLOOKUP($A233,'FY24 Service Agreements'!$A:$AD,29,FALSE)</f>
        <v>45473</v>
      </c>
      <c r="I233" s="268" t="str">
        <f>VLOOKUP($A233,'FY24 Service Agreements'!$A:$AD,30,FALSE)</f>
        <v>P23058502</v>
      </c>
    </row>
    <row r="234" spans="1:12" ht="15" customHeight="1" x14ac:dyDescent="0.25">
      <c r="A234" s="215"/>
      <c r="B234" t="s">
        <v>966</v>
      </c>
      <c r="C234" s="215"/>
      <c r="D234" s="215"/>
      <c r="E234" t="s">
        <v>911</v>
      </c>
      <c r="F234" s="215"/>
      <c r="G234" s="215"/>
      <c r="H234" s="2">
        <v>4000</v>
      </c>
      <c r="I234" s="215"/>
    </row>
    <row r="235" spans="1:12" ht="15" customHeight="1" x14ac:dyDescent="0.25">
      <c r="A235" s="215"/>
      <c r="C235" s="215"/>
      <c r="D235" s="215"/>
      <c r="E235" s="215"/>
      <c r="F235" s="215"/>
      <c r="G235" s="215"/>
      <c r="H235" s="215"/>
      <c r="I235" s="215"/>
    </row>
    <row r="236" spans="1:12" ht="15" customHeight="1" x14ac:dyDescent="0.25">
      <c r="L236" s="139"/>
    </row>
    <row r="237" spans="1:12" ht="15" customHeight="1" x14ac:dyDescent="0.25">
      <c r="A237" s="257" t="s">
        <v>66</v>
      </c>
      <c r="B237" s="257"/>
      <c r="C237" s="258">
        <f>VLOOKUP(A237,'FY24 Service Agreements'!$A:$AF,29,FALSE)</f>
        <v>45473</v>
      </c>
      <c r="D237" s="259"/>
      <c r="E237" s="259" t="s">
        <v>769</v>
      </c>
      <c r="F237" s="259"/>
      <c r="G237" s="292" t="s">
        <v>822</v>
      </c>
      <c r="H237" s="261" t="str">
        <f>VLOOKUP($A237,'FY24 Service Agreements'!$A:$AD,27,FALSE)</f>
        <v>P23000930</v>
      </c>
      <c r="I237" s="261">
        <f>VLOOKUP($A237,'FY24 Service Agreements'!$A:$AD,28,FALSE)</f>
        <v>45108</v>
      </c>
      <c r="L237" s="139"/>
    </row>
    <row r="238" spans="1:12" ht="15" customHeight="1" x14ac:dyDescent="0.25">
      <c r="B238" t="s">
        <v>123</v>
      </c>
      <c r="C238" s="2">
        <v>1750</v>
      </c>
      <c r="D238" t="s">
        <v>968</v>
      </c>
      <c r="E238" t="s">
        <v>969</v>
      </c>
      <c r="H238" s="139">
        <f>C238*5*2</f>
        <v>17500</v>
      </c>
      <c r="L238" s="139"/>
    </row>
    <row r="239" spans="1:12" ht="15" customHeight="1" x14ac:dyDescent="0.25">
      <c r="B239" t="s">
        <v>970</v>
      </c>
      <c r="C239" s="2">
        <v>595</v>
      </c>
      <c r="D239" t="s">
        <v>971</v>
      </c>
      <c r="E239" t="s">
        <v>969</v>
      </c>
      <c r="H239" s="139">
        <f>C239*12</f>
        <v>7140</v>
      </c>
      <c r="I239" s="40"/>
      <c r="L239" s="139"/>
    </row>
    <row r="240" spans="1:12" ht="15" customHeight="1" x14ac:dyDescent="0.25">
      <c r="H240" s="197">
        <f>SUM(H238:H239)</f>
        <v>24640</v>
      </c>
      <c r="I240" s="40" t="s">
        <v>972</v>
      </c>
      <c r="L240" s="139"/>
    </row>
    <row r="241" spans="1:12" ht="15" customHeight="1" x14ac:dyDescent="0.25">
      <c r="B241" s="40" t="s">
        <v>2024</v>
      </c>
      <c r="L241" s="139"/>
    </row>
    <row r="242" spans="1:12" x14ac:dyDescent="0.25">
      <c r="L242" s="139"/>
    </row>
    <row r="243" spans="1:12" x14ac:dyDescent="0.25">
      <c r="A243" s="269" t="s">
        <v>241</v>
      </c>
      <c r="B243" s="269"/>
      <c r="C243" s="270" t="e">
        <f>VLOOKUP(A243,'Service Agreements'!$A:$AI,22,FALSE)</f>
        <v>#N/A</v>
      </c>
      <c r="D243" s="271"/>
      <c r="E243" s="271" t="s">
        <v>769</v>
      </c>
      <c r="F243" s="271"/>
      <c r="G243" s="272"/>
      <c r="H243" s="273" t="e">
        <f>VLOOKUP($A243,'Service Agreements'!$A:$AG,30,FALSE)</f>
        <v>#N/A</v>
      </c>
      <c r="I243" s="273">
        <f>VLOOKUP($A243,'FY24 Service Agreements'!$A:$AD,29,FALSE)</f>
        <v>46568</v>
      </c>
      <c r="L243" s="139"/>
    </row>
    <row r="244" spans="1:12" x14ac:dyDescent="0.25">
      <c r="B244" t="s">
        <v>974</v>
      </c>
      <c r="C244" s="2">
        <v>579.15</v>
      </c>
      <c r="L244" s="139"/>
    </row>
    <row r="245" spans="1:12" x14ac:dyDescent="0.25">
      <c r="B245" t="s">
        <v>975</v>
      </c>
      <c r="C245" s="2">
        <v>4134.87</v>
      </c>
    </row>
    <row r="246" spans="1:12" ht="15" customHeight="1" x14ac:dyDescent="0.25">
      <c r="B246" t="s">
        <v>976</v>
      </c>
      <c r="C246" s="2">
        <v>4328.8100000000004</v>
      </c>
      <c r="L246" s="139"/>
    </row>
    <row r="247" spans="1:12" ht="15" customHeight="1" x14ac:dyDescent="0.25">
      <c r="B247" t="s">
        <v>978</v>
      </c>
      <c r="C247" s="2">
        <v>389.73</v>
      </c>
    </row>
    <row r="248" spans="1:12" ht="15" customHeight="1" x14ac:dyDescent="0.25">
      <c r="B248" t="s">
        <v>979</v>
      </c>
      <c r="C248" s="110">
        <f>SUM(C244:C247)</f>
        <v>9432.56</v>
      </c>
    </row>
    <row r="249" spans="1:12" ht="15" customHeight="1" x14ac:dyDescent="0.25"/>
    <row r="250" spans="1:12" ht="15" customHeight="1" x14ac:dyDescent="0.25"/>
    <row r="251" spans="1:12" ht="15" customHeight="1" x14ac:dyDescent="0.25"/>
    <row r="252" spans="1:12" ht="15" customHeight="1" x14ac:dyDescent="0.25">
      <c r="A252" s="101" t="s">
        <v>69</v>
      </c>
      <c r="B252" s="101"/>
      <c r="C252" s="266">
        <f>VLOOKUP(A252,'Service Agreements'!$A:$AI,22,FALSE)</f>
        <v>28323</v>
      </c>
      <c r="D252" s="267"/>
      <c r="E252" s="267" t="s">
        <v>769</v>
      </c>
      <c r="F252" s="267"/>
      <c r="G252" s="102"/>
      <c r="H252" s="268" t="str">
        <f>VLOOKUP($A252,'Service Agreements'!$A:$AG,30,FALSE)</f>
        <v>P23062079</v>
      </c>
      <c r="I252" s="268" t="str">
        <f>VLOOKUP($A252,'Service Agreements'!$A:$AG,29,FALSE)</f>
        <v>P23062079</v>
      </c>
    </row>
    <row r="253" spans="1:12" ht="15" customHeight="1" x14ac:dyDescent="0.25">
      <c r="B253" t="s">
        <v>980</v>
      </c>
      <c r="C253" s="2">
        <v>28323</v>
      </c>
      <c r="F253" s="139">
        <f>C253/4</f>
        <v>7080.75</v>
      </c>
    </row>
    <row r="254" spans="1:12" ht="15" customHeight="1" x14ac:dyDescent="0.25">
      <c r="B254" s="52" t="s">
        <v>981</v>
      </c>
    </row>
    <row r="255" spans="1:12" ht="15" customHeight="1" x14ac:dyDescent="0.25">
      <c r="B255" s="52" t="s">
        <v>982</v>
      </c>
    </row>
    <row r="256" spans="1:12" ht="15" customHeight="1" x14ac:dyDescent="0.25">
      <c r="B256" s="52" t="s">
        <v>983</v>
      </c>
    </row>
    <row r="257" spans="1:9" ht="15" customHeight="1" x14ac:dyDescent="0.25">
      <c r="B257" s="52" t="s">
        <v>984</v>
      </c>
    </row>
    <row r="258" spans="1:9" ht="15" customHeight="1" x14ac:dyDescent="0.25">
      <c r="B258" s="52" t="s">
        <v>985</v>
      </c>
    </row>
    <row r="259" spans="1:9" ht="15" customHeight="1" x14ac:dyDescent="0.25">
      <c r="A259" s="54" t="s">
        <v>986</v>
      </c>
    </row>
    <row r="260" spans="1:9" ht="15" customHeight="1" x14ac:dyDescent="0.25"/>
    <row r="261" spans="1:9" ht="15" customHeight="1" outlineLevel="1" x14ac:dyDescent="0.25">
      <c r="A261" s="325" t="s">
        <v>71</v>
      </c>
      <c r="B261" s="326"/>
      <c r="C261" s="258">
        <f>VLOOKUP(A261,'FY24 Service Agreements'!$A:$AF,28,FALSE)</f>
        <v>45292</v>
      </c>
      <c r="D261" s="259"/>
      <c r="E261" s="259" t="s">
        <v>769</v>
      </c>
      <c r="F261" s="259"/>
      <c r="G261" s="260"/>
      <c r="H261" s="261">
        <f>VLOOKUP($A261,'FY24 Service Agreements'!$A:$AD,29,FALSE)</f>
        <v>45657</v>
      </c>
      <c r="I261" s="261" t="str">
        <f>VLOOKUP($A261,'FY24 Service Agreements'!$A:$AD,30,FALSE)</f>
        <v>P24030157</v>
      </c>
    </row>
    <row r="262" spans="1:9" ht="15" customHeight="1" outlineLevel="1" x14ac:dyDescent="0.25">
      <c r="B262" t="s">
        <v>987</v>
      </c>
      <c r="C262" s="2">
        <v>250</v>
      </c>
      <c r="E262" t="s">
        <v>911</v>
      </c>
      <c r="G262" s="2">
        <v>17350</v>
      </c>
    </row>
    <row r="263" spans="1:9" ht="15" customHeight="1" outlineLevel="1" x14ac:dyDescent="0.25">
      <c r="B263" t="s">
        <v>988</v>
      </c>
      <c r="C263" s="2">
        <v>120</v>
      </c>
    </row>
    <row r="264" spans="1:9" outlineLevel="1" x14ac:dyDescent="0.25"/>
    <row r="265" spans="1:9" ht="15" customHeight="1" outlineLevel="1" x14ac:dyDescent="0.25">
      <c r="A265" s="262" t="s">
        <v>75</v>
      </c>
      <c r="B265" s="262"/>
      <c r="C265" s="263">
        <f>VLOOKUP(A265,'FY24 Service Agreements'!$A:$AF,29,FALSE)</f>
        <v>45473</v>
      </c>
      <c r="D265" s="262"/>
      <c r="E265" s="262" t="s">
        <v>769</v>
      </c>
      <c r="F265" s="262"/>
      <c r="G265" s="293" t="s">
        <v>822</v>
      </c>
      <c r="H265" s="265" t="str">
        <f>VLOOKUP($A265,'FY24 Service Agreements'!$A:$AD,27,FALSE)</f>
        <v>P22059195</v>
      </c>
      <c r="I265" s="265">
        <f>VLOOKUP($A265,'FY24 Service Agreements'!$A:$AD,28,FALSE)</f>
        <v>45108</v>
      </c>
    </row>
    <row r="266" spans="1:9" ht="15" customHeight="1" outlineLevel="1" x14ac:dyDescent="0.25">
      <c r="A266" s="54" t="s">
        <v>774</v>
      </c>
      <c r="B266" t="s">
        <v>989</v>
      </c>
      <c r="C266" s="2">
        <v>195</v>
      </c>
      <c r="D266" s="139">
        <f>C266*12</f>
        <v>2340</v>
      </c>
      <c r="E266" t="s">
        <v>911</v>
      </c>
      <c r="G266" s="2">
        <f>D276+D281+D299+D318</f>
        <v>87798</v>
      </c>
    </row>
    <row r="267" spans="1:9" ht="15" customHeight="1" outlineLevel="1" x14ac:dyDescent="0.25">
      <c r="B267" t="s">
        <v>990</v>
      </c>
      <c r="C267" s="2">
        <v>294</v>
      </c>
      <c r="D267" s="139">
        <f t="shared" ref="D267:D268" si="4">C267*12</f>
        <v>3528</v>
      </c>
    </row>
    <row r="268" spans="1:9" ht="15" customHeight="1" outlineLevel="1" x14ac:dyDescent="0.25">
      <c r="B268" t="s">
        <v>991</v>
      </c>
      <c r="C268" s="2">
        <v>373</v>
      </c>
      <c r="D268" s="139">
        <f t="shared" si="4"/>
        <v>4476</v>
      </c>
    </row>
    <row r="269" spans="1:9" ht="15" customHeight="1" outlineLevel="1" x14ac:dyDescent="0.25">
      <c r="B269" t="s">
        <v>992</v>
      </c>
      <c r="C269" s="2">
        <v>162</v>
      </c>
      <c r="D269" s="139">
        <f>C269*4</f>
        <v>648</v>
      </c>
    </row>
    <row r="270" spans="1:9" ht="15" customHeight="1" x14ac:dyDescent="0.25">
      <c r="B270" t="s">
        <v>808</v>
      </c>
      <c r="C270" s="2">
        <v>130</v>
      </c>
      <c r="D270" s="139">
        <f>C270*4</f>
        <v>520</v>
      </c>
    </row>
    <row r="271" spans="1:9" ht="15" customHeight="1" x14ac:dyDescent="0.25">
      <c r="B271" t="s">
        <v>992</v>
      </c>
      <c r="C271" s="2">
        <v>130</v>
      </c>
      <c r="D271" s="139">
        <f>C271*4</f>
        <v>520</v>
      </c>
    </row>
    <row r="272" spans="1:9" ht="15" customHeight="1" x14ac:dyDescent="0.25">
      <c r="B272" t="s">
        <v>993</v>
      </c>
      <c r="C272" s="2">
        <v>235</v>
      </c>
      <c r="D272" s="139">
        <f>C272*12</f>
        <v>2820</v>
      </c>
    </row>
    <row r="273" spans="1:4" ht="15" customHeight="1" outlineLevel="1" x14ac:dyDescent="0.25">
      <c r="B273" t="s">
        <v>807</v>
      </c>
      <c r="C273" s="2">
        <v>145</v>
      </c>
      <c r="D273" s="139">
        <f>C273*2</f>
        <v>290</v>
      </c>
    </row>
    <row r="274" spans="1:4" ht="15" customHeight="1" outlineLevel="1" x14ac:dyDescent="0.25">
      <c r="B274" t="s">
        <v>994</v>
      </c>
      <c r="C274" s="2">
        <v>250</v>
      </c>
      <c r="D274" s="139">
        <f>C274*4</f>
        <v>1000</v>
      </c>
    </row>
    <row r="275" spans="1:4" ht="15" customHeight="1" outlineLevel="1" x14ac:dyDescent="0.25">
      <c r="B275" t="s">
        <v>995</v>
      </c>
      <c r="C275" s="2">
        <v>1400</v>
      </c>
      <c r="D275" s="139">
        <f>C275*2</f>
        <v>2800</v>
      </c>
    </row>
    <row r="276" spans="1:4" ht="15" customHeight="1" outlineLevel="1" x14ac:dyDescent="0.25">
      <c r="B276" s="54" t="s">
        <v>996</v>
      </c>
      <c r="C276" s="120">
        <f>SUM(C266:C275)</f>
        <v>3314</v>
      </c>
      <c r="D276" s="120">
        <f>SUM(D266:D275)</f>
        <v>18942</v>
      </c>
    </row>
    <row r="277" spans="1:4" ht="15" customHeight="1" outlineLevel="1" x14ac:dyDescent="0.25"/>
    <row r="278" spans="1:4" ht="15" customHeight="1" outlineLevel="1" x14ac:dyDescent="0.25">
      <c r="A278" s="54" t="s">
        <v>776</v>
      </c>
      <c r="B278" t="s">
        <v>997</v>
      </c>
      <c r="C278" s="2">
        <v>160</v>
      </c>
      <c r="D278" s="139">
        <f>C278*4</f>
        <v>640</v>
      </c>
    </row>
    <row r="279" spans="1:4" ht="15" customHeight="1" outlineLevel="1" x14ac:dyDescent="0.25">
      <c r="B279" t="s">
        <v>998</v>
      </c>
      <c r="C279" s="2">
        <v>160</v>
      </c>
      <c r="D279" s="139">
        <f t="shared" ref="D279:D280" si="5">C279*4</f>
        <v>640</v>
      </c>
    </row>
    <row r="280" spans="1:4" ht="15" customHeight="1" outlineLevel="1" x14ac:dyDescent="0.25">
      <c r="B280" t="s">
        <v>999</v>
      </c>
      <c r="C280" s="2">
        <v>160</v>
      </c>
      <c r="D280" s="139">
        <f t="shared" si="5"/>
        <v>640</v>
      </c>
    </row>
    <row r="281" spans="1:4" ht="15" customHeight="1" outlineLevel="1" x14ac:dyDescent="0.25">
      <c r="B281" s="54" t="s">
        <v>1000</v>
      </c>
      <c r="C281" s="120">
        <f>SUM(C278:C280)</f>
        <v>480</v>
      </c>
      <c r="D281" s="177">
        <f>SUM(D278:D280)</f>
        <v>1920</v>
      </c>
    </row>
    <row r="282" spans="1:4" ht="15" customHeight="1" outlineLevel="1" x14ac:dyDescent="0.25"/>
    <row r="283" spans="1:4" ht="15" customHeight="1" outlineLevel="1" x14ac:dyDescent="0.25">
      <c r="A283" s="54" t="s">
        <v>1001</v>
      </c>
      <c r="B283" t="s">
        <v>1002</v>
      </c>
      <c r="C283" s="2">
        <v>1657</v>
      </c>
      <c r="D283" s="139">
        <f>C283*12</f>
        <v>19884</v>
      </c>
    </row>
    <row r="284" spans="1:4" ht="15" customHeight="1" outlineLevel="1" x14ac:dyDescent="0.25">
      <c r="B284" t="s">
        <v>1003</v>
      </c>
      <c r="C284" s="2">
        <v>126</v>
      </c>
      <c r="D284" s="139">
        <f>C284*12</f>
        <v>1512</v>
      </c>
    </row>
    <row r="285" spans="1:4" ht="15" customHeight="1" outlineLevel="1" x14ac:dyDescent="0.25">
      <c r="B285" t="s">
        <v>1004</v>
      </c>
      <c r="C285" s="2">
        <v>450</v>
      </c>
      <c r="D285" s="139">
        <f>C285*12</f>
        <v>5400</v>
      </c>
    </row>
    <row r="286" spans="1:4" ht="15" customHeight="1" outlineLevel="1" x14ac:dyDescent="0.25">
      <c r="B286" t="s">
        <v>901</v>
      </c>
      <c r="C286" s="2">
        <v>558</v>
      </c>
      <c r="D286" s="139">
        <f>C286*12</f>
        <v>6696</v>
      </c>
    </row>
    <row r="287" spans="1:4" ht="15" customHeight="1" outlineLevel="1" x14ac:dyDescent="0.25">
      <c r="B287" t="s">
        <v>1005</v>
      </c>
      <c r="C287" s="2">
        <v>211</v>
      </c>
      <c r="D287" s="139">
        <f>C287*4</f>
        <v>844</v>
      </c>
    </row>
    <row r="288" spans="1:4" ht="15" customHeight="1" outlineLevel="1" x14ac:dyDescent="0.25">
      <c r="B288" t="s">
        <v>985</v>
      </c>
      <c r="C288" s="2">
        <v>339</v>
      </c>
      <c r="D288" s="139">
        <f>C288*4</f>
        <v>1356</v>
      </c>
    </row>
    <row r="289" spans="1:4" ht="15" customHeight="1" outlineLevel="1" x14ac:dyDescent="0.25">
      <c r="B289" t="s">
        <v>1006</v>
      </c>
      <c r="C289" s="2">
        <v>150</v>
      </c>
      <c r="D289" s="139">
        <f>C289*4</f>
        <v>600</v>
      </c>
    </row>
    <row r="290" spans="1:4" ht="15" customHeight="1" outlineLevel="1" x14ac:dyDescent="0.25">
      <c r="B290" t="s">
        <v>906</v>
      </c>
      <c r="C290" s="2">
        <v>1096</v>
      </c>
      <c r="D290" s="139">
        <f>C290*4</f>
        <v>4384</v>
      </c>
    </row>
    <row r="291" spans="1:4" ht="15" customHeight="1" outlineLevel="1" x14ac:dyDescent="0.25">
      <c r="B291" t="s">
        <v>1007</v>
      </c>
      <c r="C291" s="2">
        <v>413</v>
      </c>
      <c r="D291" s="139">
        <f t="shared" ref="D291:D297" si="6">C291*4</f>
        <v>1652</v>
      </c>
    </row>
    <row r="292" spans="1:4" ht="15" customHeight="1" x14ac:dyDescent="0.25">
      <c r="B292" t="s">
        <v>1008</v>
      </c>
      <c r="C292" s="2">
        <v>553</v>
      </c>
      <c r="D292" s="139">
        <f t="shared" si="6"/>
        <v>2212</v>
      </c>
    </row>
    <row r="293" spans="1:4" x14ac:dyDescent="0.25">
      <c r="B293" t="s">
        <v>1009</v>
      </c>
      <c r="C293" s="2">
        <v>282</v>
      </c>
      <c r="D293" s="139">
        <f t="shared" si="6"/>
        <v>1128</v>
      </c>
    </row>
    <row r="294" spans="1:4" x14ac:dyDescent="0.25">
      <c r="B294" t="s">
        <v>1010</v>
      </c>
      <c r="C294" s="2">
        <v>369</v>
      </c>
      <c r="D294" s="139">
        <f t="shared" si="6"/>
        <v>1476</v>
      </c>
    </row>
    <row r="295" spans="1:4" outlineLevel="1" x14ac:dyDescent="0.25">
      <c r="B295" t="s">
        <v>1011</v>
      </c>
      <c r="C295" s="2">
        <v>400</v>
      </c>
      <c r="D295" s="139">
        <f t="shared" si="6"/>
        <v>1600</v>
      </c>
    </row>
    <row r="296" spans="1:4" outlineLevel="1" x14ac:dyDescent="0.25">
      <c r="B296" t="s">
        <v>1012</v>
      </c>
      <c r="C296" s="2">
        <v>495</v>
      </c>
      <c r="D296" s="139">
        <f t="shared" si="6"/>
        <v>1980</v>
      </c>
    </row>
    <row r="297" spans="1:4" outlineLevel="1" x14ac:dyDescent="0.25">
      <c r="B297" t="s">
        <v>1013</v>
      </c>
      <c r="C297" s="2">
        <v>501</v>
      </c>
      <c r="D297" s="139">
        <f t="shared" si="6"/>
        <v>2004</v>
      </c>
    </row>
    <row r="298" spans="1:4" outlineLevel="1" x14ac:dyDescent="0.25">
      <c r="B298" t="s">
        <v>1014</v>
      </c>
      <c r="C298" s="2">
        <v>149</v>
      </c>
      <c r="D298" s="139">
        <f>C298*2</f>
        <v>298</v>
      </c>
    </row>
    <row r="299" spans="1:4" outlineLevel="1" x14ac:dyDescent="0.25">
      <c r="B299" s="54" t="s">
        <v>1015</v>
      </c>
      <c r="C299" s="120">
        <f>SUM(C283:C298)</f>
        <v>7749</v>
      </c>
      <c r="D299" s="120">
        <f>SUM(D283:D298)</f>
        <v>53026</v>
      </c>
    </row>
    <row r="300" spans="1:4" outlineLevel="1" x14ac:dyDescent="0.25"/>
    <row r="301" spans="1:4" outlineLevel="1" x14ac:dyDescent="0.25">
      <c r="A301" s="54" t="s">
        <v>1016</v>
      </c>
      <c r="B301" t="s">
        <v>1017</v>
      </c>
      <c r="C301" s="2">
        <v>200</v>
      </c>
      <c r="D301" s="139">
        <f>C301*12</f>
        <v>2400</v>
      </c>
    </row>
    <row r="302" spans="1:4" outlineLevel="1" x14ac:dyDescent="0.25">
      <c r="B302" t="s">
        <v>1018</v>
      </c>
      <c r="C302" s="2">
        <v>400</v>
      </c>
      <c r="D302" s="139">
        <f>C302*4</f>
        <v>1600</v>
      </c>
    </row>
    <row r="303" spans="1:4" outlineLevel="1" x14ac:dyDescent="0.25">
      <c r="B303" t="s">
        <v>1019</v>
      </c>
      <c r="C303" s="2">
        <v>120</v>
      </c>
      <c r="D303" s="139">
        <f>C303*4</f>
        <v>480</v>
      </c>
    </row>
    <row r="304" spans="1:4" outlineLevel="1" x14ac:dyDescent="0.25">
      <c r="B304" t="s">
        <v>1020</v>
      </c>
      <c r="C304" s="2">
        <v>120</v>
      </c>
      <c r="D304" s="139">
        <f t="shared" ref="D304:D313" si="7">C304*4</f>
        <v>480</v>
      </c>
    </row>
    <row r="305" spans="1:9" outlineLevel="1" x14ac:dyDescent="0.25">
      <c r="B305" t="s">
        <v>1021</v>
      </c>
      <c r="C305" s="2">
        <v>120</v>
      </c>
      <c r="D305" s="139">
        <f t="shared" si="7"/>
        <v>480</v>
      </c>
    </row>
    <row r="306" spans="1:9" outlineLevel="1" x14ac:dyDescent="0.25">
      <c r="B306" t="s">
        <v>1022</v>
      </c>
      <c r="C306" s="2">
        <v>120</v>
      </c>
      <c r="D306" s="139">
        <f t="shared" si="7"/>
        <v>480</v>
      </c>
    </row>
    <row r="307" spans="1:9" outlineLevel="1" x14ac:dyDescent="0.25">
      <c r="B307" t="s">
        <v>1023</v>
      </c>
      <c r="C307" s="2">
        <v>120</v>
      </c>
      <c r="D307" s="139">
        <f t="shared" si="7"/>
        <v>480</v>
      </c>
    </row>
    <row r="308" spans="1:9" outlineLevel="1" x14ac:dyDescent="0.25">
      <c r="B308" t="s">
        <v>1024</v>
      </c>
      <c r="C308" s="2">
        <v>120</v>
      </c>
      <c r="D308" s="139">
        <f t="shared" si="7"/>
        <v>480</v>
      </c>
    </row>
    <row r="309" spans="1:9" outlineLevel="1" x14ac:dyDescent="0.25">
      <c r="B309" t="s">
        <v>1025</v>
      </c>
      <c r="C309" s="2">
        <v>246</v>
      </c>
      <c r="D309" s="139">
        <f t="shared" si="7"/>
        <v>984</v>
      </c>
    </row>
    <row r="310" spans="1:9" outlineLevel="1" x14ac:dyDescent="0.25">
      <c r="B310" t="s">
        <v>1026</v>
      </c>
      <c r="C310" s="2">
        <v>246</v>
      </c>
      <c r="D310" s="139">
        <f t="shared" si="7"/>
        <v>984</v>
      </c>
    </row>
    <row r="311" spans="1:9" outlineLevel="1" x14ac:dyDescent="0.25">
      <c r="B311" t="s">
        <v>1027</v>
      </c>
      <c r="C311" s="2">
        <v>246</v>
      </c>
      <c r="D311" s="139">
        <f t="shared" si="7"/>
        <v>984</v>
      </c>
    </row>
    <row r="312" spans="1:9" x14ac:dyDescent="0.25">
      <c r="B312" t="s">
        <v>1028</v>
      </c>
      <c r="C312" s="2">
        <v>246</v>
      </c>
      <c r="D312" s="139">
        <f t="shared" si="7"/>
        <v>984</v>
      </c>
    </row>
    <row r="313" spans="1:9" x14ac:dyDescent="0.25">
      <c r="B313" t="s">
        <v>1029</v>
      </c>
      <c r="C313" s="2">
        <v>246</v>
      </c>
      <c r="D313" s="139">
        <f t="shared" si="7"/>
        <v>984</v>
      </c>
    </row>
    <row r="314" spans="1:9" x14ac:dyDescent="0.25">
      <c r="B314" t="s">
        <v>1030</v>
      </c>
      <c r="C314" s="2">
        <v>160</v>
      </c>
      <c r="D314" s="139">
        <f>C314*2</f>
        <v>320</v>
      </c>
    </row>
    <row r="315" spans="1:9" x14ac:dyDescent="0.25">
      <c r="B315" t="s">
        <v>1031</v>
      </c>
      <c r="C315" s="2">
        <v>160</v>
      </c>
      <c r="D315" s="139">
        <f t="shared" ref="D315:D317" si="8">C315*2</f>
        <v>320</v>
      </c>
    </row>
    <row r="316" spans="1:9" x14ac:dyDescent="0.25">
      <c r="B316" t="s">
        <v>1032</v>
      </c>
      <c r="C316" s="2">
        <v>585</v>
      </c>
      <c r="D316" s="139">
        <f t="shared" si="8"/>
        <v>1170</v>
      </c>
    </row>
    <row r="317" spans="1:9" x14ac:dyDescent="0.25">
      <c r="B317" t="s">
        <v>1033</v>
      </c>
      <c r="C317" s="2">
        <v>150</v>
      </c>
      <c r="D317" s="139">
        <f t="shared" si="8"/>
        <v>300</v>
      </c>
    </row>
    <row r="318" spans="1:9" x14ac:dyDescent="0.25">
      <c r="B318" s="54" t="s">
        <v>1034</v>
      </c>
      <c r="C318" s="120">
        <f>SUM(C301:C317)</f>
        <v>3605</v>
      </c>
      <c r="D318" s="120">
        <f>SUM(D301:D317)</f>
        <v>13910</v>
      </c>
    </row>
    <row r="320" spans="1:9" x14ac:dyDescent="0.25">
      <c r="A320" s="269" t="s">
        <v>1754</v>
      </c>
      <c r="B320" s="269"/>
      <c r="C320" s="270">
        <f>VLOOKUP(A320,'Service Agreements'!$A:$AI,22,FALSE)</f>
        <v>238435</v>
      </c>
      <c r="D320" s="271"/>
      <c r="E320" s="271" t="s">
        <v>769</v>
      </c>
      <c r="F320" s="271"/>
      <c r="G320" s="272"/>
      <c r="H320" s="273" t="str">
        <f>VLOOKUP($A320,'Service Agreements'!$A:$AG,30,FALSE)</f>
        <v>P25000802</v>
      </c>
      <c r="I320" s="273" t="str">
        <f>VLOOKUP($A320,'Service Agreements'!$A:$AG,29,FALSE)</f>
        <v>P24001538</v>
      </c>
    </row>
    <row r="321" spans="1:9" x14ac:dyDescent="0.25">
      <c r="A321" s="302"/>
      <c r="B321" s="302"/>
      <c r="C321"/>
      <c r="F321" s="303"/>
      <c r="G321"/>
      <c r="H321" s="191" t="s">
        <v>1757</v>
      </c>
    </row>
    <row r="322" spans="1:9" x14ac:dyDescent="0.25">
      <c r="B322" t="s">
        <v>1149</v>
      </c>
      <c r="C322" s="2">
        <v>19869.599999999999</v>
      </c>
      <c r="D322" s="2"/>
      <c r="E322" s="139">
        <f>C322*12</f>
        <v>238435.19999999998</v>
      </c>
      <c r="G322"/>
    </row>
    <row r="323" spans="1:9" x14ac:dyDescent="0.25">
      <c r="D323" s="2"/>
      <c r="E323" s="139"/>
      <c r="G323"/>
    </row>
    <row r="324" spans="1:9" x14ac:dyDescent="0.25">
      <c r="A324" s="117" t="s">
        <v>1746</v>
      </c>
      <c r="B324" s="117"/>
      <c r="C324" s="118">
        <f>VLOOKUP(A324,'Service Agreements'!$A:$AI,22,FALSE)</f>
        <v>289639</v>
      </c>
      <c r="D324" s="117"/>
      <c r="E324" s="117" t="s">
        <v>769</v>
      </c>
      <c r="F324" s="117"/>
      <c r="G324" s="118"/>
      <c r="H324" s="125" t="str">
        <f>VLOOKUP($A324,'Service Agreements'!$A:$AG,30,FALSE)</f>
        <v>P25000931</v>
      </c>
      <c r="I324" s="125" t="str">
        <f>VLOOKUP($A324,'Service Agreements'!$A:$AG,29,FALSE)</f>
        <v xml:space="preserve">P25000931 </v>
      </c>
    </row>
    <row r="325" spans="1:9" x14ac:dyDescent="0.25">
      <c r="D325" s="2"/>
      <c r="E325" s="139"/>
      <c r="G325"/>
    </row>
    <row r="326" spans="1:9" x14ac:dyDescent="0.25">
      <c r="B326" t="s">
        <v>1150</v>
      </c>
      <c r="C326" s="2">
        <v>24136.63</v>
      </c>
      <c r="D326" s="2"/>
      <c r="E326" s="139">
        <f>C326*12</f>
        <v>289639.56</v>
      </c>
      <c r="G326"/>
      <c r="H326" t="s">
        <v>2025</v>
      </c>
    </row>
    <row r="327" spans="1:9" x14ac:dyDescent="0.25">
      <c r="D327" s="2"/>
      <c r="E327" s="139"/>
      <c r="G327"/>
    </row>
    <row r="328" spans="1:9" x14ac:dyDescent="0.25">
      <c r="A328" s="257" t="s">
        <v>2026</v>
      </c>
      <c r="B328" s="257"/>
      <c r="C328" s="258" t="e">
        <f>VLOOKUP(A328,'Service Agreements'!$A:$AI,22,FALSE)</f>
        <v>#N/A</v>
      </c>
      <c r="D328" s="259"/>
      <c r="E328" s="259" t="s">
        <v>769</v>
      </c>
      <c r="F328" s="259"/>
      <c r="G328" s="260"/>
      <c r="H328" s="261" t="e">
        <f>VLOOKUP($A328,'Service Agreements'!$A:$AG,30,FALSE)</f>
        <v>#N/A</v>
      </c>
      <c r="I328" s="261" t="e">
        <f>VLOOKUP($A328,'Service Agreements'!$A:$AG,29,FALSE)</f>
        <v>#N/A</v>
      </c>
    </row>
    <row r="329" spans="1:9" x14ac:dyDescent="0.25">
      <c r="D329" s="2"/>
      <c r="E329" s="139"/>
      <c r="G329"/>
    </row>
    <row r="330" spans="1:9" x14ac:dyDescent="0.25">
      <c r="B330" t="s">
        <v>2027</v>
      </c>
      <c r="C330" s="2">
        <f>+E330/12</f>
        <v>6096.854166666667</v>
      </c>
      <c r="D330" s="2"/>
      <c r="E330" s="139">
        <v>73162.25</v>
      </c>
      <c r="G330"/>
    </row>
    <row r="331" spans="1:9" x14ac:dyDescent="0.25">
      <c r="D331" s="2"/>
      <c r="E331" s="139"/>
      <c r="G331"/>
    </row>
    <row r="333" spans="1:9" x14ac:dyDescent="0.25">
      <c r="A333" s="107" t="s">
        <v>78</v>
      </c>
      <c r="B333" s="107"/>
      <c r="C333" s="253">
        <f>VLOOKUP(A333,'FY24 Service Agreements'!$A:$AF,31,FALSE)</f>
        <v>45473</v>
      </c>
      <c r="D333" s="254"/>
      <c r="E333" s="254" t="s">
        <v>769</v>
      </c>
      <c r="F333" s="254"/>
      <c r="G333" s="289" t="s">
        <v>822</v>
      </c>
      <c r="H333" s="256">
        <f>VLOOKUP($A333,'FY24 Service Agreements'!$A:$AD,29,FALSE)</f>
        <v>45473</v>
      </c>
      <c r="I333" s="256" t="str">
        <f>VLOOKUP($A333,'FY24 Service Agreements'!$A:$AD,30,FALSE)</f>
        <v>P23060181</v>
      </c>
    </row>
    <row r="334" spans="1:9" x14ac:dyDescent="0.25">
      <c r="B334" t="s">
        <v>1035</v>
      </c>
      <c r="C334" s="187">
        <v>5111</v>
      </c>
      <c r="F334" s="2"/>
      <c r="G334" s="2" t="s">
        <v>911</v>
      </c>
      <c r="H334" s="2">
        <v>63205</v>
      </c>
    </row>
    <row r="335" spans="1:9" x14ac:dyDescent="0.25">
      <c r="B335" t="s">
        <v>1036</v>
      </c>
    </row>
    <row r="336" spans="1:9" x14ac:dyDescent="0.25">
      <c r="B336" s="191" t="s">
        <v>1037</v>
      </c>
    </row>
    <row r="337" spans="1:9" x14ac:dyDescent="0.25">
      <c r="B337" s="191"/>
    </row>
    <row r="338" spans="1:9" x14ac:dyDescent="0.25">
      <c r="A338" s="324" t="s">
        <v>577</v>
      </c>
      <c r="B338" s="324"/>
      <c r="C338" s="270">
        <f>VLOOKUP(A338,'Service Agreements'!$A:$AI,22,FALSE)</f>
        <v>13000</v>
      </c>
      <c r="D338" s="271"/>
      <c r="E338" s="271" t="s">
        <v>769</v>
      </c>
      <c r="F338" s="271"/>
      <c r="G338" s="296" t="s">
        <v>822</v>
      </c>
      <c r="H338" s="273" t="str">
        <f>VLOOKUP($A338,'Service Agreements'!$A:$AG,30,FALSE)</f>
        <v>P24058201</v>
      </c>
      <c r="I338" s="273" t="str">
        <f>VLOOKUP($A338,'Service Agreements'!$A:$AG,29,FALSE)</f>
        <v>P23054612</v>
      </c>
    </row>
    <row r="340" spans="1:9" x14ac:dyDescent="0.25">
      <c r="B340" t="s">
        <v>2028</v>
      </c>
      <c r="C340" s="112">
        <v>6110</v>
      </c>
    </row>
    <row r="341" spans="1:9" x14ac:dyDescent="0.25">
      <c r="B341" s="191"/>
    </row>
    <row r="342" spans="1:9" x14ac:dyDescent="0.25">
      <c r="A342" s="248" t="s">
        <v>81</v>
      </c>
      <c r="B342" s="248"/>
      <c r="C342" s="249">
        <f>VLOOKUP(A342,'FY24 Service Agreements'!$A:$AF,29,FALSE)</f>
        <v>45473</v>
      </c>
      <c r="D342" s="250"/>
      <c r="E342" s="250" t="s">
        <v>769</v>
      </c>
      <c r="F342" s="250"/>
      <c r="G342" s="286" t="s">
        <v>822</v>
      </c>
      <c r="H342" s="252" t="str">
        <f>VLOOKUP($A342,'FY24 Service Agreements'!$A:$AD,27,FALSE)</f>
        <v>P22057090</v>
      </c>
      <c r="I342" s="252">
        <f>VLOOKUP($A342,'FY24 Service Agreements'!$A:$AD,28,FALSE)</f>
        <v>45108</v>
      </c>
    </row>
    <row r="343" spans="1:9" x14ac:dyDescent="0.25">
      <c r="A343" s="54" t="s">
        <v>776</v>
      </c>
      <c r="B343" t="s">
        <v>957</v>
      </c>
      <c r="C343" s="2">
        <v>425</v>
      </c>
      <c r="D343" s="2">
        <f>C343</f>
        <v>425</v>
      </c>
      <c r="E343" s="2"/>
      <c r="F343" s="2"/>
      <c r="G343" s="2" t="s">
        <v>911</v>
      </c>
      <c r="H343" s="2">
        <f>D358+D360</f>
        <v>146625</v>
      </c>
      <c r="I343" s="186"/>
    </row>
    <row r="344" spans="1:9" x14ac:dyDescent="0.25">
      <c r="B344" t="s">
        <v>884</v>
      </c>
      <c r="C344" s="2">
        <v>425</v>
      </c>
      <c r="D344" s="2">
        <f>C344*4</f>
        <v>1700</v>
      </c>
    </row>
    <row r="345" spans="1:9" x14ac:dyDescent="0.25">
      <c r="B345" t="s">
        <v>1038</v>
      </c>
      <c r="C345" s="2">
        <v>425</v>
      </c>
      <c r="D345" s="2">
        <f t="shared" ref="D345:D357" si="9">C345*4</f>
        <v>1700</v>
      </c>
    </row>
    <row r="346" spans="1:9" x14ac:dyDescent="0.25">
      <c r="B346" t="s">
        <v>1039</v>
      </c>
      <c r="C346" s="2">
        <v>425</v>
      </c>
      <c r="D346" s="2">
        <f t="shared" si="9"/>
        <v>1700</v>
      </c>
    </row>
    <row r="347" spans="1:9" x14ac:dyDescent="0.25">
      <c r="B347" t="s">
        <v>1040</v>
      </c>
      <c r="C347" s="2">
        <v>425</v>
      </c>
      <c r="D347" s="2">
        <f t="shared" si="9"/>
        <v>1700</v>
      </c>
    </row>
    <row r="348" spans="1:9" x14ac:dyDescent="0.25">
      <c r="B348" t="s">
        <v>1041</v>
      </c>
      <c r="C348" s="2">
        <v>425</v>
      </c>
      <c r="D348" s="2">
        <f t="shared" si="9"/>
        <v>1700</v>
      </c>
    </row>
    <row r="349" spans="1:9" x14ac:dyDescent="0.25">
      <c r="B349" t="s">
        <v>1042</v>
      </c>
      <c r="C349" s="2">
        <v>425</v>
      </c>
      <c r="D349" s="2">
        <f t="shared" si="9"/>
        <v>1700</v>
      </c>
    </row>
    <row r="350" spans="1:9" x14ac:dyDescent="0.25">
      <c r="B350" t="s">
        <v>1043</v>
      </c>
      <c r="C350" s="2">
        <v>425</v>
      </c>
      <c r="D350" s="2">
        <f t="shared" si="9"/>
        <v>1700</v>
      </c>
    </row>
    <row r="351" spans="1:9" x14ac:dyDescent="0.25">
      <c r="B351" t="s">
        <v>1044</v>
      </c>
      <c r="C351" s="2">
        <v>425</v>
      </c>
      <c r="D351" s="2">
        <f t="shared" si="9"/>
        <v>1700</v>
      </c>
    </row>
    <row r="352" spans="1:9" x14ac:dyDescent="0.25">
      <c r="B352" t="s">
        <v>1045</v>
      </c>
      <c r="C352" s="2">
        <v>425</v>
      </c>
      <c r="D352" s="2">
        <f t="shared" si="9"/>
        <v>1700</v>
      </c>
    </row>
    <row r="353" spans="1:9" x14ac:dyDescent="0.25">
      <c r="B353" t="s">
        <v>1046</v>
      </c>
      <c r="C353" s="2">
        <v>425</v>
      </c>
      <c r="D353" s="2">
        <f t="shared" si="9"/>
        <v>1700</v>
      </c>
    </row>
    <row r="354" spans="1:9" x14ac:dyDescent="0.25">
      <c r="B354" t="s">
        <v>879</v>
      </c>
      <c r="C354" s="2">
        <v>425</v>
      </c>
      <c r="D354" s="2">
        <f t="shared" si="9"/>
        <v>1700</v>
      </c>
    </row>
    <row r="355" spans="1:9" x14ac:dyDescent="0.25">
      <c r="B355" t="s">
        <v>1047</v>
      </c>
      <c r="C355" s="2">
        <v>425</v>
      </c>
      <c r="D355" s="2">
        <f t="shared" si="9"/>
        <v>1700</v>
      </c>
    </row>
    <row r="356" spans="1:9" x14ac:dyDescent="0.25">
      <c r="B356" t="s">
        <v>1048</v>
      </c>
      <c r="C356" s="2">
        <v>425</v>
      </c>
      <c r="D356" s="2">
        <f t="shared" si="9"/>
        <v>1700</v>
      </c>
    </row>
    <row r="357" spans="1:9" x14ac:dyDescent="0.25">
      <c r="B357" t="s">
        <v>1049</v>
      </c>
      <c r="C357" s="2">
        <v>425</v>
      </c>
      <c r="D357" s="290">
        <f t="shared" si="9"/>
        <v>1700</v>
      </c>
    </row>
    <row r="358" spans="1:9" x14ac:dyDescent="0.25">
      <c r="B358" t="s">
        <v>1050</v>
      </c>
      <c r="D358" s="2">
        <f>SUM(D343:D357)</f>
        <v>24225</v>
      </c>
    </row>
    <row r="359" spans="1:9" x14ac:dyDescent="0.25">
      <c r="D359" s="2"/>
    </row>
    <row r="360" spans="1:9" x14ac:dyDescent="0.25">
      <c r="A360" s="54" t="s">
        <v>778</v>
      </c>
      <c r="B360" s="22" t="s">
        <v>1051</v>
      </c>
      <c r="D360" s="2">
        <v>122400</v>
      </c>
    </row>
    <row r="362" spans="1:9" x14ac:dyDescent="0.25">
      <c r="A362" s="257" t="s">
        <v>85</v>
      </c>
      <c r="B362" s="257"/>
      <c r="C362" s="258">
        <f>VLOOKUP(A362,'Service Agreements'!$A:$AI,22,FALSE)</f>
        <v>39393</v>
      </c>
      <c r="D362" s="259"/>
      <c r="E362" s="259" t="s">
        <v>769</v>
      </c>
      <c r="F362" s="259"/>
      <c r="G362" s="260"/>
      <c r="H362" s="261" t="str">
        <f>VLOOKUP($A362,'Service Agreements'!$A:$AG,30,FALSE)</f>
        <v>P25003884</v>
      </c>
      <c r="I362" s="261" t="str">
        <f>VLOOKUP($A362,'Service Agreements'!$A:$AG,29,FALSE)</f>
        <v>P23060086</v>
      </c>
    </row>
    <row r="363" spans="1:9" x14ac:dyDescent="0.25">
      <c r="A363" s="393"/>
      <c r="B363" s="393"/>
      <c r="C363" s="335"/>
      <c r="D363" s="336"/>
      <c r="E363" s="336"/>
      <c r="F363" s="336"/>
      <c r="G363" s="194"/>
      <c r="H363" s="338"/>
      <c r="I363" s="338"/>
    </row>
    <row r="364" spans="1:9" x14ac:dyDescent="0.25">
      <c r="A364" s="54" t="s">
        <v>2029</v>
      </c>
      <c r="B364" t="s">
        <v>1053</v>
      </c>
      <c r="C364" s="2">
        <v>38246</v>
      </c>
    </row>
    <row r="365" spans="1:9" x14ac:dyDescent="0.25">
      <c r="B365" t="s">
        <v>1054</v>
      </c>
    </row>
    <row r="367" spans="1:9" x14ac:dyDescent="0.25">
      <c r="A367" s="269" t="s">
        <v>88</v>
      </c>
      <c r="B367" s="269"/>
      <c r="C367" s="270" t="e">
        <f>VLOOKUP(A367,'FY24 Service Agreements'!$A:$AF,29,FALSE)</f>
        <v>#N/A</v>
      </c>
      <c r="D367" s="271"/>
      <c r="E367" s="271" t="s">
        <v>769</v>
      </c>
      <c r="F367" s="271"/>
      <c r="G367" s="296" t="s">
        <v>822</v>
      </c>
      <c r="H367" s="273" t="e">
        <f>VLOOKUP($A367,'FY24 Service Agreements'!$A:$AD,27,FALSE)</f>
        <v>#N/A</v>
      </c>
      <c r="I367" s="273" t="e">
        <f>VLOOKUP($A367,'FY24 Service Agreements'!$A:$AD,28,FALSE)</f>
        <v>#N/A</v>
      </c>
    </row>
    <row r="368" spans="1:9" x14ac:dyDescent="0.25">
      <c r="A368" s="54" t="s">
        <v>906</v>
      </c>
      <c r="B368" t="s">
        <v>1055</v>
      </c>
      <c r="C368" s="2">
        <v>5083.26</v>
      </c>
      <c r="D368" s="139">
        <f>C368*12</f>
        <v>60999.12</v>
      </c>
      <c r="E368" t="s">
        <v>911</v>
      </c>
      <c r="G368" s="2">
        <f>SUM(D368:D370)</f>
        <v>65667.86</v>
      </c>
    </row>
    <row r="369" spans="1:9" x14ac:dyDescent="0.25">
      <c r="B369" t="s">
        <v>1056</v>
      </c>
      <c r="C369" s="2">
        <v>31</v>
      </c>
      <c r="D369" s="139">
        <f>C369*12</f>
        <v>372</v>
      </c>
    </row>
    <row r="370" spans="1:9" x14ac:dyDescent="0.25">
      <c r="B370" s="40" t="s">
        <v>1057</v>
      </c>
      <c r="C370" s="2">
        <v>4296.74</v>
      </c>
      <c r="D370" s="139">
        <f>C370</f>
        <v>4296.74</v>
      </c>
    </row>
    <row r="371" spans="1:9" x14ac:dyDescent="0.25">
      <c r="B371" s="40" t="s">
        <v>1058</v>
      </c>
      <c r="C371" s="2">
        <v>5890.16</v>
      </c>
      <c r="D371" s="40"/>
    </row>
    <row r="372" spans="1:9" x14ac:dyDescent="0.25">
      <c r="D372" s="40"/>
    </row>
    <row r="373" spans="1:9" x14ac:dyDescent="0.25">
      <c r="A373" s="54" t="s">
        <v>891</v>
      </c>
      <c r="B373" t="s">
        <v>1055</v>
      </c>
      <c r="C373" s="2">
        <v>4596.6400000000003</v>
      </c>
      <c r="D373" s="139">
        <f>C373*4</f>
        <v>18386.560000000001</v>
      </c>
      <c r="E373" t="s">
        <v>911</v>
      </c>
      <c r="G373" s="2">
        <f>SUM(D373:D376)</f>
        <v>23237.7</v>
      </c>
    </row>
    <row r="374" spans="1:9" x14ac:dyDescent="0.25">
      <c r="B374" t="s">
        <v>1056</v>
      </c>
      <c r="C374" s="2">
        <v>31</v>
      </c>
      <c r="D374" s="139">
        <f>C374*4</f>
        <v>124</v>
      </c>
    </row>
    <row r="375" spans="1:9" x14ac:dyDescent="0.25">
      <c r="B375" t="s">
        <v>1059</v>
      </c>
      <c r="C375" s="2">
        <v>2027.14</v>
      </c>
      <c r="D375" s="139">
        <f>C375</f>
        <v>2027.14</v>
      </c>
    </row>
    <row r="376" spans="1:9" x14ac:dyDescent="0.25">
      <c r="B376" s="40" t="s">
        <v>1057</v>
      </c>
      <c r="C376" s="2">
        <v>2700</v>
      </c>
      <c r="D376" s="139">
        <f>C376</f>
        <v>2700</v>
      </c>
    </row>
    <row r="377" spans="1:9" x14ac:dyDescent="0.25">
      <c r="B377" s="40" t="s">
        <v>1058</v>
      </c>
      <c r="C377" s="2">
        <v>806.58</v>
      </c>
      <c r="D377" s="40"/>
    </row>
    <row r="378" spans="1:9" x14ac:dyDescent="0.25">
      <c r="B378" s="40"/>
    </row>
    <row r="379" spans="1:9" x14ac:dyDescent="0.25">
      <c r="A379" s="117" t="s">
        <v>1060</v>
      </c>
      <c r="B379" s="117"/>
      <c r="C379" s="118" t="e">
        <f>VLOOKUP(A379,'FY24 Service Agreements'!$A:$AF,29,FALSE)</f>
        <v>#N/A</v>
      </c>
      <c r="D379" s="117"/>
      <c r="E379" s="117" t="s">
        <v>769</v>
      </c>
      <c r="F379" s="117"/>
      <c r="G379" s="118"/>
      <c r="H379" s="125" t="e">
        <f>VLOOKUP($A379,'FY24 Service Agreements'!$A:$AD,27,FALSE)</f>
        <v>#N/A</v>
      </c>
      <c r="I379" s="125" t="e">
        <f>VLOOKUP($A379,'FY24 Service Agreements'!$A:$AD,28,FALSE)</f>
        <v>#N/A</v>
      </c>
    </row>
    <row r="380" spans="1:9" x14ac:dyDescent="0.25">
      <c r="A380" s="54" t="s">
        <v>1061</v>
      </c>
      <c r="B380" t="s">
        <v>943</v>
      </c>
      <c r="C380" s="2">
        <v>39940</v>
      </c>
      <c r="D380" t="s">
        <v>1062</v>
      </c>
    </row>
    <row r="381" spans="1:9" x14ac:dyDescent="0.25">
      <c r="A381" s="54" t="s">
        <v>1063</v>
      </c>
      <c r="B381" t="s">
        <v>943</v>
      </c>
      <c r="C381" s="2">
        <v>39940</v>
      </c>
      <c r="D381" t="s">
        <v>1064</v>
      </c>
    </row>
    <row r="382" spans="1:9" x14ac:dyDescent="0.25">
      <c r="C382" s="120">
        <f>SUM(C380:C381)</f>
        <v>79880</v>
      </c>
    </row>
    <row r="385" spans="1:17" x14ac:dyDescent="0.25">
      <c r="A385" s="262" t="s">
        <v>255</v>
      </c>
      <c r="B385" s="262"/>
      <c r="C385" s="263" t="e">
        <f>VLOOKUP(A385,'FY24 Service Agreements'!$A:$AF,29,FALSE)</f>
        <v>#N/A</v>
      </c>
      <c r="D385" s="262"/>
      <c r="E385" s="262" t="s">
        <v>769</v>
      </c>
      <c r="F385" s="262"/>
      <c r="G385" s="264"/>
      <c r="H385" s="265" t="e">
        <f>VLOOKUP($A385,'FY24 Service Agreements'!$A:$AD,27,FALSE)</f>
        <v>#N/A</v>
      </c>
      <c r="I385" s="265" t="e">
        <f>VLOOKUP($A385,'FY24 Service Agreements'!$A:$AD,28,FALSE)</f>
        <v>#N/A</v>
      </c>
    </row>
    <row r="386" spans="1:17" x14ac:dyDescent="0.25">
      <c r="B386" t="s">
        <v>1065</v>
      </c>
      <c r="C386" s="2">
        <v>3000</v>
      </c>
    </row>
    <row r="387" spans="1:17" x14ac:dyDescent="0.25">
      <c r="B387" t="s">
        <v>1066</v>
      </c>
      <c r="C387" s="2">
        <v>3000</v>
      </c>
    </row>
    <row r="388" spans="1:17" x14ac:dyDescent="0.25">
      <c r="B388" t="s">
        <v>1067</v>
      </c>
      <c r="C388" s="2">
        <v>3000</v>
      </c>
    </row>
    <row r="389" spans="1:17" x14ac:dyDescent="0.25">
      <c r="B389" t="s">
        <v>1068</v>
      </c>
      <c r="C389" s="2">
        <v>3000</v>
      </c>
    </row>
    <row r="390" spans="1:17" x14ac:dyDescent="0.25">
      <c r="B390" t="s">
        <v>1069</v>
      </c>
      <c r="C390" s="2">
        <v>3800</v>
      </c>
    </row>
    <row r="391" spans="1:17" x14ac:dyDescent="0.25">
      <c r="B391" t="s">
        <v>1070</v>
      </c>
      <c r="C391" s="2">
        <v>3800</v>
      </c>
    </row>
    <row r="392" spans="1:17" x14ac:dyDescent="0.25">
      <c r="C392" s="120">
        <f>SUM(C386:C391)</f>
        <v>19600</v>
      </c>
    </row>
    <row r="395" spans="1:17" x14ac:dyDescent="0.25">
      <c r="A395" s="107" t="s">
        <v>258</v>
      </c>
      <c r="B395" s="107"/>
      <c r="C395" s="253" t="e">
        <f>VLOOKUP(A395,'FY24 Service Agreements'!$A:$AF,29,FALSE)</f>
        <v>#N/A</v>
      </c>
      <c r="D395" s="254"/>
      <c r="E395" s="254" t="s">
        <v>769</v>
      </c>
      <c r="F395" s="254"/>
      <c r="G395" s="255"/>
      <c r="H395" s="256" t="e">
        <f>VLOOKUP($A395,'FY24 Service Agreements'!$A:$AD,27,FALSE)</f>
        <v>#N/A</v>
      </c>
      <c r="I395" s="256" t="e">
        <f>VLOOKUP($A395,'FY24 Service Agreements'!$A:$AD,28,FALSE)</f>
        <v>#N/A</v>
      </c>
    </row>
    <row r="396" spans="1:17" x14ac:dyDescent="0.25">
      <c r="B396" t="s">
        <v>1071</v>
      </c>
      <c r="C396" s="2">
        <v>41</v>
      </c>
    </row>
    <row r="397" spans="1:17" x14ac:dyDescent="0.25">
      <c r="B397" t="s">
        <v>1072</v>
      </c>
      <c r="C397" s="2">
        <v>360</v>
      </c>
    </row>
    <row r="399" spans="1:17" x14ac:dyDescent="0.25">
      <c r="A399" s="334" t="s">
        <v>597</v>
      </c>
      <c r="B399" s="334"/>
      <c r="C399" s="266">
        <f>VLOOKUP(A399,'FY24 Service Agreements'!$A:$AF,31,FALSE)</f>
        <v>45444</v>
      </c>
      <c r="D399" s="267"/>
      <c r="E399" s="267" t="s">
        <v>769</v>
      </c>
      <c r="F399" s="267"/>
      <c r="G399" s="288" t="s">
        <v>822</v>
      </c>
      <c r="H399" s="268">
        <f>VLOOKUP($A399,'FY24 Service Agreements'!$A:$AD,29,FALSE)</f>
        <v>45473</v>
      </c>
      <c r="I399" s="268" t="str">
        <f>VLOOKUP($A399,'FY24 Service Agreements'!$A:$AD,30,FALSE)</f>
        <v>P23062726</v>
      </c>
    </row>
    <row r="400" spans="1:17" x14ac:dyDescent="0.25">
      <c r="A400" s="186"/>
      <c r="B400" s="186"/>
      <c r="C400" s="335"/>
      <c r="D400" s="336"/>
      <c r="E400" s="336"/>
      <c r="F400" s="336"/>
      <c r="G400" s="2">
        <v>22800</v>
      </c>
      <c r="H400" s="338"/>
      <c r="I400" s="338"/>
      <c r="M400" s="187"/>
      <c r="Q400" s="187"/>
    </row>
    <row r="402" spans="1:9" x14ac:dyDescent="0.25">
      <c r="A402" s="248" t="s">
        <v>90</v>
      </c>
      <c r="B402" s="248"/>
      <c r="C402" s="249" t="e">
        <f>VLOOKUP(A402,'FY24 Service Agreements'!$A:$AF,29,FALSE)</f>
        <v>#N/A</v>
      </c>
      <c r="D402" s="250"/>
      <c r="E402" s="250" t="s">
        <v>769</v>
      </c>
      <c r="F402" s="250"/>
      <c r="G402" s="251"/>
      <c r="H402" s="252" t="e">
        <f>VLOOKUP($A402,'FY24 Service Agreements'!$A:$AD,27,FALSE)</f>
        <v>#N/A</v>
      </c>
      <c r="I402" s="252" t="e">
        <f>VLOOKUP($A402,'FY24 Service Agreements'!$A:$AD,28,FALSE)</f>
        <v>#N/A</v>
      </c>
    </row>
    <row r="403" spans="1:9" x14ac:dyDescent="0.25">
      <c r="B403" t="s">
        <v>1073</v>
      </c>
      <c r="C403" s="2">
        <v>3000</v>
      </c>
      <c r="E403" t="s">
        <v>911</v>
      </c>
      <c r="G403" s="2">
        <f>C403*12</f>
        <v>36000</v>
      </c>
      <c r="H403" t="s">
        <v>1074</v>
      </c>
    </row>
    <row r="404" spans="1:9" x14ac:dyDescent="0.25">
      <c r="B404" s="40" t="s">
        <v>1075</v>
      </c>
    </row>
    <row r="405" spans="1:9" x14ac:dyDescent="0.25">
      <c r="A405" s="54" t="s">
        <v>1076</v>
      </c>
    </row>
    <row r="406" spans="1:9" x14ac:dyDescent="0.25">
      <c r="B406" t="s">
        <v>1077</v>
      </c>
      <c r="C406" s="2">
        <v>93.5</v>
      </c>
      <c r="D406" t="s">
        <v>1078</v>
      </c>
    </row>
    <row r="407" spans="1:9" x14ac:dyDescent="0.25">
      <c r="B407" t="s">
        <v>1079</v>
      </c>
      <c r="C407" s="2">
        <v>140.25</v>
      </c>
      <c r="D407" t="s">
        <v>1080</v>
      </c>
    </row>
    <row r="408" spans="1:9" x14ac:dyDescent="0.25">
      <c r="B408" t="s">
        <v>1081</v>
      </c>
      <c r="C408" s="2">
        <v>140.25</v>
      </c>
      <c r="D408" t="s">
        <v>1082</v>
      </c>
    </row>
    <row r="410" spans="1:9" x14ac:dyDescent="0.25">
      <c r="A410" s="262" t="s">
        <v>92</v>
      </c>
      <c r="B410" s="262"/>
      <c r="C410" s="263">
        <f>VLOOKUP(A410,'FY24 Service Agreements'!$A:$AF,31,FALSE)</f>
        <v>45444</v>
      </c>
      <c r="D410" s="262"/>
      <c r="E410" s="262" t="s">
        <v>769</v>
      </c>
      <c r="F410" s="262"/>
      <c r="G410" s="293" t="s">
        <v>822</v>
      </c>
      <c r="H410" s="265">
        <f>VLOOKUP($A410,'FY24 Service Agreements'!$A:$AD,29,FALSE)</f>
        <v>45473</v>
      </c>
      <c r="I410" s="265" t="str">
        <f>VLOOKUP($A410,'FY24 Service Agreements'!$A:$AD,30,FALSE)</f>
        <v>P24004508</v>
      </c>
    </row>
    <row r="411" spans="1:9" x14ac:dyDescent="0.25">
      <c r="B411" t="s">
        <v>1083</v>
      </c>
      <c r="C411" s="2">
        <f>F411/12</f>
        <v>9984.83</v>
      </c>
      <c r="E411" t="s">
        <v>911</v>
      </c>
      <c r="F411" s="2">
        <v>119817.96</v>
      </c>
    </row>
    <row r="413" spans="1:9" x14ac:dyDescent="0.25">
      <c r="A413" s="257" t="s">
        <v>606</v>
      </c>
      <c r="B413" s="257"/>
      <c r="C413" s="258">
        <f>VLOOKUP(A413,'Service Agreements'!$A:$AI,22,FALSE)</f>
        <v>317735</v>
      </c>
      <c r="D413" s="259"/>
      <c r="E413" s="259" t="s">
        <v>769</v>
      </c>
      <c r="F413" s="259"/>
      <c r="G413" s="260"/>
      <c r="H413" s="261" t="str">
        <f>VLOOKUP($A413,'Service Agreements'!$A:$AG,30,FALSE)</f>
        <v>P25000549</v>
      </c>
      <c r="I413" s="261" t="str">
        <f>VLOOKUP($A413,'Service Agreements'!$A:$AG,29,FALSE)</f>
        <v>P24001775</v>
      </c>
    </row>
    <row r="414" spans="1:9" x14ac:dyDescent="0.25">
      <c r="B414" t="s">
        <v>2030</v>
      </c>
      <c r="C414" s="2">
        <v>94000</v>
      </c>
      <c r="E414" t="s">
        <v>874</v>
      </c>
    </row>
    <row r="415" spans="1:9" x14ac:dyDescent="0.25">
      <c r="B415" t="s">
        <v>2031</v>
      </c>
      <c r="C415" s="2">
        <v>17340</v>
      </c>
    </row>
    <row r="416" spans="1:9" x14ac:dyDescent="0.25">
      <c r="B416" t="s">
        <v>2032</v>
      </c>
      <c r="C416" s="2">
        <v>6940</v>
      </c>
    </row>
    <row r="417" spans="1:9" x14ac:dyDescent="0.25">
      <c r="B417" t="s">
        <v>2033</v>
      </c>
      <c r="C417" s="2">
        <v>58650</v>
      </c>
      <c r="I417" s="139"/>
    </row>
    <row r="418" spans="1:9" x14ac:dyDescent="0.25">
      <c r="B418" t="s">
        <v>2034</v>
      </c>
      <c r="C418" s="2">
        <v>34170</v>
      </c>
    </row>
    <row r="419" spans="1:9" x14ac:dyDescent="0.25">
      <c r="B419" t="s">
        <v>2035</v>
      </c>
      <c r="C419" s="2">
        <v>20000</v>
      </c>
    </row>
    <row r="420" spans="1:9" x14ac:dyDescent="0.25">
      <c r="B420" t="s">
        <v>2036</v>
      </c>
      <c r="C420" s="2">
        <v>10000</v>
      </c>
      <c r="I420" s="139"/>
    </row>
    <row r="421" spans="1:9" x14ac:dyDescent="0.25">
      <c r="B421" t="s">
        <v>2037</v>
      </c>
      <c r="C421" s="2">
        <v>7750</v>
      </c>
    </row>
    <row r="422" spans="1:9" x14ac:dyDescent="0.25">
      <c r="B422" s="291" t="s">
        <v>1192</v>
      </c>
      <c r="C422" s="290">
        <f>+SUM(C414:C421)</f>
        <v>248850</v>
      </c>
    </row>
    <row r="423" spans="1:9" x14ac:dyDescent="0.25">
      <c r="B423" t="s">
        <v>2038</v>
      </c>
      <c r="C423" s="2">
        <v>41500</v>
      </c>
    </row>
    <row r="424" spans="1:9" x14ac:dyDescent="0.25">
      <c r="B424" s="291" t="s">
        <v>780</v>
      </c>
      <c r="C424" s="290">
        <f>+C422+C423</f>
        <v>290350</v>
      </c>
    </row>
    <row r="425" spans="1:9" x14ac:dyDescent="0.25">
      <c r="B425" s="40" t="s">
        <v>2039</v>
      </c>
      <c r="C425" s="2">
        <v>3600</v>
      </c>
    </row>
    <row r="426" spans="1:9" x14ac:dyDescent="0.25">
      <c r="B426" s="40" t="s">
        <v>2040</v>
      </c>
      <c r="C426" s="2">
        <v>5800</v>
      </c>
    </row>
    <row r="427" spans="1:9" x14ac:dyDescent="0.25">
      <c r="B427" s="328" t="s">
        <v>780</v>
      </c>
      <c r="C427" s="329">
        <f>+C424+C425+C426</f>
        <v>299750</v>
      </c>
    </row>
    <row r="428" spans="1:9" x14ac:dyDescent="0.25">
      <c r="B428" s="40"/>
    </row>
    <row r="429" spans="1:9" x14ac:dyDescent="0.25">
      <c r="A429" s="257" t="s">
        <v>612</v>
      </c>
      <c r="B429" s="276"/>
      <c r="C429" s="258">
        <f>VLOOKUP(A429,'Service Agreements'!$A:$AI,22,FALSE)</f>
        <v>56710</v>
      </c>
      <c r="D429" s="259"/>
      <c r="E429" s="259" t="s">
        <v>769</v>
      </c>
      <c r="F429" s="259"/>
      <c r="G429" s="260"/>
      <c r="H429" s="261" t="str">
        <f>VLOOKUP($A429,'Service Agreements'!$A:$AG,30,FALSE)</f>
        <v>P25000550</v>
      </c>
      <c r="I429" s="261" t="str">
        <f>VLOOKUP($A429,'Service Agreements'!$A:$AG,29,FALSE)</f>
        <v>P24002738</v>
      </c>
    </row>
    <row r="430" spans="1:9" x14ac:dyDescent="0.25">
      <c r="B430" s="40" t="s">
        <v>96</v>
      </c>
      <c r="C430" s="187">
        <v>53500</v>
      </c>
      <c r="G430" s="187"/>
    </row>
    <row r="431" spans="1:9" x14ac:dyDescent="0.25">
      <c r="B431" s="40"/>
      <c r="C431" s="187"/>
      <c r="G431" s="187"/>
    </row>
    <row r="433" spans="1:9" x14ac:dyDescent="0.25">
      <c r="A433" s="269" t="s">
        <v>616</v>
      </c>
      <c r="B433" s="269"/>
      <c r="C433" s="270">
        <f>VLOOKUP(A433,'Service Agreements'!$A:$AI,22,FALSE)</f>
        <v>66341</v>
      </c>
      <c r="D433" s="271"/>
      <c r="E433" s="271" t="s">
        <v>769</v>
      </c>
      <c r="F433" s="271"/>
      <c r="G433" s="272"/>
      <c r="H433" s="273" t="str">
        <f>VLOOKUP($A433,'Service Agreements'!$A:$AG,30,FALSE)</f>
        <v>P25004593</v>
      </c>
      <c r="I433" s="273" t="str">
        <f>VLOOKUP($A433,'Service Agreements'!$A:$AG,29,FALSE)</f>
        <v>P21052458</v>
      </c>
    </row>
    <row r="434" spans="1:9" x14ac:dyDescent="0.25">
      <c r="B434" t="s">
        <v>2041</v>
      </c>
      <c r="C434" s="2">
        <v>56998</v>
      </c>
    </row>
    <row r="435" spans="1:9" x14ac:dyDescent="0.25">
      <c r="B435" t="s">
        <v>2042</v>
      </c>
      <c r="C435" s="2">
        <v>66341</v>
      </c>
      <c r="F435" t="s">
        <v>2043</v>
      </c>
    </row>
    <row r="436" spans="1:9" x14ac:dyDescent="0.25">
      <c r="B436" t="s">
        <v>2041</v>
      </c>
      <c r="C436" s="2">
        <v>75693</v>
      </c>
    </row>
    <row r="438" spans="1:9" x14ac:dyDescent="0.25">
      <c r="A438" s="54" t="s">
        <v>1100</v>
      </c>
    </row>
    <row r="439" spans="1:9" x14ac:dyDescent="0.25">
      <c r="B439" t="s">
        <v>1101</v>
      </c>
    </row>
    <row r="440" spans="1:9" x14ac:dyDescent="0.25">
      <c r="B440" t="s">
        <v>1102</v>
      </c>
    </row>
    <row r="441" spans="1:9" x14ac:dyDescent="0.25">
      <c r="B441" t="s">
        <v>1103</v>
      </c>
    </row>
    <row r="442" spans="1:9" x14ac:dyDescent="0.25">
      <c r="B442" t="s">
        <v>1104</v>
      </c>
    </row>
    <row r="443" spans="1:9" x14ac:dyDescent="0.25">
      <c r="B443" t="s">
        <v>1105</v>
      </c>
    </row>
    <row r="444" spans="1:9" x14ac:dyDescent="0.25">
      <c r="B444" t="s">
        <v>1106</v>
      </c>
    </row>
    <row r="445" spans="1:9" x14ac:dyDescent="0.25">
      <c r="B445" t="s">
        <v>994</v>
      </c>
    </row>
    <row r="447" spans="1:9" x14ac:dyDescent="0.25">
      <c r="A447" s="269" t="s">
        <v>265</v>
      </c>
      <c r="B447" s="269"/>
      <c r="C447" s="270">
        <f>VLOOKUP(A447,'Service Agreements'!$A:$AI,22,FALSE)</f>
        <v>87367</v>
      </c>
      <c r="D447" s="271"/>
      <c r="E447" s="271" t="s">
        <v>769</v>
      </c>
      <c r="F447" s="271"/>
      <c r="G447" s="272"/>
      <c r="H447" s="273" t="str">
        <f>VLOOKUP($A447,'Service Agreements'!$A:$AG,30,FALSE)</f>
        <v>P25004592</v>
      </c>
      <c r="I447" s="273" t="str">
        <f>VLOOKUP($A447,'Service Agreements'!$A:$AG,29,FALSE)</f>
        <v>P21053316</v>
      </c>
    </row>
    <row r="448" spans="1:9" x14ac:dyDescent="0.25">
      <c r="B448" t="s">
        <v>2041</v>
      </c>
      <c r="C448" s="2">
        <v>80902</v>
      </c>
      <c r="E448" s="294">
        <f>+C448/4</f>
        <v>20225.5</v>
      </c>
    </row>
    <row r="449" spans="1:9" x14ac:dyDescent="0.25">
      <c r="B449" t="s">
        <v>2042</v>
      </c>
      <c r="C449" s="2">
        <v>87367</v>
      </c>
      <c r="E449" s="294">
        <f>+C449/4</f>
        <v>21841.75</v>
      </c>
      <c r="F449" t="s">
        <v>2043</v>
      </c>
    </row>
    <row r="450" spans="1:9" x14ac:dyDescent="0.25">
      <c r="B450" t="s">
        <v>2041</v>
      </c>
      <c r="C450" s="2">
        <v>94357</v>
      </c>
      <c r="E450" s="294">
        <f>+C450/4</f>
        <v>23589.25</v>
      </c>
    </row>
    <row r="451" spans="1:9" x14ac:dyDescent="0.25">
      <c r="A451" s="54" t="s">
        <v>1100</v>
      </c>
    </row>
    <row r="452" spans="1:9" x14ac:dyDescent="0.25">
      <c r="B452" t="s">
        <v>898</v>
      </c>
    </row>
    <row r="454" spans="1:9" x14ac:dyDescent="0.25">
      <c r="A454" s="101" t="s">
        <v>97</v>
      </c>
      <c r="B454" s="101"/>
      <c r="C454" s="266">
        <f>VLOOKUP(A454,'FY24 Service Agreements'!$A:$AF,31,FALSE)</f>
        <v>45444</v>
      </c>
      <c r="D454" s="267"/>
      <c r="E454" s="267" t="s">
        <v>769</v>
      </c>
      <c r="F454" s="267"/>
      <c r="G454" s="288" t="s">
        <v>822</v>
      </c>
      <c r="H454" s="268" t="str">
        <f>VLOOKUP($A454,'FY24 Service Agreements'!$A:$AD,27,FALSE)</f>
        <v>P22059131</v>
      </c>
      <c r="I454" s="268" t="str">
        <f>VLOOKUP($A454,'FY24 Service Agreements'!$A:$AD,30,FALSE)</f>
        <v>P24001139</v>
      </c>
    </row>
    <row r="455" spans="1:9" x14ac:dyDescent="0.25">
      <c r="B455" t="s">
        <v>1109</v>
      </c>
      <c r="C455" s="2">
        <f>F455/12</f>
        <v>1092.5</v>
      </c>
      <c r="E455" t="s">
        <v>1110</v>
      </c>
      <c r="F455" s="2">
        <v>13110</v>
      </c>
    </row>
    <row r="456" spans="1:9" x14ac:dyDescent="0.25">
      <c r="B456" s="40" t="s">
        <v>1111</v>
      </c>
    </row>
    <row r="457" spans="1:9" x14ac:dyDescent="0.25">
      <c r="B457" s="40"/>
    </row>
    <row r="458" spans="1:9" x14ac:dyDescent="0.25">
      <c r="A458" s="330" t="s">
        <v>894</v>
      </c>
      <c r="B458" s="330"/>
      <c r="C458" s="253">
        <f>VLOOKUP(A458,'Service Agreements'!$A:$AI,22,FALSE)</f>
        <v>115000</v>
      </c>
      <c r="D458" s="254"/>
      <c r="E458" s="254" t="s">
        <v>769</v>
      </c>
      <c r="F458" s="254"/>
      <c r="G458" s="289" t="s">
        <v>822</v>
      </c>
      <c r="H458" s="256">
        <f>VLOOKUP($A458,'Service Agreements'!$A:$AG,27,FALSE)</f>
        <v>0</v>
      </c>
      <c r="I458" s="256" t="str">
        <f>VLOOKUP($A458,'Service Agreements'!$A:$AG,29,FALSE)</f>
        <v>P24002239</v>
      </c>
    </row>
    <row r="459" spans="1:9" x14ac:dyDescent="0.25">
      <c r="B459" s="40" t="s">
        <v>2044</v>
      </c>
      <c r="C459" s="2">
        <v>117000</v>
      </c>
    </row>
    <row r="460" spans="1:9" x14ac:dyDescent="0.25">
      <c r="B460" s="40" t="s">
        <v>2045</v>
      </c>
      <c r="C460" s="332">
        <v>12</v>
      </c>
    </row>
    <row r="461" spans="1:9" x14ac:dyDescent="0.25">
      <c r="B461" s="40"/>
      <c r="C461" s="2">
        <f>+C459/C460</f>
        <v>9750</v>
      </c>
    </row>
    <row r="462" spans="1:9" x14ac:dyDescent="0.25">
      <c r="B462" s="40"/>
    </row>
    <row r="463" spans="1:9" x14ac:dyDescent="0.25">
      <c r="A463" s="401" t="s">
        <v>1813</v>
      </c>
      <c r="B463" s="401"/>
      <c r="C463" s="402">
        <f>VLOOKUP(A463,'Service Agreements'!$A:$AI,22,FALSE)</f>
        <v>0</v>
      </c>
      <c r="D463" s="403"/>
      <c r="E463" s="403" t="s">
        <v>769</v>
      </c>
      <c r="F463" s="403"/>
      <c r="G463" s="404" t="s">
        <v>822</v>
      </c>
      <c r="H463" s="405">
        <f>VLOOKUP($A463,'Service Agreements'!$A:$AG,27,FALSE)</f>
        <v>0</v>
      </c>
      <c r="I463" s="405" t="str">
        <f>VLOOKUP($A463,'Service Agreements'!$A:$AG,29,FALSE)</f>
        <v>N/A</v>
      </c>
    </row>
    <row r="464" spans="1:9" x14ac:dyDescent="0.25">
      <c r="B464" s="40"/>
    </row>
    <row r="465" spans="1:9" x14ac:dyDescent="0.25">
      <c r="B465" s="40" t="s">
        <v>2046</v>
      </c>
      <c r="C465" s="2">
        <v>5000</v>
      </c>
    </row>
    <row r="467" spans="1:9" x14ac:dyDescent="0.25">
      <c r="A467" s="262" t="s">
        <v>99</v>
      </c>
      <c r="B467" s="262"/>
      <c r="C467" s="263">
        <f>VLOOKUP(A467,'FY24 Service Agreements'!$A:$AF,29,FALSE)</f>
        <v>45443</v>
      </c>
      <c r="D467" s="262"/>
      <c r="E467" s="262" t="s">
        <v>769</v>
      </c>
      <c r="F467" s="262"/>
      <c r="G467" s="293" t="s">
        <v>822</v>
      </c>
      <c r="H467" s="265" t="str">
        <f>VLOOKUP($A467,'FY24 Service Agreements'!$A:$AD,27,FALSE)</f>
        <v>P22053911</v>
      </c>
      <c r="I467" s="265">
        <f>VLOOKUP($A467,'FY24 Service Agreements'!$A:$AD,28,FALSE)</f>
        <v>45078</v>
      </c>
    </row>
    <row r="468" spans="1:9" x14ac:dyDescent="0.25">
      <c r="B468" t="s">
        <v>1112</v>
      </c>
      <c r="C468" s="2">
        <v>8927.08</v>
      </c>
      <c r="D468" t="s">
        <v>1113</v>
      </c>
      <c r="H468" s="2">
        <f>C468*12</f>
        <v>107124.95999999999</v>
      </c>
    </row>
    <row r="469" spans="1:9" x14ac:dyDescent="0.25">
      <c r="B469" t="s">
        <v>1114</v>
      </c>
      <c r="C469" s="2">
        <v>1568</v>
      </c>
      <c r="H469" s="2">
        <f>C469*12</f>
        <v>18816</v>
      </c>
    </row>
    <row r="470" spans="1:9" x14ac:dyDescent="0.25">
      <c r="B470" t="s">
        <v>1115</v>
      </c>
      <c r="C470" s="2">
        <v>1942.34</v>
      </c>
      <c r="H470" s="2">
        <f>C470</f>
        <v>1942.34</v>
      </c>
    </row>
    <row r="471" spans="1:9" x14ac:dyDescent="0.25">
      <c r="B471" t="s">
        <v>1116</v>
      </c>
      <c r="D471" t="s">
        <v>1117</v>
      </c>
      <c r="H471" s="2">
        <v>38846.870000000003</v>
      </c>
    </row>
    <row r="472" spans="1:9" x14ac:dyDescent="0.25">
      <c r="G472" s="119" t="s">
        <v>979</v>
      </c>
      <c r="H472" s="120">
        <f>SUM(H468:H471)</f>
        <v>166730.16999999998</v>
      </c>
    </row>
    <row r="473" spans="1:9" x14ac:dyDescent="0.25">
      <c r="A473" s="54" t="s">
        <v>1118</v>
      </c>
      <c r="C473" s="2" t="s">
        <v>1119</v>
      </c>
    </row>
    <row r="474" spans="1:9" x14ac:dyDescent="0.25">
      <c r="B474" t="s">
        <v>1120</v>
      </c>
      <c r="C474" s="135">
        <v>77</v>
      </c>
      <c r="D474" s="2"/>
    </row>
    <row r="475" spans="1:9" x14ac:dyDescent="0.25">
      <c r="B475" t="s">
        <v>1121</v>
      </c>
      <c r="C475" s="135">
        <v>100</v>
      </c>
      <c r="D475" s="2"/>
    </row>
    <row r="476" spans="1:9" x14ac:dyDescent="0.25">
      <c r="B476" t="s">
        <v>1122</v>
      </c>
      <c r="C476" s="135">
        <v>17</v>
      </c>
      <c r="D476" s="2"/>
    </row>
    <row r="477" spans="1:9" x14ac:dyDescent="0.25">
      <c r="B477" t="s">
        <v>1123</v>
      </c>
      <c r="C477" s="135">
        <v>2</v>
      </c>
      <c r="D477" s="2"/>
    </row>
    <row r="478" spans="1:9" x14ac:dyDescent="0.25">
      <c r="B478" s="136" t="s">
        <v>1124</v>
      </c>
      <c r="C478" s="137">
        <f>SUM(C474:C477)</f>
        <v>196</v>
      </c>
    </row>
    <row r="479" spans="1:9" x14ac:dyDescent="0.25">
      <c r="B479" s="54"/>
      <c r="C479" s="340"/>
    </row>
    <row r="480" spans="1:9" x14ac:dyDescent="0.25">
      <c r="A480" s="269" t="s">
        <v>637</v>
      </c>
      <c r="B480" s="269"/>
      <c r="C480" s="270">
        <f>VLOOKUP(A480,'FY24 Service Agreements'!$A:$AF,31,FALSE)</f>
        <v>45444</v>
      </c>
      <c r="D480" s="271"/>
      <c r="E480" s="271" t="s">
        <v>769</v>
      </c>
      <c r="F480" s="271"/>
      <c r="G480" s="272"/>
      <c r="H480" s="273">
        <f>VLOOKUP($A480,'FY24 Service Agreements'!$A:$AD,29,FALSE)</f>
        <v>45473</v>
      </c>
      <c r="I480" s="273" t="str">
        <f>VLOOKUP($A480,'FY24 Service Agreements'!$A:$AD,30,FALSE)</f>
        <v>P24002224</v>
      </c>
    </row>
    <row r="481" spans="1:9" x14ac:dyDescent="0.25">
      <c r="A481" s="339"/>
      <c r="B481" s="302" t="s">
        <v>2047</v>
      </c>
      <c r="C481" s="335"/>
      <c r="D481" s="336"/>
      <c r="E481" s="336"/>
      <c r="F481" s="336"/>
      <c r="G481" s="2">
        <v>29170</v>
      </c>
      <c r="H481" s="338"/>
      <c r="I481" s="338"/>
    </row>
    <row r="482" spans="1:9" x14ac:dyDescent="0.25">
      <c r="A482" s="339"/>
      <c r="B482" s="339"/>
      <c r="C482" s="335"/>
      <c r="D482" s="336"/>
      <c r="E482" s="336"/>
      <c r="F482" s="336"/>
      <c r="G482" s="194"/>
      <c r="H482" s="338"/>
      <c r="I482" s="338"/>
    </row>
    <row r="483" spans="1:9" x14ac:dyDescent="0.25">
      <c r="A483" s="107" t="s">
        <v>101</v>
      </c>
      <c r="B483" s="107"/>
      <c r="C483" s="253" t="e">
        <f>VLOOKUP(A483,'FY24 Service Agreements'!$A:$AF,29,FALSE)</f>
        <v>#N/A</v>
      </c>
      <c r="D483" s="254"/>
      <c r="E483" s="254" t="s">
        <v>769</v>
      </c>
      <c r="F483" s="254"/>
      <c r="G483" s="255"/>
      <c r="H483" s="256" t="e">
        <f>VLOOKUP($A483,'FY24 Service Agreements'!$A:$AD,27,FALSE)</f>
        <v>#N/A</v>
      </c>
      <c r="I483" s="256" t="e">
        <f>VLOOKUP($A483,'FY24 Service Agreements'!$A:$AD,28,FALSE)</f>
        <v>#N/A</v>
      </c>
    </row>
    <row r="484" spans="1:9" x14ac:dyDescent="0.25">
      <c r="B484" t="s">
        <v>1125</v>
      </c>
    </row>
    <row r="487" spans="1:9" x14ac:dyDescent="0.25">
      <c r="A487" s="248" t="s">
        <v>1126</v>
      </c>
      <c r="B487" s="248"/>
      <c r="C487" s="249" t="e">
        <f>VLOOKUP(A487,'FY24 Service Agreements'!$A:$AF,29,FALSE)</f>
        <v>#N/A</v>
      </c>
      <c r="D487" s="250"/>
      <c r="E487" s="250" t="s">
        <v>769</v>
      </c>
      <c r="F487" s="250"/>
      <c r="G487" s="251"/>
      <c r="H487" s="252" t="e">
        <f>VLOOKUP($A487,'FY24 Service Agreements'!$A:$AD,27,FALSE)</f>
        <v>#N/A</v>
      </c>
      <c r="I487" s="252" t="e">
        <f>VLOOKUP($A487,'FY24 Service Agreements'!$A:$AD,28,FALSE)</f>
        <v>#N/A</v>
      </c>
    </row>
    <row r="488" spans="1:9" x14ac:dyDescent="0.25">
      <c r="B488" t="s">
        <v>1127</v>
      </c>
      <c r="C488" s="2">
        <v>16056</v>
      </c>
      <c r="D488" s="40" t="s">
        <v>1128</v>
      </c>
    </row>
    <row r="489" spans="1:9" x14ac:dyDescent="0.25">
      <c r="B489" t="s">
        <v>1129</v>
      </c>
      <c r="C489" s="2">
        <f>16056+5112+C493+C495</f>
        <v>33641</v>
      </c>
      <c r="H489" s="139">
        <f>C489/12</f>
        <v>2803.4166666666665</v>
      </c>
    </row>
    <row r="490" spans="1:9" x14ac:dyDescent="0.25">
      <c r="B490" t="s">
        <v>1130</v>
      </c>
      <c r="C490" s="2">
        <f>16056+5112+C494</f>
        <v>26921</v>
      </c>
      <c r="H490" s="139">
        <f>C490/12</f>
        <v>2243.4166666666665</v>
      </c>
    </row>
    <row r="491" spans="1:9" x14ac:dyDescent="0.25">
      <c r="B491" s="138" t="s">
        <v>1131</v>
      </c>
      <c r="C491" s="134">
        <v>5112</v>
      </c>
      <c r="D491" s="133" t="s">
        <v>1132</v>
      </c>
    </row>
    <row r="492" spans="1:9" x14ac:dyDescent="0.25">
      <c r="B492" s="138" t="s">
        <v>1131</v>
      </c>
      <c r="C492" s="134">
        <v>5112</v>
      </c>
      <c r="D492" s="133" t="s">
        <v>1133</v>
      </c>
    </row>
    <row r="493" spans="1:9" x14ac:dyDescent="0.25">
      <c r="B493" s="138" t="s">
        <v>1134</v>
      </c>
      <c r="C493" s="134">
        <v>5753</v>
      </c>
      <c r="D493" s="133" t="s">
        <v>1132</v>
      </c>
    </row>
    <row r="494" spans="1:9" x14ac:dyDescent="0.25">
      <c r="B494" s="138" t="s">
        <v>1134</v>
      </c>
      <c r="C494" s="134">
        <v>5753</v>
      </c>
      <c r="D494" s="133" t="s">
        <v>1133</v>
      </c>
    </row>
    <row r="495" spans="1:9" x14ac:dyDescent="0.25">
      <c r="B495" s="138" t="s">
        <v>1135</v>
      </c>
      <c r="C495" s="134">
        <v>6720</v>
      </c>
      <c r="D495" s="133" t="s">
        <v>1132</v>
      </c>
    </row>
    <row r="496" spans="1:9" x14ac:dyDescent="0.25">
      <c r="B496" s="138" t="s">
        <v>1135</v>
      </c>
      <c r="C496" s="134">
        <v>5753</v>
      </c>
      <c r="D496" s="133" t="s">
        <v>1133</v>
      </c>
    </row>
    <row r="498" spans="1:9" x14ac:dyDescent="0.25">
      <c r="A498" s="248" t="s">
        <v>103</v>
      </c>
      <c r="B498" s="248"/>
      <c r="C498" s="249">
        <f>VLOOKUP(A498,'Service Agreements'!$A:$AI,22,FALSE)</f>
        <v>33744</v>
      </c>
      <c r="D498" s="250"/>
      <c r="E498" s="250" t="s">
        <v>769</v>
      </c>
      <c r="F498" s="250"/>
      <c r="G498" s="251"/>
      <c r="H498" s="252" t="str">
        <f>VLOOKUP($A498,'Service Agreements'!$A:$AG,30,FALSE)</f>
        <v>P24001627</v>
      </c>
      <c r="I498" s="252" t="str">
        <f>VLOOKUP($A498,'Service Agreements'!$A:$AG,29,FALSE)</f>
        <v>P24001627</v>
      </c>
    </row>
    <row r="499" spans="1:9" x14ac:dyDescent="0.25">
      <c r="B499" t="s">
        <v>2048</v>
      </c>
      <c r="C499" s="2">
        <v>31800</v>
      </c>
      <c r="D499" s="20" t="s">
        <v>1092</v>
      </c>
      <c r="E499" s="294">
        <f>+C499/12</f>
        <v>2650</v>
      </c>
    </row>
    <row r="500" spans="1:9" x14ac:dyDescent="0.25">
      <c r="B500" t="s">
        <v>2049</v>
      </c>
      <c r="C500" s="2">
        <v>32760</v>
      </c>
      <c r="E500" s="294">
        <f t="shared" ref="E500:E501" si="10">+C500/12</f>
        <v>2730</v>
      </c>
    </row>
    <row r="501" spans="1:9" x14ac:dyDescent="0.25">
      <c r="B501" t="s">
        <v>2050</v>
      </c>
      <c r="C501" s="2">
        <v>33744</v>
      </c>
      <c r="E501" s="294">
        <f t="shared" si="10"/>
        <v>2812</v>
      </c>
    </row>
    <row r="502" spans="1:9" x14ac:dyDescent="0.25">
      <c r="B502" s="40" t="s">
        <v>1139</v>
      </c>
    </row>
    <row r="503" spans="1:9" x14ac:dyDescent="0.25">
      <c r="B503" s="40"/>
    </row>
    <row r="504" spans="1:9" x14ac:dyDescent="0.25">
      <c r="A504" s="309" t="s">
        <v>105</v>
      </c>
      <c r="B504" s="309"/>
      <c r="C504" s="310" t="e">
        <f>VLOOKUP(A504,'Service Agreements'!$A:$AI,22,FALSE)</f>
        <v>#N/A</v>
      </c>
      <c r="D504" s="311"/>
      <c r="E504" s="311" t="s">
        <v>769</v>
      </c>
      <c r="F504" s="311"/>
      <c r="G504" s="312"/>
      <c r="H504" s="313" t="e">
        <f>VLOOKUP($A504,'Service Agreements'!$A:$AG,30,FALSE)</f>
        <v>#N/A</v>
      </c>
      <c r="I504" s="313" t="e">
        <f>VLOOKUP($A504,'Service Agreements'!$A:$AG,29,FALSE)</f>
        <v>#N/A</v>
      </c>
    </row>
    <row r="505" spans="1:9" x14ac:dyDescent="0.25">
      <c r="B505" t="s">
        <v>2051</v>
      </c>
      <c r="C505" s="2">
        <v>0</v>
      </c>
      <c r="E505" s="178">
        <f>+C505/2</f>
        <v>0</v>
      </c>
    </row>
    <row r="506" spans="1:9" x14ac:dyDescent="0.25">
      <c r="B506" s="40"/>
      <c r="E506" s="178"/>
    </row>
    <row r="507" spans="1:9" x14ac:dyDescent="0.25">
      <c r="B507" t="s">
        <v>2052</v>
      </c>
      <c r="C507" s="2">
        <v>0</v>
      </c>
      <c r="E507" s="178">
        <f>+C507/4</f>
        <v>0</v>
      </c>
    </row>
    <row r="508" spans="1:9" x14ac:dyDescent="0.25">
      <c r="B508" s="40"/>
      <c r="E508" s="178"/>
    </row>
    <row r="509" spans="1:9" x14ac:dyDescent="0.25">
      <c r="B509" s="40"/>
      <c r="C509" s="2">
        <f>+C505+C507</f>
        <v>0</v>
      </c>
      <c r="E509" s="2">
        <f>+E505+E507</f>
        <v>0</v>
      </c>
    </row>
    <row r="510" spans="1:9" x14ac:dyDescent="0.25">
      <c r="E510" s="178"/>
    </row>
    <row r="511" spans="1:9" x14ac:dyDescent="0.25">
      <c r="A511" s="104" t="s">
        <v>107</v>
      </c>
      <c r="B511" s="104"/>
      <c r="C511" s="105">
        <f>VLOOKUP(A511,'Service Agreements'!$A:$AI,22,FALSE)</f>
        <v>588521</v>
      </c>
      <c r="D511" s="104"/>
      <c r="E511" s="104" t="s">
        <v>769</v>
      </c>
      <c r="F511" s="104"/>
      <c r="G511" s="105"/>
      <c r="H511" s="124" t="str">
        <f>VLOOKUP($A511,'Service Agreements'!$A:$AG,30,FALSE)</f>
        <v>P25009013</v>
      </c>
      <c r="I511" s="124" t="str">
        <f>VLOOKUP($A511,'Service Agreements'!$A:$AG,29,FALSE)</f>
        <v>P23061336</v>
      </c>
    </row>
    <row r="512" spans="1:9" x14ac:dyDescent="0.25">
      <c r="A512" s="393"/>
      <c r="B512" s="393"/>
      <c r="C512" s="394"/>
      <c r="D512" s="393"/>
      <c r="E512" s="393"/>
      <c r="F512" s="393"/>
      <c r="G512" s="394"/>
      <c r="H512" s="395"/>
      <c r="I512" s="395"/>
    </row>
    <row r="513" spans="1:12" x14ac:dyDescent="0.25">
      <c r="B513" t="s">
        <v>1140</v>
      </c>
      <c r="C513" s="344">
        <v>10924.2</v>
      </c>
      <c r="D513" t="s">
        <v>1141</v>
      </c>
      <c r="E513" s="406">
        <f>182.07*60</f>
        <v>10924.199999999999</v>
      </c>
      <c r="F513" t="s">
        <v>2053</v>
      </c>
      <c r="G513"/>
      <c r="L513" s="242"/>
    </row>
    <row r="514" spans="1:12" x14ac:dyDescent="0.25">
      <c r="B514" t="s">
        <v>1143</v>
      </c>
      <c r="C514" s="103" t="s">
        <v>1144</v>
      </c>
      <c r="F514" t="s">
        <v>2054</v>
      </c>
      <c r="G514"/>
      <c r="L514" s="242"/>
    </row>
    <row r="515" spans="1:12" x14ac:dyDescent="0.25">
      <c r="F515" s="294"/>
      <c r="L515" s="242"/>
    </row>
    <row r="516" spans="1:12" x14ac:dyDescent="0.25">
      <c r="A516" s="107" t="s">
        <v>111</v>
      </c>
      <c r="B516" s="107"/>
      <c r="C516" s="253">
        <f>VLOOKUP(A516,'FY24 Service Agreements'!$A:$AF,31,FALSE)</f>
        <v>45444</v>
      </c>
      <c r="D516" s="254"/>
      <c r="E516" s="254" t="s">
        <v>769</v>
      </c>
      <c r="F516" s="254"/>
      <c r="G516" s="255"/>
      <c r="H516" s="256" t="str">
        <f>VLOOKUP($A516,'FY24 Service Agreements'!$A:$AD,30,FALSE)</f>
        <v>P24001063</v>
      </c>
      <c r="I516" s="256">
        <f>VLOOKUP($A516,'FY24 Service Agreements'!$A:$AD,28,FALSE)</f>
        <v>45108</v>
      </c>
    </row>
    <row r="517" spans="1:12" x14ac:dyDescent="0.25">
      <c r="B517" t="s">
        <v>1154</v>
      </c>
      <c r="C517" s="2">
        <v>15000</v>
      </c>
      <c r="G517" s="119"/>
      <c r="H517" s="240"/>
    </row>
    <row r="518" spans="1:12" x14ac:dyDescent="0.25">
      <c r="B518" t="s">
        <v>1155</v>
      </c>
    </row>
    <row r="519" spans="1:12" x14ac:dyDescent="0.25">
      <c r="B519" t="s">
        <v>1156</v>
      </c>
    </row>
    <row r="521" spans="1:12" x14ac:dyDescent="0.25">
      <c r="B521" s="40" t="s">
        <v>1157</v>
      </c>
    </row>
    <row r="522" spans="1:12" x14ac:dyDescent="0.25">
      <c r="B522" s="40"/>
    </row>
    <row r="523" spans="1:12" x14ac:dyDescent="0.25">
      <c r="A523" s="327" t="s">
        <v>661</v>
      </c>
      <c r="B523" s="327"/>
      <c r="C523" s="249">
        <f>VLOOKUP(A523,'Service Agreements'!$A:$AI,22,FALSE)</f>
        <v>21540</v>
      </c>
      <c r="D523" s="250"/>
      <c r="E523" s="250" t="s">
        <v>769</v>
      </c>
      <c r="F523" s="250"/>
      <c r="G523" s="251"/>
      <c r="H523" s="252" t="str">
        <f>VLOOKUP($A523,'Service Agreements'!$A:$AG,30,FALSE)</f>
        <v>P25029295</v>
      </c>
      <c r="I523" s="252" t="str">
        <f>VLOOKUP($A523,'Service Agreements'!$A:$AG,29,FALSE)</f>
        <v>P23060249</v>
      </c>
    </row>
    <row r="524" spans="1:12" x14ac:dyDescent="0.25">
      <c r="B524" s="40"/>
    </row>
    <row r="525" spans="1:12" x14ac:dyDescent="0.25">
      <c r="B525" t="s">
        <v>2055</v>
      </c>
      <c r="C525" s="2">
        <v>12000</v>
      </c>
    </row>
    <row r="526" spans="1:12" x14ac:dyDescent="0.25">
      <c r="B526" s="291" t="s">
        <v>2056</v>
      </c>
      <c r="C526" s="290">
        <v>9540</v>
      </c>
    </row>
    <row r="527" spans="1:12" x14ac:dyDescent="0.25">
      <c r="B527" s="54" t="s">
        <v>2057</v>
      </c>
      <c r="C527" s="119">
        <f>+SUM(C525:C526)</f>
        <v>21540</v>
      </c>
    </row>
    <row r="529" spans="1:9" x14ac:dyDescent="0.25">
      <c r="A529" s="117" t="s">
        <v>113</v>
      </c>
      <c r="B529" s="117"/>
      <c r="C529" s="118">
        <f>VLOOKUP(A529,'Service Agreements'!$A:$AI,22,FALSE)</f>
        <v>66950</v>
      </c>
      <c r="D529" s="117"/>
      <c r="E529" s="117" t="s">
        <v>769</v>
      </c>
      <c r="F529" s="117"/>
      <c r="G529" s="118"/>
      <c r="H529" s="125" t="str">
        <f>VLOOKUP($A529,'Service Agreements'!$A:$AG,30,FALSE)</f>
        <v>P25011405</v>
      </c>
      <c r="I529" s="125" t="str">
        <f>VLOOKUP($A529,'Service Agreements'!$A:$AG,29,FALSE)</f>
        <v>P23056925</v>
      </c>
    </row>
    <row r="530" spans="1:9" x14ac:dyDescent="0.25">
      <c r="A530" s="215"/>
      <c r="B530" s="215"/>
      <c r="C530" s="396"/>
      <c r="D530" s="215"/>
      <c r="E530" s="215"/>
      <c r="F530" s="215"/>
      <c r="G530" s="396"/>
      <c r="H530" s="397"/>
      <c r="I530" s="397"/>
    </row>
    <row r="531" spans="1:9" x14ac:dyDescent="0.25">
      <c r="B531" s="2" t="s">
        <v>1159</v>
      </c>
      <c r="C531" s="178">
        <v>65000</v>
      </c>
    </row>
    <row r="532" spans="1:9" x14ac:dyDescent="0.25">
      <c r="B532" t="s">
        <v>2058</v>
      </c>
    </row>
    <row r="534" spans="1:9" x14ac:dyDescent="0.25">
      <c r="A534" s="262" t="s">
        <v>1161</v>
      </c>
      <c r="B534" s="262"/>
      <c r="C534" s="263" t="e">
        <f>VLOOKUP(A534,'FY24 Service Agreements'!$A:$AF,29,FALSE)</f>
        <v>#N/A</v>
      </c>
      <c r="D534" s="262"/>
      <c r="E534" s="262" t="s">
        <v>769</v>
      </c>
      <c r="F534" s="262"/>
      <c r="G534" s="264"/>
      <c r="H534" s="265" t="e">
        <f>VLOOKUP($A534,'FY24 Service Agreements'!$A:$AD,27,FALSE)</f>
        <v>#N/A</v>
      </c>
      <c r="I534" s="265" t="e">
        <f>VLOOKUP($A534,'FY24 Service Agreements'!$A:$AD,28,FALSE)</f>
        <v>#N/A</v>
      </c>
    </row>
    <row r="535" spans="1:9" x14ac:dyDescent="0.25">
      <c r="B535" t="s">
        <v>1109</v>
      </c>
      <c r="C535" s="2">
        <v>57750</v>
      </c>
      <c r="G535" s="2" t="s">
        <v>1162</v>
      </c>
      <c r="H535" s="139">
        <f>C535*12</f>
        <v>693000</v>
      </c>
    </row>
    <row r="536" spans="1:9" x14ac:dyDescent="0.25">
      <c r="B536" s="40" t="s">
        <v>1163</v>
      </c>
    </row>
    <row r="538" spans="1:9" x14ac:dyDescent="0.25">
      <c r="A538" s="107" t="s">
        <v>670</v>
      </c>
      <c r="B538" s="107"/>
      <c r="C538" s="253">
        <f>VLOOKUP(A538,'Service Agreements'!$A:$AI,22,FALSE)</f>
        <v>238012</v>
      </c>
      <c r="D538" s="254"/>
      <c r="E538" s="254" t="s">
        <v>769</v>
      </c>
      <c r="F538" s="254"/>
      <c r="G538" s="255"/>
      <c r="H538" s="256" t="str">
        <f>VLOOKUP($A538,'Service Agreements'!$A:$AG,30,FALSE)</f>
        <v>P25011409</v>
      </c>
      <c r="I538" s="256" t="str">
        <f>VLOOKUP($A538,'Service Agreements'!$A:$AG,29,FALSE)</f>
        <v>P24002303</v>
      </c>
    </row>
    <row r="539" spans="1:9" x14ac:dyDescent="0.25">
      <c r="B539" s="382" t="s">
        <v>2059</v>
      </c>
      <c r="C539" s="2">
        <v>19041.400000000001</v>
      </c>
      <c r="D539" s="196"/>
    </row>
    <row r="540" spans="1:9" x14ac:dyDescent="0.25">
      <c r="B540" s="382" t="s">
        <v>2060</v>
      </c>
      <c r="C540" s="2">
        <v>13500</v>
      </c>
      <c r="D540" s="196"/>
      <c r="E540" s="2"/>
    </row>
    <row r="541" spans="1:9" x14ac:dyDescent="0.25">
      <c r="B541" s="382" t="s">
        <v>2061</v>
      </c>
      <c r="C541" s="2">
        <v>78847.679999999993</v>
      </c>
      <c r="D541" s="196"/>
      <c r="E541" s="2"/>
    </row>
    <row r="542" spans="1:9" x14ac:dyDescent="0.25">
      <c r="B542" s="54" t="s">
        <v>2062</v>
      </c>
      <c r="C542" s="120">
        <f>SUM(C539:C541)</f>
        <v>111389.07999999999</v>
      </c>
    </row>
    <row r="543" spans="1:9" x14ac:dyDescent="0.25">
      <c r="C543" s="112"/>
    </row>
    <row r="544" spans="1:9" x14ac:dyDescent="0.25">
      <c r="B544" s="382" t="s">
        <v>2063</v>
      </c>
      <c r="C544" s="112">
        <v>8450</v>
      </c>
    </row>
    <row r="545" spans="1:9" x14ac:dyDescent="0.25">
      <c r="B545" s="382" t="s">
        <v>2064</v>
      </c>
      <c r="C545" s="112">
        <v>5494.5</v>
      </c>
    </row>
    <row r="546" spans="1:9" x14ac:dyDescent="0.25">
      <c r="B546" s="382" t="s">
        <v>2065</v>
      </c>
      <c r="C546" s="112">
        <v>47000</v>
      </c>
    </row>
    <row r="547" spans="1:9" x14ac:dyDescent="0.25">
      <c r="B547" s="382" t="s">
        <v>2066</v>
      </c>
      <c r="C547" s="112">
        <v>50000</v>
      </c>
    </row>
    <row r="548" spans="1:9" x14ac:dyDescent="0.25">
      <c r="B548" s="382" t="s">
        <v>2067</v>
      </c>
      <c r="C548" s="387">
        <v>2200</v>
      </c>
    </row>
    <row r="549" spans="1:9" x14ac:dyDescent="0.25">
      <c r="B549" s="54" t="s">
        <v>2062</v>
      </c>
      <c r="C549" s="189">
        <f>+SUM(C544:C548)</f>
        <v>113144.5</v>
      </c>
    </row>
    <row r="550" spans="1:9" x14ac:dyDescent="0.25">
      <c r="B550" s="382"/>
      <c r="C550" s="112"/>
    </row>
    <row r="551" spans="1:9" x14ac:dyDescent="0.25">
      <c r="B551" s="399" t="s">
        <v>2068</v>
      </c>
      <c r="C551" s="400">
        <v>224540</v>
      </c>
    </row>
    <row r="553" spans="1:9" x14ac:dyDescent="0.25">
      <c r="A553" s="107" t="s">
        <v>1169</v>
      </c>
      <c r="B553" s="107"/>
      <c r="C553" s="253" t="e">
        <f>VLOOKUP(A553,'FY24 Service Agreements'!$A:$AF,29,FALSE)</f>
        <v>#N/A</v>
      </c>
      <c r="D553" s="254"/>
      <c r="E553" s="254" t="s">
        <v>769</v>
      </c>
      <c r="F553" s="254"/>
      <c r="G553" s="255"/>
      <c r="H553" s="256" t="e">
        <f>VLOOKUP($A553,'FY24 Service Agreements'!$A:$AD,27,FALSE)</f>
        <v>#N/A</v>
      </c>
      <c r="I553" s="256" t="e">
        <f>VLOOKUP($A553,'FY24 Service Agreements'!$A:$AD,28,FALSE)</f>
        <v>#N/A</v>
      </c>
    </row>
    <row r="554" spans="1:9" x14ac:dyDescent="0.25">
      <c r="B554" t="s">
        <v>1170</v>
      </c>
      <c r="C554" s="2">
        <v>0</v>
      </c>
    </row>
    <row r="555" spans="1:9" x14ac:dyDescent="0.25">
      <c r="B555" t="s">
        <v>1171</v>
      </c>
      <c r="C555" s="2">
        <v>0</v>
      </c>
      <c r="D555" s="2"/>
    </row>
    <row r="556" spans="1:9" x14ac:dyDescent="0.25">
      <c r="B556" s="54" t="s">
        <v>780</v>
      </c>
      <c r="C556" s="120">
        <f>SUM(C554:C555)</f>
        <v>0</v>
      </c>
    </row>
    <row r="557" spans="1:9" x14ac:dyDescent="0.25">
      <c r="B557" s="54"/>
      <c r="C557" s="189"/>
    </row>
    <row r="559" spans="1:9" x14ac:dyDescent="0.25">
      <c r="A559" s="257" t="s">
        <v>118</v>
      </c>
      <c r="B559" s="257"/>
      <c r="C559" s="258">
        <f>VLOOKUP(A559,'FY24 Service Agreements'!$A:$AF,31,FALSE)</f>
        <v>45444</v>
      </c>
      <c r="D559" s="259"/>
      <c r="E559" s="259" t="s">
        <v>769</v>
      </c>
      <c r="F559" s="259"/>
      <c r="G559" s="260"/>
      <c r="H559" s="261" t="str">
        <f>VLOOKUP($A559,'FY24 Service Agreements'!$A:$AD,27,FALSE)</f>
        <v>P23011516</v>
      </c>
      <c r="I559" s="261" t="str">
        <f>VLOOKUP($A559,'FY24 Service Agreements'!$A:$AD,30,FALSE)</f>
        <v>P24002299</v>
      </c>
    </row>
    <row r="560" spans="1:9" x14ac:dyDescent="0.25">
      <c r="B560" s="241"/>
      <c r="C560" s="2">
        <v>260000</v>
      </c>
    </row>
    <row r="561" spans="1:9" x14ac:dyDescent="0.25">
      <c r="B561" s="241"/>
    </row>
    <row r="562" spans="1:9" x14ac:dyDescent="0.25">
      <c r="A562" s="248" t="s">
        <v>679</v>
      </c>
      <c r="B562" s="248"/>
      <c r="C562" s="249">
        <f>VLOOKUP(A562,'Service Agreements'!$A:$AI,22,FALSE)</f>
        <v>60000</v>
      </c>
      <c r="D562" s="250"/>
      <c r="E562" s="250" t="s">
        <v>769</v>
      </c>
      <c r="F562" s="250"/>
      <c r="G562" s="251"/>
      <c r="H562" s="252" t="str">
        <f>VLOOKUP($A562,'Service Agreements'!$A:$AG,30,FALSE)</f>
        <v>P25034176</v>
      </c>
      <c r="I562" s="252" t="str">
        <f>VLOOKUP($A562,'Service Agreements'!$A:$AG,29,FALSE)</f>
        <v>P24028157</v>
      </c>
    </row>
    <row r="563" spans="1:9" x14ac:dyDescent="0.25">
      <c r="B563" s="241"/>
    </row>
    <row r="564" spans="1:9" x14ac:dyDescent="0.25">
      <c r="B564" s="241" t="s">
        <v>2069</v>
      </c>
      <c r="C564" s="2">
        <v>5000</v>
      </c>
      <c r="E564" s="2">
        <f>+C564*12</f>
        <v>60000</v>
      </c>
    </row>
    <row r="566" spans="1:9" x14ac:dyDescent="0.25">
      <c r="A566" s="269" t="s">
        <v>121</v>
      </c>
      <c r="B566" s="269"/>
      <c r="C566" s="270">
        <f>VLOOKUP(A566,'FY24 Service Agreements'!$A:$AF,29,FALSE)</f>
        <v>45473</v>
      </c>
      <c r="D566" s="271"/>
      <c r="E566" s="271" t="s">
        <v>769</v>
      </c>
      <c r="F566" s="271"/>
      <c r="G566" s="296" t="s">
        <v>822</v>
      </c>
      <c r="H566" s="273" t="str">
        <f>VLOOKUP($A566,'FY24 Service Agreements'!$A:$AD,27,FALSE)</f>
        <v>P22057444</v>
      </c>
      <c r="I566" s="273">
        <f>VLOOKUP($A566,'FY24 Service Agreements'!$A:$AD,28,FALSE)</f>
        <v>45108</v>
      </c>
    </row>
    <row r="567" spans="1:9" x14ac:dyDescent="0.25">
      <c r="B567" t="s">
        <v>1173</v>
      </c>
      <c r="E567" t="s">
        <v>192</v>
      </c>
      <c r="F567" s="2">
        <v>6000</v>
      </c>
    </row>
    <row r="570" spans="1:9" x14ac:dyDescent="0.25">
      <c r="A570" s="262" t="s">
        <v>1195</v>
      </c>
      <c r="B570" s="262"/>
      <c r="C570" s="263">
        <f>C574</f>
        <v>46174</v>
      </c>
      <c r="D570" s="262"/>
      <c r="E570" s="262" t="s">
        <v>769</v>
      </c>
      <c r="F570" s="262"/>
      <c r="G570" s="264"/>
      <c r="H570" s="265">
        <f>H574</f>
        <v>46203</v>
      </c>
      <c r="I570" s="265" t="str">
        <f>I574</f>
        <v>P21044995</v>
      </c>
    </row>
    <row r="571" spans="1:9" x14ac:dyDescent="0.25">
      <c r="B571" t="s">
        <v>1196</v>
      </c>
      <c r="E571" t="s">
        <v>192</v>
      </c>
      <c r="F571" s="2">
        <v>25000</v>
      </c>
    </row>
    <row r="572" spans="1:9" x14ac:dyDescent="0.25">
      <c r="B572" s="297" t="s">
        <v>1197</v>
      </c>
      <c r="F572" s="2"/>
    </row>
    <row r="574" spans="1:9" x14ac:dyDescent="0.25">
      <c r="A574" s="262" t="s">
        <v>692</v>
      </c>
      <c r="B574" s="262"/>
      <c r="C574" s="263">
        <f>VLOOKUP(A574,'FY24 Service Agreements'!$A:$AF,31,FALSE)</f>
        <v>46174</v>
      </c>
      <c r="D574" s="262"/>
      <c r="E574" s="262" t="s">
        <v>769</v>
      </c>
      <c r="F574" s="262"/>
      <c r="G574" s="264"/>
      <c r="H574" s="265">
        <f>VLOOKUP($A574,'FY24 Service Agreements'!$A:$AD,29,FALSE)</f>
        <v>46203</v>
      </c>
      <c r="I574" s="265" t="str">
        <f>VLOOKUP($A574,'FY24 Service Agreements'!$A:$AD,30,FALSE)</f>
        <v>P21044995</v>
      </c>
    </row>
    <row r="576" spans="1:9" x14ac:dyDescent="0.25">
      <c r="B576" t="s">
        <v>1198</v>
      </c>
      <c r="C576" s="178">
        <v>2428</v>
      </c>
      <c r="D576" t="s">
        <v>1199</v>
      </c>
    </row>
    <row r="577" spans="1:12" x14ac:dyDescent="0.25">
      <c r="B577" t="s">
        <v>1200</v>
      </c>
      <c r="C577" s="178">
        <v>2428</v>
      </c>
      <c r="D577" t="s">
        <v>1199</v>
      </c>
    </row>
    <row r="578" spans="1:12" x14ac:dyDescent="0.25">
      <c r="B578" s="8" t="s">
        <v>1201</v>
      </c>
      <c r="C578" s="178">
        <v>2428</v>
      </c>
      <c r="D578" t="s">
        <v>1199</v>
      </c>
    </row>
    <row r="579" spans="1:12" x14ac:dyDescent="0.25">
      <c r="B579" t="s">
        <v>1202</v>
      </c>
      <c r="C579" s="178">
        <v>1710.75</v>
      </c>
      <c r="D579" t="s">
        <v>1203</v>
      </c>
    </row>
    <row r="580" spans="1:12" x14ac:dyDescent="0.25">
      <c r="B580" t="s">
        <v>1204</v>
      </c>
      <c r="C580" s="178">
        <v>1710.25</v>
      </c>
      <c r="D580" t="s">
        <v>1203</v>
      </c>
    </row>
    <row r="581" spans="1:12" x14ac:dyDescent="0.25">
      <c r="B581" t="s">
        <v>1205</v>
      </c>
      <c r="C581" s="178">
        <v>2428</v>
      </c>
      <c r="D581" t="s">
        <v>1199</v>
      </c>
    </row>
    <row r="582" spans="1:12" x14ac:dyDescent="0.25">
      <c r="B582" t="s">
        <v>1206</v>
      </c>
      <c r="C582" s="178">
        <v>1710.75</v>
      </c>
      <c r="D582" t="s">
        <v>1203</v>
      </c>
    </row>
    <row r="583" spans="1:12" x14ac:dyDescent="0.25">
      <c r="B583" t="s">
        <v>1207</v>
      </c>
      <c r="C583" s="178">
        <v>2428</v>
      </c>
      <c r="D583" t="s">
        <v>1199</v>
      </c>
    </row>
    <row r="584" spans="1:12" x14ac:dyDescent="0.25">
      <c r="B584" t="s">
        <v>1208</v>
      </c>
      <c r="C584" s="178">
        <v>2428</v>
      </c>
      <c r="D584" t="s">
        <v>1199</v>
      </c>
    </row>
    <row r="585" spans="1:12" x14ac:dyDescent="0.25">
      <c r="B585" t="s">
        <v>1209</v>
      </c>
      <c r="C585" s="178">
        <v>1710.75</v>
      </c>
      <c r="D585" t="s">
        <v>1203</v>
      </c>
    </row>
    <row r="586" spans="1:12" x14ac:dyDescent="0.25">
      <c r="B586" t="s">
        <v>1210</v>
      </c>
      <c r="C586" s="298">
        <v>2428</v>
      </c>
      <c r="D586" t="s">
        <v>1199</v>
      </c>
    </row>
    <row r="587" spans="1:12" x14ac:dyDescent="0.25">
      <c r="B587" t="s">
        <v>780</v>
      </c>
      <c r="C587" s="178">
        <f>SUM(C576:C586)</f>
        <v>23838.5</v>
      </c>
      <c r="L587" s="139"/>
    </row>
    <row r="590" spans="1:12" x14ac:dyDescent="0.25">
      <c r="A590" s="107" t="s">
        <v>126</v>
      </c>
      <c r="B590" s="107"/>
      <c r="C590" s="253">
        <f>VLOOKUP(A590,'Service Agreements'!$A:$AI,22,FALSE)</f>
        <v>1578714</v>
      </c>
      <c r="D590" s="254"/>
      <c r="E590" s="254" t="s">
        <v>769</v>
      </c>
      <c r="F590" s="254"/>
      <c r="G590" s="255"/>
      <c r="H590" s="256" t="str">
        <f>VLOOKUP($A590,'Service Agreements'!$A:$AG,30,FALSE)</f>
        <v>P25001657</v>
      </c>
      <c r="I590" s="256" t="str">
        <f>VLOOKUP($A590,'Service Agreements'!$A:$AG,29,FALSE)</f>
        <v>P24031461</v>
      </c>
    </row>
    <row r="591" spans="1:12" x14ac:dyDescent="0.25">
      <c r="E591" s="294"/>
    </row>
    <row r="592" spans="1:12" x14ac:dyDescent="0.25">
      <c r="B592" t="s">
        <v>2070</v>
      </c>
      <c r="C592" s="344">
        <v>131559.5</v>
      </c>
      <c r="E592" s="294">
        <f>+C592*12</f>
        <v>1578714</v>
      </c>
      <c r="F592" t="s">
        <v>2071</v>
      </c>
    </row>
    <row r="593" spans="1:9" x14ac:dyDescent="0.25">
      <c r="C593" s="344"/>
      <c r="E593" s="294"/>
    </row>
    <row r="594" spans="1:9" x14ac:dyDescent="0.25">
      <c r="C594" s="344"/>
      <c r="E594" s="294"/>
    </row>
    <row r="595" spans="1:9" x14ac:dyDescent="0.25">
      <c r="A595" s="248" t="s">
        <v>705</v>
      </c>
      <c r="B595" s="248"/>
      <c r="C595" s="249" t="e">
        <f>VLOOKUP(A595,'Service Agreements'!$A:$AI,22,FALSE)</f>
        <v>#N/A</v>
      </c>
      <c r="D595" s="250"/>
      <c r="E595" s="250" t="s">
        <v>769</v>
      </c>
      <c r="F595" s="250"/>
      <c r="G595" s="251"/>
      <c r="H595" s="252" t="e">
        <f>VLOOKUP($A595,'Service Agreements'!$A:$AG,30,FALSE)</f>
        <v>#N/A</v>
      </c>
      <c r="I595" s="252" t="e">
        <f>VLOOKUP($A595,'Service Agreements'!$A:$AG,29,FALSE)</f>
        <v>#N/A</v>
      </c>
    </row>
    <row r="596" spans="1:9" x14ac:dyDescent="0.25">
      <c r="C596" s="344"/>
      <c r="E596" s="294"/>
    </row>
    <row r="597" spans="1:9" x14ac:dyDescent="0.25">
      <c r="B597" t="s">
        <v>2072</v>
      </c>
      <c r="C597" s="178">
        <v>11145</v>
      </c>
      <c r="E597" s="294"/>
    </row>
    <row r="599" spans="1:9" x14ac:dyDescent="0.25">
      <c r="A599" s="274" t="s">
        <v>128</v>
      </c>
      <c r="B599" s="274"/>
      <c r="C599" s="263" t="str">
        <f>VLOOKUP(A599,'FY24 Service Agreements'!$A:$AF,27,FALSE)</f>
        <v>P23001561</v>
      </c>
      <c r="D599" s="262"/>
      <c r="E599" s="262" t="s">
        <v>769</v>
      </c>
      <c r="F599" s="262"/>
      <c r="G599" s="264"/>
      <c r="H599" s="265">
        <f>VLOOKUP($A599,'FY24 Service Agreements'!$A:$AD,29,FALSE)</f>
        <v>45473</v>
      </c>
      <c r="I599" s="265" t="str">
        <f>VLOOKUP($A599,'FY24 Service Agreements'!$A:$AD,30,FALSE)</f>
        <v>P24013136</v>
      </c>
    </row>
    <row r="600" spans="1:9" x14ac:dyDescent="0.25">
      <c r="B600" t="s">
        <v>1213</v>
      </c>
      <c r="C600" s="299">
        <v>1668714</v>
      </c>
      <c r="E600" s="178">
        <f>C600/12</f>
        <v>139059.5</v>
      </c>
    </row>
    <row r="601" spans="1:9" x14ac:dyDescent="0.25">
      <c r="B601" t="s">
        <v>1214</v>
      </c>
      <c r="C601" s="300">
        <v>52661</v>
      </c>
      <c r="D601" t="s">
        <v>1215</v>
      </c>
    </row>
    <row r="602" spans="1:9" x14ac:dyDescent="0.25">
      <c r="B602" t="s">
        <v>780</v>
      </c>
      <c r="C602" s="299">
        <f>SUM(C600:C601)</f>
        <v>1721375</v>
      </c>
      <c r="D602" s="299"/>
    </row>
    <row r="603" spans="1:9" x14ac:dyDescent="0.25">
      <c r="C603" s="299"/>
      <c r="D603" s="299"/>
    </row>
    <row r="604" spans="1:9" x14ac:dyDescent="0.25">
      <c r="A604" s="334" t="s">
        <v>2073</v>
      </c>
      <c r="B604" s="334"/>
      <c r="C604" s="266" t="e">
        <f>VLOOKUP(A604,'FY24 Service Agreements'!$A:$AF,27,FALSE)</f>
        <v>#N/A</v>
      </c>
      <c r="D604" s="267"/>
      <c r="E604" s="267" t="s">
        <v>769</v>
      </c>
      <c r="F604" s="267"/>
      <c r="G604" s="288" t="s">
        <v>822</v>
      </c>
      <c r="H604" s="268" t="e">
        <f>VLOOKUP($A604,'FY24 Service Agreements'!$A:$AD,29,FALSE)</f>
        <v>#N/A</v>
      </c>
      <c r="I604" s="268" t="e">
        <f>VLOOKUP($A604,'FY24 Service Agreements'!$A:$AD,30,FALSE)</f>
        <v>#N/A</v>
      </c>
    </row>
    <row r="605" spans="1:9" x14ac:dyDescent="0.25">
      <c r="A605" s="186"/>
      <c r="B605" s="186"/>
      <c r="C605" s="335"/>
      <c r="D605" s="336"/>
      <c r="E605" s="336"/>
      <c r="F605" s="336"/>
      <c r="G605" s="337"/>
      <c r="H605" s="338"/>
      <c r="I605" s="338"/>
    </row>
    <row r="606" spans="1:9" x14ac:dyDescent="0.25">
      <c r="C606" s="299"/>
      <c r="D606" s="299"/>
    </row>
    <row r="607" spans="1:9" x14ac:dyDescent="0.25">
      <c r="A607" s="248" t="s">
        <v>301</v>
      </c>
      <c r="B607" s="248"/>
      <c r="C607" s="249">
        <f>VLOOKUP(A607,'Service Agreements'!$A:$AI,22,FALSE)</f>
        <v>51542</v>
      </c>
      <c r="D607" s="250"/>
      <c r="E607" s="250" t="s">
        <v>769</v>
      </c>
      <c r="F607" s="250"/>
      <c r="G607" s="251"/>
      <c r="H607" s="252" t="str">
        <f>VLOOKUP($A607,'Service Agreements'!$A:$AG,30,FALSE)</f>
        <v>P25008733</v>
      </c>
      <c r="I607" s="252" t="str">
        <f>VLOOKUP($A607,'Service Agreements'!$A:$AG,29,FALSE)</f>
        <v>P21052459</v>
      </c>
    </row>
    <row r="608" spans="1:9" x14ac:dyDescent="0.25">
      <c r="B608" t="s">
        <v>2074</v>
      </c>
      <c r="C608" s="2">
        <v>49088</v>
      </c>
    </row>
    <row r="609" spans="1:3" x14ac:dyDescent="0.25">
      <c r="B609" t="s">
        <v>2075</v>
      </c>
      <c r="C609" s="2">
        <v>51542</v>
      </c>
    </row>
    <row r="610" spans="1:3" x14ac:dyDescent="0.25">
      <c r="B610" t="s">
        <v>2076</v>
      </c>
      <c r="C610" s="2">
        <v>54188</v>
      </c>
    </row>
    <row r="612" spans="1:3" x14ac:dyDescent="0.25">
      <c r="A612" s="54" t="s">
        <v>1100</v>
      </c>
    </row>
    <row r="613" spans="1:3" x14ac:dyDescent="0.25">
      <c r="B613" t="s">
        <v>1219</v>
      </c>
    </row>
    <row r="614" spans="1:3" x14ac:dyDescent="0.25">
      <c r="B614" t="s">
        <v>1220</v>
      </c>
    </row>
    <row r="615" spans="1:3" x14ac:dyDescent="0.25">
      <c r="B615" t="s">
        <v>906</v>
      </c>
    </row>
    <row r="616" spans="1:3" x14ac:dyDescent="0.25">
      <c r="B616" t="s">
        <v>1221</v>
      </c>
    </row>
    <row r="618" spans="1:3" x14ac:dyDescent="0.25">
      <c r="B618" t="s">
        <v>1007</v>
      </c>
    </row>
    <row r="619" spans="1:3" x14ac:dyDescent="0.25">
      <c r="B619" t="s">
        <v>1222</v>
      </c>
    </row>
    <row r="620" spans="1:3" x14ac:dyDescent="0.25">
      <c r="B620" t="s">
        <v>990</v>
      </c>
    </row>
    <row r="621" spans="1:3" x14ac:dyDescent="0.25">
      <c r="B621" t="s">
        <v>970</v>
      </c>
    </row>
    <row r="622" spans="1:3" x14ac:dyDescent="0.25">
      <c r="B622" t="s">
        <v>1223</v>
      </c>
    </row>
    <row r="623" spans="1:3" x14ac:dyDescent="0.25">
      <c r="B623" t="s">
        <v>1224</v>
      </c>
    </row>
    <row r="624" spans="1:3" x14ac:dyDescent="0.25">
      <c r="B624" t="s">
        <v>1225</v>
      </c>
    </row>
    <row r="626" spans="1:9" x14ac:dyDescent="0.25">
      <c r="A626" s="101" t="s">
        <v>731</v>
      </c>
      <c r="B626" s="101"/>
      <c r="C626" s="266">
        <f>VLOOKUP(A626,'FY24 Service Agreements'!$A:$AF,31,FALSE)</f>
        <v>45444</v>
      </c>
      <c r="D626" s="267"/>
      <c r="E626" s="267" t="s">
        <v>769</v>
      </c>
      <c r="F626" s="267"/>
      <c r="G626" s="102"/>
      <c r="H626" s="268">
        <f>VLOOKUP($A626,'FY24 Service Agreements'!$A:$AD,29,FALSE)</f>
        <v>45473</v>
      </c>
      <c r="I626" s="268" t="str">
        <f>VLOOKUP($A626,'FY24 Service Agreements'!$A:$AD,30,FALSE)</f>
        <v>P24004435</v>
      </c>
    </row>
    <row r="628" spans="1:9" x14ac:dyDescent="0.25">
      <c r="B628" s="213" t="s">
        <v>1227</v>
      </c>
      <c r="C628" s="341">
        <v>11500</v>
      </c>
      <c r="D628" s="213"/>
    </row>
    <row r="629" spans="1:9" x14ac:dyDescent="0.25">
      <c r="B629" s="213" t="s">
        <v>1228</v>
      </c>
      <c r="C629" s="341">
        <v>10000</v>
      </c>
      <c r="D629" s="342" t="s">
        <v>1229</v>
      </c>
    </row>
    <row r="630" spans="1:9" x14ac:dyDescent="0.25">
      <c r="B630" t="s">
        <v>1230</v>
      </c>
      <c r="C630" s="2">
        <v>10000</v>
      </c>
      <c r="D630" s="196" t="s">
        <v>1229</v>
      </c>
    </row>
    <row r="631" spans="1:9" x14ac:dyDescent="0.25">
      <c r="B631" t="s">
        <v>1231</v>
      </c>
      <c r="C631" s="2">
        <v>10000</v>
      </c>
      <c r="D631" s="196" t="s">
        <v>1229</v>
      </c>
    </row>
    <row r="632" spans="1:9" x14ac:dyDescent="0.25">
      <c r="B632" t="s">
        <v>1232</v>
      </c>
      <c r="C632" s="2">
        <v>10000</v>
      </c>
      <c r="D632" s="196" t="s">
        <v>1229</v>
      </c>
    </row>
    <row r="633" spans="1:9" x14ac:dyDescent="0.25">
      <c r="B633" t="s">
        <v>1233</v>
      </c>
      <c r="C633" s="2">
        <v>10000</v>
      </c>
      <c r="D633" s="196" t="s">
        <v>1229</v>
      </c>
    </row>
    <row r="635" spans="1:9" x14ac:dyDescent="0.25">
      <c r="A635" s="257" t="s">
        <v>131</v>
      </c>
      <c r="B635" s="257"/>
      <c r="C635" s="258" t="e">
        <f>VLOOKUP(A635,'Service Agreements'!$A:$AI,20,FALSE)</f>
        <v>#N/A</v>
      </c>
      <c r="D635" s="259"/>
      <c r="E635" s="259" t="s">
        <v>769</v>
      </c>
      <c r="F635" s="259"/>
      <c r="G635" s="260"/>
      <c r="H635" s="261" t="e">
        <f>VLOOKUP($A635,'Service Agreements'!$A:$AG,27,FALSE)</f>
        <v>#N/A</v>
      </c>
      <c r="I635" s="261" t="e">
        <f>VLOOKUP($A635,'Service Agreements'!$A:$AG,29,FALSE)</f>
        <v>#N/A</v>
      </c>
    </row>
    <row r="636" spans="1:9" x14ac:dyDescent="0.25">
      <c r="B636" t="s">
        <v>2077</v>
      </c>
      <c r="C636" s="2">
        <v>0</v>
      </c>
      <c r="E636" s="40" t="s">
        <v>911</v>
      </c>
      <c r="F636" s="103">
        <v>100000</v>
      </c>
      <c r="G636" s="103" t="s">
        <v>1236</v>
      </c>
    </row>
    <row r="637" spans="1:9" x14ac:dyDescent="0.25">
      <c r="E637" s="40"/>
      <c r="F637" s="103"/>
      <c r="G637" s="103"/>
    </row>
    <row r="638" spans="1:9" x14ac:dyDescent="0.25">
      <c r="A638" s="274" t="s">
        <v>133</v>
      </c>
      <c r="B638" s="275"/>
      <c r="C638" s="263">
        <f>VLOOKUP(A638,'FY24 Service Agreements'!$A:$AF,29,FALSE)</f>
        <v>45322</v>
      </c>
      <c r="D638" s="262"/>
      <c r="E638" s="262" t="s">
        <v>769</v>
      </c>
      <c r="F638" s="262"/>
      <c r="G638" s="264"/>
      <c r="H638" s="265" t="str">
        <f>VLOOKUP($A638,'FY24 Service Agreements'!$A:$AD,27,FALSE)</f>
        <v>P23034161</v>
      </c>
      <c r="I638" s="265">
        <f>VLOOKUP($A638,'FY24 Service Agreements'!$A:$AD,28,FALSE)</f>
        <v>44958</v>
      </c>
    </row>
    <row r="639" spans="1:9" x14ac:dyDescent="0.25">
      <c r="A639" t="s">
        <v>1237</v>
      </c>
      <c r="E639" s="40"/>
      <c r="F639" s="103"/>
      <c r="G639" s="103"/>
    </row>
    <row r="640" spans="1:9" x14ac:dyDescent="0.25">
      <c r="A640"/>
      <c r="E640" s="40"/>
      <c r="F640" s="103"/>
      <c r="G640" s="103"/>
    </row>
    <row r="642" spans="1:9" x14ac:dyDescent="0.25">
      <c r="A642" s="269" t="s">
        <v>135</v>
      </c>
      <c r="B642" s="269"/>
      <c r="C642" s="270" t="e">
        <f>VLOOKUP(A642,'FY24 Service Agreements'!$A:$AF,29,FALSE)</f>
        <v>#N/A</v>
      </c>
      <c r="D642" s="271"/>
      <c r="E642" s="271" t="s">
        <v>769</v>
      </c>
      <c r="F642" s="271"/>
      <c r="G642" s="272"/>
      <c r="H642" s="273" t="e">
        <f>VLOOKUP($A642,'FY24 Service Agreements'!$A:$AD,27,FALSE)</f>
        <v>#N/A</v>
      </c>
      <c r="I642" s="273" t="e">
        <f>VLOOKUP($A642,'FY24 Service Agreements'!$A:$AD,28,FALSE)</f>
        <v>#N/A</v>
      </c>
    </row>
    <row r="643" spans="1:9" x14ac:dyDescent="0.25">
      <c r="B643" t="s">
        <v>1238</v>
      </c>
      <c r="E643" s="2" t="s">
        <v>192</v>
      </c>
      <c r="F643" s="2">
        <v>27575</v>
      </c>
      <c r="G643" s="141"/>
    </row>
    <row r="644" spans="1:9" x14ac:dyDescent="0.25">
      <c r="B644" t="s">
        <v>1239</v>
      </c>
    </row>
    <row r="646" spans="1:9" x14ac:dyDescent="0.25">
      <c r="A646" s="101" t="s">
        <v>137</v>
      </c>
      <c r="B646" s="101"/>
      <c r="C646" s="266">
        <f>VLOOKUP(A646,'Service Agreements'!$A:$AI,22,FALSE)</f>
        <v>24999</v>
      </c>
      <c r="D646" s="267"/>
      <c r="E646" s="267" t="s">
        <v>769</v>
      </c>
      <c r="F646" s="267"/>
      <c r="G646" s="102"/>
      <c r="H646" s="268" t="str">
        <f>VLOOKUP($A646,'Service Agreements'!$A:$AG,30,FALSE)</f>
        <v>P24062668</v>
      </c>
      <c r="I646" s="268" t="str">
        <f>VLOOKUP($A646,'Service Agreements'!$A:$AG,29,FALSE)</f>
        <v>P23057025</v>
      </c>
    </row>
    <row r="647" spans="1:9" x14ac:dyDescent="0.25">
      <c r="B647" s="191" t="s">
        <v>1240</v>
      </c>
      <c r="C647" s="2">
        <v>24999</v>
      </c>
    </row>
    <row r="649" spans="1:9" x14ac:dyDescent="0.25">
      <c r="B649" t="s">
        <v>2078</v>
      </c>
      <c r="C649" s="2" t="s">
        <v>2079</v>
      </c>
    </row>
    <row r="650" spans="1:9" x14ac:dyDescent="0.25">
      <c r="C650" s="2" t="s">
        <v>2080</v>
      </c>
    </row>
    <row r="651" spans="1:9" x14ac:dyDescent="0.25">
      <c r="C651" s="2" t="s">
        <v>2081</v>
      </c>
    </row>
    <row r="653" spans="1:9" x14ac:dyDescent="0.25">
      <c r="A653" s="262" t="s">
        <v>139</v>
      </c>
      <c r="B653" s="262"/>
      <c r="C653" s="263">
        <f>VLOOKUP(A653,'FY24 Service Agreements'!$A:$AF,31,FALSE)</f>
        <v>45444</v>
      </c>
      <c r="D653" s="262"/>
      <c r="E653" s="262" t="s">
        <v>769</v>
      </c>
      <c r="F653" s="262"/>
      <c r="G653" s="264"/>
      <c r="H653" s="265">
        <f>VLOOKUP($A653,'FY24 Service Agreements'!$A:$AD,29,FALSE)</f>
        <v>45473</v>
      </c>
      <c r="I653" s="265" t="str">
        <f>VLOOKUP($A653,'FY24 Service Agreements'!$A:$AD,30,FALSE)</f>
        <v>P24003022</v>
      </c>
    </row>
    <row r="654" spans="1:9" x14ac:dyDescent="0.25">
      <c r="B654" s="2" t="s">
        <v>192</v>
      </c>
      <c r="C654" s="2">
        <v>701080.66</v>
      </c>
      <c r="E654" s="2"/>
    </row>
    <row r="656" spans="1:9" x14ac:dyDescent="0.25">
      <c r="A656" s="262" t="s">
        <v>1242</v>
      </c>
      <c r="B656" s="262"/>
      <c r="C656" s="263" t="e">
        <f>VLOOKUP(A656,'FY24 Service Agreements'!$A:$AF,29,FALSE)</f>
        <v>#N/A</v>
      </c>
      <c r="D656" s="262"/>
      <c r="E656" s="262" t="s">
        <v>769</v>
      </c>
      <c r="F656" s="262"/>
      <c r="G656" s="264"/>
      <c r="H656" s="265" t="e">
        <f>VLOOKUP($A656,'FY24 Service Agreements'!$A:$AD,27,FALSE)</f>
        <v>#N/A</v>
      </c>
      <c r="I656" s="265" t="e">
        <f>VLOOKUP($A656,'FY24 Service Agreements'!$A:$AD,28,FALSE)</f>
        <v>#N/A</v>
      </c>
    </row>
    <row r="657" spans="1:9" x14ac:dyDescent="0.25">
      <c r="B657" s="190" t="s">
        <v>1243</v>
      </c>
      <c r="C657" s="2">
        <v>98000</v>
      </c>
    </row>
    <row r="659" spans="1:9" x14ac:dyDescent="0.25">
      <c r="A659" s="107" t="s">
        <v>311</v>
      </c>
      <c r="B659" s="107"/>
      <c r="C659" s="253" t="e">
        <f>VLOOKUP(A659,'FY24 Service Agreements'!$A:$AF,29,FALSE)</f>
        <v>#N/A</v>
      </c>
      <c r="D659" s="254"/>
      <c r="E659" s="254" t="s">
        <v>769</v>
      </c>
      <c r="F659" s="254"/>
      <c r="G659" s="255"/>
      <c r="H659" s="256" t="e">
        <f>VLOOKUP($A659,'FY24 Service Agreements'!$A:$AD,27,FALSE)</f>
        <v>#N/A</v>
      </c>
      <c r="I659" s="256" t="e">
        <f>VLOOKUP($A659,'FY24 Service Agreements'!$A:$AD,28,FALSE)</f>
        <v>#N/A</v>
      </c>
    </row>
    <row r="660" spans="1:9" x14ac:dyDescent="0.25">
      <c r="B660" t="s">
        <v>1244</v>
      </c>
      <c r="C660" s="2">
        <v>83000.67</v>
      </c>
      <c r="G660" s="2" t="s">
        <v>1245</v>
      </c>
      <c r="H660" s="139">
        <f>C660*12</f>
        <v>996008.04</v>
      </c>
    </row>
    <row r="661" spans="1:9" x14ac:dyDescent="0.25">
      <c r="B661" s="40" t="s">
        <v>1246</v>
      </c>
    </row>
    <row r="664" spans="1:9" x14ac:dyDescent="0.25">
      <c r="A664" s="248" t="s">
        <v>1247</v>
      </c>
      <c r="B664" s="248"/>
      <c r="C664" s="249">
        <f>VLOOKUP(A664,'Service Agreements'!$A:$AI,22,FALSE)</f>
        <v>4076</v>
      </c>
      <c r="D664" s="250"/>
      <c r="E664" s="250" t="s">
        <v>769</v>
      </c>
      <c r="F664" s="250"/>
      <c r="G664" s="251"/>
      <c r="H664" s="252" t="str">
        <f>VLOOKUP($A664,'Service Agreements'!$A:$AG,30,FALSE)</f>
        <v>P24053468</v>
      </c>
      <c r="I664" s="252" t="str">
        <f>VLOOKUP($A664,'Service Agreements'!$A:$AG,29,FALSE)</f>
        <v>P24050715</v>
      </c>
    </row>
    <row r="665" spans="1:9" x14ac:dyDescent="0.25">
      <c r="B665" t="s">
        <v>1248</v>
      </c>
      <c r="C665" s="2">
        <v>3845</v>
      </c>
    </row>
    <row r="668" spans="1:9" x14ac:dyDescent="0.25">
      <c r="A668" s="257" t="s">
        <v>141</v>
      </c>
      <c r="B668" s="257"/>
      <c r="C668" s="258">
        <f>VLOOKUP(A668,'FY24 Service Agreements'!$A:$AF,29,FALSE)</f>
        <v>45473</v>
      </c>
      <c r="D668" s="259"/>
      <c r="E668" s="259" t="s">
        <v>769</v>
      </c>
      <c r="F668" s="259"/>
      <c r="G668" s="260"/>
      <c r="H668" s="261" t="str">
        <f>VLOOKUP($A668,'FY24 Service Agreements'!$A:$AD,27,FALSE)</f>
        <v>P23013049</v>
      </c>
      <c r="I668" s="261">
        <f>VLOOKUP($A668,'FY24 Service Agreements'!$A:$AD,28,FALSE)</f>
        <v>45108</v>
      </c>
    </row>
    <row r="669" spans="1:9" x14ac:dyDescent="0.25">
      <c r="B669" t="s">
        <v>1249</v>
      </c>
      <c r="C669" s="2" t="s">
        <v>784</v>
      </c>
      <c r="D669" t="s">
        <v>1250</v>
      </c>
      <c r="E669" t="s">
        <v>1251</v>
      </c>
    </row>
    <row r="670" spans="1:9" x14ac:dyDescent="0.25">
      <c r="B670" s="29"/>
      <c r="C670" s="285"/>
    </row>
    <row r="671" spans="1:9" x14ac:dyDescent="0.25">
      <c r="B671" s="29"/>
      <c r="C671" s="285"/>
    </row>
    <row r="672" spans="1:9" x14ac:dyDescent="0.25">
      <c r="B672" s="29"/>
      <c r="C672" s="285"/>
    </row>
    <row r="673" spans="2:3" x14ac:dyDescent="0.25">
      <c r="B673" s="29"/>
      <c r="C673" s="285"/>
    </row>
    <row r="674" spans="2:3" x14ac:dyDescent="0.25">
      <c r="B674" s="29"/>
      <c r="C674" s="285"/>
    </row>
    <row r="675" spans="2:3" x14ac:dyDescent="0.25">
      <c r="B675" s="29"/>
      <c r="C675" s="285"/>
    </row>
    <row r="676" spans="2:3" x14ac:dyDescent="0.25">
      <c r="B676" s="29"/>
      <c r="C676" s="285"/>
    </row>
    <row r="677" spans="2:3" x14ac:dyDescent="0.25">
      <c r="B677" s="29"/>
      <c r="C677" s="285"/>
    </row>
    <row r="678" spans="2:3" x14ac:dyDescent="0.25">
      <c r="B678" s="29"/>
      <c r="C678" s="285"/>
    </row>
    <row r="679" spans="2:3" x14ac:dyDescent="0.25">
      <c r="B679" s="29"/>
      <c r="C679" s="285"/>
    </row>
    <row r="680" spans="2:3" x14ac:dyDescent="0.25">
      <c r="B680" s="29"/>
      <c r="C680" s="285"/>
    </row>
    <row r="681" spans="2:3" x14ac:dyDescent="0.25">
      <c r="B681" s="29"/>
      <c r="C681" s="285"/>
    </row>
    <row r="682" spans="2:3" x14ac:dyDescent="0.25">
      <c r="B682" s="29"/>
      <c r="C682" s="285"/>
    </row>
    <row r="683" spans="2:3" x14ac:dyDescent="0.25">
      <c r="B683" s="29"/>
      <c r="C683" s="285"/>
    </row>
    <row r="684" spans="2:3" x14ac:dyDescent="0.25">
      <c r="B684" s="29"/>
      <c r="C684" s="285"/>
    </row>
  </sheetData>
  <sortState xmlns:xlrd2="http://schemas.microsoft.com/office/spreadsheetml/2017/richdata2" ref="B115:E127">
    <sortCondition ref="B115:B127"/>
  </sortState>
  <mergeCells count="3">
    <mergeCell ref="F45:I46"/>
    <mergeCell ref="F47:I48"/>
    <mergeCell ref="F49:I50"/>
  </mergeCells>
  <hyperlinks>
    <hyperlink ref="B220" r:id="rId1" xr:uid="{D653E5A1-5B2E-4556-A565-E277EEE880BA}"/>
    <hyperlink ref="B360" r:id="rId2" xr:uid="{94E7B778-6CAF-41F7-8EE0-40DAE12F3DA9}"/>
  </hyperlinks>
  <pageMargins left="0.7" right="0.7" top="0.75" bottom="0.75" header="0.3" footer="0.3"/>
  <pageSetup orientation="portrait" r:id="rId3"/>
  <drawing r:id="rId4"/>
  <legacyDrawing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BA23F-0810-4085-99E6-9B8822BF48CD}">
  <dimension ref="A1:AM7"/>
  <sheetViews>
    <sheetView workbookViewId="0">
      <selection activeCell="A7" sqref="A7"/>
    </sheetView>
  </sheetViews>
  <sheetFormatPr defaultRowHeight="15" x14ac:dyDescent="0.25"/>
  <cols>
    <col min="1" max="1" width="53" bestFit="1" customWidth="1"/>
    <col min="2" max="2" width="15.5703125" bestFit="1" customWidth="1"/>
    <col min="4" max="4" width="13.42578125" bestFit="1" customWidth="1"/>
    <col min="5" max="5" width="12.85546875" bestFit="1" customWidth="1"/>
    <col min="6" max="6" width="8.42578125" bestFit="1" customWidth="1"/>
    <col min="7" max="7" width="16.42578125" bestFit="1" customWidth="1"/>
    <col min="8" max="8" width="7.7109375" bestFit="1" customWidth="1"/>
    <col min="9" max="9" width="13.7109375" bestFit="1" customWidth="1"/>
    <col min="10" max="10" width="15.5703125" bestFit="1" customWidth="1"/>
    <col min="13" max="13" width="8.140625" bestFit="1" customWidth="1"/>
    <col min="14" max="15" width="10.42578125" bestFit="1" customWidth="1"/>
    <col min="16" max="16" width="8.140625" bestFit="1" customWidth="1"/>
    <col min="17" max="17" width="7.5703125" bestFit="1" customWidth="1"/>
    <col min="18" max="18" width="9.5703125" bestFit="1" customWidth="1"/>
    <col min="19" max="19" width="8.5703125" bestFit="1" customWidth="1"/>
    <col min="20" max="20" width="9.5703125" bestFit="1" customWidth="1"/>
    <col min="21" max="22" width="8.5703125" bestFit="1" customWidth="1"/>
  </cols>
  <sheetData>
    <row r="1" spans="1:39" ht="90" x14ac:dyDescent="0.25">
      <c r="A1" s="35" t="s">
        <v>2151</v>
      </c>
      <c r="B1" s="36" t="s">
        <v>1</v>
      </c>
      <c r="C1" s="36" t="s">
        <v>2</v>
      </c>
      <c r="D1" s="36" t="s">
        <v>3</v>
      </c>
      <c r="E1" s="36" t="s">
        <v>4</v>
      </c>
      <c r="F1" s="36" t="s">
        <v>5</v>
      </c>
      <c r="G1" s="36" t="s">
        <v>6</v>
      </c>
      <c r="H1" s="36" t="s">
        <v>7</v>
      </c>
      <c r="I1" s="36" t="s">
        <v>8</v>
      </c>
      <c r="J1" s="36" t="s">
        <v>144</v>
      </c>
      <c r="K1" s="372" t="s">
        <v>395</v>
      </c>
      <c r="L1" s="372" t="s">
        <v>396</v>
      </c>
      <c r="M1" s="36" t="s">
        <v>10</v>
      </c>
      <c r="N1" s="38" t="s">
        <v>148</v>
      </c>
      <c r="O1" s="38" t="s">
        <v>149</v>
      </c>
      <c r="P1" s="38" t="s">
        <v>397</v>
      </c>
      <c r="Q1" s="38" t="s">
        <v>398</v>
      </c>
      <c r="R1" s="89" t="s">
        <v>1614</v>
      </c>
      <c r="S1" s="89" t="s">
        <v>13</v>
      </c>
      <c r="T1" s="61" t="s">
        <v>1615</v>
      </c>
      <c r="U1" s="61" t="s">
        <v>12</v>
      </c>
      <c r="V1" s="371" t="s">
        <v>2152</v>
      </c>
      <c r="W1" s="90" t="s">
        <v>1616</v>
      </c>
      <c r="X1" s="90" t="s">
        <v>157</v>
      </c>
      <c r="Y1" s="90" t="s">
        <v>399</v>
      </c>
      <c r="Z1" s="90" t="s">
        <v>400</v>
      </c>
      <c r="AA1" s="90" t="s">
        <v>1620</v>
      </c>
      <c r="AB1" s="36" t="s">
        <v>1622</v>
      </c>
      <c r="AC1" s="36" t="s">
        <v>160</v>
      </c>
      <c r="AD1" s="38" t="s">
        <v>161</v>
      </c>
      <c r="AE1" s="36" t="s">
        <v>2082</v>
      </c>
      <c r="AF1" s="38" t="s">
        <v>163</v>
      </c>
      <c r="AG1" s="169" t="s">
        <v>403</v>
      </c>
      <c r="AH1" s="37" t="s">
        <v>404</v>
      </c>
      <c r="AI1" s="37" t="s">
        <v>405</v>
      </c>
      <c r="AJ1" s="169" t="s">
        <v>168</v>
      </c>
      <c r="AK1" s="37" t="s">
        <v>169</v>
      </c>
      <c r="AL1" s="37" t="s">
        <v>1625</v>
      </c>
      <c r="AM1" s="181" t="s">
        <v>407</v>
      </c>
    </row>
    <row r="2" spans="1:39" x14ac:dyDescent="0.25">
      <c r="A2" s="59" t="s">
        <v>514</v>
      </c>
      <c r="B2" s="60" t="s">
        <v>102</v>
      </c>
      <c r="C2" s="95" t="s">
        <v>16</v>
      </c>
      <c r="D2" s="315" t="s">
        <v>408</v>
      </c>
      <c r="E2" s="315" t="s">
        <v>25</v>
      </c>
      <c r="F2" s="60">
        <v>37530</v>
      </c>
      <c r="G2" s="60" t="s">
        <v>44</v>
      </c>
      <c r="H2" s="60">
        <v>6405</v>
      </c>
      <c r="I2" s="60" t="s">
        <v>45</v>
      </c>
      <c r="J2" s="60" t="s">
        <v>21</v>
      </c>
      <c r="K2" s="373" t="s">
        <v>515</v>
      </c>
      <c r="L2" s="373"/>
      <c r="M2" s="95">
        <v>1002634</v>
      </c>
      <c r="N2" s="64">
        <v>45280</v>
      </c>
      <c r="O2" s="64">
        <v>46375</v>
      </c>
      <c r="P2" s="373"/>
      <c r="Q2" s="373"/>
      <c r="R2" s="65">
        <v>250532.7</v>
      </c>
      <c r="S2" s="65"/>
      <c r="T2" s="65">
        <v>275586</v>
      </c>
      <c r="U2" s="65">
        <f>Table14[[#This Row],[FY25 Budget]]-Table14[[#This Row],[FY24 Budget2]]</f>
        <v>-4</v>
      </c>
      <c r="V2" s="366"/>
      <c r="W2" s="65"/>
      <c r="X2" s="65"/>
      <c r="Y2" s="65"/>
      <c r="Z2" s="65"/>
      <c r="AA2" s="65"/>
      <c r="AB2" s="367"/>
      <c r="AC2" s="64"/>
      <c r="AD2" s="64"/>
      <c r="AE2" s="367"/>
      <c r="AF2" s="64"/>
      <c r="AG2" s="166"/>
      <c r="AH2" s="368" t="s">
        <v>178</v>
      </c>
      <c r="AI2" s="368"/>
      <c r="AJ2" s="374"/>
      <c r="AK2" s="375"/>
      <c r="AL2" s="369" t="s">
        <v>421</v>
      </c>
      <c r="AM2" s="370"/>
    </row>
    <row r="3" spans="1:39" x14ac:dyDescent="0.25">
      <c r="A3" s="59" t="s">
        <v>514</v>
      </c>
      <c r="B3" s="60" t="s">
        <v>2153</v>
      </c>
      <c r="C3" s="95" t="s">
        <v>16</v>
      </c>
      <c r="D3" s="315" t="s">
        <v>408</v>
      </c>
      <c r="E3" s="315" t="s">
        <v>25</v>
      </c>
      <c r="F3" s="60">
        <v>37520</v>
      </c>
      <c r="G3" s="60" t="s">
        <v>19</v>
      </c>
      <c r="H3" s="60">
        <v>6405</v>
      </c>
      <c r="I3" s="60" t="s">
        <v>80</v>
      </c>
      <c r="J3" s="60" t="s">
        <v>21</v>
      </c>
      <c r="K3" s="373" t="str">
        <f>IF(Table14[[#This Row],[Proprietary?
(Y/N)]]="Y","Proprietary",IF(Table14[[#This Row],[FY25 Budget]]&lt;Lookups!$F$3,"Single Quote",IF(Table14[[#This Row],[FY25 Budget]]&gt;Lookups!$G$3,"RFP","Three quotes")))</f>
        <v>Single Quote</v>
      </c>
      <c r="L3" s="373" t="s">
        <v>178</v>
      </c>
      <c r="M3" s="95"/>
      <c r="N3" s="64"/>
      <c r="O3" s="64"/>
      <c r="P3" s="373"/>
      <c r="Q3" s="373"/>
      <c r="R3" s="376">
        <v>100000</v>
      </c>
      <c r="S3" s="376">
        <v>15375</v>
      </c>
      <c r="T3" s="376">
        <v>100000</v>
      </c>
      <c r="U3" s="376">
        <f>Table14[[#This Row],[FY25 Budget]]-Table14[[#This Row],[FY24 Budget2]]</f>
        <v>14412.48</v>
      </c>
      <c r="V3" s="377"/>
      <c r="W3" s="376"/>
      <c r="X3" s="376"/>
      <c r="Y3" s="376"/>
      <c r="Z3" s="376"/>
      <c r="AA3" s="376"/>
      <c r="AB3" s="367"/>
      <c r="AC3" s="64"/>
      <c r="AD3" s="64"/>
      <c r="AE3" s="367"/>
      <c r="AF3" s="64"/>
      <c r="AG3" s="60"/>
      <c r="AH3" s="373"/>
      <c r="AI3" s="373"/>
      <c r="AJ3" s="95"/>
      <c r="AK3" s="378"/>
      <c r="AL3" s="378"/>
      <c r="AM3" s="379"/>
    </row>
    <row r="4" spans="1:39" x14ac:dyDescent="0.25">
      <c r="A4" t="s">
        <v>2154</v>
      </c>
      <c r="B4" t="s">
        <v>2153</v>
      </c>
      <c r="C4" s="95" t="s">
        <v>16</v>
      </c>
    </row>
    <row r="5" spans="1:39" x14ac:dyDescent="0.25">
      <c r="A5" t="s">
        <v>2155</v>
      </c>
      <c r="B5" t="s">
        <v>2153</v>
      </c>
      <c r="C5" s="95" t="s">
        <v>16</v>
      </c>
    </row>
    <row r="6" spans="1:39" x14ac:dyDescent="0.25">
      <c r="A6" t="s">
        <v>2156</v>
      </c>
      <c r="B6" t="s">
        <v>2153</v>
      </c>
      <c r="C6" s="95" t="s">
        <v>16</v>
      </c>
    </row>
    <row r="7" spans="1:39" x14ac:dyDescent="0.25">
      <c r="A7" t="s">
        <v>2157</v>
      </c>
      <c r="B7" t="s">
        <v>102</v>
      </c>
      <c r="C7" s="95" t="s">
        <v>16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8482709-8ED1-43F2-8B23-B34405491961}">
          <x14:formula1>
            <xm:f>Lookups!$B$2:$B$5</xm:f>
          </x14:formula1>
          <xm:sqref>AH2:AI3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CC3B3-1DF3-4A81-A59A-DF5EAA2DA5E4}">
  <dimension ref="A1:P74"/>
  <sheetViews>
    <sheetView topLeftCell="A28" workbookViewId="0">
      <selection activeCell="A29" sqref="A29"/>
    </sheetView>
  </sheetViews>
  <sheetFormatPr defaultRowHeight="15" x14ac:dyDescent="0.25"/>
  <cols>
    <col min="1" max="1" width="68.7109375" bestFit="1" customWidth="1"/>
    <col min="2" max="2" width="37.5703125" bestFit="1" customWidth="1"/>
    <col min="3" max="3" width="30.5703125" bestFit="1" customWidth="1"/>
    <col min="4" max="4" width="35.5703125" customWidth="1"/>
  </cols>
  <sheetData>
    <row r="1" spans="1:4" ht="20.25" thickBot="1" x14ac:dyDescent="0.35">
      <c r="A1" s="152" t="s">
        <v>2158</v>
      </c>
      <c r="B1" s="152" t="s">
        <v>1353</v>
      </c>
      <c r="C1" s="152" t="s">
        <v>2159</v>
      </c>
      <c r="D1" s="152" t="s">
        <v>2160</v>
      </c>
    </row>
    <row r="2" spans="1:4" ht="15.75" thickTop="1" x14ac:dyDescent="0.25">
      <c r="A2" s="150" t="str">
        <f>Table1[[#This Row],[Supplier]]</f>
        <v>Ace Exterminating (Scottie A Yant)</v>
      </c>
      <c r="B2" s="150"/>
      <c r="C2" s="150"/>
      <c r="D2" s="150"/>
    </row>
    <row r="3" spans="1:4" x14ac:dyDescent="0.25">
      <c r="A3" s="150" t="str">
        <f>Table1[[#This Row],[Supplier]]</f>
        <v>Advantra Waste Services</v>
      </c>
      <c r="B3" s="150"/>
      <c r="C3" s="150"/>
      <c r="D3" s="150"/>
    </row>
    <row r="4" spans="1:4" x14ac:dyDescent="0.25">
      <c r="A4" s="150" t="str">
        <f>Table1[[#This Row],[Supplier]]</f>
        <v>Airtech LLC a.k.a IDG Compressor</v>
      </c>
      <c r="B4" s="150"/>
      <c r="C4" s="150"/>
      <c r="D4" s="154"/>
    </row>
    <row r="5" spans="1:4" x14ac:dyDescent="0.25">
      <c r="A5" s="150" t="str">
        <f>Table1[[#This Row],[Supplier]]</f>
        <v>Airtech LLC a.k.a IDG Compressor</v>
      </c>
      <c r="B5" s="150"/>
      <c r="C5" s="150"/>
      <c r="D5" s="150"/>
    </row>
    <row r="6" spans="1:4" x14ac:dyDescent="0.25">
      <c r="A6" s="150" t="str">
        <f>Table1[[#This Row],[Supplier]]</f>
        <v>AL Compressed Gases</v>
      </c>
      <c r="B6" s="150"/>
      <c r="C6" s="150"/>
      <c r="D6" s="150"/>
    </row>
    <row r="7" spans="1:4" x14ac:dyDescent="0.25">
      <c r="A7" s="150" t="str">
        <f>Table1[[#This Row],[Supplier]]</f>
        <v>AssetWorks (Fuel Drive)</v>
      </c>
      <c r="B7" s="150"/>
      <c r="C7" s="150"/>
      <c r="D7" s="151"/>
    </row>
    <row r="8" spans="1:4" x14ac:dyDescent="0.25">
      <c r="A8" s="150" t="str">
        <f>Table1[[#This Row],[Supplier]]</f>
        <v>AssetWorks (Systems)</v>
      </c>
      <c r="B8" s="150"/>
      <c r="C8" s="150"/>
      <c r="D8" s="151"/>
    </row>
    <row r="9" spans="1:4" x14ac:dyDescent="0.25">
      <c r="A9" s="150" t="str">
        <f>Table1[[#This Row],[Supplier]]</f>
        <v>Atlantic Training</v>
      </c>
      <c r="B9" s="150"/>
      <c r="C9" s="150"/>
      <c r="D9" s="150"/>
    </row>
    <row r="10" spans="1:4" x14ac:dyDescent="0.25">
      <c r="A10" s="150" t="str">
        <f>Table1[[#This Row],[Supplier]]</f>
        <v>Atlas Copco</v>
      </c>
      <c r="B10" s="150" t="s">
        <v>2161</v>
      </c>
      <c r="C10" s="150" t="s">
        <v>2162</v>
      </c>
      <c r="D10" s="154" t="s">
        <v>2163</v>
      </c>
    </row>
    <row r="11" spans="1:4" x14ac:dyDescent="0.25">
      <c r="A11" s="150" t="str">
        <f>Table1[[#This Row],[Supplier]]</f>
        <v>Automated Doors and Access</v>
      </c>
      <c r="B11" s="150"/>
      <c r="C11" s="150"/>
      <c r="D11" s="151"/>
    </row>
    <row r="12" spans="1:4" ht="30" x14ac:dyDescent="0.25">
      <c r="A12" s="150" t="str">
        <f>Table1[[#This Row],[Supplier]]</f>
        <v>Barcodes - 05/15/2023 - 05/14/2025</v>
      </c>
      <c r="B12" s="150" t="s">
        <v>2164</v>
      </c>
      <c r="C12" s="150" t="s">
        <v>2165</v>
      </c>
      <c r="D12" s="158" t="s">
        <v>2166</v>
      </c>
    </row>
    <row r="13" spans="1:4" x14ac:dyDescent="0.25">
      <c r="A13" s="150" t="str">
        <f>Table1[[#This Row],[Supplier]]</f>
        <v>Bionomics</v>
      </c>
      <c r="B13" s="150"/>
      <c r="C13" s="150"/>
      <c r="D13" s="150"/>
    </row>
    <row r="14" spans="1:4" x14ac:dyDescent="0.25">
      <c r="A14" s="150" t="str">
        <f>Table1[[#This Row],[Supplier]]</f>
        <v>BioWaste Services LLC</v>
      </c>
      <c r="B14" s="150"/>
      <c r="C14" s="150"/>
      <c r="D14" s="150"/>
    </row>
    <row r="15" spans="1:4" x14ac:dyDescent="0.25">
      <c r="A15" s="150" t="str">
        <f>Table1[[#This Row],[Supplier]]</f>
        <v>Blinds All Around (Justin Romano)</v>
      </c>
      <c r="B15" s="150" t="s">
        <v>2167</v>
      </c>
      <c r="C15" s="150" t="s">
        <v>2168</v>
      </c>
      <c r="D15" s="157" t="s">
        <v>2169</v>
      </c>
    </row>
    <row r="16" spans="1:4" x14ac:dyDescent="0.25">
      <c r="A16" s="150" t="str">
        <f>Table1[[#This Row],[Supplier]]</f>
        <v>Border States (Schneider Electric)</v>
      </c>
      <c r="B16" s="150"/>
      <c r="C16" s="150"/>
      <c r="D16" s="150"/>
    </row>
    <row r="17" spans="1:4" x14ac:dyDescent="0.25">
      <c r="A17" s="150" t="str">
        <f>Table1[[#This Row],[Supplier]]</f>
        <v>BuildingLogiX (Waibel Energy)</v>
      </c>
      <c r="B17" s="150"/>
      <c r="C17" s="150"/>
      <c r="D17" s="150"/>
    </row>
    <row r="18" spans="1:4" x14ac:dyDescent="0.25">
      <c r="A18" s="150" t="str">
        <f>Table1[[#This Row],[Supplier]]</f>
        <v>BuildingLogiX (Waibel Energy)</v>
      </c>
      <c r="B18" s="150"/>
      <c r="C18" s="150"/>
      <c r="D18" s="150"/>
    </row>
    <row r="19" spans="1:4" x14ac:dyDescent="0.25">
      <c r="A19" s="150" t="str">
        <f>Table1[[#This Row],[Supplier]]</f>
        <v>C &amp; G Turf Management (Color Burst Landscapes) formly Artisan Landscape</v>
      </c>
      <c r="B19" s="150"/>
      <c r="C19" s="153"/>
      <c r="D19" s="155"/>
    </row>
    <row r="20" spans="1:4" x14ac:dyDescent="0.25">
      <c r="A20" s="150" t="str">
        <f>Table1[[#This Row],[Supplier]]</f>
        <v>Chemsearch (NCH Corporation)</v>
      </c>
      <c r="B20" s="150" t="s">
        <v>2170</v>
      </c>
      <c r="C20" s="150" t="s">
        <v>2171</v>
      </c>
      <c r="D20" s="155" t="s">
        <v>2172</v>
      </c>
    </row>
    <row r="21" spans="1:4" x14ac:dyDescent="0.25">
      <c r="A21" s="150" t="str">
        <f>Table1[[#This Row],[Supplier]]</f>
        <v>Cintas Corporation (Floormats)</v>
      </c>
      <c r="B21" s="150"/>
      <c r="C21" s="150"/>
      <c r="D21" s="151"/>
    </row>
    <row r="22" spans="1:4" x14ac:dyDescent="0.25">
      <c r="A22" s="150" t="str">
        <f>Table1[[#This Row],[Supplier]]</f>
        <v>Cintas Corporation (Uniforms)</v>
      </c>
      <c r="B22" s="150"/>
      <c r="C22" s="150"/>
      <c r="D22" s="151"/>
    </row>
    <row r="23" spans="1:4" x14ac:dyDescent="0.25">
      <c r="A23" s="150" t="str">
        <f>Table1[[#This Row],[Supplier]]</f>
        <v>Clarity Cleaning Services (formerly Mantis Building Services)</v>
      </c>
      <c r="B23" s="150"/>
      <c r="C23" s="150"/>
      <c r="D23" s="151"/>
    </row>
    <row r="24" spans="1:4" x14ac:dyDescent="0.25">
      <c r="A24" s="150" t="str">
        <f>Table1[[#This Row],[Supplier]]</f>
        <v>Clean Harbors</v>
      </c>
      <c r="B24" s="150" t="s">
        <v>2173</v>
      </c>
      <c r="C24" s="150" t="s">
        <v>2174</v>
      </c>
      <c r="D24" s="157" t="s">
        <v>2175</v>
      </c>
    </row>
    <row r="25" spans="1:4" x14ac:dyDescent="0.25">
      <c r="A25" s="150" t="str">
        <f>Table1[[#This Row],[Supplier]]</f>
        <v>Clean Harbors</v>
      </c>
      <c r="B25" s="150"/>
      <c r="C25" s="150"/>
      <c r="D25" s="150"/>
    </row>
    <row r="26" spans="1:4" x14ac:dyDescent="0.25">
      <c r="A26" s="150" t="str">
        <f>Table1[[#This Row],[Supplier]]</f>
        <v>Comfort Group (Automated Controls)</v>
      </c>
      <c r="B26" s="150" t="s">
        <v>2176</v>
      </c>
      <c r="C26" s="150" t="s">
        <v>2177</v>
      </c>
      <c r="D26" s="157" t="s">
        <v>2178</v>
      </c>
    </row>
    <row r="27" spans="1:4" x14ac:dyDescent="0.25">
      <c r="A27" s="150" t="str">
        <f>Table1[[#This Row],[Supplier]]</f>
        <v>Complete Comfort Control</v>
      </c>
      <c r="B27" s="150"/>
      <c r="C27" s="150"/>
      <c r="D27" s="151"/>
    </row>
    <row r="28" spans="1:4" x14ac:dyDescent="0.25">
      <c r="A28" s="150" t="str">
        <f>Table1[[#This Row],[Supplier]]</f>
        <v>Compost Company</v>
      </c>
      <c r="B28" s="150" t="s">
        <v>2179</v>
      </c>
      <c r="C28" s="153" t="s">
        <v>2180</v>
      </c>
      <c r="D28" s="154" t="s">
        <v>2181</v>
      </c>
    </row>
    <row r="29" spans="1:4" x14ac:dyDescent="0.25">
      <c r="A29" s="150" t="str">
        <f>Table1[[#This Row],[Supplier]]</f>
        <v>Critical Components Inc</v>
      </c>
      <c r="B29" s="150"/>
      <c r="C29" s="150"/>
      <c r="D29" s="154"/>
    </row>
    <row r="30" spans="1:4" x14ac:dyDescent="0.25">
      <c r="A30" s="150" t="str">
        <f>Table1[[#This Row],[Supplier]]</f>
        <v>CSR Engineering</v>
      </c>
      <c r="B30" s="150"/>
      <c r="C30" s="153"/>
      <c r="D30" s="154"/>
    </row>
    <row r="31" spans="1:4" x14ac:dyDescent="0.25">
      <c r="A31" s="150" t="str">
        <f>Table1[[#This Row],[Supplier]]</f>
        <v>Cumberland Predictive Maintenance</v>
      </c>
      <c r="B31" s="150"/>
      <c r="C31" s="153"/>
      <c r="D31" s="154"/>
    </row>
    <row r="32" spans="1:4" x14ac:dyDescent="0.25">
      <c r="A32" s="150" t="str">
        <f>Table1[[#This Row],[Supplier]]</f>
        <v>Cummins Crosspoint</v>
      </c>
      <c r="B32" s="150"/>
      <c r="C32" s="150"/>
      <c r="D32" s="150"/>
    </row>
    <row r="33" spans="1:4" x14ac:dyDescent="0.25">
      <c r="A33" s="150" t="str">
        <f>Table1[[#This Row],[Supplier]]</f>
        <v>Daikin Applied</v>
      </c>
      <c r="B33" s="150" t="s">
        <v>2182</v>
      </c>
      <c r="C33" s="150"/>
      <c r="D33" s="154" t="s">
        <v>2183</v>
      </c>
    </row>
    <row r="34" spans="1:4" x14ac:dyDescent="0.25">
      <c r="A34" s="150" t="str">
        <f>Table1[[#This Row],[Supplier]]</f>
        <v>Diamond Clean JVG (Llareli Gomora Villasenor)</v>
      </c>
      <c r="B34" s="150"/>
      <c r="C34" s="150"/>
      <c r="D34" s="150"/>
    </row>
    <row r="35" spans="1:4" x14ac:dyDescent="0.25">
      <c r="A35" s="150" t="str">
        <f>Table1[[#This Row],[Supplier]]</f>
        <v>Don Kennedy Roofing</v>
      </c>
      <c r="B35" s="150" t="s">
        <v>2184</v>
      </c>
      <c r="C35" s="150" t="s">
        <v>2185</v>
      </c>
      <c r="D35" s="154" t="s">
        <v>2186</v>
      </c>
    </row>
    <row r="36" spans="1:4" x14ac:dyDescent="0.25">
      <c r="A36" s="150" t="str">
        <f>Table1[[#This Row],[Supplier]]</f>
        <v>e-Builder</v>
      </c>
      <c r="B36" s="170" t="s">
        <v>2187</v>
      </c>
      <c r="C36" s="171" t="s">
        <v>2188</v>
      </c>
      <c r="D36" s="150"/>
    </row>
    <row r="37" spans="1:4" x14ac:dyDescent="0.25">
      <c r="A37" s="150" t="str">
        <f>Table1[[#This Row],[Supplier]]</f>
        <v>Elitte Septic</v>
      </c>
      <c r="B37" s="170" t="s">
        <v>2187</v>
      </c>
      <c r="C37" s="171" t="s">
        <v>2188</v>
      </c>
      <c r="D37" s="150"/>
    </row>
    <row r="38" spans="1:4" x14ac:dyDescent="0.25">
      <c r="A38" s="150" t="str">
        <f>Table1[[#This Row],[Supplier]]</f>
        <v>eLogger</v>
      </c>
      <c r="B38" s="150"/>
      <c r="C38" s="150"/>
      <c r="D38" s="154"/>
    </row>
    <row r="39" spans="1:4" x14ac:dyDescent="0.25">
      <c r="A39" s="150" t="str">
        <f>Table1[[#This Row],[Supplier]]</f>
        <v>Empire Roofing</v>
      </c>
      <c r="B39" s="150" t="s">
        <v>2189</v>
      </c>
      <c r="C39" s="150" t="s">
        <v>2190</v>
      </c>
      <c r="D39" s="154" t="s">
        <v>2191</v>
      </c>
    </row>
    <row r="40" spans="1:4" x14ac:dyDescent="0.25">
      <c r="A40" s="150" t="str">
        <f>Table1[[#This Row],[Supplier]]</f>
        <v>Enerflex</v>
      </c>
      <c r="B40" s="150"/>
      <c r="C40" s="150"/>
      <c r="D40" s="154"/>
    </row>
    <row r="41" spans="1:4" x14ac:dyDescent="0.25">
      <c r="A41" s="150" t="str">
        <f>Table1[[#This Row],[Supplier]]</f>
        <v>Evoqua Water Technologies (EWT Holdings III Corp)</v>
      </c>
      <c r="B41" s="150"/>
      <c r="C41" s="150"/>
      <c r="D41" s="154"/>
    </row>
    <row r="42" spans="1:4" x14ac:dyDescent="0.25">
      <c r="A42" s="150" t="str">
        <f>Table1[[#This Row],[Supplier]]</f>
        <v>IMAGINiT Technologies (Rand Worldwide)</v>
      </c>
      <c r="B42" s="150"/>
      <c r="C42" s="150"/>
      <c r="D42" s="150"/>
    </row>
    <row r="43" spans="1:4" x14ac:dyDescent="0.25">
      <c r="A43" s="150" t="str">
        <f>Table1[[#This Row],[Supplier]]</f>
        <v xml:space="preserve">Interstate AC Service </v>
      </c>
      <c r="B43" s="150"/>
      <c r="C43" s="150"/>
      <c r="D43" s="150"/>
    </row>
    <row r="44" spans="1:4" x14ac:dyDescent="0.25">
      <c r="A44" s="150" t="str">
        <f>Table1[[#This Row],[Supplier]]</f>
        <v>Jani King of Nashville</v>
      </c>
      <c r="B44" s="150" t="s">
        <v>2192</v>
      </c>
      <c r="C44" s="150"/>
      <c r="D44" s="154" t="s">
        <v>2193</v>
      </c>
    </row>
    <row r="45" spans="1:4" x14ac:dyDescent="0.25">
      <c r="A45" s="150" t="str">
        <f>Table1[[#This Row],[Supplier]]</f>
        <v>John Bouchard &amp; Sons (Inspections)</v>
      </c>
      <c r="B45" s="150"/>
      <c r="C45" s="150"/>
      <c r="D45" s="150"/>
    </row>
    <row r="46" spans="1:4" x14ac:dyDescent="0.25">
      <c r="A46" s="150" t="str">
        <f>Table1[[#This Row],[Supplier]]</f>
        <v>John Bouchard &amp; Sons (repairs)</v>
      </c>
      <c r="B46" s="150"/>
      <c r="C46" s="150"/>
      <c r="D46" s="150"/>
    </row>
    <row r="47" spans="1:4" x14ac:dyDescent="0.25">
      <c r="A47" s="150" t="str">
        <f>Table1[[#This Row],[Supplier]]</f>
        <v>Johnson Controls (Chillers)</v>
      </c>
      <c r="B47" s="150"/>
      <c r="C47" s="150"/>
      <c r="D47" s="150"/>
    </row>
    <row r="48" spans="1:4" x14ac:dyDescent="0.25">
      <c r="A48" s="150" t="str">
        <f>Table1[[#This Row],[Supplier]]</f>
        <v>Johnson Controls (Metasys)</v>
      </c>
      <c r="B48" s="150"/>
      <c r="C48" s="150"/>
      <c r="D48" s="150"/>
    </row>
    <row r="49" spans="1:16" x14ac:dyDescent="0.25">
      <c r="A49" s="150" t="str">
        <f>Table1[[#This Row],[Supplier]]</f>
        <v>K&amp;A Landscaping (Kelly Gregory)</v>
      </c>
      <c r="B49" s="150" t="s">
        <v>2194</v>
      </c>
      <c r="C49" s="150" t="s">
        <v>2195</v>
      </c>
      <c r="D49" s="155" t="s">
        <v>2196</v>
      </c>
    </row>
    <row r="50" spans="1:16" x14ac:dyDescent="0.25">
      <c r="A50" s="150" t="str">
        <f>Table1[[#This Row],[Supplier]]</f>
        <v>Kings III of America Phase 4 &amp; 5</v>
      </c>
      <c r="B50" s="150"/>
      <c r="C50" s="150"/>
      <c r="D50" s="150"/>
    </row>
    <row r="51" spans="1:16" x14ac:dyDescent="0.25">
      <c r="A51" s="150" t="str">
        <f>Table1[[#This Row],[Supplier]]</f>
        <v>Langley &amp; Taylor Pool Co (Swim Club Management Group)</v>
      </c>
      <c r="B51" s="150"/>
      <c r="C51" s="150"/>
      <c r="D51" s="155"/>
    </row>
    <row r="52" spans="1:16" x14ac:dyDescent="0.25">
      <c r="A52" s="150" t="str">
        <f>Table1[[#This Row],[Supplier]]</f>
        <v>Lerch Bates Inc.</v>
      </c>
      <c r="B52" s="150" t="s">
        <v>2197</v>
      </c>
      <c r="C52" s="150"/>
      <c r="D52" s="154" t="s">
        <v>2198</v>
      </c>
    </row>
    <row r="53" spans="1:16" x14ac:dyDescent="0.25">
      <c r="A53" s="150" t="str">
        <f>Table1[[#This Row],[Supplier]]</f>
        <v>LoJac LLC (formerly SCA)</v>
      </c>
      <c r="B53" s="150" t="s">
        <v>2194</v>
      </c>
      <c r="C53" s="150"/>
      <c r="D53" s="154" t="s">
        <v>2196</v>
      </c>
      <c r="P53" s="146"/>
    </row>
    <row r="54" spans="1:16" x14ac:dyDescent="0.25">
      <c r="A54" s="150" t="str">
        <f>Table1[[#This Row],[Supplier]]</f>
        <v>Lutron Services Co</v>
      </c>
      <c r="B54" s="150"/>
      <c r="C54" s="150"/>
      <c r="D54" s="154"/>
      <c r="P54" s="145"/>
    </row>
    <row r="55" spans="1:16" x14ac:dyDescent="0.25">
      <c r="A55" s="150" t="str">
        <f>Table1[[#This Row],[Supplier]]</f>
        <v>Mechanical Resource Group (Chillers)</v>
      </c>
      <c r="B55" s="150"/>
      <c r="C55" s="150"/>
      <c r="D55" s="150"/>
    </row>
    <row r="56" spans="1:16" x14ac:dyDescent="0.25">
      <c r="A56" s="150" t="str">
        <f>Table1[[#This Row],[Supplier]]</f>
        <v>Mechanical Resource Group (VRV System)</v>
      </c>
      <c r="B56" s="150"/>
      <c r="C56" s="150"/>
      <c r="D56" s="150"/>
    </row>
    <row r="57" spans="1:16" x14ac:dyDescent="0.25">
      <c r="A57" s="150" t="str">
        <f>Table1[[#This Row],[Supplier]]</f>
        <v>Mid South Instrument Services Inc.</v>
      </c>
      <c r="B57" s="150" t="s">
        <v>2199</v>
      </c>
      <c r="C57" s="150" t="s">
        <v>2200</v>
      </c>
      <c r="D57" s="154" t="s">
        <v>2201</v>
      </c>
    </row>
    <row r="58" spans="1:16" x14ac:dyDescent="0.25">
      <c r="A58" s="150" t="str">
        <f>Table1[[#This Row],[Supplier]]</f>
        <v>Nashville Chemical &amp; Equip Co (DuBois Chemicals)</v>
      </c>
      <c r="B58" s="150"/>
      <c r="C58" s="150"/>
      <c r="D58" s="150"/>
    </row>
    <row r="59" spans="1:16" x14ac:dyDescent="0.25">
      <c r="A59" s="150" t="str">
        <f>Table1[[#This Row],[Supplier]]</f>
        <v>Nashville Door Closer Services</v>
      </c>
      <c r="B59" s="150" t="s">
        <v>2202</v>
      </c>
      <c r="C59" s="150"/>
      <c r="D59" s="154" t="s">
        <v>2203</v>
      </c>
    </row>
    <row r="60" spans="1:16" x14ac:dyDescent="0.25">
      <c r="A60" s="150" t="str">
        <f>Table1[[#This Row],[Supplier]]</f>
        <v>On Site</v>
      </c>
      <c r="B60" s="150"/>
      <c r="C60" s="150"/>
      <c r="D60" s="150"/>
    </row>
    <row r="61" spans="1:16" x14ac:dyDescent="0.25">
      <c r="A61" s="150" t="str">
        <f>Table1[[#This Row],[Supplier]]</f>
        <v>Perk Products</v>
      </c>
      <c r="B61" s="150" t="s">
        <v>2204</v>
      </c>
      <c r="C61" s="150"/>
      <c r="D61" s="154" t="s">
        <v>2205</v>
      </c>
      <c r="P61" s="146"/>
    </row>
    <row r="62" spans="1:16" x14ac:dyDescent="0.25">
      <c r="A62" s="150" t="str">
        <f>Table1[[#This Row],[Supplier]]</f>
        <v>Pye Barker (PB Parent Holdco LP) (Extinguishers + Kitchen suppression)</v>
      </c>
      <c r="B62" s="150" t="s">
        <v>2206</v>
      </c>
      <c r="C62" s="150"/>
      <c r="D62" s="150" t="s">
        <v>2207</v>
      </c>
    </row>
    <row r="63" spans="1:16" x14ac:dyDescent="0.25">
      <c r="A63" s="150" t="str">
        <f>Table1[[#This Row],[Supplier]]</f>
        <v>Reladyne</v>
      </c>
      <c r="B63" s="150" t="s">
        <v>2208</v>
      </c>
      <c r="C63" s="150"/>
      <c r="D63" s="154" t="s">
        <v>2209</v>
      </c>
    </row>
    <row r="64" spans="1:16" x14ac:dyDescent="0.25">
      <c r="A64" s="150" t="str">
        <f>Table1[[#This Row],[Supplier]]</f>
        <v>Revenue Source Group (RSG)</v>
      </c>
      <c r="B64" s="150"/>
      <c r="C64" s="150"/>
      <c r="D64" s="150"/>
    </row>
    <row r="65" spans="1:16" x14ac:dyDescent="0.25">
      <c r="A65" s="150" t="str">
        <f>Table1[[#This Row],[Supplier]]</f>
        <v>Russell's Glass</v>
      </c>
      <c r="B65" s="150"/>
      <c r="C65" s="150"/>
      <c r="D65" s="150"/>
    </row>
    <row r="66" spans="1:16" x14ac:dyDescent="0.25">
      <c r="A66" s="150" t="str">
        <f>Table1[[#This Row],[Supplier]]</f>
        <v>Seth David Frost dba Frost Enviro Services</v>
      </c>
      <c r="B66" s="150"/>
      <c r="C66" s="150"/>
      <c r="D66" s="150"/>
    </row>
    <row r="67" spans="1:16" x14ac:dyDescent="0.25">
      <c r="A67" s="150"/>
      <c r="B67" s="150"/>
      <c r="C67" s="150"/>
      <c r="D67" s="150"/>
      <c r="P67" s="145"/>
    </row>
    <row r="68" spans="1:16" x14ac:dyDescent="0.25">
      <c r="P68" s="145"/>
    </row>
    <row r="69" spans="1:16" x14ac:dyDescent="0.25">
      <c r="P69" s="146"/>
    </row>
    <row r="72" spans="1:16" x14ac:dyDescent="0.25">
      <c r="P72" s="149"/>
    </row>
    <row r="73" spans="1:16" x14ac:dyDescent="0.25">
      <c r="P73" s="146"/>
    </row>
    <row r="74" spans="1:16" x14ac:dyDescent="0.25">
      <c r="P74" s="149"/>
    </row>
  </sheetData>
  <hyperlinks>
    <hyperlink ref="D24" r:id="rId1" xr:uid="{3A6FFC79-E2FC-4AAC-B7FF-DF5AA5AEA046}"/>
    <hyperlink ref="D20" r:id="rId2" xr:uid="{F144C860-FC5A-4BC1-B046-A8138736B567}"/>
    <hyperlink ref="D15" r:id="rId3" xr:uid="{A779C256-623A-4045-8747-125D961D831A}"/>
    <hyperlink ref="D12" r:id="rId4" display="Christen.Crumley@gowaibel.com  " xr:uid="{55AF027C-5290-4764-B071-90742B9C2C07}"/>
    <hyperlink ref="D28" r:id="rId5" xr:uid="{CCC5A622-9461-4721-9A73-596927D1B56C}"/>
    <hyperlink ref="D10" r:id="rId6" xr:uid="{A0622B5C-21F7-4E24-9370-8635EC10CF4E}"/>
    <hyperlink ref="D35" r:id="rId7" xr:uid="{81A84C0B-8CDF-459F-9D74-427FC3B2016B}"/>
    <hyperlink ref="D39" r:id="rId8" xr:uid="{9EDE8601-766E-490D-BA1B-C7837C04F647}"/>
    <hyperlink ref="D49" r:id="rId9" xr:uid="{90CBC5D0-694A-4EAC-A78A-6243AD9E7F91}"/>
    <hyperlink ref="D52" r:id="rId10" xr:uid="{4547DB9B-822B-4FD9-8C4E-BB3BE9D50C57}"/>
    <hyperlink ref="D57" r:id="rId11" xr:uid="{3F8CF337-A016-43C1-B4CE-250B11A0630F}"/>
    <hyperlink ref="D59" r:id="rId12" xr:uid="{DB13CDAD-46A7-4837-8D62-6CDFAE0E22C9}"/>
    <hyperlink ref="D61" r:id="rId13" xr:uid="{02F0C35E-0DDD-4E11-A82B-EDE1724C250A}"/>
    <hyperlink ref="D26" r:id="rId14" xr:uid="{31BD24D9-38E8-41B1-852D-7A351DA5F57B}"/>
    <hyperlink ref="D44" r:id="rId15" xr:uid="{E5B09513-EA23-4DDB-AB26-A62FD66DB4F6}"/>
    <hyperlink ref="D63" r:id="rId16" display="mailto:derick.hilker@veolia.com" xr:uid="{7F9DEF6B-1406-4E6F-9DE0-9D3CB360F988}"/>
    <hyperlink ref="D53" r:id="rId17" xr:uid="{641744B9-C502-4B6B-98C7-A06CB4B5369A}"/>
    <hyperlink ref="D33" r:id="rId18" xr:uid="{256C255F-8966-44F3-9175-3B19BFF5400B}"/>
  </hyperlinks>
  <pageMargins left="0.7" right="0.7" top="0.75" bottom="0.75" header="0.3" footer="0.3"/>
  <pageSetup orientation="portrait" verticalDpi="1200" r:id="rId1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E0C8B-4554-4854-9D57-F9F3DB4396CE}">
  <dimension ref="A1:K65"/>
  <sheetViews>
    <sheetView workbookViewId="0"/>
  </sheetViews>
  <sheetFormatPr defaultRowHeight="15" x14ac:dyDescent="0.25"/>
  <cols>
    <col min="1" max="1" width="33.5703125" bestFit="1" customWidth="1"/>
    <col min="2" max="2" width="79" bestFit="1" customWidth="1"/>
    <col min="3" max="3" width="8.5703125" bestFit="1" customWidth="1"/>
    <col min="4" max="4" width="23.42578125" bestFit="1" customWidth="1"/>
    <col min="5" max="5" width="40.42578125" bestFit="1" customWidth="1"/>
    <col min="6" max="6" width="15.5703125" bestFit="1" customWidth="1"/>
    <col min="7" max="7" width="22.42578125" bestFit="1" customWidth="1"/>
    <col min="8" max="9" width="11.42578125" bestFit="1" customWidth="1"/>
    <col min="10" max="10" width="11.42578125" hidden="1" customWidth="1"/>
    <col min="11" max="11" width="11.5703125" customWidth="1"/>
  </cols>
  <sheetData>
    <row r="1" spans="1:11" ht="45" x14ac:dyDescent="0.25">
      <c r="A1" s="35" t="s">
        <v>0</v>
      </c>
      <c r="B1" s="36" t="s">
        <v>1</v>
      </c>
      <c r="C1" s="36" t="s">
        <v>5</v>
      </c>
      <c r="D1" s="36" t="s">
        <v>6</v>
      </c>
      <c r="E1" s="38" t="s">
        <v>201</v>
      </c>
      <c r="F1" s="36" t="s">
        <v>10</v>
      </c>
      <c r="G1" s="38" t="s">
        <v>202</v>
      </c>
      <c r="H1" s="89" t="s">
        <v>203</v>
      </c>
      <c r="I1" s="61" t="s">
        <v>204</v>
      </c>
      <c r="J1" s="61" t="s">
        <v>12</v>
      </c>
      <c r="K1" s="90" t="s">
        <v>205</v>
      </c>
    </row>
    <row r="2" spans="1:11" x14ac:dyDescent="0.25">
      <c r="A2" s="57" t="s">
        <v>206</v>
      </c>
      <c r="B2" s="58" t="s">
        <v>207</v>
      </c>
      <c r="C2" s="58">
        <v>37560</v>
      </c>
      <c r="D2" s="58" t="s">
        <v>50</v>
      </c>
      <c r="E2" s="91" t="s">
        <v>208</v>
      </c>
      <c r="F2" s="92" t="s">
        <v>209</v>
      </c>
      <c r="G2" s="62" t="s">
        <v>210</v>
      </c>
      <c r="H2" s="93">
        <v>0</v>
      </c>
      <c r="I2" s="63">
        <v>0</v>
      </c>
      <c r="J2" s="63">
        <f>Table1[[#This Row],[FY24 Budget]]-Table1[[#This Row],[FY23 Budget]]</f>
        <v>-2576.25</v>
      </c>
      <c r="K2" s="63">
        <v>1920</v>
      </c>
    </row>
    <row r="3" spans="1:11" x14ac:dyDescent="0.25">
      <c r="A3" s="59" t="s">
        <v>30</v>
      </c>
      <c r="B3" s="60" t="s">
        <v>31</v>
      </c>
      <c r="C3" s="60">
        <v>37540</v>
      </c>
      <c r="D3" s="60" t="s">
        <v>32</v>
      </c>
      <c r="E3" s="94" t="s">
        <v>30</v>
      </c>
      <c r="F3" s="95" t="s">
        <v>209</v>
      </c>
      <c r="G3" s="64" t="s">
        <v>192</v>
      </c>
      <c r="H3" s="96">
        <v>0</v>
      </c>
      <c r="I3" s="65">
        <v>120</v>
      </c>
      <c r="J3" s="65">
        <f>Table1[[#This Row],[FY24 Budget]]-Table1[[#This Row],[FY23 Budget]]</f>
        <v>0</v>
      </c>
      <c r="K3" s="65">
        <v>120</v>
      </c>
    </row>
    <row r="4" spans="1:11" x14ac:dyDescent="0.25">
      <c r="A4" s="57" t="s">
        <v>34</v>
      </c>
      <c r="B4" s="58" t="s">
        <v>35</v>
      </c>
      <c r="C4" s="58">
        <v>37540</v>
      </c>
      <c r="D4" s="58" t="s">
        <v>32</v>
      </c>
      <c r="E4" s="91" t="s">
        <v>211</v>
      </c>
      <c r="F4" s="92"/>
      <c r="G4" s="62" t="s">
        <v>212</v>
      </c>
      <c r="H4" s="93">
        <v>0</v>
      </c>
      <c r="I4" s="63">
        <v>0</v>
      </c>
      <c r="J4" s="63">
        <f>Table1[[#This Row],[FY24 Budget]]-Table1[[#This Row],[FY23 Budget]]</f>
        <v>0</v>
      </c>
      <c r="K4" s="63">
        <v>20000</v>
      </c>
    </row>
    <row r="5" spans="1:11" x14ac:dyDescent="0.25">
      <c r="A5" s="59" t="s">
        <v>213</v>
      </c>
      <c r="B5" s="60" t="s">
        <v>214</v>
      </c>
      <c r="C5" s="60">
        <v>37550</v>
      </c>
      <c r="D5" s="60" t="s">
        <v>87</v>
      </c>
      <c r="E5" s="94" t="s">
        <v>213</v>
      </c>
      <c r="F5" s="95">
        <v>26112228</v>
      </c>
      <c r="G5" s="64" t="s">
        <v>215</v>
      </c>
      <c r="H5" s="96">
        <v>25882</v>
      </c>
      <c r="I5" s="65">
        <v>27000</v>
      </c>
      <c r="J5" s="65">
        <f>Table1[[#This Row],[FY24 Budget]]-Table1[[#This Row],[FY23 Budget]]</f>
        <v>8079.3200000000006</v>
      </c>
      <c r="K5" s="65">
        <v>25882</v>
      </c>
    </row>
    <row r="6" spans="1:11" x14ac:dyDescent="0.25">
      <c r="A6" s="57" t="s">
        <v>216</v>
      </c>
      <c r="B6" s="58" t="s">
        <v>41</v>
      </c>
      <c r="C6" s="58">
        <v>37540</v>
      </c>
      <c r="D6" s="58" t="s">
        <v>32</v>
      </c>
      <c r="E6" s="91" t="s">
        <v>216</v>
      </c>
      <c r="F6" s="92">
        <v>200002</v>
      </c>
      <c r="G6" s="62" t="s">
        <v>217</v>
      </c>
      <c r="H6" s="93">
        <v>17607.599999999999</v>
      </c>
      <c r="I6" s="63">
        <v>46000</v>
      </c>
      <c r="J6" s="63">
        <f>Table1[[#This Row],[FY24 Budget]]-Table1[[#This Row],[FY23 Budget]]</f>
        <v>0</v>
      </c>
      <c r="K6" s="63">
        <v>17608</v>
      </c>
    </row>
    <row r="7" spans="1:11" x14ac:dyDescent="0.25">
      <c r="A7" s="59" t="s">
        <v>216</v>
      </c>
      <c r="B7" s="60" t="s">
        <v>41</v>
      </c>
      <c r="C7" s="60">
        <v>37540</v>
      </c>
      <c r="D7" s="60" t="s">
        <v>32</v>
      </c>
      <c r="E7" s="94" t="s">
        <v>218</v>
      </c>
      <c r="F7" s="95">
        <v>200002</v>
      </c>
      <c r="G7" s="64" t="s">
        <v>217</v>
      </c>
      <c r="H7" s="96">
        <v>0</v>
      </c>
      <c r="I7" s="65">
        <v>0</v>
      </c>
      <c r="J7" s="65">
        <f>Table1[[#This Row],[FY24 Budget]]-Table1[[#This Row],[FY23 Budget]]</f>
        <v>0</v>
      </c>
      <c r="K7" s="65">
        <v>27344</v>
      </c>
    </row>
    <row r="8" spans="1:11" x14ac:dyDescent="0.25">
      <c r="A8" s="57" t="s">
        <v>219</v>
      </c>
      <c r="B8" s="58" t="s">
        <v>49</v>
      </c>
      <c r="C8" s="58">
        <v>37560</v>
      </c>
      <c r="D8" s="58" t="s">
        <v>50</v>
      </c>
      <c r="E8" s="91" t="s">
        <v>220</v>
      </c>
      <c r="F8" s="92"/>
      <c r="G8" s="62" t="s">
        <v>221</v>
      </c>
      <c r="H8" s="93">
        <v>0</v>
      </c>
      <c r="I8" s="63">
        <v>59000</v>
      </c>
      <c r="J8" s="63">
        <f>Table1[[#This Row],[FY24 Budget]]-Table1[[#This Row],[FY23 Budget]]</f>
        <v>10750</v>
      </c>
      <c r="K8" s="63">
        <v>73101</v>
      </c>
    </row>
    <row r="9" spans="1:11" x14ac:dyDescent="0.25">
      <c r="A9" s="59" t="s">
        <v>170</v>
      </c>
      <c r="B9" s="60" t="s">
        <v>222</v>
      </c>
      <c r="C9" s="60">
        <v>37510</v>
      </c>
      <c r="D9" s="60" t="s">
        <v>26</v>
      </c>
      <c r="E9" s="94" t="s">
        <v>223</v>
      </c>
      <c r="F9" s="95">
        <v>200017</v>
      </c>
      <c r="G9" s="64" t="s">
        <v>173</v>
      </c>
      <c r="H9" s="96">
        <v>0</v>
      </c>
      <c r="I9" s="65">
        <v>11000</v>
      </c>
      <c r="J9" s="65">
        <f>Table1[[#This Row],[FY24 Budget]]-Table1[[#This Row],[FY23 Budget]]</f>
        <v>0</v>
      </c>
      <c r="K9" s="65">
        <v>10800</v>
      </c>
    </row>
    <row r="10" spans="1:11" x14ac:dyDescent="0.25">
      <c r="A10" s="57" t="s">
        <v>224</v>
      </c>
      <c r="B10" s="58" t="s">
        <v>225</v>
      </c>
      <c r="C10" s="58">
        <v>37540</v>
      </c>
      <c r="D10" s="58" t="s">
        <v>32</v>
      </c>
      <c r="E10" s="91" t="s">
        <v>226</v>
      </c>
      <c r="F10" s="92">
        <v>107206</v>
      </c>
      <c r="G10" s="97" t="s">
        <v>173</v>
      </c>
      <c r="H10" s="93">
        <v>25000</v>
      </c>
      <c r="I10" s="63">
        <v>25000</v>
      </c>
      <c r="J10" s="63">
        <f>Table1[[#This Row],[FY24 Budget]]-Table1[[#This Row],[FY23 Budget]]</f>
        <v>-2725</v>
      </c>
      <c r="K10" s="63">
        <v>25000</v>
      </c>
    </row>
    <row r="11" spans="1:11" x14ac:dyDescent="0.25">
      <c r="A11" s="59" t="s">
        <v>227</v>
      </c>
      <c r="B11" s="60" t="s">
        <v>228</v>
      </c>
      <c r="C11" s="60">
        <v>37530</v>
      </c>
      <c r="D11" s="60" t="s">
        <v>44</v>
      </c>
      <c r="E11" s="94" t="s">
        <v>229</v>
      </c>
      <c r="F11" s="95">
        <v>107533</v>
      </c>
      <c r="G11" s="64" t="s">
        <v>192</v>
      </c>
      <c r="H11" s="96">
        <v>45000</v>
      </c>
      <c r="I11" s="65">
        <v>36000</v>
      </c>
      <c r="J11" s="65">
        <f>Table1[[#This Row],[FY24 Budget]]-Table1[[#This Row],[FY23 Budget]]</f>
        <v>0</v>
      </c>
      <c r="K11" s="65">
        <v>35000</v>
      </c>
    </row>
    <row r="12" spans="1:11" x14ac:dyDescent="0.25">
      <c r="A12" s="57" t="s">
        <v>227</v>
      </c>
      <c r="B12" s="58" t="s">
        <v>230</v>
      </c>
      <c r="C12" s="58">
        <v>37530</v>
      </c>
      <c r="D12" s="58" t="s">
        <v>44</v>
      </c>
      <c r="E12" s="91" t="s">
        <v>231</v>
      </c>
      <c r="F12" s="92">
        <v>105064</v>
      </c>
      <c r="G12" s="62" t="s">
        <v>192</v>
      </c>
      <c r="H12" s="93">
        <v>115000</v>
      </c>
      <c r="I12" s="63">
        <v>118000</v>
      </c>
      <c r="J12" s="63">
        <f>Table1[[#This Row],[FY24 Budget]]-Table1[[#This Row],[FY23 Budget]]</f>
        <v>0</v>
      </c>
      <c r="K12" s="63">
        <v>115000</v>
      </c>
    </row>
    <row r="13" spans="1:11" x14ac:dyDescent="0.25">
      <c r="A13" s="59" t="s">
        <v>54</v>
      </c>
      <c r="B13" s="60" t="s">
        <v>232</v>
      </c>
      <c r="C13" s="60">
        <v>37560</v>
      </c>
      <c r="D13" s="60" t="s">
        <v>50</v>
      </c>
      <c r="E13" s="94" t="s">
        <v>233</v>
      </c>
      <c r="F13" s="98"/>
      <c r="G13" s="64" t="s">
        <v>173</v>
      </c>
      <c r="H13" s="96">
        <v>0</v>
      </c>
      <c r="I13" s="65">
        <v>54082</v>
      </c>
      <c r="J13" s="65">
        <f>Table1[[#This Row],[FY24 Budget]]-Table1[[#This Row],[FY23 Budget]]</f>
        <v>0</v>
      </c>
      <c r="K13" s="65">
        <v>54082</v>
      </c>
    </row>
    <row r="14" spans="1:11" x14ac:dyDescent="0.25">
      <c r="A14" s="57" t="s">
        <v>57</v>
      </c>
      <c r="B14" s="58" t="s">
        <v>58</v>
      </c>
      <c r="C14" s="58">
        <v>37560</v>
      </c>
      <c r="D14" s="58" t="s">
        <v>50</v>
      </c>
      <c r="E14" s="91" t="s">
        <v>234</v>
      </c>
      <c r="F14" s="92" t="s">
        <v>209</v>
      </c>
      <c r="G14" s="62" t="s">
        <v>235</v>
      </c>
      <c r="H14" s="93">
        <v>0</v>
      </c>
      <c r="I14" s="63">
        <v>8000</v>
      </c>
      <c r="J14" s="63">
        <f>Table1[[#This Row],[FY24 Budget]]-Table1[[#This Row],[FY23 Budget]]</f>
        <v>74731.100000000006</v>
      </c>
      <c r="K14" s="63">
        <v>8200</v>
      </c>
    </row>
    <row r="15" spans="1:11" x14ac:dyDescent="0.25">
      <c r="A15" s="59" t="s">
        <v>59</v>
      </c>
      <c r="B15" s="60" t="s">
        <v>60</v>
      </c>
      <c r="C15" s="60">
        <v>37530</v>
      </c>
      <c r="D15" s="60" t="s">
        <v>44</v>
      </c>
      <c r="E15" s="94" t="s">
        <v>59</v>
      </c>
      <c r="F15" s="95">
        <v>107637</v>
      </c>
      <c r="G15" s="64" t="s">
        <v>192</v>
      </c>
      <c r="H15" s="96">
        <v>0</v>
      </c>
      <c r="I15" s="65">
        <v>129000</v>
      </c>
      <c r="J15" s="65">
        <f>Table1[[#This Row],[FY24 Budget]]-Table1[[#This Row],[FY23 Budget]]</f>
        <v>28221.210000000006</v>
      </c>
      <c r="K15" s="65"/>
    </row>
    <row r="16" spans="1:11" x14ac:dyDescent="0.25">
      <c r="A16" s="57" t="s">
        <v>236</v>
      </c>
      <c r="B16" s="58" t="s">
        <v>237</v>
      </c>
      <c r="C16" s="58">
        <v>37510</v>
      </c>
      <c r="D16" s="58" t="s">
        <v>26</v>
      </c>
      <c r="E16" s="91" t="s">
        <v>236</v>
      </c>
      <c r="F16" s="92" t="s">
        <v>209</v>
      </c>
      <c r="G16" s="62" t="s">
        <v>173</v>
      </c>
      <c r="H16" s="93">
        <v>0</v>
      </c>
      <c r="I16" s="63">
        <v>8000</v>
      </c>
      <c r="J16" s="63">
        <f>Table1[[#This Row],[FY24 Budget]]-Table1[[#This Row],[FY23 Budget]]</f>
        <v>0</v>
      </c>
      <c r="K16" s="63">
        <v>0</v>
      </c>
    </row>
    <row r="17" spans="1:11" x14ac:dyDescent="0.25">
      <c r="A17" s="59" t="s">
        <v>238</v>
      </c>
      <c r="B17" s="60" t="s">
        <v>239</v>
      </c>
      <c r="C17" s="60">
        <v>37510</v>
      </c>
      <c r="D17" s="60" t="s">
        <v>26</v>
      </c>
      <c r="E17" s="94" t="s">
        <v>66</v>
      </c>
      <c r="F17" s="95" t="s">
        <v>209</v>
      </c>
      <c r="G17" s="64" t="s">
        <v>173</v>
      </c>
      <c r="H17" s="96">
        <v>0</v>
      </c>
      <c r="I17" s="65">
        <v>8000</v>
      </c>
      <c r="J17" s="65">
        <f>Table1[[#This Row],[FY24 Budget]]-Table1[[#This Row],[FY23 Budget]]</f>
        <v>64665.489999999991</v>
      </c>
      <c r="K17" s="65">
        <v>8750</v>
      </c>
    </row>
    <row r="18" spans="1:11" x14ac:dyDescent="0.25">
      <c r="A18" s="57" t="s">
        <v>238</v>
      </c>
      <c r="B18" s="58" t="s">
        <v>240</v>
      </c>
      <c r="C18" s="58">
        <v>37550</v>
      </c>
      <c r="D18" s="58" t="s">
        <v>87</v>
      </c>
      <c r="E18" s="91" t="s">
        <v>66</v>
      </c>
      <c r="F18" s="92" t="s">
        <v>209</v>
      </c>
      <c r="G18" s="62" t="s">
        <v>192</v>
      </c>
      <c r="H18" s="93">
        <v>6000</v>
      </c>
      <c r="I18" s="63">
        <v>6000</v>
      </c>
      <c r="J18" s="63">
        <f>Table1[[#This Row],[FY24 Budget]]-Table1[[#This Row],[FY23 Budget]]</f>
        <v>0</v>
      </c>
      <c r="K18" s="63">
        <v>4000</v>
      </c>
    </row>
    <row r="19" spans="1:11" x14ac:dyDescent="0.25">
      <c r="A19" s="59" t="s">
        <v>241</v>
      </c>
      <c r="B19" s="60" t="s">
        <v>242</v>
      </c>
      <c r="C19" s="60">
        <v>37550</v>
      </c>
      <c r="D19" s="60" t="s">
        <v>87</v>
      </c>
      <c r="E19" s="94" t="s">
        <v>241</v>
      </c>
      <c r="F19" s="95" t="s">
        <v>209</v>
      </c>
      <c r="G19" s="64" t="s">
        <v>173</v>
      </c>
      <c r="H19" s="96">
        <v>5847.58</v>
      </c>
      <c r="I19" s="65">
        <v>7000</v>
      </c>
      <c r="J19" s="65">
        <f>Table1[[#This Row],[FY24 Budget]]-Table1[[#This Row],[FY23 Budget]]</f>
        <v>0</v>
      </c>
      <c r="K19" s="65">
        <v>5847.58</v>
      </c>
    </row>
    <row r="20" spans="1:11" x14ac:dyDescent="0.25">
      <c r="A20" s="57" t="s">
        <v>69</v>
      </c>
      <c r="B20" s="58" t="s">
        <v>243</v>
      </c>
      <c r="C20" s="58">
        <v>37560</v>
      </c>
      <c r="D20" s="58" t="s">
        <v>50</v>
      </c>
      <c r="E20" s="91" t="s">
        <v>244</v>
      </c>
      <c r="F20" s="92" t="s">
        <v>209</v>
      </c>
      <c r="G20" s="62" t="s">
        <v>173</v>
      </c>
      <c r="H20" s="93">
        <v>19990</v>
      </c>
      <c r="I20" s="63">
        <v>21000</v>
      </c>
      <c r="J20" s="63">
        <f>Table1[[#This Row],[FY24 Budget]]-Table1[[#This Row],[FY23 Budget]]</f>
        <v>127.72000000000116</v>
      </c>
      <c r="K20" s="63">
        <v>10900</v>
      </c>
    </row>
    <row r="21" spans="1:11" x14ac:dyDescent="0.25">
      <c r="A21" s="59" t="s">
        <v>75</v>
      </c>
      <c r="B21" s="60" t="s">
        <v>76</v>
      </c>
      <c r="C21" s="60">
        <v>37510</v>
      </c>
      <c r="D21" s="60" t="s">
        <v>26</v>
      </c>
      <c r="E21" s="94" t="s">
        <v>245</v>
      </c>
      <c r="F21" s="95">
        <v>105399</v>
      </c>
      <c r="G21" s="64" t="s">
        <v>173</v>
      </c>
      <c r="H21" s="96">
        <v>85000</v>
      </c>
      <c r="I21" s="65">
        <v>85000</v>
      </c>
      <c r="J21" s="65">
        <f>Table1[[#This Row],[FY24 Budget]]-Table1[[#This Row],[FY23 Budget]]</f>
        <v>3154</v>
      </c>
      <c r="K21" s="65">
        <v>40811</v>
      </c>
    </row>
    <row r="22" spans="1:11" x14ac:dyDescent="0.25">
      <c r="A22" s="57" t="s">
        <v>78</v>
      </c>
      <c r="B22" s="58" t="s">
        <v>79</v>
      </c>
      <c r="C22" s="58">
        <v>37540</v>
      </c>
      <c r="D22" s="58" t="s">
        <v>32</v>
      </c>
      <c r="E22" s="91"/>
      <c r="F22" s="92">
        <v>200175</v>
      </c>
      <c r="G22" s="62"/>
      <c r="H22" s="93">
        <v>29000</v>
      </c>
      <c r="I22" s="63">
        <v>30000</v>
      </c>
      <c r="J22" s="63">
        <f>Table1[[#This Row],[FY24 Budget]]-Table1[[#This Row],[FY23 Budget]]</f>
        <v>0</v>
      </c>
      <c r="K22" s="63">
        <v>16140</v>
      </c>
    </row>
    <row r="23" spans="1:11" x14ac:dyDescent="0.25">
      <c r="A23" s="59" t="s">
        <v>81</v>
      </c>
      <c r="B23" s="60" t="s">
        <v>82</v>
      </c>
      <c r="C23" s="60">
        <v>37510</v>
      </c>
      <c r="D23" s="60" t="s">
        <v>26</v>
      </c>
      <c r="E23" s="94" t="s">
        <v>81</v>
      </c>
      <c r="F23" s="95">
        <v>200016</v>
      </c>
      <c r="G23" s="64" t="s">
        <v>173</v>
      </c>
      <c r="H23" s="96">
        <v>113000</v>
      </c>
      <c r="I23" s="65">
        <v>114000</v>
      </c>
      <c r="J23" s="65">
        <f>Table1[[#This Row],[FY24 Budget]]-Table1[[#This Row],[FY23 Budget]]</f>
        <v>22775.700000000012</v>
      </c>
      <c r="K23" s="65">
        <v>103550</v>
      </c>
    </row>
    <row r="24" spans="1:11" x14ac:dyDescent="0.25">
      <c r="A24" s="57" t="s">
        <v>85</v>
      </c>
      <c r="B24" s="58" t="s">
        <v>86</v>
      </c>
      <c r="C24" s="58">
        <v>37550</v>
      </c>
      <c r="D24" s="58" t="s">
        <v>87</v>
      </c>
      <c r="E24" s="91" t="s">
        <v>85</v>
      </c>
      <c r="F24" s="92" t="s">
        <v>209</v>
      </c>
      <c r="G24" s="62" t="s">
        <v>173</v>
      </c>
      <c r="H24" s="93">
        <v>31613</v>
      </c>
      <c r="I24" s="63">
        <v>33000</v>
      </c>
      <c r="J24" s="63">
        <f>Table1[[#This Row],[FY24 Budget]]-Table1[[#This Row],[FY23 Budget]]</f>
        <v>130000</v>
      </c>
      <c r="K24" s="63">
        <v>32253</v>
      </c>
    </row>
    <row r="25" spans="1:11" x14ac:dyDescent="0.25">
      <c r="A25" s="59" t="s">
        <v>246</v>
      </c>
      <c r="B25" s="60" t="s">
        <v>247</v>
      </c>
      <c r="C25" s="60">
        <v>37510</v>
      </c>
      <c r="D25" s="60" t="s">
        <v>26</v>
      </c>
      <c r="E25" s="94" t="s">
        <v>234</v>
      </c>
      <c r="F25" s="95">
        <v>105876</v>
      </c>
      <c r="G25" s="64" t="s">
        <v>234</v>
      </c>
      <c r="H25" s="96">
        <v>275000</v>
      </c>
      <c r="I25" s="65">
        <v>300000</v>
      </c>
      <c r="J25" s="65">
        <f>Table1[[#This Row],[FY24 Budget]]-Table1[[#This Row],[FY23 Budget]]</f>
        <v>7323.75</v>
      </c>
      <c r="K25" s="65">
        <v>0</v>
      </c>
    </row>
    <row r="26" spans="1:11" x14ac:dyDescent="0.25">
      <c r="A26" s="57" t="s">
        <v>246</v>
      </c>
      <c r="B26" s="58" t="s">
        <v>248</v>
      </c>
      <c r="C26" s="58">
        <v>37510</v>
      </c>
      <c r="D26" s="58" t="s">
        <v>26</v>
      </c>
      <c r="E26" s="91" t="s">
        <v>234</v>
      </c>
      <c r="F26" s="92" t="s">
        <v>209</v>
      </c>
      <c r="G26" s="62" t="s">
        <v>234</v>
      </c>
      <c r="H26" s="93">
        <v>22000</v>
      </c>
      <c r="I26" s="63">
        <v>19000</v>
      </c>
      <c r="J26" s="63">
        <f>Table1[[#This Row],[FY24 Budget]]-Table1[[#This Row],[FY23 Budget]]</f>
        <v>-12720</v>
      </c>
      <c r="K26" s="63">
        <v>0</v>
      </c>
    </row>
    <row r="27" spans="1:11" x14ac:dyDescent="0.25">
      <c r="A27" s="59" t="s">
        <v>88</v>
      </c>
      <c r="B27" s="60" t="s">
        <v>249</v>
      </c>
      <c r="C27" s="60">
        <v>37510</v>
      </c>
      <c r="D27" s="60" t="s">
        <v>26</v>
      </c>
      <c r="E27" s="94" t="s">
        <v>250</v>
      </c>
      <c r="F27" s="95">
        <v>107066</v>
      </c>
      <c r="G27" s="64" t="s">
        <v>173</v>
      </c>
      <c r="H27" s="96">
        <v>0</v>
      </c>
      <c r="I27" s="65">
        <v>0</v>
      </c>
      <c r="J27" s="65">
        <f>Table1[[#This Row],[FY24 Budget]]-Table1[[#This Row],[FY23 Budget]]</f>
        <v>1644.1000000000004</v>
      </c>
      <c r="K27" s="65">
        <v>0</v>
      </c>
    </row>
    <row r="28" spans="1:11" x14ac:dyDescent="0.25">
      <c r="A28" s="57" t="s">
        <v>88</v>
      </c>
      <c r="B28" s="58" t="s">
        <v>251</v>
      </c>
      <c r="C28" s="58">
        <v>37510</v>
      </c>
      <c r="D28" s="58" t="s">
        <v>26</v>
      </c>
      <c r="E28" s="91" t="s">
        <v>252</v>
      </c>
      <c r="F28" s="92">
        <v>107066</v>
      </c>
      <c r="G28" s="62" t="s">
        <v>173</v>
      </c>
      <c r="H28" s="93">
        <v>18000</v>
      </c>
      <c r="I28" s="63">
        <v>17000</v>
      </c>
      <c r="J28" s="63">
        <f>Table1[[#This Row],[FY24 Budget]]-Table1[[#This Row],[FY23 Budget]]</f>
        <v>207811.7</v>
      </c>
      <c r="K28" s="63">
        <v>17385</v>
      </c>
    </row>
    <row r="29" spans="1:11" x14ac:dyDescent="0.25">
      <c r="A29" s="59" t="s">
        <v>253</v>
      </c>
      <c r="B29" s="60" t="s">
        <v>254</v>
      </c>
      <c r="C29" s="60">
        <v>37520</v>
      </c>
      <c r="D29" s="60" t="s">
        <v>19</v>
      </c>
      <c r="E29" s="94"/>
      <c r="F29" s="95"/>
      <c r="G29" s="64" t="s">
        <v>192</v>
      </c>
      <c r="H29" s="96">
        <v>0</v>
      </c>
      <c r="I29" s="65">
        <v>0</v>
      </c>
      <c r="J29" s="65">
        <f>Table1[[#This Row],[FY24 Budget]]-Table1[[#This Row],[FY23 Budget]]</f>
        <v>0</v>
      </c>
      <c r="K29" s="65">
        <v>0</v>
      </c>
    </row>
    <row r="30" spans="1:11" x14ac:dyDescent="0.25">
      <c r="A30" s="57" t="s">
        <v>255</v>
      </c>
      <c r="B30" s="58" t="s">
        <v>256</v>
      </c>
      <c r="C30" s="58">
        <v>37540</v>
      </c>
      <c r="D30" s="58" t="s">
        <v>32</v>
      </c>
      <c r="E30" s="91" t="s">
        <v>257</v>
      </c>
      <c r="F30" s="92"/>
      <c r="G30" s="97" t="s">
        <v>173</v>
      </c>
      <c r="H30" s="93">
        <v>20000</v>
      </c>
      <c r="I30" s="63">
        <v>20000</v>
      </c>
      <c r="J30" s="63">
        <f>Table1[[#This Row],[FY24 Budget]]-Table1[[#This Row],[FY23 Budget]]</f>
        <v>0</v>
      </c>
      <c r="K30" s="63">
        <v>18800</v>
      </c>
    </row>
    <row r="31" spans="1:11" x14ac:dyDescent="0.25">
      <c r="A31" s="59" t="s">
        <v>258</v>
      </c>
      <c r="B31" s="60" t="s">
        <v>259</v>
      </c>
      <c r="C31" s="60">
        <v>37550</v>
      </c>
      <c r="D31" s="60" t="s">
        <v>87</v>
      </c>
      <c r="E31" s="94" t="s">
        <v>258</v>
      </c>
      <c r="F31" s="95" t="s">
        <v>209</v>
      </c>
      <c r="G31" s="64" t="s">
        <v>192</v>
      </c>
      <c r="H31" s="96">
        <v>25000</v>
      </c>
      <c r="I31" s="65">
        <v>3000</v>
      </c>
      <c r="J31" s="65">
        <f>Table1[[#This Row],[FY24 Budget]]-Table1[[#This Row],[FY23 Budget]]</f>
        <v>11216.2</v>
      </c>
      <c r="K31" s="65">
        <v>1200</v>
      </c>
    </row>
    <row r="32" spans="1:11" x14ac:dyDescent="0.25">
      <c r="A32" s="57" t="s">
        <v>90</v>
      </c>
      <c r="B32" s="58" t="s">
        <v>91</v>
      </c>
      <c r="C32" s="58">
        <v>37550</v>
      </c>
      <c r="D32" s="58" t="s">
        <v>87</v>
      </c>
      <c r="E32" s="91" t="s">
        <v>260</v>
      </c>
      <c r="F32" s="92">
        <v>200015</v>
      </c>
      <c r="G32" s="62" t="s">
        <v>215</v>
      </c>
      <c r="H32" s="93">
        <v>40392</v>
      </c>
      <c r="I32" s="63">
        <v>42000</v>
      </c>
      <c r="J32" s="63">
        <f>Table1[[#This Row],[FY24 Budget]]-Table1[[#This Row],[FY23 Budget]]</f>
        <v>3353</v>
      </c>
      <c r="K32" s="63">
        <v>36000</v>
      </c>
    </row>
    <row r="33" spans="1:11" x14ac:dyDescent="0.25">
      <c r="A33" s="59" t="s">
        <v>94</v>
      </c>
      <c r="B33" s="60" t="s">
        <v>95</v>
      </c>
      <c r="C33" s="60">
        <v>37560</v>
      </c>
      <c r="D33" s="60" t="s">
        <v>50</v>
      </c>
      <c r="E33" s="99" t="s">
        <v>261</v>
      </c>
      <c r="F33" s="95">
        <v>107606</v>
      </c>
      <c r="G33" s="64" t="s">
        <v>192</v>
      </c>
      <c r="H33" s="96">
        <v>206000</v>
      </c>
      <c r="I33" s="65">
        <v>196000</v>
      </c>
      <c r="J33" s="65">
        <f>Table1[[#This Row],[FY24 Budget]]-Table1[[#This Row],[FY23 Budget]]</f>
        <v>19079</v>
      </c>
      <c r="K33" s="65"/>
    </row>
    <row r="34" spans="1:11" x14ac:dyDescent="0.25">
      <c r="A34" s="57" t="s">
        <v>262</v>
      </c>
      <c r="B34" s="58" t="s">
        <v>263</v>
      </c>
      <c r="C34" s="58">
        <v>37560</v>
      </c>
      <c r="D34" s="58" t="s">
        <v>50</v>
      </c>
      <c r="E34" s="91" t="s">
        <v>264</v>
      </c>
      <c r="F34" s="92">
        <v>102686</v>
      </c>
      <c r="G34" s="62" t="s">
        <v>221</v>
      </c>
      <c r="H34" s="93">
        <v>38359</v>
      </c>
      <c r="I34" s="63">
        <v>48000</v>
      </c>
      <c r="J34" s="63">
        <f>Table1[[#This Row],[FY24 Budget]]-Table1[[#This Row],[FY23 Budget]]</f>
        <v>0</v>
      </c>
      <c r="K34" s="63">
        <v>33346</v>
      </c>
    </row>
    <row r="35" spans="1:11" x14ac:dyDescent="0.25">
      <c r="A35" s="59" t="s">
        <v>265</v>
      </c>
      <c r="B35" s="60" t="s">
        <v>266</v>
      </c>
      <c r="C35" s="60">
        <v>37560</v>
      </c>
      <c r="D35" s="60" t="s">
        <v>50</v>
      </c>
      <c r="E35" s="94" t="s">
        <v>267</v>
      </c>
      <c r="F35" s="95">
        <v>105235</v>
      </c>
      <c r="G35" s="64" t="s">
        <v>221</v>
      </c>
      <c r="H35" s="96">
        <v>96464</v>
      </c>
      <c r="I35" s="65">
        <v>98394</v>
      </c>
      <c r="J35" s="65">
        <f>Table1[[#This Row],[FY24 Budget]]-Table1[[#This Row],[FY23 Budget]]</f>
        <v>-824.05999999999767</v>
      </c>
      <c r="K35" s="65">
        <v>98394</v>
      </c>
    </row>
    <row r="36" spans="1:11" x14ac:dyDescent="0.25">
      <c r="A36" s="57" t="s">
        <v>97</v>
      </c>
      <c r="B36" s="58" t="s">
        <v>98</v>
      </c>
      <c r="C36" s="58">
        <v>37540</v>
      </c>
      <c r="D36" s="58" t="s">
        <v>32</v>
      </c>
      <c r="E36" s="91" t="s">
        <v>268</v>
      </c>
      <c r="F36" s="92" t="s">
        <v>209</v>
      </c>
      <c r="G36" s="62" t="s">
        <v>173</v>
      </c>
      <c r="H36" s="93">
        <v>0</v>
      </c>
      <c r="I36" s="63">
        <v>12000</v>
      </c>
      <c r="J36" s="63">
        <f>Table1[[#This Row],[FY24 Budget]]-Table1[[#This Row],[FY23 Budget]]</f>
        <v>24000</v>
      </c>
      <c r="K36" s="63"/>
    </row>
    <row r="37" spans="1:11" x14ac:dyDescent="0.25">
      <c r="A37" s="59" t="s">
        <v>99</v>
      </c>
      <c r="B37" s="60" t="s">
        <v>100</v>
      </c>
      <c r="C37" s="60">
        <v>37510</v>
      </c>
      <c r="D37" s="60" t="s">
        <v>26</v>
      </c>
      <c r="E37" s="94" t="s">
        <v>269</v>
      </c>
      <c r="F37" s="95">
        <v>105969</v>
      </c>
      <c r="G37" s="60" t="s">
        <v>173</v>
      </c>
      <c r="H37" s="96">
        <v>97000</v>
      </c>
      <c r="I37" s="65">
        <v>118000</v>
      </c>
      <c r="J37" s="65">
        <f>Table1[[#This Row],[FY24 Budget]]-Table1[[#This Row],[FY23 Budget]]</f>
        <v>0</v>
      </c>
      <c r="K37" s="65">
        <v>35000</v>
      </c>
    </row>
    <row r="38" spans="1:11" x14ac:dyDescent="0.25">
      <c r="A38" s="57" t="s">
        <v>101</v>
      </c>
      <c r="B38" s="58" t="s">
        <v>102</v>
      </c>
      <c r="C38" s="58">
        <v>37530</v>
      </c>
      <c r="D38" s="58" t="s">
        <v>44</v>
      </c>
      <c r="E38" s="100" t="s">
        <v>270</v>
      </c>
      <c r="F38" s="92">
        <v>105494</v>
      </c>
      <c r="G38" s="62" t="s">
        <v>271</v>
      </c>
      <c r="H38" s="93">
        <v>205000</v>
      </c>
      <c r="I38" s="63">
        <v>205000</v>
      </c>
      <c r="J38" s="63">
        <f>Table1[[#This Row],[FY24 Budget]]-Table1[[#This Row],[FY23 Budget]]</f>
        <v>0</v>
      </c>
      <c r="K38" s="63">
        <v>209078</v>
      </c>
    </row>
    <row r="39" spans="1:11" x14ac:dyDescent="0.25">
      <c r="A39" s="59" t="s">
        <v>272</v>
      </c>
      <c r="B39" s="60" t="s">
        <v>104</v>
      </c>
      <c r="C39" s="60">
        <v>37560</v>
      </c>
      <c r="D39" s="60" t="s">
        <v>50</v>
      </c>
      <c r="E39" s="99" t="s">
        <v>273</v>
      </c>
      <c r="F39" s="95" t="s">
        <v>209</v>
      </c>
      <c r="G39" s="64" t="s">
        <v>173</v>
      </c>
      <c r="H39" s="96">
        <v>20000</v>
      </c>
      <c r="I39" s="65">
        <v>21000</v>
      </c>
      <c r="J39" s="65">
        <f>Table1[[#This Row],[FY24 Budget]]-Table1[[#This Row],[FY23 Budget]]</f>
        <v>15217.75</v>
      </c>
      <c r="K39" s="65">
        <v>17291</v>
      </c>
    </row>
    <row r="40" spans="1:11" x14ac:dyDescent="0.25">
      <c r="A40" s="57" t="s">
        <v>272</v>
      </c>
      <c r="B40" s="58" t="s">
        <v>274</v>
      </c>
      <c r="C40" s="58">
        <v>37560</v>
      </c>
      <c r="D40" s="58" t="s">
        <v>50</v>
      </c>
      <c r="E40" s="100" t="s">
        <v>275</v>
      </c>
      <c r="F40" s="92"/>
      <c r="G40" s="62" t="s">
        <v>173</v>
      </c>
      <c r="H40" s="93">
        <v>0</v>
      </c>
      <c r="I40" s="63">
        <v>16056</v>
      </c>
      <c r="J40" s="63">
        <f>Table1[[#This Row],[FY24 Budget]]-Table1[[#This Row],[FY23 Budget]]</f>
        <v>3568</v>
      </c>
      <c r="K40" s="63">
        <v>21168</v>
      </c>
    </row>
    <row r="41" spans="1:11" x14ac:dyDescent="0.25">
      <c r="A41" s="59" t="s">
        <v>107</v>
      </c>
      <c r="B41" s="60" t="s">
        <v>108</v>
      </c>
      <c r="C41" s="60">
        <v>37550</v>
      </c>
      <c r="D41" s="60" t="s">
        <v>87</v>
      </c>
      <c r="E41" s="94" t="s">
        <v>276</v>
      </c>
      <c r="F41" s="95">
        <v>106663</v>
      </c>
      <c r="G41" s="64" t="s">
        <v>277</v>
      </c>
      <c r="H41" s="96">
        <v>424000</v>
      </c>
      <c r="I41" s="65">
        <v>437000</v>
      </c>
      <c r="J41" s="65">
        <f>Table1[[#This Row],[FY24 Budget]]-Table1[[#This Row],[FY23 Budget]]</f>
        <v>21766.210000000006</v>
      </c>
      <c r="K41" s="65">
        <v>424000</v>
      </c>
    </row>
    <row r="42" spans="1:11" x14ac:dyDescent="0.25">
      <c r="A42" s="57" t="s">
        <v>278</v>
      </c>
      <c r="B42" s="58" t="s">
        <v>279</v>
      </c>
      <c r="C42" s="58">
        <v>37550</v>
      </c>
      <c r="D42" s="58" t="s">
        <v>87</v>
      </c>
      <c r="E42" s="91" t="s">
        <v>280</v>
      </c>
      <c r="F42" s="92">
        <v>104846</v>
      </c>
      <c r="G42" s="62" t="s">
        <v>173</v>
      </c>
      <c r="H42" s="93">
        <v>472000</v>
      </c>
      <c r="I42" s="63">
        <v>472000</v>
      </c>
      <c r="J42" s="63">
        <f>Table1[[#This Row],[FY24 Budget]]-Table1[[#This Row],[FY23 Budget]]</f>
        <v>0</v>
      </c>
      <c r="K42" s="63">
        <v>457824</v>
      </c>
    </row>
    <row r="43" spans="1:11" x14ac:dyDescent="0.25">
      <c r="A43" s="59" t="s">
        <v>281</v>
      </c>
      <c r="B43" s="60" t="s">
        <v>282</v>
      </c>
      <c r="C43" s="60">
        <v>37520</v>
      </c>
      <c r="D43" s="60" t="s">
        <v>19</v>
      </c>
      <c r="E43" s="94"/>
      <c r="F43" s="95"/>
      <c r="G43" s="64"/>
      <c r="H43" s="96">
        <v>93000</v>
      </c>
      <c r="I43" s="65">
        <v>0</v>
      </c>
      <c r="J43" s="65">
        <f>Table1[[#This Row],[FY24 Budget]]-Table1[[#This Row],[FY23 Budget]]</f>
        <v>0</v>
      </c>
      <c r="K43" s="65">
        <v>0</v>
      </c>
    </row>
    <row r="44" spans="1:11" x14ac:dyDescent="0.25">
      <c r="A44" s="57" t="s">
        <v>283</v>
      </c>
      <c r="B44" s="58" t="s">
        <v>114</v>
      </c>
      <c r="C44" s="58">
        <v>37550</v>
      </c>
      <c r="D44" s="58" t="s">
        <v>87</v>
      </c>
      <c r="E44" s="91" t="s">
        <v>113</v>
      </c>
      <c r="F44" s="92"/>
      <c r="G44" s="58" t="s">
        <v>192</v>
      </c>
      <c r="H44" s="93">
        <v>99000</v>
      </c>
      <c r="I44" s="63">
        <v>52000</v>
      </c>
      <c r="J44" s="63">
        <f>Table1[[#This Row],[FY24 Budget]]-Table1[[#This Row],[FY23 Budget]]</f>
        <v>-121710.76</v>
      </c>
      <c r="K44" s="63">
        <v>60000</v>
      </c>
    </row>
    <row r="45" spans="1:11" x14ac:dyDescent="0.25">
      <c r="A45" s="59" t="s">
        <v>284</v>
      </c>
      <c r="B45" s="60" t="s">
        <v>285</v>
      </c>
      <c r="C45" s="60">
        <v>37510</v>
      </c>
      <c r="D45" s="60" t="s">
        <v>26</v>
      </c>
      <c r="E45" s="94" t="s">
        <v>284</v>
      </c>
      <c r="F45" s="95">
        <v>107548</v>
      </c>
      <c r="G45" s="64" t="s">
        <v>217</v>
      </c>
      <c r="H45" s="96">
        <v>692000</v>
      </c>
      <c r="I45" s="65">
        <v>713000</v>
      </c>
      <c r="J45" s="65">
        <f>Table1[[#This Row],[FY24 Budget]]-Table1[[#This Row],[FY23 Budget]]</f>
        <v>141005</v>
      </c>
      <c r="K45" s="65">
        <v>10400</v>
      </c>
    </row>
    <row r="46" spans="1:11" x14ac:dyDescent="0.25">
      <c r="A46" s="57" t="s">
        <v>286</v>
      </c>
      <c r="B46" s="58" t="s">
        <v>117</v>
      </c>
      <c r="C46" s="58">
        <v>37560</v>
      </c>
      <c r="D46" s="58" t="s">
        <v>50</v>
      </c>
      <c r="E46" s="91" t="s">
        <v>287</v>
      </c>
      <c r="F46" s="92">
        <v>107175</v>
      </c>
      <c r="G46" s="58" t="s">
        <v>192</v>
      </c>
      <c r="H46" s="93">
        <v>72000</v>
      </c>
      <c r="I46" s="63">
        <v>110000</v>
      </c>
      <c r="J46" s="63">
        <f>Table1[[#This Row],[FY24 Budget]]-Table1[[#This Row],[FY23 Budget]]</f>
        <v>53500</v>
      </c>
      <c r="K46" s="63">
        <v>90000</v>
      </c>
    </row>
    <row r="47" spans="1:11" x14ac:dyDescent="0.25">
      <c r="A47" s="59" t="s">
        <v>286</v>
      </c>
      <c r="B47" s="60" t="s">
        <v>116</v>
      </c>
      <c r="C47" s="60">
        <v>37560</v>
      </c>
      <c r="D47" s="60" t="s">
        <v>50</v>
      </c>
      <c r="E47" s="94" t="s">
        <v>288</v>
      </c>
      <c r="F47" s="95"/>
      <c r="G47" s="64" t="s">
        <v>221</v>
      </c>
      <c r="H47" s="96">
        <v>0</v>
      </c>
      <c r="I47" s="65">
        <v>0</v>
      </c>
      <c r="J47" s="65">
        <f>Table1[[#This Row],[FY24 Budget]]-Table1[[#This Row],[FY23 Budget]]</f>
        <v>4969</v>
      </c>
      <c r="K47" s="65">
        <v>9514</v>
      </c>
    </row>
    <row r="48" spans="1:11" x14ac:dyDescent="0.25">
      <c r="A48" s="57" t="s">
        <v>187</v>
      </c>
      <c r="B48" s="58" t="s">
        <v>122</v>
      </c>
      <c r="C48" s="58">
        <v>37510</v>
      </c>
      <c r="D48" s="58" t="s">
        <v>26</v>
      </c>
      <c r="E48" s="91" t="s">
        <v>187</v>
      </c>
      <c r="F48" s="92">
        <v>200118</v>
      </c>
      <c r="G48" s="62" t="s">
        <v>188</v>
      </c>
      <c r="H48" s="93">
        <v>0</v>
      </c>
      <c r="I48" s="63">
        <v>35000</v>
      </c>
      <c r="J48" s="63">
        <f>Table1[[#This Row],[FY24 Budget]]-Table1[[#This Row],[FY23 Budget]]</f>
        <v>3041</v>
      </c>
      <c r="K48" s="63">
        <v>11000</v>
      </c>
    </row>
    <row r="49" spans="1:11" x14ac:dyDescent="0.25">
      <c r="A49" s="59" t="s">
        <v>289</v>
      </c>
      <c r="B49" s="60" t="s">
        <v>119</v>
      </c>
      <c r="C49" s="60">
        <v>37520</v>
      </c>
      <c r="D49" s="60" t="s">
        <v>19</v>
      </c>
      <c r="E49" s="94" t="s">
        <v>118</v>
      </c>
      <c r="F49" s="95">
        <v>102241</v>
      </c>
      <c r="G49" s="64" t="s">
        <v>192</v>
      </c>
      <c r="H49" s="96">
        <v>300000</v>
      </c>
      <c r="I49" s="65">
        <v>300000</v>
      </c>
      <c r="J49" s="65">
        <f>Table1[[#This Row],[FY24 Budget]]-Table1[[#This Row],[FY23 Budget]]</f>
        <v>0</v>
      </c>
      <c r="K49" s="65">
        <v>300000</v>
      </c>
    </row>
    <row r="50" spans="1:11" x14ac:dyDescent="0.25">
      <c r="A50" s="57" t="s">
        <v>290</v>
      </c>
      <c r="B50" s="58" t="s">
        <v>72</v>
      </c>
      <c r="C50" s="58">
        <v>37530</v>
      </c>
      <c r="D50" s="58" t="s">
        <v>44</v>
      </c>
      <c r="E50" s="91" t="s">
        <v>234</v>
      </c>
      <c r="F50" s="92">
        <v>107536</v>
      </c>
      <c r="G50" s="62" t="s">
        <v>173</v>
      </c>
      <c r="H50" s="93">
        <v>15000</v>
      </c>
      <c r="I50" s="63">
        <v>10000</v>
      </c>
      <c r="J50" s="63">
        <f>Table1[[#This Row],[FY24 Budget]]-Table1[[#This Row],[FY23 Budget]]</f>
        <v>0</v>
      </c>
      <c r="K50" s="63">
        <v>0</v>
      </c>
    </row>
    <row r="51" spans="1:11" x14ac:dyDescent="0.25">
      <c r="A51" s="59" t="s">
        <v>121</v>
      </c>
      <c r="B51" s="60" t="s">
        <v>122</v>
      </c>
      <c r="C51" s="60">
        <v>37510</v>
      </c>
      <c r="D51" s="60" t="s">
        <v>26</v>
      </c>
      <c r="E51" s="94" t="s">
        <v>291</v>
      </c>
      <c r="F51" s="95"/>
      <c r="G51" s="64" t="s">
        <v>192</v>
      </c>
      <c r="H51" s="96">
        <v>6000</v>
      </c>
      <c r="I51" s="65">
        <v>6000</v>
      </c>
      <c r="J51" s="65">
        <f>Table1[[#This Row],[FY24 Budget]]-Table1[[#This Row],[FY23 Budget]]</f>
        <v>0</v>
      </c>
      <c r="K51" s="65">
        <v>0</v>
      </c>
    </row>
    <row r="52" spans="1:11" x14ac:dyDescent="0.25">
      <c r="A52" s="57" t="s">
        <v>292</v>
      </c>
      <c r="B52" s="58" t="s">
        <v>225</v>
      </c>
      <c r="C52" s="58">
        <v>37540</v>
      </c>
      <c r="D52" s="58" t="s">
        <v>32</v>
      </c>
      <c r="E52" s="91" t="s">
        <v>292</v>
      </c>
      <c r="F52" s="92">
        <v>107256</v>
      </c>
      <c r="G52" s="62" t="s">
        <v>173</v>
      </c>
      <c r="H52" s="93">
        <v>25000</v>
      </c>
      <c r="I52" s="63">
        <v>25000</v>
      </c>
      <c r="J52" s="63">
        <f>Table1[[#This Row],[FY24 Budget]]-Table1[[#This Row],[FY23 Budget]]</f>
        <v>3340.8999999999942</v>
      </c>
      <c r="K52" s="63">
        <v>25000</v>
      </c>
    </row>
    <row r="53" spans="1:11" x14ac:dyDescent="0.25">
      <c r="A53" s="59" t="s">
        <v>126</v>
      </c>
      <c r="B53" s="60" t="s">
        <v>293</v>
      </c>
      <c r="C53" s="60">
        <v>37550</v>
      </c>
      <c r="D53" s="60" t="s">
        <v>87</v>
      </c>
      <c r="E53" s="94" t="s">
        <v>294</v>
      </c>
      <c r="F53" s="95">
        <v>106756</v>
      </c>
      <c r="G53" s="64" t="s">
        <v>215</v>
      </c>
      <c r="H53" s="96">
        <v>1274000</v>
      </c>
      <c r="I53" s="65">
        <v>1293000</v>
      </c>
      <c r="J53" s="65">
        <f>Table1[[#This Row],[FY24 Budget]]-Table1[[#This Row],[FY23 Budget]]</f>
        <v>13220</v>
      </c>
      <c r="K53" s="65"/>
    </row>
    <row r="54" spans="1:11" x14ac:dyDescent="0.25">
      <c r="A54" s="57" t="s">
        <v>295</v>
      </c>
      <c r="B54" s="58" t="s">
        <v>79</v>
      </c>
      <c r="C54" s="58">
        <v>37540</v>
      </c>
      <c r="D54" s="58" t="s">
        <v>32</v>
      </c>
      <c r="E54" s="91" t="s">
        <v>296</v>
      </c>
      <c r="F54" s="92">
        <v>106709</v>
      </c>
      <c r="G54" s="62" t="s">
        <v>173</v>
      </c>
      <c r="H54" s="93">
        <v>29000</v>
      </c>
      <c r="I54" s="63">
        <v>30000</v>
      </c>
      <c r="J54" s="63">
        <f>Table1[[#This Row],[FY24 Budget]]-Table1[[#This Row],[FY23 Budget]]</f>
        <v>0</v>
      </c>
      <c r="K54" s="63">
        <v>0</v>
      </c>
    </row>
    <row r="55" spans="1:11" x14ac:dyDescent="0.25">
      <c r="A55" s="59" t="s">
        <v>295</v>
      </c>
      <c r="B55" s="60" t="s">
        <v>297</v>
      </c>
      <c r="C55" s="60">
        <v>37540</v>
      </c>
      <c r="D55" s="60" t="s">
        <v>32</v>
      </c>
      <c r="E55" s="94" t="s">
        <v>298</v>
      </c>
      <c r="F55" s="95">
        <v>106709</v>
      </c>
      <c r="G55" s="64" t="s">
        <v>173</v>
      </c>
      <c r="H55" s="96">
        <v>26000</v>
      </c>
      <c r="I55" s="65">
        <v>27000</v>
      </c>
      <c r="J55" s="65">
        <f>Table1[[#This Row],[FY24 Budget]]-Table1[[#This Row],[FY23 Budget]]</f>
        <v>1210</v>
      </c>
      <c r="K55" s="65">
        <v>0</v>
      </c>
    </row>
    <row r="56" spans="1:11" x14ac:dyDescent="0.25">
      <c r="A56" s="57" t="s">
        <v>299</v>
      </c>
      <c r="B56" s="58" t="s">
        <v>300</v>
      </c>
      <c r="C56" s="58">
        <v>37530</v>
      </c>
      <c r="D56" s="58" t="s">
        <v>44</v>
      </c>
      <c r="E56" s="91"/>
      <c r="F56" s="92"/>
      <c r="G56" s="62" t="s">
        <v>192</v>
      </c>
      <c r="H56" s="93">
        <v>0</v>
      </c>
      <c r="I56" s="63">
        <v>77000</v>
      </c>
      <c r="J56" s="63">
        <f>Table1[[#This Row],[FY24 Budget]]-Table1[[#This Row],[FY23 Budget]]</f>
        <v>0</v>
      </c>
      <c r="K56" s="63">
        <v>0</v>
      </c>
    </row>
    <row r="57" spans="1:11" x14ac:dyDescent="0.25">
      <c r="A57" s="59" t="s">
        <v>301</v>
      </c>
      <c r="B57" s="60" t="s">
        <v>302</v>
      </c>
      <c r="C57" s="60">
        <v>37560</v>
      </c>
      <c r="D57" s="60" t="s">
        <v>50</v>
      </c>
      <c r="E57" s="94" t="s">
        <v>301</v>
      </c>
      <c r="F57" s="95" t="s">
        <v>303</v>
      </c>
      <c r="G57" s="64" t="s">
        <v>173</v>
      </c>
      <c r="H57" s="96">
        <v>89785</v>
      </c>
      <c r="I57" s="65">
        <v>92926</v>
      </c>
      <c r="J57" s="65">
        <f>Table1[[#This Row],[FY24 Budget]]-Table1[[#This Row],[FY23 Budget]]</f>
        <v>107651</v>
      </c>
      <c r="K57" s="65">
        <v>58775</v>
      </c>
    </row>
    <row r="58" spans="1:11" x14ac:dyDescent="0.25">
      <c r="A58" s="57" t="s">
        <v>131</v>
      </c>
      <c r="B58" s="58" t="s">
        <v>132</v>
      </c>
      <c r="C58" s="58">
        <v>37560</v>
      </c>
      <c r="D58" s="58" t="s">
        <v>50</v>
      </c>
      <c r="E58" s="91" t="s">
        <v>304</v>
      </c>
      <c r="F58" s="92">
        <v>107257</v>
      </c>
      <c r="G58" s="62" t="s">
        <v>192</v>
      </c>
      <c r="H58" s="93">
        <v>62000</v>
      </c>
      <c r="I58" s="63">
        <v>65000</v>
      </c>
      <c r="J58" s="63">
        <f>Table1[[#This Row],[FY24 Budget]]-Table1[[#This Row],[FY23 Budget]]</f>
        <v>25441</v>
      </c>
      <c r="K58" s="63">
        <v>62000</v>
      </c>
    </row>
    <row r="59" spans="1:11" x14ac:dyDescent="0.25">
      <c r="A59" s="59" t="s">
        <v>135</v>
      </c>
      <c r="B59" s="60" t="s">
        <v>136</v>
      </c>
      <c r="C59" s="60">
        <v>37530</v>
      </c>
      <c r="D59" s="60" t="s">
        <v>44</v>
      </c>
      <c r="E59" s="94" t="s">
        <v>305</v>
      </c>
      <c r="F59" s="95">
        <v>106991</v>
      </c>
      <c r="G59" s="64" t="s">
        <v>173</v>
      </c>
      <c r="H59" s="96">
        <v>23000</v>
      </c>
      <c r="I59" s="65">
        <v>21000</v>
      </c>
      <c r="J59" s="65">
        <f>Table1[[#This Row],[FY24 Budget]]-Table1[[#This Row],[FY23 Budget]]</f>
        <v>15450</v>
      </c>
      <c r="K59" s="65">
        <v>0</v>
      </c>
    </row>
    <row r="60" spans="1:11" x14ac:dyDescent="0.25">
      <c r="A60" s="57" t="s">
        <v>137</v>
      </c>
      <c r="B60" s="58" t="s">
        <v>138</v>
      </c>
      <c r="C60" s="58">
        <v>37560</v>
      </c>
      <c r="D60" s="58" t="s">
        <v>50</v>
      </c>
      <c r="E60" s="91" t="s">
        <v>137</v>
      </c>
      <c r="F60" s="92" t="s">
        <v>209</v>
      </c>
      <c r="G60" s="62" t="s">
        <v>192</v>
      </c>
      <c r="H60" s="93">
        <v>0</v>
      </c>
      <c r="I60" s="63">
        <v>10000</v>
      </c>
      <c r="J60" s="63">
        <f>Table1[[#This Row],[FY24 Budget]]-Table1[[#This Row],[FY23 Budget]]</f>
        <v>-161000</v>
      </c>
      <c r="K60" s="63">
        <v>10000</v>
      </c>
    </row>
    <row r="61" spans="1:11" x14ac:dyDescent="0.25">
      <c r="A61" s="59" t="s">
        <v>306</v>
      </c>
      <c r="B61" s="60" t="s">
        <v>307</v>
      </c>
      <c r="C61" s="60">
        <v>37530</v>
      </c>
      <c r="D61" s="60" t="s">
        <v>44</v>
      </c>
      <c r="E61" s="94" t="s">
        <v>308</v>
      </c>
      <c r="F61" s="95">
        <v>104333</v>
      </c>
      <c r="G61" s="64" t="s">
        <v>192</v>
      </c>
      <c r="H61" s="96">
        <v>103000</v>
      </c>
      <c r="I61" s="65">
        <v>106000</v>
      </c>
      <c r="J61" s="65">
        <f>Table1[[#This Row],[FY24 Budget]]-Table1[[#This Row],[FY23 Budget]]</f>
        <v>5150</v>
      </c>
      <c r="K61" s="65">
        <v>95000</v>
      </c>
    </row>
    <row r="62" spans="1:11" x14ac:dyDescent="0.25">
      <c r="A62" s="57" t="s">
        <v>306</v>
      </c>
      <c r="B62" s="58" t="s">
        <v>309</v>
      </c>
      <c r="C62" s="58">
        <v>37540</v>
      </c>
      <c r="D62" s="58" t="s">
        <v>32</v>
      </c>
      <c r="E62" s="91" t="s">
        <v>310</v>
      </c>
      <c r="F62" s="92">
        <v>104333</v>
      </c>
      <c r="G62" s="62" t="s">
        <v>173</v>
      </c>
      <c r="H62" s="93">
        <v>334000</v>
      </c>
      <c r="I62" s="63">
        <v>330000</v>
      </c>
      <c r="J62" s="63">
        <f>Table1[[#This Row],[FY24 Budget]]-Table1[[#This Row],[FY23 Budget]]</f>
        <v>14300</v>
      </c>
      <c r="K62" s="63"/>
    </row>
    <row r="63" spans="1:11" x14ac:dyDescent="0.25">
      <c r="A63" s="59" t="s">
        <v>311</v>
      </c>
      <c r="B63" s="60" t="s">
        <v>312</v>
      </c>
      <c r="C63" s="60">
        <v>37530</v>
      </c>
      <c r="D63" s="60" t="s">
        <v>44</v>
      </c>
      <c r="E63" s="94" t="s">
        <v>311</v>
      </c>
      <c r="F63" s="95">
        <v>200103</v>
      </c>
      <c r="G63" s="64" t="s">
        <v>173</v>
      </c>
      <c r="H63" s="96">
        <v>0</v>
      </c>
      <c r="I63" s="65">
        <v>1002000</v>
      </c>
      <c r="J63" s="65">
        <f>Table1[[#This Row],[FY24 Budget]]-Table1[[#This Row],[FY23 Budget]]</f>
        <v>128000</v>
      </c>
      <c r="K63" s="65">
        <v>899610</v>
      </c>
    </row>
    <row r="64" spans="1:11" x14ac:dyDescent="0.25">
      <c r="A64" s="57" t="s">
        <v>313</v>
      </c>
      <c r="B64" s="58" t="s">
        <v>314</v>
      </c>
      <c r="C64" s="58">
        <v>37540</v>
      </c>
      <c r="D64" s="58" t="s">
        <v>32</v>
      </c>
      <c r="E64" s="91" t="s">
        <v>234</v>
      </c>
      <c r="F64" s="92"/>
      <c r="G64" s="62" t="s">
        <v>173</v>
      </c>
      <c r="H64" s="93">
        <v>43000</v>
      </c>
      <c r="I64" s="63">
        <v>22500</v>
      </c>
      <c r="J64" s="63">
        <f>Table1[[#This Row],[FY24 Budget]]-Table1[[#This Row],[FY23 Budget]]</f>
        <v>10000</v>
      </c>
      <c r="K64" s="63">
        <v>0</v>
      </c>
    </row>
    <row r="65" spans="1:11" x14ac:dyDescent="0.25">
      <c r="A65" s="59" t="s">
        <v>141</v>
      </c>
      <c r="B65" s="60" t="s">
        <v>142</v>
      </c>
      <c r="C65" s="60">
        <v>37510</v>
      </c>
      <c r="D65" s="60" t="s">
        <v>26</v>
      </c>
      <c r="E65" s="94" t="s">
        <v>141</v>
      </c>
      <c r="F65" s="95" t="s">
        <v>209</v>
      </c>
      <c r="G65" s="64" t="s">
        <v>198</v>
      </c>
      <c r="H65" s="96">
        <v>21000</v>
      </c>
      <c r="I65" s="65">
        <v>22000</v>
      </c>
      <c r="J65" s="65">
        <f>Table1[[#This Row],[FY24 Budget]]-Table1[[#This Row],[FY23 Budget]]</f>
        <v>0</v>
      </c>
      <c r="K65" s="65">
        <v>27262</v>
      </c>
    </row>
  </sheetData>
  <hyperlinks>
    <hyperlink ref="E23" r:id="rId1" xr:uid="{DBCDB871-3CE8-47A7-ADC6-000A934E47E8}"/>
    <hyperlink ref="E24" r:id="rId2" xr:uid="{2CE805C8-4C97-4DBD-B592-8A7E872C52CC}"/>
    <hyperlink ref="E28" r:id="rId3" xr:uid="{F43F3E4E-E35E-4916-AE6E-FB68C7674673}"/>
    <hyperlink ref="E30" r:id="rId4" xr:uid="{04423353-0DDF-4279-8481-39FF574A0219}"/>
    <hyperlink ref="E31" r:id="rId5" xr:uid="{D8771938-3D87-45F5-AE43-CA32D065E0CF}"/>
    <hyperlink ref="E32" r:id="rId6" xr:uid="{52AC3DF5-018C-4A9A-BBB6-91CC9D55B1C8}"/>
    <hyperlink ref="E33" r:id="rId7" xr:uid="{F1D0FDE1-35F1-4F9B-A101-7584A4EBD117}"/>
    <hyperlink ref="E34" r:id="rId8" xr:uid="{220A9946-65A9-4195-8AB8-20491AA6DC85}"/>
    <hyperlink ref="E35" r:id="rId9" xr:uid="{13A318A0-6798-4C16-A082-0C10698DFFFD}"/>
    <hyperlink ref="E37" r:id="rId10" xr:uid="{7D7C8B95-8CF9-4F4C-9230-1AD4AC07A7CC}"/>
    <hyperlink ref="E41" r:id="rId11" xr:uid="{E27F8CB5-C6FE-4511-966C-CFE04DB6A6D3}"/>
    <hyperlink ref="E42" r:id="rId12" xr:uid="{1AD2DC08-9AFF-481A-9821-51F6B8C99D72}"/>
    <hyperlink ref="E45" r:id="rId13" xr:uid="{D364F999-CFEF-409C-9932-D2E86A3E6420}"/>
    <hyperlink ref="E49" r:id="rId14" xr:uid="{95541557-B574-4C4E-892E-35E5814DCE06}"/>
    <hyperlink ref="E52" r:id="rId15" xr:uid="{BFDC0B3B-9C3E-4503-A9DD-B8902DE72DD7}"/>
    <hyperlink ref="E53" r:id="rId16" xr:uid="{3FAF5171-3796-4940-95CB-D1C879B2E7AF}"/>
    <hyperlink ref="E54" r:id="rId17" xr:uid="{0784F06B-54BA-4611-A6F5-B70765AF31BA}"/>
    <hyperlink ref="E55" r:id="rId18" xr:uid="{5652AA93-007D-4BC2-8AFF-7D995FD1385E}"/>
    <hyperlink ref="E57" r:id="rId19" xr:uid="{CE9F486D-4F02-4368-A95B-006C687F9455}"/>
    <hyperlink ref="E58" r:id="rId20" xr:uid="{E2E8E937-EA4D-45F9-97CF-7D75D5FE924B}"/>
    <hyperlink ref="E59" r:id="rId21" xr:uid="{31E3EF7D-8A07-4D9A-9742-CAF6FFF79386}"/>
    <hyperlink ref="E60" r:id="rId22" xr:uid="{2967A66C-87C9-40B0-A4BA-A6AA1D441E87}"/>
    <hyperlink ref="E61" r:id="rId23" xr:uid="{67E5C232-4370-4118-BEBF-A4B88E85F9F7}"/>
    <hyperlink ref="E62" r:id="rId24" xr:uid="{6DCADBE9-7FB4-4C06-BF6A-A9258DC16045}"/>
    <hyperlink ref="E63" r:id="rId25" xr:uid="{2DA16928-5D29-488A-A2BB-9B8CCC135AC9}"/>
    <hyperlink ref="E65" r:id="rId26" xr:uid="{4421CE69-8B22-4E05-AF04-0210B76B52C6}"/>
    <hyperlink ref="E40" r:id="rId27" xr:uid="{88873444-C8DC-4694-850E-933B9B075636}"/>
    <hyperlink ref="E38" r:id="rId28" xr:uid="{566E1095-BD29-4942-8EF7-89B09C7C648B}"/>
    <hyperlink ref="E5" r:id="rId29" xr:uid="{A98B8F7F-EE65-4606-932E-E3FA42B9E38A}"/>
    <hyperlink ref="E6" r:id="rId30" xr:uid="{2C74B1D4-A725-47FF-8D3F-F6355BC7FBAD}"/>
    <hyperlink ref="E7" r:id="rId31" xr:uid="{C0666CA5-1580-44A5-ACC7-A28CCDC664BD}"/>
    <hyperlink ref="E8" r:id="rId32" xr:uid="{F03A8F46-5FAA-40AF-8495-D53FE03149D4}"/>
    <hyperlink ref="E9" r:id="rId33" xr:uid="{FC1F4DC3-A23A-4C16-A6BB-77C662C00CB0}"/>
    <hyperlink ref="E10" r:id="rId34" xr:uid="{DE071784-E8E5-48CE-8685-B877579940AE}"/>
    <hyperlink ref="E11" r:id="rId35" xr:uid="{7436C386-23A7-48B1-AAD7-C30B153501E0}"/>
    <hyperlink ref="E12" r:id="rId36" xr:uid="{B3EE591F-F98D-4AB1-90BB-F9CBC2D66A11}"/>
    <hyperlink ref="E13" r:id="rId37" xr:uid="{82DBC7EB-0FD2-4745-8A51-DE5E69F392D8}"/>
    <hyperlink ref="E15" r:id="rId38" xr:uid="{05399CEB-A27D-4644-A1AA-246AFC880CEB}"/>
    <hyperlink ref="E18" r:id="rId39" xr:uid="{30C8D379-F2E6-4778-991E-E7B7C7D2E4BF}"/>
    <hyperlink ref="E19" r:id="rId40" xr:uid="{9DF97BF3-0618-4C83-889E-383494DB8931}"/>
    <hyperlink ref="E20" r:id="rId41" xr:uid="{709BB59E-F1C0-4EC7-BA8D-3B58A46D3AAF}"/>
    <hyperlink ref="E21" r:id="rId42" xr:uid="{EBDD0F27-19CF-44E6-A62D-4AD52B10D618}"/>
    <hyperlink ref="E36" r:id="rId43" xr:uid="{F11C31B5-91FC-4173-B4B2-18B7858BC1E5}"/>
    <hyperlink ref="E39" r:id="rId44" xr:uid="{727A9ACE-1B53-481D-9C33-B7F3C548A43D}"/>
    <hyperlink ref="E48" r:id="rId45" xr:uid="{81438411-65CF-4B6B-9338-05637940F096}"/>
    <hyperlink ref="E3" r:id="rId46" xr:uid="{F6048CE2-A5E0-433B-9C9A-6BED06376A4D}"/>
    <hyperlink ref="E16" r:id="rId47" xr:uid="{9A952B33-3EEB-4E5D-8AED-6F420F52ECE1}"/>
    <hyperlink ref="E51" r:id="rId48" xr:uid="{D1642ED5-1A90-4D76-9DFF-05766842528F}"/>
    <hyperlink ref="E27" r:id="rId49" xr:uid="{B05ADC61-7A7A-4635-9BEB-9A2272611266}"/>
    <hyperlink ref="E4" r:id="rId50" xr:uid="{1DBE2CB1-BFBE-4174-9DA7-C7D20923E546}"/>
    <hyperlink ref="E47" r:id="rId51" xr:uid="{8135EA4F-ADBD-4653-B88B-1981DA58BD57}"/>
    <hyperlink ref="E17" r:id="rId52" xr:uid="{09057512-F164-4391-B458-D92EB388158C}"/>
    <hyperlink ref="E44" r:id="rId53" xr:uid="{7CBDB625-4E60-4CBD-A0FA-B27F34EBC112}"/>
    <hyperlink ref="E46" r:id="rId54" xr:uid="{42C0841C-B54D-4160-8475-BA21158FBFF5}"/>
    <hyperlink ref="E2" r:id="rId55" xr:uid="{97C1717B-2831-4045-BAD3-311E97BBB7A7}"/>
  </hyperlinks>
  <pageMargins left="0.7" right="0.7" top="0.75" bottom="0.75" header="0.3" footer="0.3"/>
  <legacyDrawing r:id="rId5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A03A-FA5D-4E29-9145-E3612A607643}">
  <dimension ref="A1:E85"/>
  <sheetViews>
    <sheetView workbookViewId="0">
      <selection activeCell="A26" sqref="A26"/>
    </sheetView>
  </sheetViews>
  <sheetFormatPr defaultColWidth="9.140625" defaultRowHeight="15" x14ac:dyDescent="0.25"/>
  <cols>
    <col min="1" max="1" width="64.5703125" style="484" bestFit="1" customWidth="1"/>
    <col min="2" max="2" width="27.42578125" style="484" customWidth="1"/>
    <col min="3" max="3" width="34.7109375" style="484" customWidth="1"/>
    <col min="4" max="4" width="36.5703125" style="484" customWidth="1"/>
    <col min="5" max="5" width="20" style="484" customWidth="1"/>
    <col min="6" max="16384" width="9.140625" style="484"/>
  </cols>
  <sheetData>
    <row r="1" spans="1:5" s="483" customFormat="1" x14ac:dyDescent="0.25">
      <c r="A1" s="482" t="s">
        <v>2210</v>
      </c>
      <c r="B1" s="482" t="s">
        <v>2211</v>
      </c>
      <c r="C1" s="482" t="s">
        <v>2212</v>
      </c>
      <c r="D1" s="482" t="s">
        <v>2213</v>
      </c>
      <c r="E1" s="482" t="s">
        <v>2214</v>
      </c>
    </row>
    <row r="2" spans="1:5" x14ac:dyDescent="0.25">
      <c r="A2" s="484" t="s">
        <v>2144</v>
      </c>
    </row>
    <row r="3" spans="1:5" x14ac:dyDescent="0.25">
      <c r="A3" s="484" t="s">
        <v>30</v>
      </c>
    </row>
    <row r="4" spans="1:5" x14ac:dyDescent="0.25">
      <c r="A4" s="484" t="s">
        <v>1632</v>
      </c>
    </row>
    <row r="5" spans="1:5" x14ac:dyDescent="0.25">
      <c r="A5" s="484" t="s">
        <v>1632</v>
      </c>
    </row>
    <row r="6" spans="1:5" x14ac:dyDescent="0.25">
      <c r="A6" s="484" t="s">
        <v>435</v>
      </c>
    </row>
    <row r="7" spans="1:5" x14ac:dyDescent="0.25">
      <c r="A7" s="484" t="s">
        <v>444</v>
      </c>
    </row>
    <row r="8" spans="1:5" x14ac:dyDescent="0.25">
      <c r="A8" s="484" t="s">
        <v>456</v>
      </c>
    </row>
    <row r="9" spans="1:5" x14ac:dyDescent="0.25">
      <c r="A9" s="484" t="s">
        <v>1646</v>
      </c>
    </row>
    <row r="10" spans="1:5" x14ac:dyDescent="0.25">
      <c r="A10" s="484" t="s">
        <v>36</v>
      </c>
    </row>
    <row r="11" spans="1:5" x14ac:dyDescent="0.25">
      <c r="A11" s="484" t="s">
        <v>1658</v>
      </c>
    </row>
    <row r="12" spans="1:5" x14ac:dyDescent="0.25">
      <c r="A12" s="484" t="s">
        <v>472</v>
      </c>
    </row>
    <row r="13" spans="1:5" x14ac:dyDescent="0.25">
      <c r="A13" s="484" t="s">
        <v>42</v>
      </c>
    </row>
    <row r="14" spans="1:5" x14ac:dyDescent="0.25">
      <c r="A14" s="484" t="s">
        <v>1668</v>
      </c>
    </row>
    <row r="15" spans="1:5" x14ac:dyDescent="0.25">
      <c r="A15" s="484" t="s">
        <v>1674</v>
      </c>
    </row>
    <row r="16" spans="1:5" x14ac:dyDescent="0.25">
      <c r="A16" s="484" t="s">
        <v>1680</v>
      </c>
    </row>
    <row r="17" spans="1:5" x14ac:dyDescent="0.25">
      <c r="A17" s="484" t="s">
        <v>170</v>
      </c>
    </row>
    <row r="18" spans="1:5" x14ac:dyDescent="0.25">
      <c r="A18" s="484" t="s">
        <v>52</v>
      </c>
    </row>
    <row r="19" spans="1:5" x14ac:dyDescent="0.25">
      <c r="A19" s="484" t="s">
        <v>1689</v>
      </c>
    </row>
    <row r="20" spans="1:5" x14ac:dyDescent="0.25">
      <c r="A20" s="484" t="s">
        <v>509</v>
      </c>
    </row>
    <row r="21" spans="1:5" x14ac:dyDescent="0.25">
      <c r="A21" s="484" t="s">
        <v>518</v>
      </c>
    </row>
    <row r="22" spans="1:5" x14ac:dyDescent="0.25">
      <c r="A22" s="484" t="s">
        <v>518</v>
      </c>
    </row>
    <row r="23" spans="1:5" x14ac:dyDescent="0.25">
      <c r="A23" s="484" t="s">
        <v>54</v>
      </c>
    </row>
    <row r="24" spans="1:5" x14ac:dyDescent="0.25">
      <c r="A24" s="484" t="s">
        <v>57</v>
      </c>
    </row>
    <row r="25" spans="1:5" x14ac:dyDescent="0.25">
      <c r="A25" s="484" t="s">
        <v>59</v>
      </c>
    </row>
    <row r="26" spans="1:5" x14ac:dyDescent="0.25">
      <c r="A26" s="484" t="s">
        <v>61</v>
      </c>
    </row>
    <row r="27" spans="1:5" x14ac:dyDescent="0.25">
      <c r="A27" s="484" t="s">
        <v>1718</v>
      </c>
    </row>
    <row r="28" spans="1:5" x14ac:dyDescent="0.25">
      <c r="A28" s="484" t="s">
        <v>1724</v>
      </c>
    </row>
    <row r="29" spans="1:5" x14ac:dyDescent="0.25">
      <c r="A29" s="484" t="s">
        <v>66</v>
      </c>
      <c r="B29" s="484" t="s">
        <v>2170</v>
      </c>
      <c r="C29" s="485" t="s">
        <v>2172</v>
      </c>
      <c r="D29" s="484" t="s">
        <v>2171</v>
      </c>
      <c r="E29" s="486">
        <v>45658</v>
      </c>
    </row>
    <row r="30" spans="1:5" x14ac:dyDescent="0.25">
      <c r="A30" s="484" t="s">
        <v>1731</v>
      </c>
    </row>
    <row r="31" spans="1:5" x14ac:dyDescent="0.25">
      <c r="A31" s="484" t="s">
        <v>69</v>
      </c>
      <c r="B31" s="484" t="s">
        <v>2182</v>
      </c>
      <c r="C31" s="485" t="s">
        <v>2215</v>
      </c>
      <c r="E31" s="486">
        <v>45853</v>
      </c>
    </row>
    <row r="32" spans="1:5" x14ac:dyDescent="0.25">
      <c r="A32" s="484" t="s">
        <v>1734</v>
      </c>
    </row>
    <row r="33" spans="1:5" x14ac:dyDescent="0.25">
      <c r="A33" s="484" t="s">
        <v>71</v>
      </c>
    </row>
    <row r="34" spans="1:5" x14ac:dyDescent="0.25">
      <c r="A34" s="484" t="s">
        <v>75</v>
      </c>
      <c r="B34" s="484" t="s">
        <v>2173</v>
      </c>
      <c r="C34" s="485" t="s">
        <v>2216</v>
      </c>
      <c r="D34" s="484" t="s">
        <v>2174</v>
      </c>
      <c r="E34" s="486">
        <v>45658</v>
      </c>
    </row>
    <row r="35" spans="1:5" x14ac:dyDescent="0.25">
      <c r="A35" s="484" t="s">
        <v>1746</v>
      </c>
      <c r="B35" s="484" t="s">
        <v>2192</v>
      </c>
      <c r="C35" s="487" t="s">
        <v>2217</v>
      </c>
      <c r="E35" s="486">
        <v>45658</v>
      </c>
    </row>
    <row r="36" spans="1:5" x14ac:dyDescent="0.25">
      <c r="A36" s="484" t="s">
        <v>1754</v>
      </c>
    </row>
    <row r="37" spans="1:5" x14ac:dyDescent="0.25">
      <c r="A37" s="484" t="s">
        <v>1758</v>
      </c>
    </row>
    <row r="38" spans="1:5" x14ac:dyDescent="0.25">
      <c r="A38" s="484" t="s">
        <v>564</v>
      </c>
    </row>
    <row r="39" spans="1:5" x14ac:dyDescent="0.25">
      <c r="A39" s="484" t="s">
        <v>1766</v>
      </c>
    </row>
    <row r="40" spans="1:5" x14ac:dyDescent="0.25">
      <c r="A40" s="484" t="s">
        <v>577</v>
      </c>
    </row>
    <row r="41" spans="1:5" x14ac:dyDescent="0.25">
      <c r="A41" s="484" t="s">
        <v>81</v>
      </c>
      <c r="B41" s="484" t="s">
        <v>2218</v>
      </c>
      <c r="C41" s="485" t="s">
        <v>2219</v>
      </c>
      <c r="D41" s="484" t="s">
        <v>2177</v>
      </c>
      <c r="E41" s="486">
        <v>45658</v>
      </c>
    </row>
    <row r="42" spans="1:5" x14ac:dyDescent="0.25">
      <c r="A42" s="484" t="s">
        <v>85</v>
      </c>
    </row>
    <row r="43" spans="1:5" x14ac:dyDescent="0.25">
      <c r="A43" s="484" t="s">
        <v>1779</v>
      </c>
    </row>
    <row r="44" spans="1:5" x14ac:dyDescent="0.25">
      <c r="A44" s="484" t="s">
        <v>1787</v>
      </c>
    </row>
    <row r="45" spans="1:5" x14ac:dyDescent="0.25">
      <c r="A45" s="484" t="s">
        <v>597</v>
      </c>
    </row>
    <row r="46" spans="1:5" x14ac:dyDescent="0.25">
      <c r="A46" s="484" t="s">
        <v>606</v>
      </c>
      <c r="B46" s="484" t="s">
        <v>2184</v>
      </c>
      <c r="C46" s="487" t="s">
        <v>2220</v>
      </c>
      <c r="D46" s="484" t="s">
        <v>2185</v>
      </c>
      <c r="E46" s="486">
        <v>45658</v>
      </c>
    </row>
    <row r="47" spans="1:5" x14ac:dyDescent="0.25">
      <c r="A47" s="484" t="s">
        <v>612</v>
      </c>
    </row>
    <row r="48" spans="1:5" x14ac:dyDescent="0.25">
      <c r="A48" s="484" t="s">
        <v>616</v>
      </c>
    </row>
    <row r="49" spans="1:5" x14ac:dyDescent="0.25">
      <c r="A49" s="484" t="s">
        <v>265</v>
      </c>
    </row>
    <row r="50" spans="1:5" x14ac:dyDescent="0.25">
      <c r="A50" s="484" t="s">
        <v>97</v>
      </c>
    </row>
    <row r="51" spans="1:5" x14ac:dyDescent="0.25">
      <c r="A51" s="484" t="s">
        <v>894</v>
      </c>
    </row>
    <row r="52" spans="1:5" x14ac:dyDescent="0.25">
      <c r="A52" s="484" t="s">
        <v>1813</v>
      </c>
    </row>
    <row r="53" spans="1:5" x14ac:dyDescent="0.25">
      <c r="A53" s="484" t="s">
        <v>99</v>
      </c>
      <c r="B53" s="484" t="s">
        <v>2189</v>
      </c>
      <c r="C53" s="487" t="s">
        <v>2221</v>
      </c>
      <c r="D53" s="484" t="s">
        <v>2190</v>
      </c>
      <c r="E53" s="486">
        <v>45658</v>
      </c>
    </row>
    <row r="54" spans="1:5" x14ac:dyDescent="0.25">
      <c r="A54" s="484" t="s">
        <v>637</v>
      </c>
    </row>
    <row r="55" spans="1:5" x14ac:dyDescent="0.25">
      <c r="A55" s="484" t="s">
        <v>103</v>
      </c>
    </row>
    <row r="56" spans="1:5" x14ac:dyDescent="0.25">
      <c r="A56" s="484" t="s">
        <v>107</v>
      </c>
    </row>
    <row r="57" spans="1:5" x14ac:dyDescent="0.25">
      <c r="A57" s="484" t="s">
        <v>111</v>
      </c>
    </row>
    <row r="58" spans="1:5" x14ac:dyDescent="0.25">
      <c r="A58" s="484" t="s">
        <v>661</v>
      </c>
    </row>
    <row r="59" spans="1:5" x14ac:dyDescent="0.25">
      <c r="A59" s="484" t="s">
        <v>113</v>
      </c>
    </row>
    <row r="60" spans="1:5" x14ac:dyDescent="0.25">
      <c r="A60" s="484" t="s">
        <v>670</v>
      </c>
    </row>
    <row r="61" spans="1:5" x14ac:dyDescent="0.25">
      <c r="A61" s="484" t="s">
        <v>679</v>
      </c>
    </row>
    <row r="62" spans="1:5" x14ac:dyDescent="0.25">
      <c r="A62" s="484" t="s">
        <v>1851</v>
      </c>
    </row>
    <row r="63" spans="1:5" x14ac:dyDescent="0.25">
      <c r="A63" s="484" t="s">
        <v>121</v>
      </c>
    </row>
    <row r="64" spans="1:5" x14ac:dyDescent="0.25">
      <c r="A64" s="484" t="s">
        <v>688</v>
      </c>
    </row>
    <row r="65" spans="1:5" x14ac:dyDescent="0.25">
      <c r="A65" s="484" t="s">
        <v>126</v>
      </c>
    </row>
    <row r="66" spans="1:5" x14ac:dyDescent="0.25">
      <c r="A66" s="484" t="s">
        <v>1866</v>
      </c>
    </row>
    <row r="67" spans="1:5" x14ac:dyDescent="0.25">
      <c r="A67" s="484" t="s">
        <v>703</v>
      </c>
    </row>
    <row r="68" spans="1:5" x14ac:dyDescent="0.25">
      <c r="A68" s="484" t="s">
        <v>1870</v>
      </c>
    </row>
    <row r="69" spans="1:5" x14ac:dyDescent="0.25">
      <c r="A69" s="484" t="s">
        <v>1873</v>
      </c>
    </row>
    <row r="70" spans="1:5" x14ac:dyDescent="0.25">
      <c r="A70" s="484" t="s">
        <v>128</v>
      </c>
    </row>
    <row r="71" spans="1:5" x14ac:dyDescent="0.25">
      <c r="A71" s="484" t="s">
        <v>301</v>
      </c>
      <c r="B71" s="484" t="s">
        <v>2199</v>
      </c>
      <c r="C71" s="487" t="s">
        <v>2222</v>
      </c>
      <c r="D71" s="484" t="s">
        <v>2200</v>
      </c>
      <c r="E71" s="486">
        <v>45658</v>
      </c>
    </row>
    <row r="72" spans="1:5" x14ac:dyDescent="0.25">
      <c r="A72" s="484" t="s">
        <v>726</v>
      </c>
    </row>
    <row r="73" spans="1:5" x14ac:dyDescent="0.25">
      <c r="A73" s="484" t="s">
        <v>731</v>
      </c>
    </row>
    <row r="74" spans="1:5" x14ac:dyDescent="0.25">
      <c r="A74" s="484" t="s">
        <v>131</v>
      </c>
    </row>
    <row r="75" spans="1:5" x14ac:dyDescent="0.25">
      <c r="A75" s="484" t="s">
        <v>133</v>
      </c>
    </row>
    <row r="76" spans="1:5" x14ac:dyDescent="0.25">
      <c r="A76" s="484" t="s">
        <v>746</v>
      </c>
    </row>
    <row r="77" spans="1:5" x14ac:dyDescent="0.25">
      <c r="A77" s="484" t="s">
        <v>751</v>
      </c>
    </row>
    <row r="78" spans="1:5" x14ac:dyDescent="0.25">
      <c r="A78" s="484" t="s">
        <v>1898</v>
      </c>
    </row>
    <row r="79" spans="1:5" x14ac:dyDescent="0.25">
      <c r="A79" s="484" t="s">
        <v>137</v>
      </c>
      <c r="B79" s="484" t="s">
        <v>2204</v>
      </c>
      <c r="C79" s="487" t="s">
        <v>2223</v>
      </c>
      <c r="E79" s="486">
        <v>45658</v>
      </c>
    </row>
    <row r="80" spans="1:5" x14ac:dyDescent="0.25">
      <c r="A80" s="484" t="s">
        <v>139</v>
      </c>
    </row>
    <row r="81" spans="1:1" x14ac:dyDescent="0.25">
      <c r="A81" s="484" t="s">
        <v>1906</v>
      </c>
    </row>
    <row r="82" spans="1:1" x14ac:dyDescent="0.25">
      <c r="A82" s="484" t="s">
        <v>1911</v>
      </c>
    </row>
    <row r="83" spans="1:1" x14ac:dyDescent="0.25">
      <c r="A83" s="484" t="s">
        <v>1917</v>
      </c>
    </row>
    <row r="84" spans="1:1" x14ac:dyDescent="0.25">
      <c r="A84" s="484" t="s">
        <v>141</v>
      </c>
    </row>
    <row r="85" spans="1:1" x14ac:dyDescent="0.25">
      <c r="A85" s="484" t="s">
        <v>1247</v>
      </c>
    </row>
  </sheetData>
  <hyperlinks>
    <hyperlink ref="C29" r:id="rId1" xr:uid="{522C8759-BC24-47D3-826D-B4F9C87F641B}"/>
    <hyperlink ref="C34" r:id="rId2" xr:uid="{905A5CA1-A3D8-4BD0-A793-A4099B3A98FE}"/>
    <hyperlink ref="C41" r:id="rId3" xr:uid="{FF399454-7BF5-4F05-BAF9-C55AB5496E13}"/>
    <hyperlink ref="C31" r:id="rId4" xr:uid="{152E0B60-0654-4305-A0D1-9701C0E022C2}"/>
    <hyperlink ref="C35" r:id="rId5" xr:uid="{96596A4B-F2B3-4879-9882-7C5A3F680F42}"/>
    <hyperlink ref="C46" r:id="rId6" xr:uid="{F574716F-905F-4D44-B82C-172DBE9E8674}"/>
    <hyperlink ref="C53" r:id="rId7" xr:uid="{EEC961CB-97CE-44D9-9AE8-AD473EE6957D}"/>
    <hyperlink ref="C71" r:id="rId8" xr:uid="{A2920C3F-19D4-4E45-ADCB-125641EDD681}"/>
    <hyperlink ref="C79" r:id="rId9" xr:uid="{B561EE33-9AE5-4D3F-84CF-EFC19DCA43FA}"/>
  </hyperlinks>
  <pageMargins left="0.7" right="0.7" top="0.75" bottom="0.75" header="0.3" footer="0.3"/>
  <tableParts count="1">
    <tablePart r:id="rId10"/>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D95D5-A630-4114-9FD7-3D712911B9A0}">
  <dimension ref="A1:AQ21"/>
  <sheetViews>
    <sheetView topLeftCell="A13" workbookViewId="0">
      <selection activeCell="F24" sqref="F24"/>
    </sheetView>
  </sheetViews>
  <sheetFormatPr defaultRowHeight="15" x14ac:dyDescent="0.25"/>
  <cols>
    <col min="1" max="1" width="44.140625" bestFit="1" customWidth="1"/>
    <col min="2" max="2" width="50.28515625" bestFit="1" customWidth="1"/>
    <col min="3" max="3" width="16.5703125" bestFit="1" customWidth="1"/>
    <col min="4" max="4" width="14.28515625" bestFit="1" customWidth="1"/>
    <col min="5" max="5" width="12.7109375" bestFit="1" customWidth="1"/>
    <col min="6" max="6" width="13" bestFit="1" customWidth="1"/>
    <col min="7" max="7" width="19" bestFit="1" customWidth="1"/>
    <col min="8" max="8" width="13.42578125" bestFit="1" customWidth="1"/>
    <col min="9" max="9" width="13.28515625" bestFit="1" customWidth="1"/>
    <col min="10" max="10" width="21.7109375" bestFit="1" customWidth="1"/>
    <col min="11" max="11" width="23.85546875" bestFit="1" customWidth="1"/>
    <col min="12" max="12" width="12.140625" bestFit="1" customWidth="1"/>
    <col min="13" max="13" width="11.7109375" bestFit="1" customWidth="1"/>
    <col min="14" max="14" width="18.28515625" bestFit="1" customWidth="1"/>
    <col min="15" max="15" width="17.140625" bestFit="1" customWidth="1"/>
    <col min="16" max="16" width="18.7109375" bestFit="1" customWidth="1"/>
    <col min="17" max="17" width="27.28515625" bestFit="1" customWidth="1"/>
    <col min="18" max="18" width="13.28515625" bestFit="1" customWidth="1"/>
    <col min="19" max="19" width="15.85546875" bestFit="1" customWidth="1"/>
    <col min="20" max="20" width="12" bestFit="1" customWidth="1"/>
    <col min="21" max="21" width="18.28515625" bestFit="1" customWidth="1"/>
    <col min="22" max="22" width="15.85546875" bestFit="1" customWidth="1"/>
    <col min="23" max="23" width="11.5703125" customWidth="1"/>
    <col min="24" max="24" width="11" bestFit="1" customWidth="1"/>
    <col min="25" max="25" width="9.28515625" bestFit="1" customWidth="1"/>
    <col min="26" max="26" width="10.42578125" bestFit="1" customWidth="1"/>
    <col min="27" max="27" width="8.28515625" bestFit="1" customWidth="1"/>
    <col min="28" max="28" width="9.28515625" bestFit="1" customWidth="1"/>
    <col min="29" max="29" width="7.42578125" bestFit="1" customWidth="1"/>
    <col min="30" max="30" width="9.42578125" bestFit="1" customWidth="1"/>
    <col min="31" max="31" width="22.7109375" bestFit="1" customWidth="1"/>
    <col min="32" max="32" width="12.140625" bestFit="1" customWidth="1"/>
    <col min="33" max="33" width="19.140625" bestFit="1" customWidth="1"/>
    <col min="34" max="34" width="38.85546875" bestFit="1" customWidth="1"/>
    <col min="35" max="35" width="68.28515625" bestFit="1" customWidth="1"/>
    <col min="36" max="36" width="16.85546875" bestFit="1" customWidth="1"/>
    <col min="37" max="37" width="18.42578125" bestFit="1" customWidth="1"/>
    <col min="38" max="38" width="12.5703125" bestFit="1" customWidth="1"/>
    <col min="39" max="39" width="12.85546875" bestFit="1" customWidth="1"/>
    <col min="40" max="40" width="48.28515625" customWidth="1"/>
    <col min="41" max="41" width="24.28515625" bestFit="1" customWidth="1"/>
  </cols>
  <sheetData>
    <row r="1" spans="1:43" s="54" customFormat="1" x14ac:dyDescent="0.25">
      <c r="A1" s="54" t="s">
        <v>1268</v>
      </c>
      <c r="B1" s="54" t="s">
        <v>1</v>
      </c>
      <c r="C1" s="54" t="s">
        <v>2</v>
      </c>
      <c r="D1" s="54" t="s">
        <v>3</v>
      </c>
      <c r="E1" s="54" t="s">
        <v>4</v>
      </c>
      <c r="F1" s="54" t="s">
        <v>5</v>
      </c>
      <c r="G1" s="54" t="s">
        <v>6</v>
      </c>
      <c r="H1" s="54" t="s">
        <v>7</v>
      </c>
      <c r="I1" s="54" t="s">
        <v>8</v>
      </c>
      <c r="J1" s="54" t="s">
        <v>144</v>
      </c>
      <c r="K1" s="54" t="s">
        <v>395</v>
      </c>
      <c r="L1" s="54" t="s">
        <v>396</v>
      </c>
      <c r="M1" s="54" t="s">
        <v>10</v>
      </c>
      <c r="N1" s="54" t="s">
        <v>148</v>
      </c>
      <c r="O1" s="54" t="s">
        <v>149</v>
      </c>
      <c r="P1" s="54" t="s">
        <v>397</v>
      </c>
      <c r="Q1" s="54" t="s">
        <v>398</v>
      </c>
      <c r="R1" s="54" t="s">
        <v>1614</v>
      </c>
      <c r="S1" s="54" t="s">
        <v>13</v>
      </c>
      <c r="T1" s="54" t="s">
        <v>1615</v>
      </c>
      <c r="U1" s="54" t="s">
        <v>12</v>
      </c>
      <c r="V1" s="54" t="s">
        <v>1616</v>
      </c>
      <c r="W1" s="54" t="s">
        <v>157</v>
      </c>
      <c r="X1" s="54" t="s">
        <v>399</v>
      </c>
      <c r="Y1" s="54" t="s">
        <v>400</v>
      </c>
      <c r="Z1" s="54" t="s">
        <v>1620</v>
      </c>
      <c r="AA1" s="54" t="s">
        <v>1622</v>
      </c>
      <c r="AB1" s="54" t="s">
        <v>160</v>
      </c>
      <c r="AC1" s="54" t="s">
        <v>161</v>
      </c>
      <c r="AD1" s="54" t="s">
        <v>2082</v>
      </c>
      <c r="AE1" s="54" t="s">
        <v>163</v>
      </c>
      <c r="AF1" s="54" t="s">
        <v>403</v>
      </c>
      <c r="AG1" s="54" t="s">
        <v>404</v>
      </c>
      <c r="AH1" s="54" t="s">
        <v>405</v>
      </c>
      <c r="AI1" s="54" t="s">
        <v>168</v>
      </c>
      <c r="AJ1" s="54" t="s">
        <v>169</v>
      </c>
      <c r="AK1" s="54" t="s">
        <v>1625</v>
      </c>
      <c r="AL1" s="54" t="s">
        <v>407</v>
      </c>
      <c r="AM1" s="54" t="s">
        <v>1626</v>
      </c>
      <c r="AO1" s="54" t="s">
        <v>1627</v>
      </c>
    </row>
    <row r="2" spans="1:43" x14ac:dyDescent="0.25">
      <c r="A2" s="59" t="s">
        <v>2083</v>
      </c>
      <c r="B2" s="60" t="s">
        <v>486</v>
      </c>
      <c r="C2" s="95" t="s">
        <v>38</v>
      </c>
      <c r="D2" s="315" t="s">
        <v>437</v>
      </c>
      <c r="E2" s="315" t="s">
        <v>18</v>
      </c>
      <c r="F2" s="60">
        <v>37550</v>
      </c>
      <c r="G2" t="s">
        <v>87</v>
      </c>
      <c r="H2" s="60">
        <v>6405</v>
      </c>
      <c r="I2" s="60" t="s">
        <v>1642</v>
      </c>
      <c r="J2" s="60" t="s">
        <v>1643</v>
      </c>
      <c r="K2" s="95">
        <v>200198</v>
      </c>
      <c r="L2" s="64">
        <v>44013</v>
      </c>
      <c r="M2" s="64">
        <v>44377</v>
      </c>
      <c r="N2" s="373"/>
      <c r="O2" s="373"/>
      <c r="P2" s="417">
        <v>28064</v>
      </c>
      <c r="Q2" s="417">
        <v>28064.313333333335</v>
      </c>
      <c r="R2" s="417">
        <v>28064</v>
      </c>
      <c r="S2" s="417">
        <f>Table14[[#This Row],[FY25 Budget]]-Table14[[#This Row],[FY24 Budget2]]</f>
        <v>-4</v>
      </c>
      <c r="T2" s="417">
        <v>0</v>
      </c>
      <c r="U2" s="417"/>
      <c r="V2" s="417"/>
      <c r="W2" s="417"/>
      <c r="X2" s="417"/>
      <c r="Y2" s="367" t="str">
        <f>Table14[[#This Row],[FY24 PO]]</f>
        <v>P23055119</v>
      </c>
      <c r="Z2" s="64">
        <v>44378</v>
      </c>
      <c r="AA2" s="64">
        <v>45535</v>
      </c>
      <c r="AB2" s="367" t="s">
        <v>234</v>
      </c>
      <c r="AC2" s="64">
        <v>45536</v>
      </c>
      <c r="AD2" s="418"/>
      <c r="AE2" s="419" t="s">
        <v>178</v>
      </c>
      <c r="AF2" s="419" t="s">
        <v>174</v>
      </c>
      <c r="AG2" s="420"/>
      <c r="AH2" s="421"/>
      <c r="AI2" s="422" t="s">
        <v>2084</v>
      </c>
      <c r="AJ2" s="422" t="s">
        <v>2085</v>
      </c>
      <c r="AK2" s="423" t="s">
        <v>2086</v>
      </c>
    </row>
    <row r="3" spans="1:43" x14ac:dyDescent="0.25">
      <c r="A3" s="59" t="s">
        <v>22</v>
      </c>
      <c r="B3" s="60" t="s">
        <v>422</v>
      </c>
      <c r="C3" s="95" t="s">
        <v>16</v>
      </c>
      <c r="D3" s="315" t="s">
        <v>24</v>
      </c>
      <c r="E3" s="315" t="s">
        <v>25</v>
      </c>
      <c r="F3" s="60">
        <v>37510</v>
      </c>
      <c r="G3" t="s">
        <v>26</v>
      </c>
      <c r="H3" s="60">
        <v>6405</v>
      </c>
      <c r="I3" s="60" t="s">
        <v>65</v>
      </c>
      <c r="J3" s="60"/>
      <c r="K3" s="95" t="s">
        <v>2087</v>
      </c>
      <c r="L3" s="64" t="s">
        <v>174</v>
      </c>
      <c r="M3" s="64" t="s">
        <v>29</v>
      </c>
      <c r="N3" s="373"/>
      <c r="O3" s="373"/>
      <c r="P3" s="417"/>
      <c r="Q3" s="417"/>
      <c r="R3" s="417">
        <v>0</v>
      </c>
      <c r="S3" s="417">
        <v>10154.77</v>
      </c>
      <c r="T3" s="417">
        <v>10460</v>
      </c>
      <c r="U3" s="417">
        <v>0</v>
      </c>
      <c r="V3" s="417" t="s">
        <v>234</v>
      </c>
      <c r="W3" s="417"/>
      <c r="X3" s="417"/>
      <c r="Y3" s="367"/>
      <c r="Z3" s="64"/>
      <c r="AA3" s="64" t="s">
        <v>424</v>
      </c>
      <c r="AB3" s="367">
        <v>45108</v>
      </c>
      <c r="AC3" s="64">
        <v>45504</v>
      </c>
      <c r="AD3" s="418" t="s">
        <v>234</v>
      </c>
      <c r="AE3" s="419">
        <v>45505</v>
      </c>
      <c r="AF3" s="419" t="s">
        <v>2088</v>
      </c>
      <c r="AG3" s="420" t="s">
        <v>174</v>
      </c>
      <c r="AH3" s="421" t="s">
        <v>174</v>
      </c>
      <c r="AI3" s="422"/>
      <c r="AJ3" s="422"/>
      <c r="AK3" s="423" t="s">
        <v>421</v>
      </c>
      <c r="AL3" t="s">
        <v>2089</v>
      </c>
      <c r="AM3" t="s">
        <v>2090</v>
      </c>
    </row>
    <row r="4" spans="1:43" x14ac:dyDescent="0.25">
      <c r="A4" s="59" t="s">
        <v>22</v>
      </c>
      <c r="B4" s="60" t="s">
        <v>427</v>
      </c>
      <c r="C4" s="95" t="s">
        <v>16</v>
      </c>
      <c r="D4" s="315" t="s">
        <v>24</v>
      </c>
      <c r="E4" s="315" t="s">
        <v>25</v>
      </c>
      <c r="F4" s="60">
        <v>37510</v>
      </c>
      <c r="G4" t="s">
        <v>26</v>
      </c>
      <c r="H4" s="60">
        <v>6405</v>
      </c>
      <c r="I4" s="60" t="s">
        <v>2091</v>
      </c>
      <c r="J4" s="60" t="s">
        <v>1921</v>
      </c>
      <c r="K4" s="95" t="s">
        <v>2087</v>
      </c>
      <c r="L4" s="64" t="s">
        <v>174</v>
      </c>
      <c r="M4" s="64" t="s">
        <v>29</v>
      </c>
      <c r="N4" s="373"/>
      <c r="O4" s="373"/>
      <c r="P4" s="417"/>
      <c r="Q4" s="417"/>
      <c r="R4" s="417">
        <v>8079.3200000000006</v>
      </c>
      <c r="S4" s="417">
        <v>9173.92</v>
      </c>
      <c r="T4" s="417">
        <v>0</v>
      </c>
      <c r="U4" s="417">
        <v>0</v>
      </c>
      <c r="V4" s="417" t="s">
        <v>234</v>
      </c>
      <c r="W4" s="417"/>
      <c r="X4" s="417"/>
      <c r="Y4" s="367"/>
      <c r="Z4" s="64"/>
      <c r="AA4" s="64" t="s">
        <v>429</v>
      </c>
      <c r="AB4" s="367">
        <v>45108</v>
      </c>
      <c r="AC4" s="64">
        <v>45504</v>
      </c>
      <c r="AD4" s="418" t="s">
        <v>234</v>
      </c>
      <c r="AE4" s="419">
        <v>45505</v>
      </c>
      <c r="AF4" s="419"/>
      <c r="AG4" s="420" t="s">
        <v>174</v>
      </c>
      <c r="AH4" s="421" t="s">
        <v>174</v>
      </c>
      <c r="AI4" s="422"/>
      <c r="AJ4" s="422"/>
      <c r="AK4" s="423" t="s">
        <v>421</v>
      </c>
      <c r="AL4" t="s">
        <v>2092</v>
      </c>
      <c r="AM4" t="s">
        <v>2090</v>
      </c>
    </row>
    <row r="5" spans="1:43" x14ac:dyDescent="0.25">
      <c r="A5" s="59" t="s">
        <v>2093</v>
      </c>
      <c r="B5" s="60" t="s">
        <v>499</v>
      </c>
      <c r="C5" s="95" t="s">
        <v>16</v>
      </c>
      <c r="D5" s="315" t="s">
        <v>24</v>
      </c>
      <c r="E5" s="315" t="s">
        <v>25</v>
      </c>
      <c r="F5" s="60">
        <v>37540</v>
      </c>
      <c r="G5" s="60" t="s">
        <v>32</v>
      </c>
      <c r="H5" s="60">
        <v>6405</v>
      </c>
      <c r="I5" s="60" t="s">
        <v>1628</v>
      </c>
      <c r="J5" s="60" t="s">
        <v>21</v>
      </c>
      <c r="K5" s="373" t="str">
        <f>IF(Table14[[#This Row],[Proprietary?
(Y/N)]]="Y","Proprietary",IF(Table14[[#This Row],[FY25 Budget]]&lt;Lookups!$F$3,"Single Quote",IF(Table14[[#This Row],[FY25 Budget]]&gt;Lookups!$G$3,"RFP","Three quotes")))</f>
        <v>Proprietary</v>
      </c>
      <c r="L5" s="373" t="s">
        <v>174</v>
      </c>
      <c r="M5" s="95"/>
      <c r="N5" s="64"/>
      <c r="O5" s="64"/>
      <c r="P5" s="373"/>
      <c r="Q5" s="373"/>
      <c r="R5" s="376">
        <v>0</v>
      </c>
      <c r="S5" s="376">
        <v>10000</v>
      </c>
      <c r="T5" s="376">
        <v>10300</v>
      </c>
      <c r="U5" s="376">
        <f>Table14[[#This Row],[FY25 Budget]]-Table14[[#This Row],[FY24 Budget2]]</f>
        <v>-8750</v>
      </c>
      <c r="V5" s="376" t="s">
        <v>234</v>
      </c>
      <c r="W5" s="376"/>
      <c r="X5" s="376"/>
      <c r="Y5" s="376"/>
      <c r="Z5" s="376"/>
      <c r="AA5" s="367" t="s">
        <v>500</v>
      </c>
      <c r="AB5" s="64">
        <v>45108</v>
      </c>
      <c r="AC5" s="64">
        <v>45565</v>
      </c>
      <c r="AD5" s="367" t="s">
        <v>234</v>
      </c>
      <c r="AE5" s="64">
        <v>45566</v>
      </c>
      <c r="AF5" s="60" t="s">
        <v>2094</v>
      </c>
      <c r="AG5" s="373" t="s">
        <v>178</v>
      </c>
      <c r="AH5" s="373" t="s">
        <v>174</v>
      </c>
      <c r="AI5" s="95"/>
      <c r="AJ5" s="95"/>
      <c r="AK5" s="378" t="s">
        <v>421</v>
      </c>
      <c r="AL5" s="378" t="s">
        <v>2095</v>
      </c>
      <c r="AM5" s="424" t="s">
        <v>1657</v>
      </c>
    </row>
    <row r="6" spans="1:43" x14ac:dyDescent="0.25">
      <c r="A6" s="59" t="s">
        <v>589</v>
      </c>
      <c r="B6" s="60" t="s">
        <v>89</v>
      </c>
      <c r="C6" s="95" t="s">
        <v>16</v>
      </c>
      <c r="D6" s="315" t="s">
        <v>24</v>
      </c>
      <c r="E6" s="315" t="s">
        <v>25</v>
      </c>
      <c r="F6" s="60">
        <v>37510</v>
      </c>
      <c r="G6" s="60" t="s">
        <v>26</v>
      </c>
      <c r="H6" s="60">
        <v>6405</v>
      </c>
      <c r="I6" s="60" t="s">
        <v>2091</v>
      </c>
      <c r="J6" s="60" t="s">
        <v>1921</v>
      </c>
      <c r="K6" s="373" t="str">
        <f>IF(Table14[[#This Row],[Proprietary?
(Y/N)]]="Y","Proprietary",IF(Table14[[#This Row],[FY25 Budget]]&lt;Lookups!$F$3,"Single Quote",IF(Table14[[#This Row],[FY25 Budget]]&gt;Lookups!$G$3,"RFP","Three quotes")))</f>
        <v>Proprietary</v>
      </c>
      <c r="L6" s="373" t="s">
        <v>178</v>
      </c>
      <c r="M6" s="95">
        <v>107066</v>
      </c>
      <c r="N6" s="64">
        <v>42491</v>
      </c>
      <c r="O6" s="64">
        <v>43646</v>
      </c>
      <c r="P6" s="373"/>
      <c r="Q6" s="373"/>
      <c r="R6" s="376">
        <v>91265.21</v>
      </c>
      <c r="S6" s="376">
        <v>95616.24</v>
      </c>
      <c r="T6" s="376">
        <v>98484</v>
      </c>
      <c r="U6" s="376">
        <f>Table14[[#This Row],[FY25 Budget]]-Table14[[#This Row],[FY24 Budget2]]</f>
        <v>0</v>
      </c>
      <c r="V6" s="376">
        <v>0</v>
      </c>
      <c r="W6" s="376"/>
      <c r="X6" s="376"/>
      <c r="Y6" s="376"/>
      <c r="Z6" s="376"/>
      <c r="AA6" s="367" t="s">
        <v>591</v>
      </c>
      <c r="AB6" s="64">
        <v>45108</v>
      </c>
      <c r="AC6" s="64">
        <v>45626</v>
      </c>
      <c r="AD6" s="367" t="s">
        <v>234</v>
      </c>
      <c r="AE6" s="64">
        <v>45627</v>
      </c>
      <c r="AF6" s="60" t="s">
        <v>2096</v>
      </c>
      <c r="AG6" s="373" t="s">
        <v>178</v>
      </c>
      <c r="AH6" s="373" t="s">
        <v>174</v>
      </c>
      <c r="AI6" s="95"/>
      <c r="AJ6" s="378"/>
      <c r="AK6" s="378" t="s">
        <v>592</v>
      </c>
      <c r="AL6" s="378" t="s">
        <v>2097</v>
      </c>
      <c r="AM6" s="424" t="s">
        <v>2098</v>
      </c>
    </row>
    <row r="7" spans="1:43" x14ac:dyDescent="0.25">
      <c r="A7" s="59" t="s">
        <v>2099</v>
      </c>
      <c r="B7" s="60" t="s">
        <v>630</v>
      </c>
      <c r="C7" s="95" t="s">
        <v>16</v>
      </c>
      <c r="D7" s="315" t="s">
        <v>24</v>
      </c>
      <c r="E7" s="315" t="s">
        <v>18</v>
      </c>
      <c r="F7" s="60">
        <v>37510</v>
      </c>
      <c r="G7" s="60" t="s">
        <v>26</v>
      </c>
      <c r="H7" s="60">
        <v>6405</v>
      </c>
      <c r="I7" s="60" t="s">
        <v>631</v>
      </c>
      <c r="J7" s="60" t="s">
        <v>28</v>
      </c>
      <c r="K7" s="373" t="str">
        <f>IF(Table14[[#This Row],[Proprietary?
(Y/N)]]="Y","Proprietary",IF(Table14[[#This Row],[FY25 Budget]]&lt;Lookups!$F$3,"Single Quote",IF(Table14[[#This Row],[FY25 Budget]]&gt;Lookups!$G$3,"RFP","Three quotes")))</f>
        <v>Single Quote</v>
      </c>
      <c r="L7" s="373" t="s">
        <v>174</v>
      </c>
      <c r="M7" s="95" t="s">
        <v>29</v>
      </c>
      <c r="N7" s="64"/>
      <c r="O7" s="64"/>
      <c r="P7" s="373"/>
      <c r="Q7" s="373"/>
      <c r="R7" s="376"/>
      <c r="S7" s="376">
        <v>5148</v>
      </c>
      <c r="T7" s="376">
        <v>5302</v>
      </c>
      <c r="U7" s="376">
        <f>Table14[[#This Row],[FY25 Budget]]-Table14[[#This Row],[FY24 Budget2]]</f>
        <v>14000</v>
      </c>
      <c r="V7" s="367" t="s">
        <v>234</v>
      </c>
      <c r="W7" s="376"/>
      <c r="X7" s="376"/>
      <c r="Y7" s="376"/>
      <c r="Z7" s="376"/>
      <c r="AA7" s="367" t="s">
        <v>632</v>
      </c>
      <c r="AB7" s="64">
        <v>45108</v>
      </c>
      <c r="AC7" s="64">
        <v>45473</v>
      </c>
      <c r="AD7" s="367" t="s">
        <v>234</v>
      </c>
      <c r="AE7" s="64">
        <v>45444</v>
      </c>
      <c r="AF7" s="60"/>
      <c r="AG7" s="373" t="s">
        <v>174</v>
      </c>
      <c r="AH7" s="373" t="s">
        <v>174</v>
      </c>
      <c r="AI7" s="95"/>
      <c r="AJ7" s="378"/>
      <c r="AK7" s="378" t="s">
        <v>421</v>
      </c>
      <c r="AL7" s="378" t="s">
        <v>2100</v>
      </c>
      <c r="AM7" s="424" t="s">
        <v>2090</v>
      </c>
    </row>
    <row r="8" spans="1:43" x14ac:dyDescent="0.25">
      <c r="A8" s="59" t="s">
        <v>2101</v>
      </c>
      <c r="B8" s="60" t="s">
        <v>2102</v>
      </c>
      <c r="C8" s="95" t="s">
        <v>16</v>
      </c>
      <c r="D8" s="315" t="s">
        <v>408</v>
      </c>
      <c r="E8" s="315" t="s">
        <v>18</v>
      </c>
      <c r="F8" s="60">
        <v>37521</v>
      </c>
      <c r="G8" s="60" t="s">
        <v>1652</v>
      </c>
      <c r="H8" s="60">
        <v>6405</v>
      </c>
      <c r="I8" s="60" t="s">
        <v>20</v>
      </c>
      <c r="J8" s="60" t="s">
        <v>1629</v>
      </c>
      <c r="K8" s="373" t="s">
        <v>173</v>
      </c>
      <c r="L8" s="373" t="s">
        <v>178</v>
      </c>
      <c r="M8" s="95">
        <v>200340</v>
      </c>
      <c r="N8" s="64">
        <v>44168</v>
      </c>
      <c r="O8" s="64">
        <v>46358</v>
      </c>
      <c r="P8" s="419"/>
      <c r="Q8" s="419"/>
      <c r="R8" s="417">
        <v>33912.75</v>
      </c>
      <c r="S8" s="417">
        <v>29849</v>
      </c>
      <c r="T8" s="417">
        <v>24500</v>
      </c>
      <c r="U8" s="417">
        <v>24500</v>
      </c>
      <c r="V8" s="417">
        <v>25000</v>
      </c>
      <c r="W8" s="417"/>
      <c r="X8" s="417">
        <f>Table14[[#This Row],[FY26 Budget]]-Table14[[#This Row],[FY26 Committed]]</f>
        <v>-2000</v>
      </c>
      <c r="Y8" s="376"/>
      <c r="Z8" s="376"/>
      <c r="AA8" s="376"/>
      <c r="AB8" s="376"/>
      <c r="AC8" s="367" t="s">
        <v>410</v>
      </c>
      <c r="AD8" s="425" t="s">
        <v>2103</v>
      </c>
      <c r="AE8" s="426">
        <v>45505</v>
      </c>
      <c r="AF8" s="427">
        <v>45869</v>
      </c>
      <c r="AG8" s="425"/>
      <c r="AH8" s="426">
        <v>45870</v>
      </c>
      <c r="AI8" s="418" t="s">
        <v>2104</v>
      </c>
      <c r="AJ8" s="419" t="s">
        <v>178</v>
      </c>
      <c r="AK8" s="428" t="s">
        <v>174</v>
      </c>
      <c r="AL8" s="378"/>
      <c r="AM8" s="378" t="s">
        <v>413</v>
      </c>
      <c r="AN8" s="378" t="s">
        <v>2105</v>
      </c>
      <c r="AO8" s="424" t="s">
        <v>2106</v>
      </c>
    </row>
    <row r="9" spans="1:43" x14ac:dyDescent="0.25">
      <c r="A9" s="59" t="s">
        <v>414</v>
      </c>
      <c r="B9" s="60" t="s">
        <v>415</v>
      </c>
      <c r="C9" s="95" t="s">
        <v>16</v>
      </c>
      <c r="D9" s="315" t="s">
        <v>74</v>
      </c>
      <c r="E9" s="315" t="s">
        <v>18</v>
      </c>
      <c r="F9" s="60">
        <v>37410</v>
      </c>
      <c r="G9" s="60" t="s">
        <v>416</v>
      </c>
      <c r="H9" s="60">
        <v>6405</v>
      </c>
      <c r="I9" s="60" t="s">
        <v>417</v>
      </c>
      <c r="J9" s="60" t="s">
        <v>418</v>
      </c>
      <c r="K9" s="373" t="s">
        <v>192</v>
      </c>
      <c r="L9" s="373" t="s">
        <v>174</v>
      </c>
      <c r="M9" s="95"/>
      <c r="N9" s="64"/>
      <c r="O9" s="64"/>
      <c r="P9" s="419"/>
      <c r="Q9" s="419"/>
      <c r="R9" s="417">
        <v>0</v>
      </c>
      <c r="S9" s="417">
        <v>10000</v>
      </c>
      <c r="T9" s="417">
        <v>10000</v>
      </c>
      <c r="U9" s="417"/>
      <c r="V9" s="417">
        <v>10000</v>
      </c>
      <c r="W9" s="417"/>
      <c r="X9" s="417">
        <f>Table14[[#This Row],[FY26 Budget]]-Table14[[#This Row],[FY26 Committed]]</f>
        <v>-2182.13</v>
      </c>
      <c r="Y9" s="376"/>
      <c r="Z9" s="376"/>
      <c r="AA9" s="376"/>
      <c r="AB9" s="376"/>
      <c r="AC9" s="367" t="s">
        <v>419</v>
      </c>
      <c r="AD9" s="425" t="s">
        <v>419</v>
      </c>
      <c r="AE9" s="426">
        <v>45108</v>
      </c>
      <c r="AF9" s="427">
        <v>46203</v>
      </c>
      <c r="AG9" s="425"/>
      <c r="AH9" s="426">
        <v>46022</v>
      </c>
      <c r="AI9" s="418"/>
      <c r="AJ9" s="419" t="s">
        <v>174</v>
      </c>
      <c r="AK9" s="428" t="s">
        <v>174</v>
      </c>
      <c r="AL9" s="378"/>
      <c r="AM9" s="378"/>
      <c r="AN9" s="378" t="s">
        <v>2107</v>
      </c>
      <c r="AO9" s="424" t="s">
        <v>234</v>
      </c>
    </row>
    <row r="10" spans="1:43" x14ac:dyDescent="0.25">
      <c r="A10" s="59" t="s">
        <v>593</v>
      </c>
      <c r="B10" s="60" t="s">
        <v>594</v>
      </c>
      <c r="C10" s="95" t="s">
        <v>38</v>
      </c>
      <c r="D10" s="315" t="s">
        <v>24</v>
      </c>
      <c r="E10" s="315" t="s">
        <v>18</v>
      </c>
      <c r="F10" s="60">
        <v>37100</v>
      </c>
      <c r="G10" s="60" t="s">
        <v>324</v>
      </c>
      <c r="H10" s="60">
        <v>6130</v>
      </c>
      <c r="I10" s="60" t="s">
        <v>1636</v>
      </c>
      <c r="J10" s="60"/>
      <c r="K10" s="373" t="str">
        <f>IF(Table14[[#This Row],[Proprietary?
(Y/N)]]="Y","Proprietary",IF(Table14[[#This Row],[FY25 Budget]]&lt;Lookups!$F$3,"Single Quote",IF(Table14[[#This Row],[FY25 Budget]]&gt;Lookups!$G$3,"RFP","Three quotes")))</f>
        <v>Single Quote</v>
      </c>
      <c r="L10" s="373" t="s">
        <v>178</v>
      </c>
      <c r="M10" s="95" t="s">
        <v>29</v>
      </c>
      <c r="N10" s="64"/>
      <c r="O10" s="64"/>
      <c r="P10" s="373"/>
      <c r="Q10" s="373"/>
      <c r="R10" s="417">
        <v>0</v>
      </c>
      <c r="S10" s="417">
        <v>0</v>
      </c>
      <c r="T10" s="417">
        <v>14000</v>
      </c>
      <c r="U10" s="417">
        <v>14000</v>
      </c>
      <c r="V10" s="417"/>
      <c r="W10" s="417"/>
      <c r="X10" s="417">
        <f>Table14[[#This Row],[FY25 Budget]]-Table14[[#This Row],[FY24 Budget2]]</f>
        <v>10000</v>
      </c>
      <c r="Y10" s="417"/>
      <c r="Z10" s="417"/>
      <c r="AA10" s="417"/>
      <c r="AB10" s="417"/>
      <c r="AC10" s="367" t="str">
        <f>Table14[[#This Row],[FY24 PO]]</f>
        <v>P23057482</v>
      </c>
      <c r="AD10" s="367"/>
      <c r="AE10" s="64">
        <v>45139</v>
      </c>
      <c r="AF10" s="64">
        <v>45504</v>
      </c>
      <c r="AG10" s="367" t="s">
        <v>234</v>
      </c>
      <c r="AH10" s="64">
        <v>45505</v>
      </c>
      <c r="AI10" s="418" t="s">
        <v>2108</v>
      </c>
      <c r="AJ10" s="419" t="s">
        <v>174</v>
      </c>
      <c r="AK10" s="419" t="s">
        <v>174</v>
      </c>
      <c r="AL10" s="421" t="s">
        <v>186</v>
      </c>
      <c r="AM10" s="422" t="s">
        <v>421</v>
      </c>
      <c r="AN10" s="422" t="s">
        <v>2109</v>
      </c>
      <c r="AO10" s="429" t="s">
        <v>234</v>
      </c>
    </row>
    <row r="11" spans="1:43" x14ac:dyDescent="0.25">
      <c r="A11" t="s">
        <v>46</v>
      </c>
      <c r="B11" t="s">
        <v>47</v>
      </c>
      <c r="C11" s="3" t="s">
        <v>16</v>
      </c>
      <c r="D11" s="179" t="s">
        <v>408</v>
      </c>
      <c r="E11" s="179" t="s">
        <v>25</v>
      </c>
      <c r="F11">
        <v>37530</v>
      </c>
      <c r="G11" t="s">
        <v>44</v>
      </c>
      <c r="H11">
        <v>6405</v>
      </c>
      <c r="I11" t="s">
        <v>45</v>
      </c>
      <c r="J11" t="s">
        <v>1629</v>
      </c>
      <c r="K11" t="s">
        <v>638</v>
      </c>
      <c r="L11" t="s">
        <v>178</v>
      </c>
      <c r="M11" s="3">
        <v>1000210</v>
      </c>
      <c r="N11">
        <v>44700</v>
      </c>
      <c r="O11">
        <v>45795</v>
      </c>
      <c r="P11" s="3"/>
      <c r="Q11" s="9"/>
      <c r="R11" s="11">
        <v>131023.21</v>
      </c>
      <c r="S11" s="9">
        <v>71400</v>
      </c>
      <c r="T11" s="9">
        <v>76117</v>
      </c>
      <c r="U11" s="430"/>
      <c r="V11" s="430"/>
      <c r="W11" s="9"/>
      <c r="X11" s="9"/>
      <c r="Y11" s="430"/>
      <c r="Z11" s="430"/>
      <c r="AA11" s="430"/>
      <c r="AB11" s="430"/>
      <c r="AC11" s="430" t="s">
        <v>482</v>
      </c>
      <c r="AD11" s="430"/>
      <c r="AE11" s="430">
        <v>45108</v>
      </c>
      <c r="AF11" s="187">
        <v>45535</v>
      </c>
      <c r="AG11" s="3"/>
      <c r="AH11" s="430">
        <v>45536</v>
      </c>
      <c r="AI11" s="320"/>
      <c r="AJ11" s="47" t="s">
        <v>178</v>
      </c>
      <c r="AK11" s="3" t="s">
        <v>174</v>
      </c>
      <c r="AL11" s="3"/>
      <c r="AM11" t="s">
        <v>421</v>
      </c>
      <c r="AN11" t="s">
        <v>2110</v>
      </c>
      <c r="AO11" s="431" t="s">
        <v>2111</v>
      </c>
    </row>
    <row r="12" spans="1:43" x14ac:dyDescent="0.25">
      <c r="A12" s="59" t="s">
        <v>714</v>
      </c>
      <c r="B12" s="60" t="s">
        <v>715</v>
      </c>
      <c r="C12" s="95" t="s">
        <v>16</v>
      </c>
      <c r="D12" s="315" t="s">
        <v>408</v>
      </c>
      <c r="E12" s="315" t="s">
        <v>25</v>
      </c>
      <c r="F12" s="60">
        <v>37530</v>
      </c>
      <c r="G12" s="60" t="s">
        <v>44</v>
      </c>
      <c r="H12" s="60">
        <v>6405</v>
      </c>
      <c r="I12" s="60" t="s">
        <v>452</v>
      </c>
      <c r="J12" s="60"/>
      <c r="K12" s="373" t="s">
        <v>192</v>
      </c>
      <c r="L12" s="373" t="s">
        <v>178</v>
      </c>
      <c r="M12" s="95"/>
      <c r="N12" s="64"/>
      <c r="O12" s="64"/>
      <c r="P12" s="373"/>
      <c r="Q12" s="373"/>
      <c r="R12" s="417">
        <v>0</v>
      </c>
      <c r="S12" s="417">
        <v>45000</v>
      </c>
      <c r="T12" s="417">
        <v>50000</v>
      </c>
      <c r="U12" s="417">
        <v>50000</v>
      </c>
      <c r="V12" s="417"/>
      <c r="W12" s="417"/>
      <c r="X12" s="417">
        <v>50000</v>
      </c>
      <c r="Y12" s="417"/>
      <c r="Z12" s="417"/>
      <c r="AA12" s="417"/>
      <c r="AB12" s="417"/>
      <c r="AC12" s="367" t="s">
        <v>717</v>
      </c>
      <c r="AD12" s="367"/>
      <c r="AE12" s="64">
        <v>45108</v>
      </c>
      <c r="AF12" s="64">
        <v>45838</v>
      </c>
      <c r="AG12" s="367" t="s">
        <v>717</v>
      </c>
      <c r="AH12" s="64">
        <v>45839</v>
      </c>
      <c r="AI12" s="432" t="s">
        <v>2112</v>
      </c>
      <c r="AJ12" s="419" t="s">
        <v>174</v>
      </c>
      <c r="AK12" s="419" t="s">
        <v>174</v>
      </c>
      <c r="AL12" s="422"/>
      <c r="AM12" s="422"/>
      <c r="AN12" s="422" t="s">
        <v>1502</v>
      </c>
      <c r="AO12" s="429" t="s">
        <v>234</v>
      </c>
    </row>
    <row r="13" spans="1:43" x14ac:dyDescent="0.25">
      <c r="A13" s="59" t="s">
        <v>2113</v>
      </c>
      <c r="B13" s="60" t="s">
        <v>643</v>
      </c>
      <c r="C13" s="95" t="s">
        <v>16</v>
      </c>
      <c r="D13" s="315" t="s">
        <v>408</v>
      </c>
      <c r="E13" s="315" t="s">
        <v>18</v>
      </c>
      <c r="F13" s="60">
        <v>37560</v>
      </c>
      <c r="G13" s="60" t="s">
        <v>50</v>
      </c>
      <c r="H13" s="60">
        <v>6405</v>
      </c>
      <c r="I13" s="60" t="s">
        <v>56</v>
      </c>
      <c r="J13" s="60"/>
      <c r="K13" s="373" t="str">
        <f>IF(Table14[[#This Row],[Proprietary?
(Y/N)]]="Y","Proprietary",IF(Table14[[#This Row],[FY25 Budget]]&lt;Lookups!$F$3,"Single Quote",IF(Table14[[#This Row],[FY25 Budget]]&gt;Lookups!$G$3,"RFP","Three quotes")))</f>
        <v>Proprietary</v>
      </c>
      <c r="L13" s="373" t="s">
        <v>174</v>
      </c>
      <c r="M13" s="95"/>
      <c r="N13" s="64"/>
      <c r="O13" s="64"/>
      <c r="P13" s="373"/>
      <c r="Q13" s="373"/>
      <c r="R13" s="417">
        <v>0</v>
      </c>
      <c r="S13" s="417">
        <v>11000</v>
      </c>
      <c r="T13" s="417">
        <v>0</v>
      </c>
      <c r="U13" s="417"/>
      <c r="V13" s="417"/>
      <c r="W13" s="417"/>
      <c r="X13" s="417">
        <f>Table14[[#This Row],[FY25 Budget]]-Table14[[#This Row],[FY24 Budget2]]</f>
        <v>0</v>
      </c>
      <c r="Y13" s="417"/>
      <c r="Z13" s="417"/>
      <c r="AA13" s="417"/>
      <c r="AB13" s="417"/>
      <c r="AC13" s="367" t="s">
        <v>644</v>
      </c>
      <c r="AD13" s="367"/>
      <c r="AE13" s="64">
        <v>45108</v>
      </c>
      <c r="AF13" s="64">
        <v>45473</v>
      </c>
      <c r="AG13" s="367" t="s">
        <v>234</v>
      </c>
      <c r="AH13" s="64">
        <v>45444</v>
      </c>
      <c r="AI13" s="432" t="s">
        <v>2114</v>
      </c>
      <c r="AJ13" s="419" t="s">
        <v>174</v>
      </c>
      <c r="AK13" s="419" t="s">
        <v>174</v>
      </c>
      <c r="AL13" s="422"/>
      <c r="AM13" s="422" t="s">
        <v>421</v>
      </c>
      <c r="AN13" s="422" t="s">
        <v>2115</v>
      </c>
      <c r="AO13" s="429" t="s">
        <v>2090</v>
      </c>
      <c r="AQ13" s="382" t="s">
        <v>2116</v>
      </c>
    </row>
    <row r="14" spans="1:43" x14ac:dyDescent="0.25">
      <c r="A14" t="s">
        <v>2117</v>
      </c>
      <c r="B14" t="s">
        <v>649</v>
      </c>
      <c r="C14" s="3" t="s">
        <v>38</v>
      </c>
      <c r="D14" s="179" t="s">
        <v>408</v>
      </c>
      <c r="E14" s="179" t="s">
        <v>18</v>
      </c>
      <c r="F14">
        <v>37560</v>
      </c>
      <c r="G14" t="s">
        <v>50</v>
      </c>
      <c r="H14">
        <v>6405</v>
      </c>
      <c r="I14" t="s">
        <v>56</v>
      </c>
      <c r="K14" s="11" t="str">
        <f>IF(Table14[[#This Row],[Proprietary?
(Y/N)]]="Y","Proprietary",IF(Table14[[#This Row],[FY25 Budget]]&lt;Lookups!$F$3,"Single Quote",IF(Table14[[#This Row],[FY25 Budget]]&gt;Lookups!$G$3,"RFP","Three quotes")))</f>
        <v>Proprietary</v>
      </c>
      <c r="L14" s="11" t="s">
        <v>174</v>
      </c>
      <c r="M14" s="460"/>
      <c r="N14" s="9"/>
      <c r="O14" s="9"/>
      <c r="P14" s="11"/>
      <c r="Q14" s="11"/>
      <c r="R14" s="458">
        <v>0</v>
      </c>
      <c r="S14" s="458">
        <v>18554</v>
      </c>
      <c r="T14" s="458">
        <v>19111</v>
      </c>
      <c r="U14" s="458"/>
      <c r="V14" s="458"/>
      <c r="W14" s="430"/>
      <c r="X14" s="430">
        <f>Table14[[#This Row],[FY25 Budget]]-Table14[[#This Row],[FY24 Budget2]]</f>
        <v>4119.5100000000093</v>
      </c>
      <c r="Y14" s="458"/>
      <c r="Z14" s="458"/>
      <c r="AA14" s="458"/>
      <c r="AB14" s="458"/>
      <c r="AC14" s="15" t="s">
        <v>650</v>
      </c>
      <c r="AD14" s="15"/>
      <c r="AE14" s="9">
        <v>45108</v>
      </c>
      <c r="AF14" s="9">
        <v>45473</v>
      </c>
      <c r="AG14" s="15" t="s">
        <v>234</v>
      </c>
      <c r="AH14" s="9">
        <v>45444</v>
      </c>
      <c r="AI14" s="418"/>
      <c r="AJ14" s="433" t="s">
        <v>178</v>
      </c>
      <c r="AK14" s="433" t="s">
        <v>174</v>
      </c>
      <c r="AL14" s="12"/>
      <c r="AM14" s="187" t="s">
        <v>467</v>
      </c>
      <c r="AN14" s="457" t="s">
        <v>2115</v>
      </c>
      <c r="AO14" s="431" t="s">
        <v>2118</v>
      </c>
    </row>
    <row r="15" spans="1:43" ht="30" x14ac:dyDescent="0.25">
      <c r="A15" s="59" t="s">
        <v>2119</v>
      </c>
      <c r="B15" s="316" t="s">
        <v>2120</v>
      </c>
      <c r="C15" s="95" t="s">
        <v>16</v>
      </c>
      <c r="D15" s="315" t="s">
        <v>24</v>
      </c>
      <c r="E15" s="315" t="s">
        <v>18</v>
      </c>
      <c r="F15" s="60">
        <v>37100</v>
      </c>
      <c r="G15" s="60" t="s">
        <v>324</v>
      </c>
      <c r="H15" s="60">
        <v>6130</v>
      </c>
      <c r="I15" s="60" t="s">
        <v>2121</v>
      </c>
      <c r="J15" s="316" t="s">
        <v>1636</v>
      </c>
      <c r="K15" s="373" t="str">
        <f>IF(Table14[[#This Row],[Proprietary?
(Y/N)]]="Y","Proprietary",IF(Table14[[#This Row],[FY25 Budget]]&lt;Lookups!$F$3,"Single Quote",IF(Table14[[#This Row],[FY25 Budget]]&gt;Lookups!$G$3,"RFP","Three quotes")))</f>
        <v>Single Quote</v>
      </c>
      <c r="L15" s="373" t="s">
        <v>174</v>
      </c>
      <c r="M15" s="95"/>
      <c r="N15" s="64"/>
      <c r="O15" s="64"/>
      <c r="P15" s="373"/>
      <c r="Q15" s="373"/>
      <c r="R15" s="417">
        <v>0</v>
      </c>
      <c r="S15" s="417">
        <v>0</v>
      </c>
      <c r="T15" s="417">
        <v>0</v>
      </c>
      <c r="U15" s="417">
        <v>1740</v>
      </c>
      <c r="V15" s="417"/>
      <c r="W15" s="417"/>
      <c r="X15" s="417">
        <f>Table14[[#This Row],[FY26 Budget]]-Table14[[#This Row],[FY26 Committed]]</f>
        <v>13349</v>
      </c>
      <c r="Y15" s="417"/>
      <c r="Z15" s="417"/>
      <c r="AA15" s="417"/>
      <c r="AB15" s="417"/>
      <c r="AC15" s="367" t="s">
        <v>2122</v>
      </c>
      <c r="AD15" s="367"/>
      <c r="AE15" s="64">
        <v>45323</v>
      </c>
      <c r="AF15" s="434">
        <v>45688</v>
      </c>
      <c r="AG15" s="367" t="s">
        <v>2123</v>
      </c>
      <c r="AH15" s="64">
        <v>45658</v>
      </c>
      <c r="AI15" s="432"/>
      <c r="AJ15" s="419" t="s">
        <v>174</v>
      </c>
      <c r="AK15" s="419" t="s">
        <v>174</v>
      </c>
      <c r="AL15" s="422"/>
      <c r="AM15" s="422"/>
      <c r="AN15" s="422" t="s">
        <v>2124</v>
      </c>
      <c r="AO15" s="429" t="s">
        <v>234</v>
      </c>
    </row>
    <row r="16" spans="1:43" x14ac:dyDescent="0.25">
      <c r="A16" t="s">
        <v>2125</v>
      </c>
      <c r="B16" t="s">
        <v>2126</v>
      </c>
      <c r="C16" s="3" t="s">
        <v>16</v>
      </c>
      <c r="D16" s="179" t="s">
        <v>24</v>
      </c>
      <c r="E16" s="179" t="s">
        <v>18</v>
      </c>
      <c r="F16">
        <v>37510</v>
      </c>
      <c r="G16" t="s">
        <v>26</v>
      </c>
      <c r="H16">
        <v>6405</v>
      </c>
      <c r="I16" t="s">
        <v>56</v>
      </c>
      <c r="J16" t="s">
        <v>2127</v>
      </c>
      <c r="K16" s="11" t="str">
        <f>IF(Table14[[#This Row],[Proprietary?
(Y/N)]]="Y","Proprietary",IF(Table14[[#This Row],[FY25 Budget]]&lt;Lookups!$F$3,"Single Quote",IF(Table14[[#This Row],[FY25 Budget]]&gt;Lookups!$G$3,"RFP","Three quotes")))</f>
        <v>Three quotes</v>
      </c>
      <c r="L16" s="11" t="s">
        <v>178</v>
      </c>
      <c r="M16" s="460">
        <v>1001930</v>
      </c>
      <c r="N16" s="9">
        <v>45108</v>
      </c>
      <c r="O16" s="9">
        <v>46203</v>
      </c>
      <c r="P16" s="11"/>
      <c r="Q16" s="11"/>
      <c r="R16" s="458">
        <v>0</v>
      </c>
      <c r="S16" s="458">
        <v>0</v>
      </c>
      <c r="T16" s="458">
        <v>0</v>
      </c>
      <c r="U16" s="458">
        <v>22500</v>
      </c>
      <c r="V16" s="458">
        <v>23175</v>
      </c>
      <c r="W16" s="458"/>
      <c r="X16" s="430">
        <f>Table14[[#This Row],[FY26 Budget]]-Table14[[#This Row],[FY26 Committed]]</f>
        <v>-5290</v>
      </c>
      <c r="Y16" s="458"/>
      <c r="Z16" s="458"/>
      <c r="AA16" s="458"/>
      <c r="AB16" s="458"/>
      <c r="AC16" s="15" t="s">
        <v>234</v>
      </c>
      <c r="AD16" s="15" t="s">
        <v>2128</v>
      </c>
      <c r="AE16" s="9">
        <v>45474</v>
      </c>
      <c r="AF16" s="9">
        <v>45838</v>
      </c>
      <c r="AG16" s="15"/>
      <c r="AH16" s="9">
        <v>45839</v>
      </c>
      <c r="AI16" s="418"/>
      <c r="AJ16" s="433" t="s">
        <v>178</v>
      </c>
      <c r="AK16" s="433" t="s">
        <v>174</v>
      </c>
      <c r="AL16" s="12"/>
      <c r="AM16" s="187" t="s">
        <v>611</v>
      </c>
      <c r="AN16" s="457" t="s">
        <v>2129</v>
      </c>
      <c r="AO16" s="431" t="s">
        <v>2130</v>
      </c>
      <c r="AQ16" s="382" t="s">
        <v>2131</v>
      </c>
    </row>
    <row r="17" spans="1:41" x14ac:dyDescent="0.25">
      <c r="A17" s="57" t="s">
        <v>2132</v>
      </c>
      <c r="B17" s="58" t="s">
        <v>2133</v>
      </c>
      <c r="C17" s="92" t="s">
        <v>16</v>
      </c>
      <c r="D17" s="314" t="s">
        <v>408</v>
      </c>
      <c r="E17" s="314" t="s">
        <v>18</v>
      </c>
      <c r="F17" s="58">
        <v>37100</v>
      </c>
      <c r="G17" s="58" t="s">
        <v>324</v>
      </c>
      <c r="H17" s="58">
        <v>6405</v>
      </c>
      <c r="I17" s="58" t="s">
        <v>452</v>
      </c>
      <c r="J17" s="58"/>
      <c r="K17" s="435" t="s">
        <v>192</v>
      </c>
      <c r="L17" s="435" t="s">
        <v>178</v>
      </c>
      <c r="M17" s="92">
        <v>105064</v>
      </c>
      <c r="N17" s="62">
        <v>41351</v>
      </c>
      <c r="O17" s="62">
        <v>45838</v>
      </c>
      <c r="P17" s="435" t="s">
        <v>1273</v>
      </c>
      <c r="Q17" s="435"/>
      <c r="R17" s="444">
        <v>0</v>
      </c>
      <c r="S17" s="444">
        <v>0</v>
      </c>
      <c r="T17" s="445">
        <v>0</v>
      </c>
      <c r="U17" s="445">
        <v>87000</v>
      </c>
      <c r="V17" s="446">
        <v>0</v>
      </c>
      <c r="W17" s="446"/>
      <c r="X17" s="446">
        <f>Table14[[#This Row],[FY26 Budget]]-Table14[[#This Row],[FY26 Committed]]</f>
        <v>0</v>
      </c>
      <c r="Y17" s="446"/>
      <c r="Z17" s="446"/>
      <c r="AA17" s="446"/>
      <c r="AB17" s="446"/>
      <c r="AC17" s="436" t="s">
        <v>234</v>
      </c>
      <c r="AD17" s="436" t="s">
        <v>2134</v>
      </c>
      <c r="AE17" s="62">
        <v>45505</v>
      </c>
      <c r="AF17" s="437">
        <v>45838</v>
      </c>
      <c r="AG17" s="436"/>
      <c r="AH17" s="62" t="s">
        <v>234</v>
      </c>
      <c r="AI17" s="58" t="s">
        <v>2135</v>
      </c>
      <c r="AJ17" s="435" t="s">
        <v>174</v>
      </c>
      <c r="AK17" s="435" t="s">
        <v>174</v>
      </c>
      <c r="AL17" s="447" t="s">
        <v>186</v>
      </c>
      <c r="AM17" s="447"/>
      <c r="AN17" s="447" t="s">
        <v>2136</v>
      </c>
      <c r="AO17" s="448" t="s">
        <v>234</v>
      </c>
    </row>
    <row r="18" spans="1:41" x14ac:dyDescent="0.25">
      <c r="A18" s="59" t="s">
        <v>449</v>
      </c>
      <c r="B18" s="60" t="s">
        <v>450</v>
      </c>
      <c r="C18" s="95" t="s">
        <v>16</v>
      </c>
      <c r="D18" s="315" t="s">
        <v>24</v>
      </c>
      <c r="E18" s="315" t="s">
        <v>18</v>
      </c>
      <c r="F18" s="60">
        <v>37100</v>
      </c>
      <c r="G18" s="60" t="s">
        <v>324</v>
      </c>
      <c r="H18" s="60">
        <v>6725</v>
      </c>
      <c r="I18" s="58" t="s">
        <v>451</v>
      </c>
      <c r="J18" s="58" t="s">
        <v>452</v>
      </c>
      <c r="K18" s="435" t="s">
        <v>173</v>
      </c>
      <c r="L18" s="435" t="s">
        <v>178</v>
      </c>
      <c r="M18" s="92"/>
      <c r="N18" s="62"/>
      <c r="O18" s="62"/>
      <c r="P18" s="441"/>
      <c r="Q18" s="441"/>
      <c r="R18" s="438">
        <v>0</v>
      </c>
      <c r="S18" s="438">
        <v>14100</v>
      </c>
      <c r="T18" s="439">
        <v>0</v>
      </c>
      <c r="U18" s="439">
        <v>14100</v>
      </c>
      <c r="V18" s="63">
        <v>14100</v>
      </c>
      <c r="W18" s="63">
        <v>14100</v>
      </c>
      <c r="X18" s="63">
        <f>Table14[[#This Row],[FY26 Budget]]-Table14[[#This Row],[FY26 Committed]]</f>
        <v>-60200</v>
      </c>
      <c r="Y18" s="446"/>
      <c r="Z18" s="446"/>
      <c r="AA18" s="446"/>
      <c r="AB18" s="446"/>
      <c r="AC18" s="436" t="s">
        <v>453</v>
      </c>
      <c r="AD18" s="449" t="s">
        <v>2137</v>
      </c>
      <c r="AE18" s="450">
        <v>45566</v>
      </c>
      <c r="AF18" s="451">
        <v>45930</v>
      </c>
      <c r="AG18" s="449"/>
      <c r="AH18" s="450">
        <v>45931</v>
      </c>
      <c r="AI18" s="440" t="s">
        <v>2138</v>
      </c>
      <c r="AJ18" s="441" t="s">
        <v>174</v>
      </c>
      <c r="AK18" s="452" t="s">
        <v>174</v>
      </c>
      <c r="AL18" s="447"/>
      <c r="AM18" s="447"/>
      <c r="AN18" s="447" t="s">
        <v>2139</v>
      </c>
      <c r="AO18" s="448" t="s">
        <v>234</v>
      </c>
    </row>
    <row r="19" spans="1:41" x14ac:dyDescent="0.25">
      <c r="A19" s="59" t="s">
        <v>2140</v>
      </c>
      <c r="B19" s="60" t="s">
        <v>2141</v>
      </c>
      <c r="C19" s="95" t="s">
        <v>16</v>
      </c>
      <c r="D19" s="315" t="s">
        <v>408</v>
      </c>
      <c r="E19" s="315" t="s">
        <v>18</v>
      </c>
      <c r="F19" s="60">
        <v>37530</v>
      </c>
      <c r="G19" s="60" t="s">
        <v>44</v>
      </c>
      <c r="H19" s="60">
        <v>6405</v>
      </c>
      <c r="I19" s="60" t="s">
        <v>1686</v>
      </c>
      <c r="J19" s="60" t="s">
        <v>1629</v>
      </c>
      <c r="K19" s="373" t="str">
        <f>IF(Table14[[#This Row],[Proprietary?
(Y/N)]]="Y","Proprietary",IF(Table14[[#This Row],[FY25 Budget]]&lt;Lookups!$F$3,"Single Quote",IF(Table14[[#This Row],[FY25 Budget]]&gt;Lookups!$G$3,"RFP","Three quotes")))</f>
        <v>Three quotes</v>
      </c>
      <c r="L19" s="373" t="s">
        <v>174</v>
      </c>
      <c r="M19" s="95" t="s">
        <v>29</v>
      </c>
      <c r="N19" s="64"/>
      <c r="O19" s="64"/>
      <c r="P19" s="373"/>
      <c r="Q19" s="373"/>
      <c r="R19" s="444">
        <v>0</v>
      </c>
      <c r="S19" s="444">
        <v>0</v>
      </c>
      <c r="T19" s="445">
        <v>0</v>
      </c>
      <c r="U19" s="445">
        <v>12480</v>
      </c>
      <c r="V19" s="376">
        <v>0</v>
      </c>
      <c r="W19" s="376"/>
      <c r="X19" s="376">
        <f>Table14[[#This Row],[FY26 Budget]]-Table14[[#This Row],[FY26 Committed]]</f>
        <v>200000</v>
      </c>
      <c r="Y19" s="376"/>
      <c r="Z19" s="376"/>
      <c r="AA19" s="376"/>
      <c r="AB19" s="376"/>
      <c r="AC19" s="367" t="s">
        <v>234</v>
      </c>
      <c r="AD19" s="367" t="s">
        <v>2142</v>
      </c>
      <c r="AE19" s="64">
        <v>45689</v>
      </c>
      <c r="AF19" s="477">
        <v>46022</v>
      </c>
      <c r="AG19" s="367"/>
      <c r="AH19" s="64">
        <v>46023</v>
      </c>
      <c r="AI19" s="60"/>
      <c r="AJ19" s="373"/>
      <c r="AK19" s="373"/>
      <c r="AL19" s="378"/>
      <c r="AM19" s="378"/>
      <c r="AN19" s="378" t="s">
        <v>2143</v>
      </c>
      <c r="AO19" s="424" t="s">
        <v>234</v>
      </c>
    </row>
    <row r="20" spans="1:41" x14ac:dyDescent="0.25">
      <c r="A20" s="57" t="s">
        <v>2144</v>
      </c>
      <c r="B20" s="58" t="s">
        <v>15</v>
      </c>
      <c r="C20" s="92" t="s">
        <v>16</v>
      </c>
      <c r="D20" s="314" t="s">
        <v>408</v>
      </c>
      <c r="E20" s="314" t="s">
        <v>18</v>
      </c>
      <c r="F20" s="58">
        <v>37521</v>
      </c>
      <c r="G20" s="58" t="s">
        <v>1652</v>
      </c>
      <c r="H20" s="58">
        <v>6405</v>
      </c>
      <c r="I20" s="58" t="s">
        <v>20</v>
      </c>
      <c r="J20" s="58" t="s">
        <v>1629</v>
      </c>
      <c r="K20" s="435" t="str">
        <f>IF(Table14[[#This Row],[Proprietary?
(Y/N)]]="Y","Proprietary",IF(Table14[[#This Row],[FY25 Budget]]&lt;Lookups!$F$3,"Single Quote",IF(Table14[[#This Row],[FY25 Budget]]&gt;Lookups!$G$3,"RFP","Three quotes")))</f>
        <v>Three quotes</v>
      </c>
      <c r="L20" s="435" t="s">
        <v>178</v>
      </c>
      <c r="M20" s="92">
        <v>200340</v>
      </c>
      <c r="N20" s="62">
        <v>44168</v>
      </c>
      <c r="O20" s="62">
        <v>46358</v>
      </c>
      <c r="P20" s="441"/>
      <c r="Q20" s="441"/>
      <c r="R20" s="438">
        <v>33912.75</v>
      </c>
      <c r="S20" s="438">
        <v>29849</v>
      </c>
      <c r="T20" s="439">
        <v>53744</v>
      </c>
      <c r="U20" s="439">
        <v>5349</v>
      </c>
      <c r="V20" s="63">
        <v>100000</v>
      </c>
      <c r="W20" s="63">
        <v>98268</v>
      </c>
      <c r="X20" s="63">
        <f>Table14[[#This Row],[FY26 Budget]]-Table14[[#This Row],[FY26 Committed]]</f>
        <v>-7496</v>
      </c>
      <c r="Y20" s="446"/>
      <c r="Z20" s="446"/>
      <c r="AA20" s="446"/>
      <c r="AB20" s="446"/>
      <c r="AC20" s="436" t="s">
        <v>410</v>
      </c>
      <c r="AD20" s="449" t="s">
        <v>2145</v>
      </c>
      <c r="AE20" s="450">
        <v>45505</v>
      </c>
      <c r="AF20" s="451">
        <v>45869</v>
      </c>
      <c r="AG20" s="449"/>
      <c r="AH20" s="450">
        <v>45870</v>
      </c>
      <c r="AI20" s="488" t="s">
        <v>1856</v>
      </c>
      <c r="AJ20" s="441" t="s">
        <v>178</v>
      </c>
      <c r="AK20" s="452" t="s">
        <v>174</v>
      </c>
      <c r="AL20" s="447"/>
      <c r="AM20" s="447" t="s">
        <v>413</v>
      </c>
      <c r="AN20" s="447" t="s">
        <v>2146</v>
      </c>
      <c r="AO20" s="448" t="s">
        <v>2147</v>
      </c>
    </row>
    <row r="21" spans="1:41" x14ac:dyDescent="0.25">
      <c r="A21" s="57" t="s">
        <v>1632</v>
      </c>
      <c r="B21" s="58" t="s">
        <v>23</v>
      </c>
      <c r="C21" s="92" t="s">
        <v>16</v>
      </c>
      <c r="D21" s="314" t="s">
        <v>24</v>
      </c>
      <c r="E21" s="314" t="s">
        <v>25</v>
      </c>
      <c r="F21" s="58">
        <v>37510</v>
      </c>
      <c r="G21" s="58" t="s">
        <v>26</v>
      </c>
      <c r="H21" s="58">
        <v>6405</v>
      </c>
      <c r="I21" s="58" t="s">
        <v>1760</v>
      </c>
      <c r="J21" s="58" t="s">
        <v>1921</v>
      </c>
      <c r="K21" s="435" t="s">
        <v>173</v>
      </c>
      <c r="L21" s="435" t="s">
        <v>174</v>
      </c>
      <c r="M21" s="92" t="s">
        <v>29</v>
      </c>
      <c r="N21" s="62"/>
      <c r="O21" s="62"/>
      <c r="P21" s="441"/>
      <c r="Q21" s="441"/>
      <c r="R21" s="438">
        <v>0</v>
      </c>
      <c r="S21" s="438">
        <v>0</v>
      </c>
      <c r="T21" s="439">
        <v>7589.57</v>
      </c>
      <c r="U21" s="439">
        <v>7589.57</v>
      </c>
      <c r="V21" s="63">
        <v>0</v>
      </c>
      <c r="W21" s="63"/>
      <c r="X21" s="63">
        <f>Table14[[#This Row],[FY26 Budget]]-Table14[[#This Row],[FY26 Committed]]</f>
        <v>1386</v>
      </c>
      <c r="Y21" s="446"/>
      <c r="Z21" s="446"/>
      <c r="AA21" s="446"/>
      <c r="AB21" s="446"/>
      <c r="AC21" s="436" t="s">
        <v>234</v>
      </c>
      <c r="AD21" s="449" t="s">
        <v>2148</v>
      </c>
      <c r="AE21" s="450">
        <v>45536</v>
      </c>
      <c r="AF21" s="451">
        <v>45900</v>
      </c>
      <c r="AG21" s="449"/>
      <c r="AH21" s="450">
        <v>45901</v>
      </c>
      <c r="AI21" s="440"/>
      <c r="AJ21" s="441" t="s">
        <v>174</v>
      </c>
      <c r="AK21" s="452" t="s">
        <v>174</v>
      </c>
      <c r="AL21" s="447"/>
      <c r="AM21" s="447"/>
      <c r="AN21" s="447" t="s">
        <v>2149</v>
      </c>
      <c r="AO21" s="448" t="s">
        <v>2150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62363B-DA1F-4D4C-8014-A35E1410DD08}">
          <x14:formula1>
            <xm:f>Lookups!$B$2:$B$5</xm:f>
          </x14:formula1>
          <xm:sqref>AE2:AF2 AG5:AH7 AJ8:AK10 AJ12:AK21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49A59-7680-4757-8ABA-63C4604F1F88}">
  <dimension ref="A1:G5"/>
  <sheetViews>
    <sheetView workbookViewId="0">
      <selection activeCell="H18" sqref="H18"/>
    </sheetView>
  </sheetViews>
  <sheetFormatPr defaultRowHeight="15" x14ac:dyDescent="0.25"/>
  <cols>
    <col min="1" max="1" width="12.5703125" bestFit="1" customWidth="1"/>
    <col min="6" max="6" width="11.5703125" style="2" bestFit="1" customWidth="1"/>
    <col min="7" max="7" width="12.5703125" style="2" bestFit="1" customWidth="1"/>
  </cols>
  <sheetData>
    <row r="1" spans="1:7" x14ac:dyDescent="0.25">
      <c r="A1" t="s">
        <v>2224</v>
      </c>
      <c r="B1" t="s">
        <v>2225</v>
      </c>
      <c r="F1" s="2" t="s">
        <v>2226</v>
      </c>
    </row>
    <row r="2" spans="1:7" x14ac:dyDescent="0.25">
      <c r="A2" t="s">
        <v>178</v>
      </c>
      <c r="B2" t="s">
        <v>178</v>
      </c>
      <c r="F2" s="26" t="s">
        <v>2227</v>
      </c>
      <c r="G2" s="26" t="s">
        <v>2228</v>
      </c>
    </row>
    <row r="3" spans="1:7" x14ac:dyDescent="0.25">
      <c r="A3" t="s">
        <v>174</v>
      </c>
      <c r="B3" t="s">
        <v>174</v>
      </c>
      <c r="F3" s="2">
        <v>25000</v>
      </c>
      <c r="G3" s="2">
        <v>249999.99</v>
      </c>
    </row>
    <row r="4" spans="1:7" x14ac:dyDescent="0.25">
      <c r="A4" t="s">
        <v>2229</v>
      </c>
      <c r="B4" t="s">
        <v>234</v>
      </c>
    </row>
    <row r="5" spans="1:7" x14ac:dyDescent="0.25">
      <c r="A5" t="s">
        <v>2230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2A9E4-F0AF-4CAC-A4C5-F9CE927BD437}">
  <dimension ref="A1:D64"/>
  <sheetViews>
    <sheetView workbookViewId="0"/>
  </sheetViews>
  <sheetFormatPr defaultRowHeight="15" x14ac:dyDescent="0.25"/>
  <cols>
    <col min="1" max="1" width="33.5703125" bestFit="1" customWidth="1"/>
    <col min="2" max="2" width="79" bestFit="1" customWidth="1"/>
    <col min="3" max="3" width="8.5703125" bestFit="1" customWidth="1"/>
    <col min="4" max="4" width="23.42578125" bestFit="1" customWidth="1"/>
  </cols>
  <sheetData>
    <row r="1" spans="1:4" ht="30" x14ac:dyDescent="0.25">
      <c r="A1" s="35" t="s">
        <v>0</v>
      </c>
      <c r="B1" s="36" t="s">
        <v>1</v>
      </c>
      <c r="C1" s="36" t="s">
        <v>5</v>
      </c>
      <c r="D1" s="36" t="s">
        <v>6</v>
      </c>
    </row>
    <row r="2" spans="1:4" x14ac:dyDescent="0.25">
      <c r="A2" s="57" t="s">
        <v>30</v>
      </c>
      <c r="B2" s="58" t="s">
        <v>31</v>
      </c>
      <c r="C2" s="58">
        <v>37540</v>
      </c>
      <c r="D2" s="58" t="s">
        <v>32</v>
      </c>
    </row>
    <row r="3" spans="1:4" x14ac:dyDescent="0.25">
      <c r="A3" s="59" t="s">
        <v>34</v>
      </c>
      <c r="B3" s="60" t="s">
        <v>35</v>
      </c>
      <c r="C3" s="60">
        <v>37540</v>
      </c>
      <c r="D3" s="60" t="s">
        <v>32</v>
      </c>
    </row>
    <row r="4" spans="1:4" x14ac:dyDescent="0.25">
      <c r="A4" s="57" t="s">
        <v>213</v>
      </c>
      <c r="B4" s="58" t="s">
        <v>214</v>
      </c>
      <c r="C4" s="58">
        <v>37550</v>
      </c>
      <c r="D4" s="58" t="s">
        <v>87</v>
      </c>
    </row>
    <row r="5" spans="1:4" x14ac:dyDescent="0.25">
      <c r="A5" s="59" t="s">
        <v>216</v>
      </c>
      <c r="B5" s="60" t="s">
        <v>41</v>
      </c>
      <c r="C5" s="60">
        <v>37540</v>
      </c>
      <c r="D5" s="60" t="s">
        <v>32</v>
      </c>
    </row>
    <row r="6" spans="1:4" x14ac:dyDescent="0.25">
      <c r="A6" s="57" t="s">
        <v>216</v>
      </c>
      <c r="B6" s="58" t="s">
        <v>41</v>
      </c>
      <c r="C6" s="58">
        <v>37540</v>
      </c>
      <c r="D6" s="58" t="s">
        <v>32</v>
      </c>
    </row>
    <row r="7" spans="1:4" x14ac:dyDescent="0.25">
      <c r="A7" s="59" t="s">
        <v>219</v>
      </c>
      <c r="B7" s="60" t="s">
        <v>49</v>
      </c>
      <c r="C7" s="60">
        <v>37560</v>
      </c>
      <c r="D7" s="60" t="s">
        <v>50</v>
      </c>
    </row>
    <row r="8" spans="1:4" x14ac:dyDescent="0.25">
      <c r="A8" s="57" t="s">
        <v>170</v>
      </c>
      <c r="B8" s="58" t="s">
        <v>222</v>
      </c>
      <c r="C8" s="58">
        <v>37510</v>
      </c>
      <c r="D8" s="58" t="s">
        <v>26</v>
      </c>
    </row>
    <row r="9" spans="1:4" x14ac:dyDescent="0.25">
      <c r="A9" s="59" t="s">
        <v>224</v>
      </c>
      <c r="B9" s="60" t="s">
        <v>225</v>
      </c>
      <c r="C9" s="60">
        <v>37540</v>
      </c>
      <c r="D9" s="60" t="s">
        <v>32</v>
      </c>
    </row>
    <row r="10" spans="1:4" x14ac:dyDescent="0.25">
      <c r="A10" s="57" t="s">
        <v>227</v>
      </c>
      <c r="B10" s="58" t="s">
        <v>228</v>
      </c>
      <c r="C10" s="58">
        <v>37530</v>
      </c>
      <c r="D10" s="58" t="s">
        <v>44</v>
      </c>
    </row>
    <row r="11" spans="1:4" x14ac:dyDescent="0.25">
      <c r="A11" s="59" t="s">
        <v>227</v>
      </c>
      <c r="B11" s="60" t="s">
        <v>230</v>
      </c>
      <c r="C11" s="60">
        <v>37530</v>
      </c>
      <c r="D11" s="60" t="s">
        <v>44</v>
      </c>
    </row>
    <row r="12" spans="1:4" x14ac:dyDescent="0.25">
      <c r="A12" s="57" t="s">
        <v>54</v>
      </c>
      <c r="B12" s="58" t="s">
        <v>232</v>
      </c>
      <c r="C12" s="58">
        <v>37560</v>
      </c>
      <c r="D12" s="58" t="s">
        <v>50</v>
      </c>
    </row>
    <row r="13" spans="1:4" x14ac:dyDescent="0.25">
      <c r="A13" s="59" t="s">
        <v>57</v>
      </c>
      <c r="B13" s="60" t="s">
        <v>58</v>
      </c>
      <c r="C13" s="60">
        <v>37560</v>
      </c>
      <c r="D13" s="60" t="s">
        <v>50</v>
      </c>
    </row>
    <row r="14" spans="1:4" x14ac:dyDescent="0.25">
      <c r="A14" s="57" t="s">
        <v>59</v>
      </c>
      <c r="B14" s="58" t="s">
        <v>60</v>
      </c>
      <c r="C14" s="58">
        <v>37530</v>
      </c>
      <c r="D14" s="58" t="s">
        <v>44</v>
      </c>
    </row>
    <row r="15" spans="1:4" x14ac:dyDescent="0.25">
      <c r="A15" s="59" t="s">
        <v>236</v>
      </c>
      <c r="B15" s="60" t="s">
        <v>237</v>
      </c>
      <c r="C15" s="60">
        <v>37510</v>
      </c>
      <c r="D15" s="60" t="s">
        <v>26</v>
      </c>
    </row>
    <row r="16" spans="1:4" x14ac:dyDescent="0.25">
      <c r="A16" s="57" t="s">
        <v>238</v>
      </c>
      <c r="B16" s="58" t="s">
        <v>239</v>
      </c>
      <c r="C16" s="58">
        <v>37510</v>
      </c>
      <c r="D16" s="58" t="s">
        <v>26</v>
      </c>
    </row>
    <row r="17" spans="1:4" x14ac:dyDescent="0.25">
      <c r="A17" s="59" t="s">
        <v>238</v>
      </c>
      <c r="B17" s="60" t="s">
        <v>240</v>
      </c>
      <c r="C17" s="60">
        <v>37550</v>
      </c>
      <c r="D17" s="60" t="s">
        <v>87</v>
      </c>
    </row>
    <row r="18" spans="1:4" x14ac:dyDescent="0.25">
      <c r="A18" s="57" t="s">
        <v>241</v>
      </c>
      <c r="B18" s="58" t="s">
        <v>242</v>
      </c>
      <c r="C18" s="58">
        <v>37550</v>
      </c>
      <c r="D18" s="58" t="s">
        <v>87</v>
      </c>
    </row>
    <row r="19" spans="1:4" x14ac:dyDescent="0.25">
      <c r="A19" s="59" t="s">
        <v>69</v>
      </c>
      <c r="B19" s="60" t="s">
        <v>243</v>
      </c>
      <c r="C19" s="60">
        <v>37560</v>
      </c>
      <c r="D19" s="60" t="s">
        <v>50</v>
      </c>
    </row>
    <row r="20" spans="1:4" x14ac:dyDescent="0.25">
      <c r="A20" s="57" t="s">
        <v>75</v>
      </c>
      <c r="B20" s="58" t="s">
        <v>76</v>
      </c>
      <c r="C20" s="58">
        <v>37510</v>
      </c>
      <c r="D20" s="58" t="s">
        <v>26</v>
      </c>
    </row>
    <row r="21" spans="1:4" x14ac:dyDescent="0.25">
      <c r="A21" s="59" t="s">
        <v>81</v>
      </c>
      <c r="B21" s="60" t="s">
        <v>82</v>
      </c>
      <c r="C21" s="60">
        <v>37510</v>
      </c>
      <c r="D21" s="60" t="s">
        <v>26</v>
      </c>
    </row>
    <row r="22" spans="1:4" x14ac:dyDescent="0.25">
      <c r="A22" s="57" t="s">
        <v>85</v>
      </c>
      <c r="B22" s="58" t="s">
        <v>86</v>
      </c>
      <c r="C22" s="58">
        <v>37550</v>
      </c>
      <c r="D22" s="58" t="s">
        <v>87</v>
      </c>
    </row>
    <row r="23" spans="1:4" x14ac:dyDescent="0.25">
      <c r="A23" s="59" t="s">
        <v>246</v>
      </c>
      <c r="B23" s="60" t="s">
        <v>247</v>
      </c>
      <c r="C23" s="60">
        <v>37510</v>
      </c>
      <c r="D23" s="60" t="s">
        <v>26</v>
      </c>
    </row>
    <row r="24" spans="1:4" x14ac:dyDescent="0.25">
      <c r="A24" s="57" t="s">
        <v>246</v>
      </c>
      <c r="B24" s="58" t="s">
        <v>248</v>
      </c>
      <c r="C24" s="58">
        <v>37510</v>
      </c>
      <c r="D24" s="58" t="s">
        <v>26</v>
      </c>
    </row>
    <row r="25" spans="1:4" x14ac:dyDescent="0.25">
      <c r="A25" s="59" t="s">
        <v>88</v>
      </c>
      <c r="B25" s="60" t="s">
        <v>249</v>
      </c>
      <c r="C25" s="60">
        <v>37510</v>
      </c>
      <c r="D25" s="60" t="s">
        <v>26</v>
      </c>
    </row>
    <row r="26" spans="1:4" x14ac:dyDescent="0.25">
      <c r="A26" s="57" t="s">
        <v>88</v>
      </c>
      <c r="B26" s="58" t="s">
        <v>251</v>
      </c>
      <c r="C26" s="58">
        <v>37510</v>
      </c>
      <c r="D26" s="58" t="s">
        <v>26</v>
      </c>
    </row>
    <row r="27" spans="1:4" x14ac:dyDescent="0.25">
      <c r="A27" s="59" t="s">
        <v>253</v>
      </c>
      <c r="B27" s="60" t="s">
        <v>254</v>
      </c>
      <c r="C27" s="60">
        <v>37520</v>
      </c>
      <c r="D27" s="60" t="s">
        <v>19</v>
      </c>
    </row>
    <row r="28" spans="1:4" x14ac:dyDescent="0.25">
      <c r="A28" s="57" t="s">
        <v>255</v>
      </c>
      <c r="B28" s="58" t="s">
        <v>256</v>
      </c>
      <c r="C28" s="58">
        <v>37540</v>
      </c>
      <c r="D28" s="58" t="s">
        <v>32</v>
      </c>
    </row>
    <row r="29" spans="1:4" x14ac:dyDescent="0.25">
      <c r="A29" s="59" t="s">
        <v>258</v>
      </c>
      <c r="B29" s="60" t="s">
        <v>259</v>
      </c>
      <c r="C29" s="60">
        <v>37550</v>
      </c>
      <c r="D29" s="60" t="s">
        <v>87</v>
      </c>
    </row>
    <row r="30" spans="1:4" x14ac:dyDescent="0.25">
      <c r="A30" s="57" t="s">
        <v>90</v>
      </c>
      <c r="B30" s="58" t="s">
        <v>91</v>
      </c>
      <c r="C30" s="58">
        <v>37550</v>
      </c>
      <c r="D30" s="58" t="s">
        <v>87</v>
      </c>
    </row>
    <row r="31" spans="1:4" x14ac:dyDescent="0.25">
      <c r="A31" s="59" t="s">
        <v>94</v>
      </c>
      <c r="B31" s="60" t="s">
        <v>95</v>
      </c>
      <c r="C31" s="60">
        <v>37560</v>
      </c>
      <c r="D31" s="60" t="s">
        <v>50</v>
      </c>
    </row>
    <row r="32" spans="1:4" x14ac:dyDescent="0.25">
      <c r="A32" s="57" t="s">
        <v>262</v>
      </c>
      <c r="B32" s="58" t="s">
        <v>263</v>
      </c>
      <c r="C32" s="58">
        <v>37560</v>
      </c>
      <c r="D32" s="58" t="s">
        <v>50</v>
      </c>
    </row>
    <row r="33" spans="1:4" x14ac:dyDescent="0.25">
      <c r="A33" s="59" t="s">
        <v>265</v>
      </c>
      <c r="B33" s="60" t="s">
        <v>266</v>
      </c>
      <c r="C33" s="60">
        <v>37560</v>
      </c>
      <c r="D33" s="60" t="s">
        <v>50</v>
      </c>
    </row>
    <row r="34" spans="1:4" x14ac:dyDescent="0.25">
      <c r="A34" s="57" t="s">
        <v>97</v>
      </c>
      <c r="B34" s="58" t="s">
        <v>98</v>
      </c>
      <c r="C34" s="58">
        <v>37540</v>
      </c>
      <c r="D34" s="58" t="s">
        <v>32</v>
      </c>
    </row>
    <row r="35" spans="1:4" x14ac:dyDescent="0.25">
      <c r="A35" s="59" t="s">
        <v>99</v>
      </c>
      <c r="B35" s="60" t="s">
        <v>100</v>
      </c>
      <c r="C35" s="60">
        <v>37510</v>
      </c>
      <c r="D35" s="60" t="s">
        <v>26</v>
      </c>
    </row>
    <row r="36" spans="1:4" x14ac:dyDescent="0.25">
      <c r="A36" s="57" t="s">
        <v>101</v>
      </c>
      <c r="B36" s="58" t="s">
        <v>102</v>
      </c>
      <c r="C36" s="58">
        <v>37530</v>
      </c>
      <c r="D36" s="58" t="s">
        <v>44</v>
      </c>
    </row>
    <row r="37" spans="1:4" x14ac:dyDescent="0.25">
      <c r="A37" s="59" t="s">
        <v>272</v>
      </c>
      <c r="B37" s="60" t="s">
        <v>104</v>
      </c>
      <c r="C37" s="60">
        <v>37560</v>
      </c>
      <c r="D37" s="60" t="s">
        <v>50</v>
      </c>
    </row>
    <row r="38" spans="1:4" x14ac:dyDescent="0.25">
      <c r="A38" s="57" t="s">
        <v>272</v>
      </c>
      <c r="B38" s="58" t="s">
        <v>274</v>
      </c>
      <c r="C38" s="58">
        <v>37560</v>
      </c>
      <c r="D38" s="58" t="s">
        <v>50</v>
      </c>
    </row>
    <row r="39" spans="1:4" x14ac:dyDescent="0.25">
      <c r="A39" s="59" t="s">
        <v>107</v>
      </c>
      <c r="B39" s="60" t="s">
        <v>108</v>
      </c>
      <c r="C39" s="60">
        <v>37550</v>
      </c>
      <c r="D39" s="60" t="s">
        <v>87</v>
      </c>
    </row>
    <row r="40" spans="1:4" x14ac:dyDescent="0.25">
      <c r="A40" s="57" t="s">
        <v>278</v>
      </c>
      <c r="B40" s="58" t="s">
        <v>279</v>
      </c>
      <c r="C40" s="58">
        <v>37550</v>
      </c>
      <c r="D40" s="58" t="s">
        <v>87</v>
      </c>
    </row>
    <row r="41" spans="1:4" x14ac:dyDescent="0.25">
      <c r="A41" s="59" t="s">
        <v>281</v>
      </c>
      <c r="B41" s="60" t="s">
        <v>282</v>
      </c>
      <c r="C41" s="60">
        <v>37520</v>
      </c>
      <c r="D41" s="60" t="s">
        <v>19</v>
      </c>
    </row>
    <row r="42" spans="1:4" x14ac:dyDescent="0.25">
      <c r="A42" s="57" t="s">
        <v>283</v>
      </c>
      <c r="B42" s="58" t="s">
        <v>114</v>
      </c>
      <c r="C42" s="58">
        <v>37550</v>
      </c>
      <c r="D42" s="58" t="s">
        <v>87</v>
      </c>
    </row>
    <row r="43" spans="1:4" x14ac:dyDescent="0.25">
      <c r="A43" s="59" t="s">
        <v>284</v>
      </c>
      <c r="B43" s="60" t="s">
        <v>285</v>
      </c>
      <c r="C43" s="60">
        <v>37510</v>
      </c>
      <c r="D43" s="60" t="s">
        <v>26</v>
      </c>
    </row>
    <row r="44" spans="1:4" x14ac:dyDescent="0.25">
      <c r="A44" s="57" t="s">
        <v>286</v>
      </c>
      <c r="B44" s="58" t="s">
        <v>117</v>
      </c>
      <c r="C44" s="58">
        <v>37560</v>
      </c>
      <c r="D44" s="58" t="s">
        <v>50</v>
      </c>
    </row>
    <row r="45" spans="1:4" x14ac:dyDescent="0.25">
      <c r="A45" s="59" t="s">
        <v>286</v>
      </c>
      <c r="B45" s="60" t="s">
        <v>116</v>
      </c>
      <c r="C45" s="60">
        <v>37560</v>
      </c>
      <c r="D45" s="60" t="s">
        <v>50</v>
      </c>
    </row>
    <row r="46" spans="1:4" x14ac:dyDescent="0.25">
      <c r="A46" s="57" t="s">
        <v>187</v>
      </c>
      <c r="B46" s="58" t="s">
        <v>122</v>
      </c>
      <c r="C46" s="58">
        <v>37510</v>
      </c>
      <c r="D46" s="58" t="s">
        <v>26</v>
      </c>
    </row>
    <row r="47" spans="1:4" x14ac:dyDescent="0.25">
      <c r="A47" s="59" t="s">
        <v>315</v>
      </c>
      <c r="B47" s="60" t="s">
        <v>119</v>
      </c>
      <c r="C47" s="60">
        <v>37520</v>
      </c>
      <c r="D47" s="60" t="s">
        <v>19</v>
      </c>
    </row>
    <row r="48" spans="1:4" x14ac:dyDescent="0.25">
      <c r="A48" s="57" t="s">
        <v>290</v>
      </c>
      <c r="B48" s="58" t="s">
        <v>72</v>
      </c>
      <c r="C48" s="58">
        <v>37530</v>
      </c>
      <c r="D48" s="58" t="s">
        <v>44</v>
      </c>
    </row>
    <row r="49" spans="1:4" x14ac:dyDescent="0.25">
      <c r="A49" s="59" t="s">
        <v>121</v>
      </c>
      <c r="B49" s="60" t="s">
        <v>122</v>
      </c>
      <c r="C49" s="60">
        <v>37510</v>
      </c>
      <c r="D49" s="60" t="s">
        <v>26</v>
      </c>
    </row>
    <row r="50" spans="1:4" x14ac:dyDescent="0.25">
      <c r="A50" s="57" t="s">
        <v>292</v>
      </c>
      <c r="B50" s="58" t="s">
        <v>225</v>
      </c>
      <c r="C50" s="58">
        <v>37540</v>
      </c>
      <c r="D50" s="58" t="s">
        <v>32</v>
      </c>
    </row>
    <row r="51" spans="1:4" x14ac:dyDescent="0.25">
      <c r="A51" s="59" t="s">
        <v>126</v>
      </c>
      <c r="B51" s="60" t="s">
        <v>293</v>
      </c>
      <c r="C51" s="60">
        <v>37550</v>
      </c>
      <c r="D51" s="60" t="s">
        <v>87</v>
      </c>
    </row>
    <row r="52" spans="1:4" x14ac:dyDescent="0.25">
      <c r="A52" s="57" t="s">
        <v>295</v>
      </c>
      <c r="B52" s="58" t="s">
        <v>79</v>
      </c>
      <c r="C52" s="58">
        <v>37540</v>
      </c>
      <c r="D52" s="58" t="s">
        <v>32</v>
      </c>
    </row>
    <row r="53" spans="1:4" x14ac:dyDescent="0.25">
      <c r="A53" s="59" t="s">
        <v>295</v>
      </c>
      <c r="B53" s="60" t="s">
        <v>297</v>
      </c>
      <c r="C53" s="60">
        <v>37540</v>
      </c>
      <c r="D53" s="60" t="s">
        <v>32</v>
      </c>
    </row>
    <row r="54" spans="1:4" x14ac:dyDescent="0.25">
      <c r="A54" s="57" t="s">
        <v>299</v>
      </c>
      <c r="B54" s="58" t="s">
        <v>300</v>
      </c>
      <c r="C54" s="58">
        <v>37530</v>
      </c>
      <c r="D54" s="58" t="s">
        <v>44</v>
      </c>
    </row>
    <row r="55" spans="1:4" x14ac:dyDescent="0.25">
      <c r="A55" s="59" t="s">
        <v>301</v>
      </c>
      <c r="B55" s="60" t="s">
        <v>316</v>
      </c>
      <c r="C55" s="60">
        <v>37550</v>
      </c>
      <c r="D55" s="60" t="s">
        <v>87</v>
      </c>
    </row>
    <row r="56" spans="1:4" x14ac:dyDescent="0.25">
      <c r="A56" s="57" t="s">
        <v>301</v>
      </c>
      <c r="B56" s="58" t="s">
        <v>263</v>
      </c>
      <c r="C56" s="58">
        <v>37560</v>
      </c>
      <c r="D56" s="58" t="s">
        <v>50</v>
      </c>
    </row>
    <row r="57" spans="1:4" x14ac:dyDescent="0.25">
      <c r="A57" s="59" t="s">
        <v>131</v>
      </c>
      <c r="B57" s="60" t="s">
        <v>132</v>
      </c>
      <c r="C57" s="60">
        <v>37560</v>
      </c>
      <c r="D57" s="60" t="s">
        <v>50</v>
      </c>
    </row>
    <row r="58" spans="1:4" x14ac:dyDescent="0.25">
      <c r="A58" s="57" t="s">
        <v>135</v>
      </c>
      <c r="B58" s="58" t="s">
        <v>136</v>
      </c>
      <c r="C58" s="58">
        <v>37530</v>
      </c>
      <c r="D58" s="58" t="s">
        <v>44</v>
      </c>
    </row>
    <row r="59" spans="1:4" x14ac:dyDescent="0.25">
      <c r="A59" s="59" t="s">
        <v>137</v>
      </c>
      <c r="B59" s="60" t="s">
        <v>138</v>
      </c>
      <c r="C59" s="60">
        <v>37560</v>
      </c>
      <c r="D59" s="60" t="s">
        <v>50</v>
      </c>
    </row>
    <row r="60" spans="1:4" x14ac:dyDescent="0.25">
      <c r="A60" s="57" t="s">
        <v>306</v>
      </c>
      <c r="B60" s="58" t="s">
        <v>307</v>
      </c>
      <c r="C60" s="58">
        <v>37530</v>
      </c>
      <c r="D60" s="58" t="s">
        <v>44</v>
      </c>
    </row>
    <row r="61" spans="1:4" x14ac:dyDescent="0.25">
      <c r="A61" s="59" t="s">
        <v>306</v>
      </c>
      <c r="B61" s="60" t="s">
        <v>309</v>
      </c>
      <c r="C61" s="60">
        <v>37540</v>
      </c>
      <c r="D61" s="60" t="s">
        <v>32</v>
      </c>
    </row>
    <row r="62" spans="1:4" x14ac:dyDescent="0.25">
      <c r="A62" s="57" t="s">
        <v>311</v>
      </c>
      <c r="B62" s="58" t="s">
        <v>312</v>
      </c>
      <c r="C62" s="58">
        <v>37530</v>
      </c>
      <c r="D62" s="58" t="s">
        <v>44</v>
      </c>
    </row>
    <row r="63" spans="1:4" x14ac:dyDescent="0.25">
      <c r="A63" s="59" t="s">
        <v>313</v>
      </c>
      <c r="B63" s="60" t="s">
        <v>314</v>
      </c>
      <c r="C63" s="60">
        <v>37540</v>
      </c>
      <c r="D63" s="60" t="s">
        <v>32</v>
      </c>
    </row>
    <row r="64" spans="1:4" x14ac:dyDescent="0.25">
      <c r="A64" s="57" t="s">
        <v>141</v>
      </c>
      <c r="B64" s="58" t="s">
        <v>142</v>
      </c>
      <c r="C64" s="58">
        <v>37510</v>
      </c>
      <c r="D64" s="58"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40E7-258D-42FE-9BF3-810CEF4D6A71}">
  <dimension ref="A1:AG26"/>
  <sheetViews>
    <sheetView workbookViewId="0">
      <selection activeCell="H23" sqref="H23"/>
    </sheetView>
  </sheetViews>
  <sheetFormatPr defaultRowHeight="15" outlineLevelCol="1" x14ac:dyDescent="0.25"/>
  <cols>
    <col min="1" max="1" width="25.42578125" bestFit="1" customWidth="1"/>
    <col min="2" max="2" width="20.7109375" customWidth="1"/>
    <col min="3" max="3" width="13.28515625" customWidth="1"/>
    <col min="4" max="4" width="11.5703125" customWidth="1"/>
    <col min="5" max="5" width="12.42578125" customWidth="1"/>
    <col min="6" max="7" width="11.5703125" customWidth="1"/>
    <col min="8" max="8" width="20.5703125" bestFit="1" customWidth="1"/>
    <col min="9" max="9" width="16.7109375" customWidth="1"/>
    <col min="10" max="14" width="9.5703125" hidden="1" customWidth="1" outlineLevel="1"/>
    <col min="15" max="15" width="11.28515625" customWidth="1" collapsed="1"/>
    <col min="16" max="16" width="11.42578125" customWidth="1"/>
    <col min="17" max="17" width="12" customWidth="1"/>
    <col min="18" max="18" width="11.5703125" bestFit="1" customWidth="1"/>
    <col min="19" max="22" width="11.42578125" hidden="1" customWidth="1" outlineLevel="1"/>
    <col min="23" max="23" width="12.7109375" customWidth="1" collapsed="1"/>
    <col min="24" max="26" width="11.42578125" customWidth="1"/>
    <col min="27" max="27" width="13" customWidth="1"/>
    <col min="28" max="28" width="14.5703125" customWidth="1"/>
    <col min="29" max="29" width="17.5703125" bestFit="1" customWidth="1"/>
    <col min="30" max="32" width="12" customWidth="1"/>
    <col min="33" max="33" width="36.42578125" bestFit="1" customWidth="1"/>
  </cols>
  <sheetData>
    <row r="1" spans="1:33" s="205" customFormat="1" ht="45" x14ac:dyDescent="0.25">
      <c r="A1" s="198" t="s">
        <v>0</v>
      </c>
      <c r="B1" s="198" t="s">
        <v>1</v>
      </c>
      <c r="C1" s="198" t="s">
        <v>2</v>
      </c>
      <c r="D1" s="198" t="s">
        <v>5</v>
      </c>
      <c r="E1" s="198" t="s">
        <v>143</v>
      </c>
      <c r="F1" s="198" t="s">
        <v>144</v>
      </c>
      <c r="G1" s="198" t="s">
        <v>7</v>
      </c>
      <c r="H1" s="198" t="s">
        <v>6</v>
      </c>
      <c r="I1" s="199" t="s">
        <v>145</v>
      </c>
      <c r="J1" s="198" t="s">
        <v>10</v>
      </c>
      <c r="K1" s="198" t="s">
        <v>147</v>
      </c>
      <c r="L1" s="199" t="s">
        <v>148</v>
      </c>
      <c r="M1" s="199" t="s">
        <v>149</v>
      </c>
      <c r="N1" s="199" t="s">
        <v>150</v>
      </c>
      <c r="O1" s="200" t="s">
        <v>204</v>
      </c>
      <c r="P1" s="201" t="s">
        <v>151</v>
      </c>
      <c r="Q1" s="201" t="s">
        <v>12</v>
      </c>
      <c r="R1" s="201" t="s">
        <v>152</v>
      </c>
      <c r="S1" s="201" t="s">
        <v>317</v>
      </c>
      <c r="T1" s="201" t="s">
        <v>155</v>
      </c>
      <c r="U1" s="201" t="s">
        <v>156</v>
      </c>
      <c r="V1" s="201" t="s">
        <v>157</v>
      </c>
      <c r="W1" s="198" t="s">
        <v>318</v>
      </c>
      <c r="X1" s="198" t="s">
        <v>160</v>
      </c>
      <c r="Y1" s="199" t="s">
        <v>161</v>
      </c>
      <c r="Z1" s="198" t="s">
        <v>319</v>
      </c>
      <c r="AA1" s="199" t="s">
        <v>163</v>
      </c>
      <c r="AB1" s="199" t="s">
        <v>164</v>
      </c>
      <c r="AC1" s="202" t="s">
        <v>165</v>
      </c>
      <c r="AD1" s="203" t="s">
        <v>166</v>
      </c>
      <c r="AE1" s="203" t="s">
        <v>167</v>
      </c>
      <c r="AF1" s="204" t="s">
        <v>168</v>
      </c>
      <c r="AG1" s="203" t="s">
        <v>169</v>
      </c>
    </row>
    <row r="2" spans="1:33" x14ac:dyDescent="0.25">
      <c r="A2" t="s">
        <v>320</v>
      </c>
      <c r="B2" t="s">
        <v>321</v>
      </c>
      <c r="C2" t="s">
        <v>174</v>
      </c>
      <c r="D2">
        <v>37100</v>
      </c>
      <c r="E2" t="s">
        <v>322</v>
      </c>
      <c r="F2" t="s">
        <v>323</v>
      </c>
      <c r="G2">
        <v>6305</v>
      </c>
      <c r="H2" t="s">
        <v>324</v>
      </c>
      <c r="I2" t="s">
        <v>192</v>
      </c>
      <c r="O2" s="2">
        <v>0</v>
      </c>
      <c r="P2" s="2">
        <v>0</v>
      </c>
      <c r="Q2" s="2">
        <f>P2-O2</f>
        <v>0</v>
      </c>
      <c r="R2" s="2">
        <v>5000</v>
      </c>
      <c r="S2" s="2"/>
      <c r="T2" s="2"/>
      <c r="U2" s="2"/>
      <c r="V2" s="2"/>
      <c r="W2" s="2"/>
      <c r="Z2" t="s">
        <v>325</v>
      </c>
      <c r="AA2" s="9">
        <v>44835</v>
      </c>
      <c r="AB2" t="s">
        <v>178</v>
      </c>
      <c r="AC2" t="s">
        <v>326</v>
      </c>
      <c r="AD2" t="s">
        <v>174</v>
      </c>
      <c r="AE2" t="s">
        <v>234</v>
      </c>
      <c r="AF2" t="s">
        <v>234</v>
      </c>
    </row>
    <row r="3" spans="1:33" x14ac:dyDescent="0.25">
      <c r="A3" t="s">
        <v>327</v>
      </c>
      <c r="B3" t="s">
        <v>321</v>
      </c>
      <c r="C3" t="s">
        <v>174</v>
      </c>
      <c r="D3">
        <v>37100</v>
      </c>
      <c r="E3" t="s">
        <v>322</v>
      </c>
      <c r="F3" t="s">
        <v>323</v>
      </c>
      <c r="G3">
        <v>6305</v>
      </c>
      <c r="H3" t="s">
        <v>324</v>
      </c>
      <c r="I3" t="s">
        <v>192</v>
      </c>
      <c r="O3" s="2">
        <v>0</v>
      </c>
      <c r="P3" s="2">
        <v>0</v>
      </c>
      <c r="Q3" s="2">
        <f t="shared" ref="Q3:Q6" si="0">P3-O3</f>
        <v>0</v>
      </c>
      <c r="R3" s="2">
        <v>5000</v>
      </c>
      <c r="S3" s="2"/>
      <c r="T3" s="2"/>
      <c r="U3" s="2"/>
      <c r="V3" s="2"/>
      <c r="W3" s="2"/>
      <c r="Z3" t="s">
        <v>328</v>
      </c>
      <c r="AA3" s="9">
        <v>44835</v>
      </c>
      <c r="AB3" t="s">
        <v>178</v>
      </c>
      <c r="AC3" t="s">
        <v>326</v>
      </c>
      <c r="AD3" t="s">
        <v>174</v>
      </c>
      <c r="AE3" t="s">
        <v>234</v>
      </c>
      <c r="AF3" t="s">
        <v>234</v>
      </c>
    </row>
    <row r="4" spans="1:33" x14ac:dyDescent="0.25">
      <c r="A4" t="s">
        <v>329</v>
      </c>
      <c r="B4" t="s">
        <v>321</v>
      </c>
      <c r="C4" t="s">
        <v>174</v>
      </c>
      <c r="D4">
        <v>37100</v>
      </c>
      <c r="E4" t="s">
        <v>322</v>
      </c>
      <c r="F4" t="s">
        <v>323</v>
      </c>
      <c r="G4">
        <v>6305</v>
      </c>
      <c r="H4" t="s">
        <v>324</v>
      </c>
      <c r="I4" t="s">
        <v>192</v>
      </c>
      <c r="O4" s="2">
        <v>0</v>
      </c>
      <c r="P4" s="2">
        <v>0</v>
      </c>
      <c r="Q4" s="2">
        <f t="shared" si="0"/>
        <v>0</v>
      </c>
      <c r="R4" s="2">
        <v>5000</v>
      </c>
      <c r="S4" s="2"/>
      <c r="T4" s="2"/>
      <c r="U4" s="2"/>
      <c r="V4" s="2"/>
      <c r="W4" s="2"/>
      <c r="AA4" s="9">
        <v>44835</v>
      </c>
      <c r="AC4" t="s">
        <v>326</v>
      </c>
      <c r="AD4" t="s">
        <v>174</v>
      </c>
      <c r="AE4" t="s">
        <v>234</v>
      </c>
      <c r="AF4" t="s">
        <v>234</v>
      </c>
    </row>
    <row r="5" spans="1:33" x14ac:dyDescent="0.25">
      <c r="A5" t="s">
        <v>330</v>
      </c>
      <c r="B5" t="s">
        <v>331</v>
      </c>
      <c r="C5" t="s">
        <v>174</v>
      </c>
      <c r="D5">
        <v>37540</v>
      </c>
      <c r="E5" t="s">
        <v>332</v>
      </c>
      <c r="F5" t="s">
        <v>322</v>
      </c>
      <c r="G5">
        <v>6405</v>
      </c>
      <c r="H5" t="s">
        <v>32</v>
      </c>
      <c r="I5" t="s">
        <v>192</v>
      </c>
      <c r="O5" s="2">
        <v>0</v>
      </c>
      <c r="P5" s="2">
        <v>0</v>
      </c>
      <c r="Q5" s="2">
        <f t="shared" si="0"/>
        <v>0</v>
      </c>
      <c r="R5" s="2">
        <v>24000</v>
      </c>
      <c r="S5" s="2"/>
      <c r="T5" s="2"/>
      <c r="U5" s="2"/>
      <c r="V5" s="2"/>
      <c r="W5" s="2"/>
      <c r="AA5" s="9">
        <v>44835</v>
      </c>
      <c r="AD5" t="s">
        <v>178</v>
      </c>
      <c r="AF5" t="s">
        <v>234</v>
      </c>
      <c r="AG5" t="s">
        <v>333</v>
      </c>
    </row>
    <row r="6" spans="1:33" x14ac:dyDescent="0.25">
      <c r="A6" t="s">
        <v>334</v>
      </c>
      <c r="B6" t="s">
        <v>331</v>
      </c>
      <c r="C6" t="s">
        <v>174</v>
      </c>
      <c r="D6">
        <v>37540</v>
      </c>
      <c r="E6" t="s">
        <v>332</v>
      </c>
      <c r="F6" t="s">
        <v>322</v>
      </c>
      <c r="G6">
        <v>6405</v>
      </c>
      <c r="H6" t="s">
        <v>32</v>
      </c>
      <c r="I6" t="s">
        <v>192</v>
      </c>
      <c r="O6" s="2">
        <v>0</v>
      </c>
      <c r="P6" s="2">
        <v>0</v>
      </c>
      <c r="Q6" s="2">
        <f t="shared" si="0"/>
        <v>0</v>
      </c>
      <c r="R6" s="2">
        <v>10000</v>
      </c>
      <c r="S6" s="2"/>
      <c r="T6" s="2"/>
      <c r="U6" s="2"/>
      <c r="V6" s="2"/>
      <c r="W6" s="2" t="s">
        <v>234</v>
      </c>
      <c r="AA6" s="9">
        <v>44835</v>
      </c>
      <c r="AD6" t="s">
        <v>178</v>
      </c>
      <c r="AF6" t="s">
        <v>234</v>
      </c>
      <c r="AG6" t="s">
        <v>333</v>
      </c>
    </row>
    <row r="7" spans="1:33" x14ac:dyDescent="0.25">
      <c r="O7" s="2"/>
      <c r="P7" s="2"/>
      <c r="Q7" s="2"/>
      <c r="R7" s="2"/>
      <c r="S7" s="2"/>
      <c r="T7" s="2"/>
      <c r="U7" s="2"/>
      <c r="V7" s="2"/>
      <c r="W7" s="2"/>
    </row>
    <row r="8" spans="1:33" x14ac:dyDescent="0.25">
      <c r="O8" s="2"/>
      <c r="P8" s="2"/>
      <c r="Q8" s="2"/>
      <c r="R8" s="2"/>
      <c r="S8" s="2"/>
      <c r="T8" s="2"/>
      <c r="U8" s="2"/>
      <c r="V8" s="2"/>
      <c r="W8" s="2"/>
    </row>
    <row r="9" spans="1:33" x14ac:dyDescent="0.25">
      <c r="O9" s="2"/>
      <c r="P9" s="2"/>
      <c r="Q9" s="2"/>
      <c r="R9" s="2"/>
      <c r="S9" s="2"/>
      <c r="T9" s="2"/>
      <c r="U9" s="2"/>
      <c r="V9" s="2"/>
      <c r="W9" s="2"/>
    </row>
    <row r="10" spans="1:33" x14ac:dyDescent="0.25">
      <c r="O10" s="2"/>
      <c r="P10" s="2"/>
      <c r="Q10" s="2"/>
      <c r="R10" s="2"/>
      <c r="S10" s="2"/>
      <c r="T10" s="2"/>
      <c r="U10" s="2"/>
      <c r="V10" s="2"/>
      <c r="W10" s="2"/>
    </row>
    <row r="11" spans="1:33" x14ac:dyDescent="0.25">
      <c r="O11" s="2"/>
      <c r="P11" s="2"/>
      <c r="Q11" s="2"/>
      <c r="R11" s="2"/>
      <c r="S11" s="2"/>
      <c r="T11" s="2"/>
      <c r="U11" s="2"/>
      <c r="V11" s="2"/>
      <c r="W11" s="2"/>
    </row>
    <row r="12" spans="1:33" x14ac:dyDescent="0.25">
      <c r="O12" s="2"/>
      <c r="P12" s="2"/>
      <c r="Q12" s="2"/>
      <c r="R12" s="2"/>
      <c r="S12" s="2"/>
      <c r="T12" s="2"/>
      <c r="U12" s="2"/>
      <c r="V12" s="2"/>
      <c r="W12" s="2"/>
    </row>
    <row r="13" spans="1:33" x14ac:dyDescent="0.25">
      <c r="O13" s="2"/>
      <c r="P13" s="2"/>
      <c r="Q13" s="2"/>
      <c r="R13" s="2"/>
      <c r="S13" s="2"/>
      <c r="T13" s="2"/>
      <c r="U13" s="2"/>
      <c r="V13" s="2"/>
      <c r="W13" s="2"/>
    </row>
    <row r="14" spans="1:33" x14ac:dyDescent="0.25">
      <c r="O14" s="2"/>
      <c r="P14" s="2"/>
      <c r="Q14" s="2"/>
      <c r="R14" s="2"/>
      <c r="S14" s="2"/>
      <c r="T14" s="2"/>
      <c r="U14" s="2"/>
      <c r="V14" s="2"/>
      <c r="W14" s="2"/>
    </row>
    <row r="21" spans="1:3" x14ac:dyDescent="0.25">
      <c r="A21" s="143" t="s">
        <v>335</v>
      </c>
      <c r="B21" s="143" t="s">
        <v>336</v>
      </c>
      <c r="C21" s="144" t="s">
        <v>192</v>
      </c>
    </row>
    <row r="22" spans="1:3" x14ac:dyDescent="0.25">
      <c r="A22" t="s">
        <v>337</v>
      </c>
      <c r="B22" t="s">
        <v>331</v>
      </c>
      <c r="C22" s="88">
        <v>5000</v>
      </c>
    </row>
    <row r="23" spans="1:3" x14ac:dyDescent="0.25">
      <c r="A23" t="s">
        <v>334</v>
      </c>
      <c r="B23" t="s">
        <v>331</v>
      </c>
      <c r="C23" s="88">
        <v>5000</v>
      </c>
    </row>
    <row r="24" spans="1:3" x14ac:dyDescent="0.25">
      <c r="A24" t="s">
        <v>338</v>
      </c>
      <c r="B24" t="s">
        <v>339</v>
      </c>
      <c r="C24" s="88">
        <v>5000</v>
      </c>
    </row>
    <row r="25" spans="1:3" x14ac:dyDescent="0.25">
      <c r="A25" t="s">
        <v>320</v>
      </c>
      <c r="B25" t="s">
        <v>339</v>
      </c>
      <c r="C25" s="88">
        <v>5000</v>
      </c>
    </row>
    <row r="26" spans="1:3" x14ac:dyDescent="0.25">
      <c r="A26" s="213" t="s">
        <v>340</v>
      </c>
      <c r="B26" s="213" t="s">
        <v>339</v>
      </c>
      <c r="C26" s="88">
        <v>5000</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7"/>
  <sheetViews>
    <sheetView workbookViewId="0"/>
  </sheetViews>
  <sheetFormatPr defaultRowHeight="15" x14ac:dyDescent="0.25"/>
  <cols>
    <col min="1" max="1" width="46.5703125" bestFit="1" customWidth="1"/>
    <col min="2" max="2" width="33.42578125" customWidth="1"/>
    <col min="3" max="3" width="15.5703125" customWidth="1"/>
    <col min="4" max="4" width="10.5703125" customWidth="1"/>
    <col min="5" max="5" width="15.5703125" customWidth="1"/>
    <col min="6" max="6" width="16.42578125" bestFit="1" customWidth="1"/>
    <col min="7" max="7" width="8.5703125" bestFit="1" customWidth="1"/>
    <col min="8" max="8" width="24" bestFit="1" customWidth="1"/>
    <col min="9" max="9" width="16" customWidth="1"/>
    <col min="10" max="10" width="12.42578125" customWidth="1"/>
    <col min="11" max="11" width="10.42578125" customWidth="1"/>
    <col min="12" max="12" width="12.5703125" customWidth="1"/>
    <col min="13" max="13" width="11.42578125" customWidth="1"/>
    <col min="14" max="14" width="15.42578125" customWidth="1"/>
    <col min="15" max="16" width="12.5703125" customWidth="1"/>
    <col min="17" max="17" width="13.5703125" customWidth="1"/>
    <col min="18" max="18" width="11.5703125" customWidth="1"/>
    <col min="23" max="23" width="10.42578125" customWidth="1"/>
    <col min="24" max="24" width="10" customWidth="1"/>
    <col min="25" max="25" width="9.5703125" bestFit="1" customWidth="1"/>
    <col min="26" max="26" width="10.42578125" bestFit="1" customWidth="1"/>
    <col min="27" max="27" width="15.42578125" customWidth="1"/>
    <col min="28" max="28" width="11.5703125" bestFit="1" customWidth="1"/>
    <col min="31" max="31" width="12.42578125" customWidth="1"/>
    <col min="32" max="32" width="11.5703125" customWidth="1"/>
  </cols>
  <sheetData>
    <row r="1" spans="1:33" s="46" customFormat="1" ht="30" x14ac:dyDescent="0.25">
      <c r="A1" s="35" t="s">
        <v>0</v>
      </c>
      <c r="B1" s="36" t="s">
        <v>1</v>
      </c>
      <c r="C1" s="36" t="s">
        <v>2</v>
      </c>
      <c r="D1" s="36" t="s">
        <v>5</v>
      </c>
      <c r="E1" s="36" t="s">
        <v>143</v>
      </c>
      <c r="F1" s="36" t="s">
        <v>144</v>
      </c>
      <c r="G1" s="36" t="s">
        <v>7</v>
      </c>
      <c r="H1" s="36" t="s">
        <v>6</v>
      </c>
      <c r="I1" s="38" t="s">
        <v>145</v>
      </c>
      <c r="J1" s="36" t="s">
        <v>10</v>
      </c>
      <c r="K1" s="36" t="s">
        <v>147</v>
      </c>
      <c r="L1" s="38" t="s">
        <v>148</v>
      </c>
      <c r="M1" s="38" t="s">
        <v>149</v>
      </c>
      <c r="N1" s="38" t="s">
        <v>150</v>
      </c>
      <c r="O1" s="89" t="s">
        <v>204</v>
      </c>
      <c r="P1" s="61" t="s">
        <v>151</v>
      </c>
      <c r="Q1" s="61" t="s">
        <v>12</v>
      </c>
      <c r="R1" s="90" t="s">
        <v>152</v>
      </c>
      <c r="S1" s="90" t="s">
        <v>317</v>
      </c>
      <c r="T1" s="90" t="s">
        <v>155</v>
      </c>
      <c r="U1" s="90" t="s">
        <v>156</v>
      </c>
      <c r="V1" s="90" t="s">
        <v>157</v>
      </c>
      <c r="W1" s="36" t="s">
        <v>318</v>
      </c>
      <c r="X1" s="36" t="s">
        <v>160</v>
      </c>
      <c r="Y1" s="38" t="s">
        <v>161</v>
      </c>
      <c r="Z1" s="36" t="s">
        <v>319</v>
      </c>
      <c r="AA1" s="38" t="s">
        <v>163</v>
      </c>
      <c r="AB1" s="38" t="s">
        <v>164</v>
      </c>
      <c r="AC1" s="180" t="s">
        <v>165</v>
      </c>
      <c r="AD1" s="37" t="s">
        <v>166</v>
      </c>
      <c r="AE1" s="37" t="s">
        <v>167</v>
      </c>
      <c r="AF1" s="169" t="s">
        <v>168</v>
      </c>
      <c r="AG1" s="181" t="s">
        <v>169</v>
      </c>
    </row>
    <row r="2" spans="1:33" x14ac:dyDescent="0.25">
      <c r="A2" t="s">
        <v>46</v>
      </c>
      <c r="B2" t="s">
        <v>47</v>
      </c>
      <c r="C2" s="3" t="s">
        <v>16</v>
      </c>
      <c r="D2">
        <v>37530</v>
      </c>
      <c r="E2" s="179" t="s">
        <v>322</v>
      </c>
      <c r="F2" s="179" t="s">
        <v>323</v>
      </c>
      <c r="G2">
        <v>6405</v>
      </c>
      <c r="H2" t="s">
        <v>44</v>
      </c>
      <c r="I2" s="173" t="s">
        <v>173</v>
      </c>
      <c r="J2" s="460"/>
      <c r="K2" s="3"/>
      <c r="L2" s="9"/>
      <c r="M2" s="9"/>
      <c r="N2" s="11" t="s">
        <v>176</v>
      </c>
      <c r="O2" s="41">
        <v>0</v>
      </c>
      <c r="P2" s="463">
        <v>0</v>
      </c>
      <c r="Q2" s="1">
        <f>Table1[[#This Row],[FY24 Budget]]-Table1[[#This Row],[FY23 Budget]]</f>
        <v>-2576.25</v>
      </c>
      <c r="R2" s="463">
        <v>99808</v>
      </c>
      <c r="S2" s="463"/>
      <c r="T2" s="463"/>
      <c r="U2" s="463"/>
      <c r="V2" s="463"/>
      <c r="W2" s="15" t="s">
        <v>234</v>
      </c>
      <c r="X2" s="9">
        <v>44378</v>
      </c>
      <c r="Y2" s="9">
        <v>44742</v>
      </c>
      <c r="Z2" s="15" t="s">
        <v>341</v>
      </c>
      <c r="AA2" s="9">
        <v>44621</v>
      </c>
      <c r="AB2" s="9" t="s">
        <v>178</v>
      </c>
      <c r="AC2" s="126"/>
      <c r="AD2" s="467"/>
      <c r="AE2" s="467"/>
      <c r="AF2" s="130"/>
      <c r="AG2" s="465"/>
    </row>
    <row r="3" spans="1:33" x14ac:dyDescent="0.25">
      <c r="A3" t="s">
        <v>342</v>
      </c>
      <c r="B3" t="s">
        <v>343</v>
      </c>
      <c r="C3" s="3" t="s">
        <v>16</v>
      </c>
      <c r="D3">
        <v>37520</v>
      </c>
      <c r="E3" s="179" t="s">
        <v>80</v>
      </c>
      <c r="F3" s="179" t="s">
        <v>21</v>
      </c>
      <c r="G3">
        <v>6405</v>
      </c>
      <c r="H3" t="s">
        <v>19</v>
      </c>
      <c r="I3" s="173" t="s">
        <v>173</v>
      </c>
      <c r="O3" s="41">
        <v>0</v>
      </c>
      <c r="P3" s="463">
        <v>0</v>
      </c>
      <c r="Q3" s="1"/>
      <c r="R3" s="463"/>
      <c r="S3" s="463"/>
      <c r="T3" s="463"/>
      <c r="U3" s="463"/>
      <c r="V3" s="463"/>
      <c r="W3" s="15"/>
      <c r="X3" s="9"/>
      <c r="Y3" s="9"/>
      <c r="Z3" s="15"/>
      <c r="AA3" s="9">
        <v>44621</v>
      </c>
      <c r="AB3" s="9"/>
      <c r="AC3" s="126"/>
      <c r="AD3" s="467"/>
      <c r="AE3" s="467"/>
      <c r="AF3" s="130"/>
      <c r="AG3" s="465"/>
    </row>
    <row r="4" spans="1:33" x14ac:dyDescent="0.25">
      <c r="A4" t="s">
        <v>344</v>
      </c>
      <c r="B4" t="s">
        <v>343</v>
      </c>
      <c r="C4" s="3" t="s">
        <v>16</v>
      </c>
      <c r="D4">
        <v>37520</v>
      </c>
      <c r="E4" s="179" t="s">
        <v>80</v>
      </c>
      <c r="F4" s="179" t="s">
        <v>21</v>
      </c>
      <c r="G4">
        <v>6405</v>
      </c>
      <c r="H4" t="s">
        <v>19</v>
      </c>
      <c r="I4" s="173" t="s">
        <v>173</v>
      </c>
      <c r="O4" s="41">
        <v>0</v>
      </c>
      <c r="P4" s="463">
        <v>0</v>
      </c>
      <c r="Q4" s="1"/>
      <c r="R4" s="463"/>
      <c r="S4" s="463"/>
      <c r="T4" s="463"/>
      <c r="U4" s="463"/>
      <c r="V4" s="463"/>
      <c r="W4" s="15"/>
      <c r="X4" s="9"/>
      <c r="Y4" s="9"/>
      <c r="Z4" s="15"/>
      <c r="AA4" s="9">
        <v>44621</v>
      </c>
      <c r="AB4" s="9"/>
      <c r="AC4" s="126"/>
      <c r="AD4" s="467"/>
      <c r="AE4" s="467"/>
      <c r="AF4" s="130"/>
      <c r="AG4" s="465"/>
    </row>
    <row r="5" spans="1:33" x14ac:dyDescent="0.25">
      <c r="A5" t="s">
        <v>101</v>
      </c>
      <c r="B5" t="s">
        <v>102</v>
      </c>
      <c r="C5" s="3" t="s">
        <v>16</v>
      </c>
      <c r="D5">
        <v>37530</v>
      </c>
      <c r="E5" s="179" t="s">
        <v>322</v>
      </c>
      <c r="F5" s="179" t="s">
        <v>323</v>
      </c>
      <c r="G5">
        <v>6405</v>
      </c>
      <c r="H5" t="s">
        <v>44</v>
      </c>
      <c r="I5" s="179" t="s">
        <v>173</v>
      </c>
      <c r="O5" s="41">
        <v>0</v>
      </c>
      <c r="P5" s="463">
        <v>0</v>
      </c>
      <c r="Q5" s="1">
        <v>221123</v>
      </c>
      <c r="R5" s="463"/>
      <c r="S5" s="463"/>
      <c r="T5" s="463"/>
      <c r="U5" s="463"/>
      <c r="V5" s="463"/>
      <c r="W5" s="15"/>
      <c r="X5" s="9"/>
      <c r="Y5" s="9"/>
      <c r="Z5" s="15"/>
      <c r="AA5" s="9">
        <v>44621</v>
      </c>
      <c r="AB5" s="9"/>
      <c r="AC5" s="126"/>
      <c r="AD5" s="467"/>
      <c r="AE5" s="467"/>
      <c r="AF5" s="130"/>
      <c r="AG5" s="465"/>
    </row>
    <row r="6" spans="1:33" x14ac:dyDescent="0.25">
      <c r="A6" t="s">
        <v>345</v>
      </c>
      <c r="B6" t="s">
        <v>346</v>
      </c>
      <c r="C6" s="3" t="s">
        <v>16</v>
      </c>
      <c r="D6">
        <v>37530</v>
      </c>
      <c r="E6" s="179" t="s">
        <v>332</v>
      </c>
      <c r="F6" s="179"/>
      <c r="G6">
        <v>6405</v>
      </c>
      <c r="H6" t="s">
        <v>44</v>
      </c>
      <c r="I6" s="179"/>
      <c r="O6" s="41">
        <v>0</v>
      </c>
      <c r="P6" s="463">
        <v>0</v>
      </c>
      <c r="Q6" s="1">
        <v>4826.03</v>
      </c>
      <c r="R6" s="463"/>
      <c r="S6" s="463"/>
      <c r="T6" s="463"/>
      <c r="U6" s="463"/>
      <c r="V6" s="463"/>
      <c r="W6" s="15"/>
      <c r="X6" s="9"/>
      <c r="Y6" s="9"/>
      <c r="Z6" s="15"/>
      <c r="AA6" s="9">
        <v>44621</v>
      </c>
      <c r="AB6" s="9"/>
      <c r="AC6" s="126"/>
      <c r="AD6" s="467"/>
      <c r="AE6" s="467"/>
      <c r="AF6" s="130"/>
      <c r="AG6" s="465"/>
    </row>
    <row r="7" spans="1:33" x14ac:dyDescent="0.25">
      <c r="A7" t="s">
        <v>347</v>
      </c>
      <c r="C7" s="3" t="s">
        <v>16</v>
      </c>
      <c r="D7">
        <v>37530</v>
      </c>
      <c r="E7" s="179"/>
      <c r="F7" s="179"/>
      <c r="G7">
        <v>6405</v>
      </c>
      <c r="H7" t="s">
        <v>44</v>
      </c>
      <c r="I7" s="179"/>
      <c r="O7" s="41">
        <v>0</v>
      </c>
      <c r="P7" s="463">
        <v>0</v>
      </c>
      <c r="Q7" s="1"/>
      <c r="R7" s="463"/>
      <c r="S7" s="463"/>
      <c r="T7" s="463"/>
      <c r="U7" s="463"/>
      <c r="V7" s="463"/>
      <c r="W7" s="15"/>
      <c r="X7" s="9"/>
      <c r="Y7" s="9"/>
      <c r="Z7" s="15"/>
      <c r="AA7" s="9">
        <v>44621</v>
      </c>
      <c r="AB7" s="9"/>
      <c r="AC7" s="126"/>
      <c r="AD7" s="467"/>
      <c r="AE7" s="467"/>
      <c r="AF7" s="130"/>
      <c r="AG7" s="465"/>
    </row>
    <row r="8" spans="1:33" x14ac:dyDescent="0.25">
      <c r="A8" t="s">
        <v>348</v>
      </c>
      <c r="B8" t="s">
        <v>349</v>
      </c>
      <c r="C8" s="3" t="s">
        <v>16</v>
      </c>
      <c r="D8">
        <v>37530</v>
      </c>
      <c r="E8" s="179"/>
      <c r="F8" s="179"/>
      <c r="G8">
        <v>6405</v>
      </c>
      <c r="H8" t="s">
        <v>44</v>
      </c>
      <c r="I8" s="179"/>
      <c r="O8" s="41">
        <v>0</v>
      </c>
      <c r="P8" s="463">
        <v>0</v>
      </c>
      <c r="Q8" s="1"/>
      <c r="R8" s="463"/>
      <c r="S8" s="463"/>
      <c r="T8" s="463"/>
      <c r="U8" s="463"/>
      <c r="V8" s="463"/>
      <c r="W8" s="15"/>
      <c r="X8" s="9"/>
      <c r="Y8" s="9"/>
      <c r="Z8" s="15"/>
      <c r="AA8" s="9">
        <v>44621</v>
      </c>
      <c r="AB8" s="9"/>
      <c r="AC8" s="126"/>
      <c r="AD8" s="467"/>
      <c r="AE8" s="467"/>
      <c r="AF8" s="130"/>
      <c r="AG8" s="465"/>
    </row>
    <row r="22" spans="1:3" x14ac:dyDescent="0.25">
      <c r="A22" s="182" t="s">
        <v>350</v>
      </c>
    </row>
    <row r="23" spans="1:3" x14ac:dyDescent="0.25">
      <c r="C23" s="2"/>
    </row>
    <row r="24" spans="1:3" x14ac:dyDescent="0.25">
      <c r="A24" s="22" t="s">
        <v>351</v>
      </c>
      <c r="C24" s="2"/>
    </row>
    <row r="25" spans="1:3" x14ac:dyDescent="0.25">
      <c r="C25" s="2"/>
    </row>
    <row r="26" spans="1:3" x14ac:dyDescent="0.25">
      <c r="C26" s="2"/>
    </row>
    <row r="27" spans="1:3" x14ac:dyDescent="0.25">
      <c r="C27" s="2"/>
    </row>
    <row r="28" spans="1:3" x14ac:dyDescent="0.25">
      <c r="B28" t="s">
        <v>352</v>
      </c>
      <c r="C28" s="2"/>
    </row>
    <row r="29" spans="1:3" x14ac:dyDescent="0.25">
      <c r="B29" s="52" t="s">
        <v>353</v>
      </c>
      <c r="C29" s="2">
        <v>8027.75</v>
      </c>
    </row>
    <row r="30" spans="1:3" x14ac:dyDescent="0.25">
      <c r="B30" s="52" t="s">
        <v>354</v>
      </c>
      <c r="C30" s="2">
        <v>14510.25</v>
      </c>
    </row>
    <row r="31" spans="1:3" x14ac:dyDescent="0.25">
      <c r="B31" s="52" t="s">
        <v>355</v>
      </c>
      <c r="C31" s="2">
        <v>8475.25</v>
      </c>
    </row>
    <row r="32" spans="1:3" x14ac:dyDescent="0.25">
      <c r="B32" s="52"/>
      <c r="C32" s="2"/>
    </row>
    <row r="33" spans="2:3" x14ac:dyDescent="0.25">
      <c r="B33" s="52"/>
      <c r="C33" s="2"/>
    </row>
    <row r="34" spans="2:3" x14ac:dyDescent="0.25">
      <c r="B34" s="52"/>
      <c r="C34" s="2"/>
    </row>
    <row r="35" spans="2:3" x14ac:dyDescent="0.25">
      <c r="B35" s="2"/>
      <c r="C35" s="2"/>
    </row>
    <row r="36" spans="2:3" x14ac:dyDescent="0.25">
      <c r="B36" s="2"/>
      <c r="C36" s="2"/>
    </row>
    <row r="37" spans="2:3" x14ac:dyDescent="0.25">
      <c r="B37" s="2"/>
      <c r="C37" s="2"/>
    </row>
  </sheetData>
  <sortState xmlns:xlrd2="http://schemas.microsoft.com/office/spreadsheetml/2017/richdata2" ref="A2:AG8">
    <sortCondition ref="A2:A8"/>
  </sortState>
  <hyperlinks>
    <hyperlink ref="A24" r:id="rId1" xr:uid="{486E9662-E4A0-45DB-80E5-37B8A30ACA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1529-1B73-4ACB-8700-C71BFEF9938C}">
  <dimension ref="A1:T17"/>
  <sheetViews>
    <sheetView workbookViewId="0">
      <selection activeCell="B22" sqref="B22"/>
    </sheetView>
  </sheetViews>
  <sheetFormatPr defaultRowHeight="15" outlineLevelCol="1" x14ac:dyDescent="0.25"/>
  <cols>
    <col min="1" max="1" width="48.42578125" bestFit="1" customWidth="1"/>
    <col min="2" max="2" width="52.5703125" bestFit="1" customWidth="1"/>
    <col min="4" max="4" width="14.42578125" bestFit="1" customWidth="1"/>
    <col min="5" max="5" width="10.42578125" customWidth="1"/>
    <col min="7" max="7" width="20.5703125" bestFit="1" customWidth="1"/>
    <col min="8" max="8" width="14.5703125" bestFit="1" customWidth="1"/>
    <col min="9" max="9" width="11.42578125" hidden="1" customWidth="1" outlineLevel="1"/>
    <col min="10" max="10" width="9.42578125" hidden="1" customWidth="1" outlineLevel="1"/>
    <col min="11" max="11" width="13" hidden="1" customWidth="1" outlineLevel="1"/>
    <col min="12" max="12" width="0" hidden="1" customWidth="1" outlineLevel="1"/>
    <col min="13" max="13" width="12.5703125" hidden="1" customWidth="1" outlineLevel="1"/>
    <col min="14" max="14" width="9.42578125" collapsed="1"/>
    <col min="16" max="16" width="11.42578125" customWidth="1"/>
    <col min="17" max="17" width="12.5703125" customWidth="1"/>
    <col min="18" max="18" width="10.42578125" customWidth="1"/>
    <col min="19" max="19" width="13.5703125" bestFit="1" customWidth="1"/>
    <col min="20" max="20" width="9.5703125" style="9" bestFit="1" customWidth="1"/>
  </cols>
  <sheetData>
    <row r="1" spans="1:20" s="46" customFormat="1" ht="45" x14ac:dyDescent="0.25">
      <c r="A1" s="35" t="s">
        <v>0</v>
      </c>
      <c r="B1" s="36" t="s">
        <v>1</v>
      </c>
      <c r="C1" s="36" t="s">
        <v>5</v>
      </c>
      <c r="D1" s="36" t="s">
        <v>143</v>
      </c>
      <c r="E1" s="36" t="s">
        <v>144</v>
      </c>
      <c r="F1" s="36" t="s">
        <v>7</v>
      </c>
      <c r="G1" s="36" t="s">
        <v>6</v>
      </c>
      <c r="H1" s="38" t="s">
        <v>145</v>
      </c>
      <c r="I1" s="36" t="s">
        <v>10</v>
      </c>
      <c r="J1" s="36" t="s">
        <v>147</v>
      </c>
      <c r="K1" s="38" t="s">
        <v>148</v>
      </c>
      <c r="L1" s="38" t="s">
        <v>149</v>
      </c>
      <c r="M1" s="38" t="s">
        <v>150</v>
      </c>
      <c r="N1" s="89" t="s">
        <v>204</v>
      </c>
      <c r="O1" s="61" t="s">
        <v>151</v>
      </c>
      <c r="P1" s="61" t="s">
        <v>12</v>
      </c>
      <c r="Q1" s="90" t="s">
        <v>152</v>
      </c>
      <c r="R1" s="36" t="s">
        <v>319</v>
      </c>
      <c r="S1" s="169" t="s">
        <v>356</v>
      </c>
      <c r="T1" s="172" t="s">
        <v>357</v>
      </c>
    </row>
    <row r="2" spans="1:20" x14ac:dyDescent="0.25">
      <c r="A2" t="s">
        <v>358</v>
      </c>
      <c r="B2" t="s">
        <v>359</v>
      </c>
      <c r="C2">
        <v>37530</v>
      </c>
      <c r="D2" t="s">
        <v>45</v>
      </c>
      <c r="E2" t="s">
        <v>322</v>
      </c>
      <c r="F2">
        <v>6405</v>
      </c>
      <c r="G2" t="s">
        <v>44</v>
      </c>
      <c r="H2" t="s">
        <v>173</v>
      </c>
      <c r="N2" s="2"/>
      <c r="O2" s="2"/>
      <c r="P2" s="2"/>
      <c r="Q2" s="2">
        <v>21840</v>
      </c>
      <c r="R2" t="s">
        <v>360</v>
      </c>
      <c r="S2" t="s">
        <v>361</v>
      </c>
      <c r="T2" s="9">
        <v>44033</v>
      </c>
    </row>
    <row r="3" spans="1:20" x14ac:dyDescent="0.25">
      <c r="A3" t="s">
        <v>358</v>
      </c>
      <c r="B3" t="s">
        <v>362</v>
      </c>
      <c r="C3">
        <v>37530</v>
      </c>
      <c r="D3" t="s">
        <v>45</v>
      </c>
      <c r="E3" t="s">
        <v>322</v>
      </c>
      <c r="F3">
        <v>6405</v>
      </c>
      <c r="G3" t="s">
        <v>44</v>
      </c>
      <c r="H3" t="s">
        <v>173</v>
      </c>
      <c r="N3" s="2"/>
      <c r="O3" s="2"/>
      <c r="P3" s="2"/>
      <c r="Q3" s="2">
        <v>12279.6</v>
      </c>
      <c r="R3" t="s">
        <v>363</v>
      </c>
      <c r="T3" s="9">
        <v>44036</v>
      </c>
    </row>
    <row r="4" spans="1:20" x14ac:dyDescent="0.25">
      <c r="A4" t="s">
        <v>358</v>
      </c>
      <c r="B4" t="s">
        <v>364</v>
      </c>
      <c r="C4">
        <v>37530</v>
      </c>
      <c r="D4" t="s">
        <v>45</v>
      </c>
      <c r="E4" t="s">
        <v>322</v>
      </c>
      <c r="F4">
        <v>6405</v>
      </c>
      <c r="G4" t="s">
        <v>44</v>
      </c>
      <c r="H4" t="s">
        <v>173</v>
      </c>
      <c r="N4" s="2"/>
      <c r="O4" s="2"/>
      <c r="P4" s="2"/>
      <c r="Q4" s="2">
        <v>16600.2</v>
      </c>
      <c r="R4" t="s">
        <v>365</v>
      </c>
      <c r="S4" t="s">
        <v>366</v>
      </c>
      <c r="T4" s="9">
        <v>44036</v>
      </c>
    </row>
    <row r="5" spans="1:20" x14ac:dyDescent="0.25">
      <c r="A5" t="s">
        <v>358</v>
      </c>
      <c r="B5" t="s">
        <v>364</v>
      </c>
      <c r="C5">
        <v>37530</v>
      </c>
      <c r="D5" t="s">
        <v>45</v>
      </c>
      <c r="E5" t="s">
        <v>322</v>
      </c>
      <c r="F5">
        <v>6405</v>
      </c>
      <c r="G5" t="s">
        <v>44</v>
      </c>
      <c r="H5" t="s">
        <v>173</v>
      </c>
      <c r="N5" s="2"/>
      <c r="O5" s="2"/>
      <c r="P5" s="2"/>
      <c r="Q5" s="2">
        <v>22424.87</v>
      </c>
      <c r="R5" t="s">
        <v>367</v>
      </c>
      <c r="S5" t="s">
        <v>368</v>
      </c>
      <c r="T5" s="9">
        <v>44047</v>
      </c>
    </row>
    <row r="6" spans="1:20" x14ac:dyDescent="0.25">
      <c r="A6" t="s">
        <v>358</v>
      </c>
      <c r="B6" t="s">
        <v>362</v>
      </c>
      <c r="C6">
        <v>37530</v>
      </c>
      <c r="D6" t="s">
        <v>45</v>
      </c>
      <c r="E6" t="s">
        <v>322</v>
      </c>
      <c r="F6">
        <v>6405</v>
      </c>
      <c r="G6" t="s">
        <v>44</v>
      </c>
      <c r="H6" t="s">
        <v>173</v>
      </c>
      <c r="N6" s="2"/>
      <c r="O6" s="2"/>
      <c r="P6" s="2"/>
      <c r="Q6" s="2">
        <v>16588.259999999998</v>
      </c>
      <c r="R6" t="s">
        <v>369</v>
      </c>
      <c r="S6" t="s">
        <v>368</v>
      </c>
      <c r="T6" s="9">
        <v>44047</v>
      </c>
    </row>
    <row r="7" spans="1:20" x14ac:dyDescent="0.25">
      <c r="A7" t="s">
        <v>348</v>
      </c>
      <c r="B7" t="s">
        <v>370</v>
      </c>
      <c r="C7">
        <v>37530</v>
      </c>
      <c r="D7" t="s">
        <v>45</v>
      </c>
      <c r="E7" t="s">
        <v>322</v>
      </c>
      <c r="F7">
        <v>6405</v>
      </c>
      <c r="G7" t="s">
        <v>44</v>
      </c>
      <c r="H7" t="s">
        <v>173</v>
      </c>
      <c r="Q7" s="2">
        <v>3773.31</v>
      </c>
      <c r="R7" t="s">
        <v>371</v>
      </c>
      <c r="S7" t="s">
        <v>372</v>
      </c>
      <c r="T7" s="9">
        <v>44049</v>
      </c>
    </row>
    <row r="8" spans="1:20" x14ac:dyDescent="0.25">
      <c r="A8" t="s">
        <v>373</v>
      </c>
      <c r="B8" t="s">
        <v>374</v>
      </c>
      <c r="C8">
        <v>37510</v>
      </c>
      <c r="D8" t="s">
        <v>27</v>
      </c>
      <c r="E8" t="s">
        <v>28</v>
      </c>
      <c r="F8">
        <v>6405</v>
      </c>
      <c r="G8" t="s">
        <v>26</v>
      </c>
      <c r="H8" t="s">
        <v>173</v>
      </c>
      <c r="Q8" s="2">
        <v>23066.78</v>
      </c>
      <c r="R8" t="s">
        <v>375</v>
      </c>
      <c r="S8" t="s">
        <v>376</v>
      </c>
      <c r="T8" s="9">
        <v>44279</v>
      </c>
    </row>
    <row r="9" spans="1:20" x14ac:dyDescent="0.25">
      <c r="A9" t="s">
        <v>377</v>
      </c>
      <c r="B9" t="s">
        <v>378</v>
      </c>
      <c r="C9">
        <v>37530</v>
      </c>
      <c r="D9" t="s">
        <v>45</v>
      </c>
      <c r="E9" t="s">
        <v>322</v>
      </c>
      <c r="F9">
        <v>6405</v>
      </c>
      <c r="G9" t="s">
        <v>44</v>
      </c>
      <c r="H9" t="s">
        <v>173</v>
      </c>
      <c r="Q9" s="2">
        <v>90304.5</v>
      </c>
      <c r="R9" t="s">
        <v>341</v>
      </c>
      <c r="S9" t="s">
        <v>379</v>
      </c>
      <c r="T9" s="9">
        <v>44322</v>
      </c>
    </row>
    <row r="10" spans="1:20" x14ac:dyDescent="0.25">
      <c r="A10" t="s">
        <v>358</v>
      </c>
      <c r="B10" t="s">
        <v>380</v>
      </c>
      <c r="C10">
        <v>37530</v>
      </c>
      <c r="D10" t="s">
        <v>45</v>
      </c>
      <c r="E10" t="s">
        <v>322</v>
      </c>
      <c r="F10">
        <v>6405</v>
      </c>
      <c r="G10" t="s">
        <v>44</v>
      </c>
      <c r="H10" t="s">
        <v>173</v>
      </c>
      <c r="Q10" s="2">
        <v>8475.25</v>
      </c>
      <c r="R10" t="s">
        <v>381</v>
      </c>
      <c r="S10" t="s">
        <v>382</v>
      </c>
      <c r="T10" s="9">
        <v>44327</v>
      </c>
    </row>
    <row r="11" spans="1:20" x14ac:dyDescent="0.25">
      <c r="A11" t="s">
        <v>358</v>
      </c>
      <c r="B11" t="s">
        <v>380</v>
      </c>
      <c r="C11">
        <v>37530</v>
      </c>
      <c r="D11" t="s">
        <v>45</v>
      </c>
      <c r="E11" t="s">
        <v>322</v>
      </c>
      <c r="F11">
        <v>6405</v>
      </c>
      <c r="G11" t="s">
        <v>44</v>
      </c>
      <c r="H11" t="s">
        <v>173</v>
      </c>
      <c r="Q11" s="2">
        <v>14510.25</v>
      </c>
      <c r="R11" t="s">
        <v>383</v>
      </c>
      <c r="S11" t="s">
        <v>384</v>
      </c>
      <c r="T11" s="9">
        <v>44327</v>
      </c>
    </row>
    <row r="12" spans="1:20" x14ac:dyDescent="0.25">
      <c r="A12" t="s">
        <v>358</v>
      </c>
      <c r="B12" t="s">
        <v>380</v>
      </c>
      <c r="C12">
        <v>37530</v>
      </c>
      <c r="D12" t="s">
        <v>45</v>
      </c>
      <c r="E12" t="s">
        <v>322</v>
      </c>
      <c r="F12">
        <v>6405</v>
      </c>
      <c r="G12" t="s">
        <v>44</v>
      </c>
      <c r="H12" t="s">
        <v>173</v>
      </c>
      <c r="Q12" s="2">
        <v>10511.5</v>
      </c>
      <c r="R12" t="s">
        <v>381</v>
      </c>
      <c r="S12" t="s">
        <v>385</v>
      </c>
      <c r="T12" s="9">
        <v>44327</v>
      </c>
    </row>
    <row r="13" spans="1:20" x14ac:dyDescent="0.25">
      <c r="A13" t="s">
        <v>358</v>
      </c>
      <c r="B13" t="s">
        <v>380</v>
      </c>
      <c r="C13">
        <v>37530</v>
      </c>
      <c r="D13" t="s">
        <v>45</v>
      </c>
      <c r="E13" t="s">
        <v>322</v>
      </c>
      <c r="F13">
        <v>6405</v>
      </c>
      <c r="G13" t="s">
        <v>44</v>
      </c>
      <c r="H13" t="s">
        <v>173</v>
      </c>
      <c r="Q13" s="2">
        <v>8027.75</v>
      </c>
      <c r="R13" t="s">
        <v>386</v>
      </c>
      <c r="S13" t="s">
        <v>387</v>
      </c>
      <c r="T13" s="9">
        <v>44327</v>
      </c>
    </row>
    <row r="14" spans="1:20" x14ac:dyDescent="0.25">
      <c r="A14" t="s">
        <v>358</v>
      </c>
      <c r="B14" t="s">
        <v>388</v>
      </c>
      <c r="C14">
        <v>37530</v>
      </c>
      <c r="D14" t="s">
        <v>45</v>
      </c>
      <c r="E14" t="s">
        <v>322</v>
      </c>
      <c r="F14">
        <v>6405</v>
      </c>
      <c r="G14" t="s">
        <v>44</v>
      </c>
      <c r="H14" t="s">
        <v>173</v>
      </c>
      <c r="Q14" s="2">
        <v>33859.35</v>
      </c>
      <c r="R14" t="s">
        <v>389</v>
      </c>
      <c r="S14" t="s">
        <v>390</v>
      </c>
      <c r="T14" s="9">
        <v>44328</v>
      </c>
    </row>
    <row r="15" spans="1:20" x14ac:dyDescent="0.25">
      <c r="A15" t="s">
        <v>358</v>
      </c>
      <c r="B15" t="s">
        <v>388</v>
      </c>
      <c r="C15">
        <v>37530</v>
      </c>
      <c r="D15" t="s">
        <v>45</v>
      </c>
      <c r="E15" t="s">
        <v>322</v>
      </c>
      <c r="F15">
        <v>6405</v>
      </c>
      <c r="G15" t="s">
        <v>44</v>
      </c>
      <c r="H15" t="s">
        <v>173</v>
      </c>
      <c r="Q15" s="2">
        <v>17855.5</v>
      </c>
      <c r="R15" t="s">
        <v>381</v>
      </c>
      <c r="S15" t="s">
        <v>390</v>
      </c>
      <c r="T15" s="9">
        <v>44328</v>
      </c>
    </row>
    <row r="16" spans="1:20" x14ac:dyDescent="0.25">
      <c r="A16" t="s">
        <v>377</v>
      </c>
      <c r="B16" t="s">
        <v>391</v>
      </c>
      <c r="C16">
        <v>37530</v>
      </c>
      <c r="D16" t="s">
        <v>45</v>
      </c>
      <c r="E16" t="s">
        <v>322</v>
      </c>
      <c r="F16">
        <v>6405</v>
      </c>
      <c r="G16" t="s">
        <v>44</v>
      </c>
      <c r="H16" t="s">
        <v>173</v>
      </c>
      <c r="Q16" s="2">
        <v>8931</v>
      </c>
      <c r="R16" t="s">
        <v>392</v>
      </c>
      <c r="S16" t="s">
        <v>379</v>
      </c>
      <c r="T16" s="9">
        <v>44335</v>
      </c>
    </row>
    <row r="17" spans="1:20" x14ac:dyDescent="0.25">
      <c r="A17" t="s">
        <v>393</v>
      </c>
      <c r="B17" t="s">
        <v>394</v>
      </c>
      <c r="C17">
        <v>37530</v>
      </c>
      <c r="D17" t="s">
        <v>45</v>
      </c>
      <c r="E17" t="s">
        <v>322</v>
      </c>
      <c r="F17">
        <v>6405</v>
      </c>
      <c r="G17" t="s">
        <v>44</v>
      </c>
      <c r="H17" t="s">
        <v>173</v>
      </c>
      <c r="Q17" s="2">
        <v>4826.03</v>
      </c>
      <c r="R17" t="s">
        <v>381</v>
      </c>
      <c r="S17" t="s">
        <v>376</v>
      </c>
      <c r="T17" s="9">
        <v>44342</v>
      </c>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6"/>
  <sheetViews>
    <sheetView zoomScaleNormal="100" workbookViewId="0">
      <pane xSplit="1" ySplit="1" topLeftCell="AB63" activePane="bottomRight" state="frozen"/>
      <selection pane="topRight" activeCell="B1" sqref="B1"/>
      <selection pane="bottomLeft" activeCell="A2" sqref="A2"/>
      <selection pane="bottomRight" activeCell="AJ22" sqref="AJ22"/>
    </sheetView>
  </sheetViews>
  <sheetFormatPr defaultRowHeight="15" outlineLevelCol="1" x14ac:dyDescent="0.25"/>
  <cols>
    <col min="1" max="1" width="40.85546875" customWidth="1"/>
    <col min="2" max="2" width="42.5703125" customWidth="1"/>
    <col min="3" max="3" width="13.28515625" style="3" customWidth="1" outlineLevel="1"/>
    <col min="4" max="5" width="15.85546875" style="179" customWidth="1" outlineLevel="1"/>
    <col min="6" max="6" width="10.42578125" customWidth="1"/>
    <col min="7" max="7" width="24" hidden="1" customWidth="1" outlineLevel="1"/>
    <col min="8" max="8" width="10.42578125" customWidth="1" collapsed="1"/>
    <col min="9" max="9" width="17.7109375" customWidth="1"/>
    <col min="10" max="10" width="16.5703125" customWidth="1"/>
    <col min="11" max="11" width="18.5703125" hidden="1" customWidth="1" outlineLevel="1"/>
    <col min="12" max="12" width="10.28515625" hidden="1" customWidth="1" outlineLevel="1"/>
    <col min="13" max="13" width="16.140625" style="3" customWidth="1" collapsed="1"/>
    <col min="14" max="14" width="13.42578125" hidden="1" customWidth="1" outlineLevel="1"/>
    <col min="15" max="15" width="10.7109375" hidden="1" customWidth="1" outlineLevel="1"/>
    <col min="16" max="16" width="10.7109375" style="3" hidden="1" customWidth="1" outlineLevel="1"/>
    <col min="17" max="17" width="16" style="9" hidden="1" customWidth="1" outlineLevel="1"/>
    <col min="18" max="18" width="16.28515625" style="11" hidden="1" customWidth="1" outlineLevel="1"/>
    <col min="19" max="19" width="15.140625" style="9" hidden="1" customWidth="1" outlineLevel="1"/>
    <col min="20" max="20" width="16.28515625" style="9" customWidth="1" collapsed="1"/>
    <col min="21" max="21" width="11.7109375" style="9" customWidth="1"/>
    <col min="22" max="22" width="14.28515625" style="50" customWidth="1" outlineLevel="1"/>
    <col min="23" max="23" width="11.140625" style="1" customWidth="1"/>
    <col min="24" max="26" width="9.7109375" style="1" customWidth="1" outlineLevel="1"/>
    <col min="27" max="27" width="13.5703125" style="1" customWidth="1" outlineLevel="1"/>
    <col min="28" max="28" width="12.28515625" style="1" customWidth="1" outlineLevel="1"/>
    <col min="29" max="29" width="11.5703125" style="2" bestFit="1" customWidth="1"/>
    <col min="30" max="30" width="13.42578125" style="3" customWidth="1"/>
    <col min="31" max="31" width="13.140625" style="1" customWidth="1"/>
    <col min="32" max="32" width="12.140625" customWidth="1"/>
    <col min="33" max="33" width="42.140625" style="320" hidden="1" customWidth="1" outlineLevel="1"/>
    <col min="34" max="34" width="15" style="47" customWidth="1" collapsed="1"/>
    <col min="35" max="35" width="14" style="3" customWidth="1" outlineLevel="1"/>
    <col min="36" max="36" width="27.5703125" style="3" bestFit="1" customWidth="1" outlineLevel="1"/>
    <col min="37" max="37" width="57.42578125" style="3" customWidth="1" outlineLevel="1"/>
    <col min="38" max="38" width="62" customWidth="1"/>
    <col min="39" max="39" width="63.140625" bestFit="1" customWidth="1"/>
    <col min="40" max="40" width="45" customWidth="1"/>
  </cols>
  <sheetData>
    <row r="1" spans="1:40" s="46" customFormat="1" ht="45" x14ac:dyDescent="0.25">
      <c r="A1" s="42" t="s">
        <v>0</v>
      </c>
      <c r="B1" s="42" t="s">
        <v>1</v>
      </c>
      <c r="C1" s="42" t="s">
        <v>2</v>
      </c>
      <c r="D1" s="42" t="s">
        <v>3</v>
      </c>
      <c r="E1" s="42" t="s">
        <v>4</v>
      </c>
      <c r="F1" s="42" t="s">
        <v>5</v>
      </c>
      <c r="G1" s="42" t="s">
        <v>6</v>
      </c>
      <c r="H1" s="42" t="s">
        <v>7</v>
      </c>
      <c r="I1" s="42" t="s">
        <v>8</v>
      </c>
      <c r="J1" s="42" t="s">
        <v>9</v>
      </c>
      <c r="K1" s="308" t="s">
        <v>395</v>
      </c>
      <c r="L1" s="308" t="s">
        <v>396</v>
      </c>
      <c r="M1" s="42" t="s">
        <v>10</v>
      </c>
      <c r="N1" s="43" t="s">
        <v>148</v>
      </c>
      <c r="O1" s="43" t="s">
        <v>149</v>
      </c>
      <c r="P1" s="43" t="s">
        <v>397</v>
      </c>
      <c r="Q1" s="43" t="s">
        <v>398</v>
      </c>
      <c r="R1" s="44" t="s">
        <v>153</v>
      </c>
      <c r="S1" s="44" t="s">
        <v>154</v>
      </c>
      <c r="T1" s="48" t="s">
        <v>11</v>
      </c>
      <c r="U1" s="48" t="s">
        <v>12</v>
      </c>
      <c r="V1" s="49" t="s">
        <v>13</v>
      </c>
      <c r="W1" s="49" t="s">
        <v>156</v>
      </c>
      <c r="X1" s="49" t="s">
        <v>157</v>
      </c>
      <c r="Y1" s="49" t="s">
        <v>399</v>
      </c>
      <c r="Z1" s="49" t="s">
        <v>400</v>
      </c>
      <c r="AA1" s="42" t="s">
        <v>401</v>
      </c>
      <c r="AB1" s="42" t="s">
        <v>160</v>
      </c>
      <c r="AC1" s="43" t="s">
        <v>161</v>
      </c>
      <c r="AD1" s="42" t="s">
        <v>402</v>
      </c>
      <c r="AE1" s="43" t="s">
        <v>163</v>
      </c>
      <c r="AF1" s="147" t="s">
        <v>164</v>
      </c>
      <c r="AG1" s="129" t="s">
        <v>403</v>
      </c>
      <c r="AH1" s="45" t="s">
        <v>404</v>
      </c>
      <c r="AI1" s="45" t="s">
        <v>405</v>
      </c>
      <c r="AJ1" s="129" t="s">
        <v>168</v>
      </c>
      <c r="AK1" s="45" t="s">
        <v>169</v>
      </c>
      <c r="AL1" s="45" t="s">
        <v>406</v>
      </c>
      <c r="AM1" s="45" t="s">
        <v>165</v>
      </c>
      <c r="AN1" s="45" t="s">
        <v>407</v>
      </c>
    </row>
    <row r="2" spans="1:40" x14ac:dyDescent="0.25">
      <c r="A2" t="s">
        <v>14</v>
      </c>
      <c r="B2" t="s">
        <v>15</v>
      </c>
      <c r="C2" s="3" t="s">
        <v>16</v>
      </c>
      <c r="D2" s="179" t="s">
        <v>408</v>
      </c>
      <c r="E2" s="179" t="s">
        <v>18</v>
      </c>
      <c r="F2">
        <v>37520</v>
      </c>
      <c r="G2" t="s">
        <v>19</v>
      </c>
      <c r="H2">
        <v>6405</v>
      </c>
      <c r="I2" t="s">
        <v>20</v>
      </c>
      <c r="J2" t="s">
        <v>21</v>
      </c>
      <c r="K2" s="11" t="str">
        <f>IF(Table1[[#This Row],[Proprietary?
(Y/N)]]="Y","Proprietary",IF(Table1[[#This Row],[FY24 Budget]]&lt;Lookups!$F$3,"Single Quote",IF(Table1[[#This Row],[FY24 Budget]]&gt;Lookups!$G$3,"RFP","Three quotes")))</f>
        <v>Three quotes</v>
      </c>
      <c r="L2" s="11" t="s">
        <v>178</v>
      </c>
      <c r="M2" s="460">
        <v>200340</v>
      </c>
      <c r="N2" s="9">
        <v>44168</v>
      </c>
      <c r="O2" s="9">
        <v>45262</v>
      </c>
      <c r="P2" s="11"/>
      <c r="Q2" s="11"/>
      <c r="R2" s="463">
        <v>36489</v>
      </c>
      <c r="S2" s="463">
        <v>6925</v>
      </c>
      <c r="T2" s="463">
        <v>33912.75</v>
      </c>
      <c r="U2" s="1">
        <f>Table1[[#This Row],[FY24 Budget]]-Table1[[#This Row],[FY23 Budget]]</f>
        <v>-2576.25</v>
      </c>
      <c r="V2" s="463">
        <v>29849</v>
      </c>
      <c r="W2" s="463"/>
      <c r="X2" s="463"/>
      <c r="Y2" s="463"/>
      <c r="Z2" s="463"/>
      <c r="AA2" s="15" t="s">
        <v>409</v>
      </c>
      <c r="AB2" s="9">
        <v>45108</v>
      </c>
      <c r="AC2" s="9">
        <v>45473</v>
      </c>
      <c r="AD2" s="15" t="s">
        <v>410</v>
      </c>
      <c r="AE2" s="9">
        <v>45444</v>
      </c>
      <c r="AF2" s="9" t="s">
        <v>178</v>
      </c>
      <c r="AG2" s="166"/>
      <c r="AH2" s="234" t="s">
        <v>178</v>
      </c>
      <c r="AI2" s="234"/>
      <c r="AJ2" s="130" t="s">
        <v>234</v>
      </c>
      <c r="AK2" s="16" t="s">
        <v>411</v>
      </c>
      <c r="AL2" s="454" t="s">
        <v>412</v>
      </c>
      <c r="AM2" s="2" t="s">
        <v>413</v>
      </c>
      <c r="AN2" s="454"/>
    </row>
    <row r="3" spans="1:40" x14ac:dyDescent="0.25">
      <c r="A3" t="s">
        <v>414</v>
      </c>
      <c r="B3" t="s">
        <v>415</v>
      </c>
      <c r="C3" s="3" t="s">
        <v>16</v>
      </c>
      <c r="D3" s="179" t="s">
        <v>74</v>
      </c>
      <c r="E3" s="179" t="s">
        <v>18</v>
      </c>
      <c r="F3">
        <v>37410</v>
      </c>
      <c r="G3" t="s">
        <v>416</v>
      </c>
      <c r="H3">
        <v>6405</v>
      </c>
      <c r="I3" t="s">
        <v>417</v>
      </c>
      <c r="J3" t="s">
        <v>418</v>
      </c>
      <c r="K3" s="11" t="s">
        <v>192</v>
      </c>
      <c r="L3" s="11" t="s">
        <v>174</v>
      </c>
      <c r="M3" s="460"/>
      <c r="N3" s="9"/>
      <c r="O3" s="9"/>
      <c r="P3" s="11"/>
      <c r="Q3" s="11"/>
      <c r="R3" s="463">
        <v>0</v>
      </c>
      <c r="S3" s="463">
        <v>0</v>
      </c>
      <c r="T3" s="463">
        <v>0</v>
      </c>
      <c r="U3" s="1">
        <v>0</v>
      </c>
      <c r="V3" s="463">
        <v>10000</v>
      </c>
      <c r="W3" s="463"/>
      <c r="X3" s="463"/>
      <c r="Y3" s="463"/>
      <c r="Z3" s="463"/>
      <c r="AA3" s="15" t="s">
        <v>234</v>
      </c>
      <c r="AB3" s="9">
        <v>45108</v>
      </c>
      <c r="AC3" s="9">
        <v>45473</v>
      </c>
      <c r="AD3" s="15" t="s">
        <v>419</v>
      </c>
      <c r="AE3" s="9">
        <v>45444</v>
      </c>
      <c r="AF3" s="9" t="s">
        <v>178</v>
      </c>
      <c r="AG3" s="166"/>
      <c r="AH3" s="234"/>
      <c r="AI3" s="234"/>
      <c r="AJ3" s="130" t="s">
        <v>234</v>
      </c>
      <c r="AK3" s="16" t="s">
        <v>420</v>
      </c>
      <c r="AL3" s="454"/>
      <c r="AM3" s="2" t="s">
        <v>421</v>
      </c>
      <c r="AN3" s="454"/>
    </row>
    <row r="4" spans="1:40" ht="16.149999999999999" customHeight="1" x14ac:dyDescent="0.25">
      <c r="A4" t="s">
        <v>22</v>
      </c>
      <c r="B4" t="s">
        <v>422</v>
      </c>
      <c r="C4" s="3" t="s">
        <v>16</v>
      </c>
      <c r="D4" s="179" t="s">
        <v>24</v>
      </c>
      <c r="E4" s="179" t="s">
        <v>25</v>
      </c>
      <c r="F4">
        <v>37510</v>
      </c>
      <c r="G4" t="s">
        <v>26</v>
      </c>
      <c r="H4">
        <v>6405</v>
      </c>
      <c r="I4" t="s">
        <v>65</v>
      </c>
      <c r="J4" t="s">
        <v>28</v>
      </c>
      <c r="K4" s="11" t="str">
        <f>IF(Table1[[#This Row],[Proprietary?
(Y/N)]]="Y","Proprietary",IF(Table1[[#This Row],[FY24 Budget]]&lt;Lookups!$F$3,"Single Quote",IF(Table1[[#This Row],[FY24 Budget]]&gt;Lookups!$G$3,"RFP","Three quotes")))</f>
        <v>Single Quote</v>
      </c>
      <c r="L4" s="11" t="s">
        <v>174</v>
      </c>
      <c r="M4" s="460" t="s">
        <v>29</v>
      </c>
      <c r="N4" s="9"/>
      <c r="O4" s="9"/>
      <c r="P4" s="11"/>
      <c r="Q4" s="11"/>
      <c r="R4" s="463">
        <v>0</v>
      </c>
      <c r="S4" s="463">
        <v>7844</v>
      </c>
      <c r="T4" s="463">
        <v>0</v>
      </c>
      <c r="U4" s="1">
        <v>0</v>
      </c>
      <c r="V4" s="463">
        <f>7232+2922.77</f>
        <v>10154.77</v>
      </c>
      <c r="W4" s="463"/>
      <c r="X4" s="463"/>
      <c r="Y4" s="463"/>
      <c r="Z4" s="463"/>
      <c r="AA4" s="168" t="s">
        <v>423</v>
      </c>
      <c r="AB4" s="9">
        <v>45108</v>
      </c>
      <c r="AC4" s="9">
        <v>45473</v>
      </c>
      <c r="AD4" s="15" t="s">
        <v>424</v>
      </c>
      <c r="AE4" s="9">
        <v>45444</v>
      </c>
      <c r="AF4" s="9" t="s">
        <v>178</v>
      </c>
      <c r="AG4" s="166"/>
      <c r="AH4" s="234" t="s">
        <v>178</v>
      </c>
      <c r="AI4" s="234"/>
      <c r="AJ4" s="130"/>
      <c r="AK4" s="16" t="s">
        <v>425</v>
      </c>
      <c r="AL4" s="454" t="s">
        <v>426</v>
      </c>
      <c r="AM4" s="2" t="s">
        <v>421</v>
      </c>
      <c r="AN4" s="454"/>
    </row>
    <row r="5" spans="1:40" x14ac:dyDescent="0.25">
      <c r="A5" t="s">
        <v>22</v>
      </c>
      <c r="B5" t="s">
        <v>427</v>
      </c>
      <c r="C5" s="3" t="s">
        <v>16</v>
      </c>
      <c r="D5" s="179" t="s">
        <v>24</v>
      </c>
      <c r="E5" s="179" t="s">
        <v>25</v>
      </c>
      <c r="F5">
        <v>37510</v>
      </c>
      <c r="G5" t="s">
        <v>26</v>
      </c>
      <c r="H5">
        <v>6405</v>
      </c>
      <c r="I5" t="s">
        <v>27</v>
      </c>
      <c r="J5" t="s">
        <v>28</v>
      </c>
      <c r="K5" s="11" t="str">
        <f>IF(Table1[[#This Row],[Proprietary?
(Y/N)]]="Y","Proprietary",IF(Table1[[#This Row],[FY24 Budget]]&lt;Lookups!$F$3,"Single Quote",IF(Table1[[#This Row],[FY24 Budget]]&gt;Lookups!$G$3,"RFP","Three quotes")))</f>
        <v>Single Quote</v>
      </c>
      <c r="L5" s="11" t="s">
        <v>174</v>
      </c>
      <c r="M5" s="460" t="s">
        <v>29</v>
      </c>
      <c r="N5" s="9"/>
      <c r="O5" s="9"/>
      <c r="P5" s="11"/>
      <c r="Q5" s="11"/>
      <c r="R5" s="463">
        <v>0</v>
      </c>
      <c r="S5" s="463">
        <v>7844</v>
      </c>
      <c r="T5" s="463">
        <v>8079.3200000000006</v>
      </c>
      <c r="U5" s="1">
        <v>0</v>
      </c>
      <c r="V5" s="463">
        <v>9173.92</v>
      </c>
      <c r="W5" s="463"/>
      <c r="X5" s="463"/>
      <c r="Y5" s="463"/>
      <c r="Z5" s="463"/>
      <c r="AA5" s="15" t="s">
        <v>428</v>
      </c>
      <c r="AB5" s="9">
        <v>45108</v>
      </c>
      <c r="AC5" s="9">
        <v>45473</v>
      </c>
      <c r="AD5" s="168" t="s">
        <v>429</v>
      </c>
      <c r="AE5" s="9">
        <v>45444</v>
      </c>
      <c r="AF5" s="9" t="s">
        <v>178</v>
      </c>
      <c r="AG5" s="166"/>
      <c r="AH5" s="234" t="s">
        <v>178</v>
      </c>
      <c r="AI5" s="234"/>
      <c r="AJ5" s="130">
        <v>2737</v>
      </c>
      <c r="AK5" s="16" t="s">
        <v>430</v>
      </c>
      <c r="AL5" s="454" t="s">
        <v>426</v>
      </c>
      <c r="AM5" s="2" t="s">
        <v>421</v>
      </c>
      <c r="AN5" s="454"/>
    </row>
    <row r="6" spans="1:40" x14ac:dyDescent="0.25">
      <c r="A6" t="s">
        <v>30</v>
      </c>
      <c r="B6" t="s">
        <v>31</v>
      </c>
      <c r="C6" s="3" t="s">
        <v>16</v>
      </c>
      <c r="D6" s="179" t="s">
        <v>24</v>
      </c>
      <c r="E6" s="179" t="s">
        <v>25</v>
      </c>
      <c r="F6">
        <v>37540</v>
      </c>
      <c r="G6" t="s">
        <v>32</v>
      </c>
      <c r="H6">
        <v>6405</v>
      </c>
      <c r="I6" t="s">
        <v>431</v>
      </c>
      <c r="J6" t="s">
        <v>21</v>
      </c>
      <c r="K6" s="11" t="str">
        <f>IF(Table1[[#This Row],[Proprietary?
(Y/N)]]="Y","Proprietary",IF(Table1[[#This Row],[FY24 Budget]]&lt;Lookups!$F$3,"Single Quote",IF(Table1[[#This Row],[FY24 Budget]]&gt;Lookups!$G$3,"RFP","Three quotes")))</f>
        <v>Single Quote</v>
      </c>
      <c r="L6" s="11" t="s">
        <v>174</v>
      </c>
      <c r="M6" s="460">
        <v>105352</v>
      </c>
      <c r="N6" s="9">
        <v>41821</v>
      </c>
      <c r="O6" s="9">
        <v>44742</v>
      </c>
      <c r="P6" s="11"/>
      <c r="Q6" s="11"/>
      <c r="R6" s="463">
        <v>124</v>
      </c>
      <c r="S6" s="463">
        <v>120</v>
      </c>
      <c r="T6" s="463">
        <v>124</v>
      </c>
      <c r="U6" s="1">
        <f>Table1[[#This Row],[FY24 Budget]]-Table1[[#This Row],[FY23 Budget]]</f>
        <v>0</v>
      </c>
      <c r="V6" s="463">
        <v>120</v>
      </c>
      <c r="W6" s="463"/>
      <c r="X6" s="463"/>
      <c r="Y6" s="463"/>
      <c r="Z6" s="463"/>
      <c r="AA6" s="15" t="s">
        <v>432</v>
      </c>
      <c r="AB6" s="9">
        <v>45108</v>
      </c>
      <c r="AC6" s="9">
        <v>45473</v>
      </c>
      <c r="AD6" s="15" t="s">
        <v>433</v>
      </c>
      <c r="AE6" s="9">
        <v>45444</v>
      </c>
      <c r="AF6" s="9" t="s">
        <v>178</v>
      </c>
      <c r="AG6" s="166"/>
      <c r="AH6" s="234" t="s">
        <v>174</v>
      </c>
      <c r="AI6" s="234" t="s">
        <v>234</v>
      </c>
      <c r="AJ6" s="130" t="s">
        <v>234</v>
      </c>
      <c r="AK6" s="16" t="s">
        <v>186</v>
      </c>
      <c r="AL6" s="454" t="s">
        <v>434</v>
      </c>
      <c r="AM6" s="2" t="s">
        <v>421</v>
      </c>
      <c r="AN6" s="454"/>
    </row>
    <row r="7" spans="1:40" x14ac:dyDescent="0.25">
      <c r="A7" t="s">
        <v>435</v>
      </c>
      <c r="B7" t="s">
        <v>436</v>
      </c>
      <c r="C7" s="3" t="s">
        <v>38</v>
      </c>
      <c r="D7" s="179" t="s">
        <v>437</v>
      </c>
      <c r="E7" s="179" t="s">
        <v>18</v>
      </c>
      <c r="F7">
        <v>37100</v>
      </c>
      <c r="G7" t="s">
        <v>324</v>
      </c>
      <c r="H7">
        <v>6130</v>
      </c>
      <c r="I7" t="s">
        <v>438</v>
      </c>
      <c r="J7" t="s">
        <v>439</v>
      </c>
      <c r="K7" s="11" t="str">
        <f>IF(Table1[[#This Row],[Proprietary?
(Y/N)]]="Y","Proprietary",IF(Table1[[#This Row],[FY24 Budget]]&lt;Lookups!$F$3,"Single Quote",IF(Table1[[#This Row],[FY24 Budget]]&gt;Lookups!$G$3,"RFP","Three quotes")))</f>
        <v>Proprietary</v>
      </c>
      <c r="L7" s="11" t="s">
        <v>174</v>
      </c>
      <c r="M7" s="460">
        <v>104551</v>
      </c>
      <c r="N7" s="9">
        <v>42917</v>
      </c>
      <c r="O7" s="9">
        <v>45107</v>
      </c>
      <c r="P7" s="11"/>
      <c r="Q7" s="11"/>
      <c r="R7" s="463">
        <v>0</v>
      </c>
      <c r="S7" s="463">
        <v>2340.46</v>
      </c>
      <c r="T7" s="463"/>
      <c r="U7" s="1">
        <f>Table1[[#This Row],[FY24 Budget]]-Table1[[#This Row],[FY23 Budget]]</f>
        <v>0</v>
      </c>
      <c r="V7" s="463">
        <v>2581.6799999999998</v>
      </c>
      <c r="W7" s="463"/>
      <c r="X7" s="463"/>
      <c r="Y7" s="463"/>
      <c r="Z7" s="463"/>
      <c r="AA7" s="15" t="s">
        <v>440</v>
      </c>
      <c r="AB7" s="9">
        <v>45231</v>
      </c>
      <c r="AC7" s="9">
        <v>45596</v>
      </c>
      <c r="AD7" s="15" t="s">
        <v>441</v>
      </c>
      <c r="AE7" s="9">
        <v>45566</v>
      </c>
      <c r="AF7" s="9" t="s">
        <v>178</v>
      </c>
      <c r="AG7" s="166"/>
      <c r="AH7" s="234" t="s">
        <v>174</v>
      </c>
      <c r="AI7" s="234" t="s">
        <v>234</v>
      </c>
      <c r="AJ7" s="130" t="s">
        <v>234</v>
      </c>
      <c r="AK7" s="16" t="s">
        <v>186</v>
      </c>
      <c r="AL7" s="454" t="s">
        <v>442</v>
      </c>
      <c r="AM7" s="2" t="s">
        <v>443</v>
      </c>
      <c r="AN7" s="454"/>
    </row>
    <row r="8" spans="1:40" x14ac:dyDescent="0.25">
      <c r="A8" t="s">
        <v>444</v>
      </c>
      <c r="B8" t="s">
        <v>445</v>
      </c>
      <c r="C8" s="3" t="s">
        <v>38</v>
      </c>
      <c r="D8" s="179" t="s">
        <v>437</v>
      </c>
      <c r="E8" s="179" t="s">
        <v>18</v>
      </c>
      <c r="F8">
        <v>37100</v>
      </c>
      <c r="G8" t="s">
        <v>324</v>
      </c>
      <c r="H8">
        <v>6130</v>
      </c>
      <c r="I8" t="s">
        <v>438</v>
      </c>
      <c r="J8" t="s">
        <v>439</v>
      </c>
      <c r="K8" s="11" t="str">
        <f>IF(Table1[[#This Row],[Proprietary?
(Y/N)]]="Y","Proprietary",IF(Table1[[#This Row],[FY24 Budget]]&lt;Lookups!$F$3,"Single Quote",IF(Table1[[#This Row],[FY24 Budget]]&gt;Lookups!$G$3,"RFP","Three quotes")))</f>
        <v>Proprietary</v>
      </c>
      <c r="L8" s="11" t="s">
        <v>178</v>
      </c>
      <c r="M8" s="460">
        <v>104551</v>
      </c>
      <c r="N8" s="9">
        <v>42917</v>
      </c>
      <c r="O8" s="9">
        <v>45107</v>
      </c>
      <c r="P8" s="11"/>
      <c r="Q8" s="11"/>
      <c r="R8" s="463">
        <v>215000</v>
      </c>
      <c r="S8" s="463">
        <v>208491.78</v>
      </c>
      <c r="T8" s="463">
        <v>225750</v>
      </c>
      <c r="U8" s="1">
        <f>Table1[[#This Row],[FY24 Budget]]-Table1[[#This Row],[FY23 Budget]]</f>
        <v>10750</v>
      </c>
      <c r="V8" s="463">
        <v>206261</v>
      </c>
      <c r="W8" s="463"/>
      <c r="X8" s="463"/>
      <c r="Y8" s="463"/>
      <c r="Z8" s="463"/>
      <c r="AA8" s="15" t="s">
        <v>446</v>
      </c>
      <c r="AB8" s="9">
        <v>45108</v>
      </c>
      <c r="AC8" s="9">
        <v>45473</v>
      </c>
      <c r="AD8" s="15" t="s">
        <v>447</v>
      </c>
      <c r="AE8" s="9">
        <v>45444</v>
      </c>
      <c r="AF8" s="9" t="s">
        <v>178</v>
      </c>
      <c r="AG8" s="166"/>
      <c r="AH8" s="234" t="s">
        <v>174</v>
      </c>
      <c r="AI8" s="234" t="s">
        <v>234</v>
      </c>
      <c r="AJ8" s="130" t="s">
        <v>234</v>
      </c>
      <c r="AK8" s="16" t="s">
        <v>186</v>
      </c>
      <c r="AL8" s="454" t="s">
        <v>448</v>
      </c>
      <c r="AM8" s="454"/>
      <c r="AN8" s="454"/>
    </row>
    <row r="9" spans="1:40" x14ac:dyDescent="0.25">
      <c r="A9" t="s">
        <v>449</v>
      </c>
      <c r="B9" t="s">
        <v>450</v>
      </c>
      <c r="C9" s="3" t="s">
        <v>16</v>
      </c>
      <c r="D9" s="179" t="s">
        <v>24</v>
      </c>
      <c r="E9" s="179" t="s">
        <v>18</v>
      </c>
      <c r="F9">
        <v>37100</v>
      </c>
      <c r="G9" t="s">
        <v>324</v>
      </c>
      <c r="H9">
        <v>6725</v>
      </c>
      <c r="I9" t="s">
        <v>451</v>
      </c>
      <c r="J9" t="s">
        <v>452</v>
      </c>
      <c r="K9" s="11" t="str">
        <f>IF(Table1[[#This Row],[Proprietary?
(Y/N)]]="Y","Proprietary",IF(Table1[[#This Row],[FY24 Budget]]&lt;Lookups!$F$3,"Single Quote",IF(Table1[[#This Row],[FY24 Budget]]&gt;Lookups!$G$3,"RFP","Three quotes")))</f>
        <v>Single Quote</v>
      </c>
      <c r="L9" s="11" t="s">
        <v>178</v>
      </c>
      <c r="N9" s="9"/>
      <c r="O9" s="9"/>
      <c r="P9" s="11"/>
      <c r="Q9" s="11"/>
      <c r="R9" s="468">
        <v>0</v>
      </c>
      <c r="S9" s="1">
        <v>0</v>
      </c>
      <c r="T9" s="1">
        <v>0</v>
      </c>
      <c r="U9" s="1">
        <f>Table1[[#This Row],[FY24 Budget]]-Table1[[#This Row],[FY23 Budget]]</f>
        <v>0</v>
      </c>
      <c r="V9" s="1">
        <v>14100</v>
      </c>
      <c r="W9" s="1">
        <v>14100</v>
      </c>
      <c r="X9" s="1">
        <v>14100</v>
      </c>
      <c r="AA9" s="15" t="s">
        <v>234</v>
      </c>
      <c r="AB9" s="9">
        <v>45108</v>
      </c>
      <c r="AC9" s="9">
        <v>45473</v>
      </c>
      <c r="AD9" s="15" t="s">
        <v>453</v>
      </c>
      <c r="AE9" s="9">
        <v>45444</v>
      </c>
      <c r="AF9" s="9" t="s">
        <v>178</v>
      </c>
      <c r="AG9" s="166" t="s">
        <v>454</v>
      </c>
      <c r="AH9" s="234"/>
      <c r="AI9" s="234"/>
      <c r="AJ9" s="130"/>
      <c r="AK9" s="16"/>
      <c r="AL9" s="2"/>
      <c r="AM9" s="2" t="s">
        <v>455</v>
      </c>
      <c r="AN9" s="454"/>
    </row>
    <row r="10" spans="1:40" x14ac:dyDescent="0.25">
      <c r="A10" t="s">
        <v>456</v>
      </c>
      <c r="B10" t="s">
        <v>214</v>
      </c>
      <c r="C10" s="3" t="s">
        <v>38</v>
      </c>
      <c r="D10" s="179" t="s">
        <v>437</v>
      </c>
      <c r="E10" s="179" t="s">
        <v>18</v>
      </c>
      <c r="F10">
        <v>37550</v>
      </c>
      <c r="G10" t="s">
        <v>87</v>
      </c>
      <c r="H10">
        <v>6405</v>
      </c>
      <c r="I10" t="s">
        <v>51</v>
      </c>
      <c r="J10" t="s">
        <v>56</v>
      </c>
      <c r="K10" s="11" t="str">
        <f>IF(Table1[[#This Row],[Proprietary?
(Y/N)]]="Y","Proprietary",IF(Table1[[#This Row],[FY24 Budget]]&lt;Lookups!$F$3,"Single Quote",IF(Table1[[#This Row],[FY24 Budget]]&gt;Lookups!$G$3,"RFP","Three quotes")))</f>
        <v>Proprietary</v>
      </c>
      <c r="L10" s="11" t="s">
        <v>178</v>
      </c>
      <c r="M10" s="460">
        <v>1000315</v>
      </c>
      <c r="N10" s="9"/>
      <c r="O10" s="9"/>
      <c r="P10" s="11"/>
      <c r="Q10" s="11"/>
      <c r="R10" s="463">
        <v>25885</v>
      </c>
      <c r="S10" s="463">
        <v>23160</v>
      </c>
      <c r="T10" s="463">
        <v>23160</v>
      </c>
      <c r="U10" s="1">
        <f>Table1[[#This Row],[FY24 Budget]]-Table1[[#This Row],[FY23 Budget]]</f>
        <v>-2725</v>
      </c>
      <c r="V10" s="463">
        <v>23160</v>
      </c>
      <c r="W10" s="463">
        <v>23160</v>
      </c>
      <c r="X10" s="463">
        <v>23160</v>
      </c>
      <c r="Y10" s="463">
        <v>23160</v>
      </c>
      <c r="Z10" s="463"/>
      <c r="AA10" s="15" t="s">
        <v>457</v>
      </c>
      <c r="AB10" s="9">
        <v>44652</v>
      </c>
      <c r="AC10" s="9">
        <v>46477</v>
      </c>
      <c r="AD10" s="15" t="str">
        <f>Table1[[#This Row],[FY23 PO]]</f>
        <v>P22052202</v>
      </c>
      <c r="AE10" s="9">
        <v>46478</v>
      </c>
      <c r="AF10" s="9" t="s">
        <v>178</v>
      </c>
      <c r="AG10" s="166" t="s">
        <v>458</v>
      </c>
      <c r="AH10" s="234" t="s">
        <v>178</v>
      </c>
      <c r="AI10" s="234"/>
      <c r="AJ10" s="130">
        <v>2556</v>
      </c>
      <c r="AK10" s="16" t="s">
        <v>459</v>
      </c>
      <c r="AL10" s="454" t="s">
        <v>460</v>
      </c>
      <c r="AM10" s="2" t="s">
        <v>461</v>
      </c>
      <c r="AN10" s="454"/>
    </row>
    <row r="11" spans="1:40" x14ac:dyDescent="0.25">
      <c r="A11" t="s">
        <v>36</v>
      </c>
      <c r="B11" t="s">
        <v>37</v>
      </c>
      <c r="C11" s="3" t="s">
        <v>38</v>
      </c>
      <c r="D11" s="179" t="s">
        <v>408</v>
      </c>
      <c r="E11" s="179" t="s">
        <v>18</v>
      </c>
      <c r="F11">
        <v>37520</v>
      </c>
      <c r="G11" t="s">
        <v>19</v>
      </c>
      <c r="H11">
        <v>6405</v>
      </c>
      <c r="I11" t="s">
        <v>39</v>
      </c>
      <c r="J11" t="s">
        <v>21</v>
      </c>
      <c r="K11" s="11" t="str">
        <f>IF(Table1[[#This Row],[Proprietary?
(Y/N)]]="Y","Proprietary",IF(Table1[[#This Row],[FY24 Budget]]&lt;Lookups!$F$3,"Single Quote",IF(Table1[[#This Row],[FY24 Budget]]&gt;Lookups!$G$3,"RFP","Three quotes")))</f>
        <v>Proprietary</v>
      </c>
      <c r="L11" s="11" t="s">
        <v>174</v>
      </c>
      <c r="M11" s="460">
        <v>200250</v>
      </c>
      <c r="N11" s="9">
        <v>44117</v>
      </c>
      <c r="O11" s="9">
        <v>45211</v>
      </c>
      <c r="P11" s="11"/>
      <c r="Q11" s="11"/>
      <c r="R11" s="463">
        <v>15450</v>
      </c>
      <c r="S11" s="463">
        <v>15000</v>
      </c>
      <c r="T11" s="463">
        <v>15450</v>
      </c>
      <c r="U11" s="1">
        <f>Table1[[#This Row],[FY24 Budget]]-Table1[[#This Row],[FY23 Budget]]</f>
        <v>0</v>
      </c>
      <c r="V11" s="463">
        <v>13000</v>
      </c>
      <c r="W11" s="463"/>
      <c r="X11" s="463"/>
      <c r="Y11" s="463"/>
      <c r="Z11" s="463"/>
      <c r="AA11" s="15" t="s">
        <v>462</v>
      </c>
      <c r="AB11" s="9">
        <v>45108</v>
      </c>
      <c r="AC11" s="9">
        <v>45473</v>
      </c>
      <c r="AD11" s="15" t="s">
        <v>463</v>
      </c>
      <c r="AE11" s="9">
        <v>45444</v>
      </c>
      <c r="AF11" s="9" t="s">
        <v>178</v>
      </c>
      <c r="AG11" s="166" t="s">
        <v>464</v>
      </c>
      <c r="AH11" s="234" t="s">
        <v>178</v>
      </c>
      <c r="AI11" s="234" t="s">
        <v>178</v>
      </c>
      <c r="AJ11" s="130" t="s">
        <v>234</v>
      </c>
      <c r="AK11" s="16" t="s">
        <v>465</v>
      </c>
      <c r="AL11" s="2" t="s">
        <v>466</v>
      </c>
      <c r="AM11" s="2" t="s">
        <v>467</v>
      </c>
      <c r="AN11" s="454"/>
    </row>
    <row r="12" spans="1:40" x14ac:dyDescent="0.25">
      <c r="A12" t="s">
        <v>468</v>
      </c>
      <c r="B12" t="s">
        <v>469</v>
      </c>
      <c r="C12" s="3" t="s">
        <v>16</v>
      </c>
      <c r="D12" s="179" t="s">
        <v>24</v>
      </c>
      <c r="E12" s="179" t="s">
        <v>25</v>
      </c>
      <c r="F12">
        <v>37510</v>
      </c>
      <c r="G12" t="s">
        <v>26</v>
      </c>
      <c r="H12">
        <v>6405</v>
      </c>
      <c r="I12" t="s">
        <v>65</v>
      </c>
      <c r="J12" t="s">
        <v>28</v>
      </c>
      <c r="K12" s="11" t="str">
        <f>IF(Table1[[#This Row],[Proprietary?
(Y/N)]]="Y","Proprietary",IF(Table1[[#This Row],[FY24 Budget]]&lt;Lookups!$F$3,"Single Quote",IF(Table1[[#This Row],[FY24 Budget]]&gt;Lookups!$G$3,"RFP","Three quotes")))</f>
        <v>Single Quote</v>
      </c>
      <c r="L12" s="11" t="s">
        <v>174</v>
      </c>
      <c r="M12" s="460"/>
      <c r="N12" s="9"/>
      <c r="O12" s="9"/>
      <c r="P12" s="11"/>
      <c r="Q12" s="11"/>
      <c r="R12" s="468">
        <v>0</v>
      </c>
      <c r="S12" s="1">
        <v>0</v>
      </c>
      <c r="T12" s="463">
        <v>0</v>
      </c>
      <c r="U12" s="1">
        <f>Table1[[#This Row],[FY24 Budget]]-Table1[[#This Row],[FY23 Budget]]</f>
        <v>0</v>
      </c>
      <c r="V12" s="463">
        <v>749.36</v>
      </c>
      <c r="W12" s="463"/>
      <c r="X12" s="463"/>
      <c r="Y12" s="463"/>
      <c r="Z12" s="463"/>
      <c r="AA12" s="15" t="s">
        <v>234</v>
      </c>
      <c r="AB12" s="9">
        <v>45061</v>
      </c>
      <c r="AC12" s="17">
        <v>45791</v>
      </c>
      <c r="AD12" s="15" t="s">
        <v>470</v>
      </c>
      <c r="AE12" s="9">
        <v>45748</v>
      </c>
      <c r="AF12" s="9" t="s">
        <v>178</v>
      </c>
      <c r="AG12" s="166"/>
      <c r="AH12" s="469" t="s">
        <v>174</v>
      </c>
      <c r="AI12" s="469" t="s">
        <v>234</v>
      </c>
      <c r="AJ12" s="130" t="s">
        <v>234</v>
      </c>
      <c r="AK12" s="16" t="s">
        <v>186</v>
      </c>
      <c r="AL12" s="454"/>
      <c r="AM12" s="2" t="s">
        <v>471</v>
      </c>
      <c r="AN12" s="454"/>
    </row>
    <row r="13" spans="1:40" x14ac:dyDescent="0.25">
      <c r="A13" t="s">
        <v>472</v>
      </c>
      <c r="B13" t="s">
        <v>473</v>
      </c>
      <c r="C13" s="3" t="s">
        <v>16</v>
      </c>
      <c r="D13" s="179" t="s">
        <v>74</v>
      </c>
      <c r="E13" s="179" t="s">
        <v>18</v>
      </c>
      <c r="F13">
        <v>37410</v>
      </c>
      <c r="G13" t="s">
        <v>416</v>
      </c>
      <c r="H13">
        <v>6405</v>
      </c>
      <c r="I13" t="s">
        <v>474</v>
      </c>
      <c r="J13" t="s">
        <v>418</v>
      </c>
      <c r="K13" s="11" t="str">
        <f>IF(Table1[[#This Row],[Proprietary?
(Y/N)]]="Y","Proprietary",IF(Table1[[#This Row],[FY24 Budget]]&lt;Lookups!$F$3,"Single Quote",IF(Table1[[#This Row],[FY24 Budget]]&gt;Lookups!$G$3,"RFP","Three quotes")))</f>
        <v>Single Quote</v>
      </c>
      <c r="L13" s="11" t="s">
        <v>174</v>
      </c>
      <c r="M13" s="460"/>
      <c r="N13" s="9"/>
      <c r="O13" s="9"/>
      <c r="P13" s="11"/>
      <c r="Q13" s="11"/>
      <c r="R13" s="463">
        <v>0</v>
      </c>
      <c r="S13" s="463">
        <v>0</v>
      </c>
      <c r="T13" s="463">
        <v>0</v>
      </c>
      <c r="U13" s="1">
        <f>Table1[[#This Row],[FY24 Budget]]-Table1[[#This Row],[FY23 Budget]]</f>
        <v>0</v>
      </c>
      <c r="V13" s="463">
        <v>10000</v>
      </c>
      <c r="W13" s="463"/>
      <c r="X13" s="463"/>
      <c r="Y13" s="463"/>
      <c r="Z13" s="463"/>
      <c r="AA13" s="15" t="s">
        <v>234</v>
      </c>
      <c r="AB13" s="9">
        <v>45108</v>
      </c>
      <c r="AC13" s="9">
        <v>45473</v>
      </c>
      <c r="AD13" s="15" t="s">
        <v>475</v>
      </c>
      <c r="AE13" s="9">
        <v>45444</v>
      </c>
      <c r="AF13" s="9" t="s">
        <v>178</v>
      </c>
      <c r="AG13" s="166"/>
      <c r="AH13" s="234"/>
      <c r="AI13" s="234"/>
      <c r="AJ13" s="130" t="s">
        <v>234</v>
      </c>
      <c r="AK13" s="16"/>
      <c r="AL13" s="454"/>
      <c r="AM13" s="2" t="s">
        <v>421</v>
      </c>
      <c r="AN13" s="454"/>
    </row>
    <row r="14" spans="1:40" x14ac:dyDescent="0.25">
      <c r="A14" t="s">
        <v>42</v>
      </c>
      <c r="B14" t="s">
        <v>43</v>
      </c>
      <c r="C14" s="3" t="s">
        <v>16</v>
      </c>
      <c r="D14" s="179" t="s">
        <v>408</v>
      </c>
      <c r="E14" s="179" t="s">
        <v>25</v>
      </c>
      <c r="F14">
        <v>37530</v>
      </c>
      <c r="G14" t="s">
        <v>44</v>
      </c>
      <c r="H14">
        <v>6405</v>
      </c>
      <c r="I14" t="s">
        <v>45</v>
      </c>
      <c r="J14" t="s">
        <v>21</v>
      </c>
      <c r="K14" s="11" t="str">
        <f>IF(Table1[[#This Row],[Proprietary?
(Y/N)]]="Y","Proprietary",IF(Table1[[#This Row],[FY24 Budget]]&lt;Lookups!$F$3,"Single Quote",IF(Table1[[#This Row],[FY24 Budget]]&gt;Lookups!$G$3,"RFP","Three quotes")))</f>
        <v>Three quotes</v>
      </c>
      <c r="L14" s="11" t="s">
        <v>178</v>
      </c>
      <c r="M14" s="460">
        <v>1000079</v>
      </c>
      <c r="N14" s="9">
        <v>44595</v>
      </c>
      <c r="O14" s="9">
        <v>45838</v>
      </c>
      <c r="P14" s="11" t="s">
        <v>476</v>
      </c>
      <c r="Q14" s="11"/>
      <c r="R14" s="463">
        <v>100940</v>
      </c>
      <c r="S14" s="463">
        <v>159701.26</v>
      </c>
      <c r="T14" s="463">
        <v>175671.1</v>
      </c>
      <c r="U14" s="1">
        <f>Table1[[#This Row],[FY24 Budget]]-Table1[[#This Row],[FY23 Budget]]</f>
        <v>74731.100000000006</v>
      </c>
      <c r="V14" s="463">
        <v>130757.4</v>
      </c>
      <c r="W14" s="463"/>
      <c r="X14" s="463"/>
      <c r="Y14" s="463"/>
      <c r="Z14" s="463"/>
      <c r="AA14" s="15" t="s">
        <v>477</v>
      </c>
      <c r="AB14" s="9">
        <v>45108</v>
      </c>
      <c r="AC14" s="9">
        <v>45473</v>
      </c>
      <c r="AD14" s="15" t="s">
        <v>478</v>
      </c>
      <c r="AE14" s="9">
        <v>45444</v>
      </c>
      <c r="AF14" s="9" t="s">
        <v>178</v>
      </c>
      <c r="AG14" s="166"/>
      <c r="AH14" s="234" t="s">
        <v>178</v>
      </c>
      <c r="AI14" s="234" t="s">
        <v>178</v>
      </c>
      <c r="AJ14" s="130">
        <v>2739</v>
      </c>
      <c r="AK14" s="16" t="s">
        <v>479</v>
      </c>
      <c r="AL14" s="454" t="s">
        <v>480</v>
      </c>
      <c r="AM14" s="2" t="s">
        <v>421</v>
      </c>
      <c r="AN14" s="454"/>
    </row>
    <row r="15" spans="1:40" x14ac:dyDescent="0.25">
      <c r="A15" t="s">
        <v>46</v>
      </c>
      <c r="B15" t="s">
        <v>47</v>
      </c>
      <c r="C15" s="3" t="s">
        <v>16</v>
      </c>
      <c r="D15" s="179" t="s">
        <v>408</v>
      </c>
      <c r="E15" s="179" t="s">
        <v>25</v>
      </c>
      <c r="F15">
        <v>37530</v>
      </c>
      <c r="G15" t="s">
        <v>44</v>
      </c>
      <c r="H15">
        <v>6405</v>
      </c>
      <c r="I15" t="s">
        <v>45</v>
      </c>
      <c r="J15" t="s">
        <v>21</v>
      </c>
      <c r="K15" s="11" t="str">
        <f>IF(Table1[[#This Row],[Proprietary?
(Y/N)]]="Y","Proprietary",IF(Table1[[#This Row],[FY24 Budget]]&lt;Lookups!$F$3,"Single Quote",IF(Table1[[#This Row],[FY24 Budget]]&gt;Lookups!$G$3,"RFP","Three quotes")))</f>
        <v>Three quotes</v>
      </c>
      <c r="L15" s="11" t="s">
        <v>178</v>
      </c>
      <c r="M15" s="460">
        <v>1000210</v>
      </c>
      <c r="N15" s="9">
        <v>44700</v>
      </c>
      <c r="O15" s="9">
        <v>45795</v>
      </c>
      <c r="P15" s="11"/>
      <c r="Q15" s="11"/>
      <c r="R15" s="463">
        <v>102802</v>
      </c>
      <c r="S15" s="463">
        <v>127207.12</v>
      </c>
      <c r="T15" s="463">
        <v>131023.21</v>
      </c>
      <c r="U15" s="1">
        <f>Table1[[#This Row],[FY24 Budget]]-Table1[[#This Row],[FY23 Budget]]</f>
        <v>28221.210000000006</v>
      </c>
      <c r="V15" s="463">
        <v>71400</v>
      </c>
      <c r="W15" s="463"/>
      <c r="X15" s="463"/>
      <c r="Y15" s="463"/>
      <c r="Z15" s="463"/>
      <c r="AA15" s="15" t="s">
        <v>481</v>
      </c>
      <c r="AB15" s="9">
        <v>45108</v>
      </c>
      <c r="AC15" s="9">
        <v>45473</v>
      </c>
      <c r="AD15" s="15" t="s">
        <v>482</v>
      </c>
      <c r="AE15" s="9">
        <v>45444</v>
      </c>
      <c r="AF15" s="9" t="s">
        <v>178</v>
      </c>
      <c r="AG15" s="166"/>
      <c r="AH15" s="234"/>
      <c r="AI15" s="234"/>
      <c r="AJ15" s="130"/>
      <c r="AK15" s="16" t="s">
        <v>483</v>
      </c>
      <c r="AL15" s="454" t="s">
        <v>484</v>
      </c>
      <c r="AM15" s="2" t="s">
        <v>421</v>
      </c>
      <c r="AN15" s="454"/>
    </row>
    <row r="16" spans="1:40" x14ac:dyDescent="0.25">
      <c r="A16" t="s">
        <v>485</v>
      </c>
      <c r="B16" t="s">
        <v>486</v>
      </c>
      <c r="C16" s="3" t="s">
        <v>38</v>
      </c>
      <c r="D16" s="179" t="s">
        <v>437</v>
      </c>
      <c r="E16" s="179" t="s">
        <v>18</v>
      </c>
      <c r="F16">
        <v>37550</v>
      </c>
      <c r="G16" t="s">
        <v>87</v>
      </c>
      <c r="H16">
        <v>6405</v>
      </c>
      <c r="I16" t="s">
        <v>51</v>
      </c>
      <c r="J16" t="s">
        <v>56</v>
      </c>
      <c r="K16" s="11" t="str">
        <f>IF(Table1[[#This Row],[Proprietary?
(Y/N)]]="Y","Proprietary",IF(Table1[[#This Row],[FY24 Budget]]&lt;Lookups!$F$3,"Single Quote",IF(Table1[[#This Row],[FY24 Budget]]&gt;Lookups!$G$3,"RFP","Three quotes")))</f>
        <v>Proprietary</v>
      </c>
      <c r="L16" s="11" t="s">
        <v>178</v>
      </c>
      <c r="M16" s="460">
        <v>200198</v>
      </c>
      <c r="N16" s="9">
        <v>44013</v>
      </c>
      <c r="O16" s="9">
        <v>44377</v>
      </c>
      <c r="P16" s="11"/>
      <c r="Q16" s="11"/>
      <c r="R16" s="463">
        <v>28064</v>
      </c>
      <c r="S16" s="463">
        <v>28064.313333333335</v>
      </c>
      <c r="T16" s="463">
        <v>28064</v>
      </c>
      <c r="U16" s="1">
        <f>Table1[[#This Row],[FY24 Budget]]-Table1[[#This Row],[FY23 Budget]]</f>
        <v>0</v>
      </c>
      <c r="V16" s="463">
        <f>84192.94/3</f>
        <v>28064.313333333335</v>
      </c>
      <c r="W16" s="463"/>
      <c r="X16" s="463"/>
      <c r="Y16" s="463"/>
      <c r="Z16" s="463"/>
      <c r="AA16" s="15" t="s">
        <v>487</v>
      </c>
      <c r="AB16" s="9">
        <v>44378</v>
      </c>
      <c r="AC16" s="9">
        <v>45473</v>
      </c>
      <c r="AD16" s="15" t="str">
        <f>Table1[[#This Row],[FY23 PO]]</f>
        <v>P22010691</v>
      </c>
      <c r="AE16" s="9">
        <v>45383</v>
      </c>
      <c r="AF16" s="9" t="s">
        <v>178</v>
      </c>
      <c r="AG16" s="166"/>
      <c r="AH16" s="234"/>
      <c r="AI16" s="234"/>
      <c r="AJ16" s="130" t="s">
        <v>234</v>
      </c>
      <c r="AK16" s="16" t="s">
        <v>488</v>
      </c>
      <c r="AL16" s="454" t="s">
        <v>489</v>
      </c>
      <c r="AM16" s="2" t="s">
        <v>490</v>
      </c>
      <c r="AN16" s="454"/>
    </row>
    <row r="17" spans="1:40" x14ac:dyDescent="0.25">
      <c r="A17" t="s">
        <v>48</v>
      </c>
      <c r="B17" t="s">
        <v>49</v>
      </c>
      <c r="C17" s="3" t="s">
        <v>38</v>
      </c>
      <c r="D17" s="179" t="s">
        <v>437</v>
      </c>
      <c r="E17" s="179" t="s">
        <v>18</v>
      </c>
      <c r="F17">
        <v>37560</v>
      </c>
      <c r="G17" t="s">
        <v>50</v>
      </c>
      <c r="H17">
        <v>6405</v>
      </c>
      <c r="I17" t="s">
        <v>51</v>
      </c>
      <c r="J17" t="s">
        <v>56</v>
      </c>
      <c r="K17" s="11" t="str">
        <f>IF(Table1[[#This Row],[Proprietary?
(Y/N)]]="Y","Proprietary",IF(Table1[[#This Row],[FY24 Budget]]&lt;Lookups!$F$3,"Single Quote",IF(Table1[[#This Row],[FY24 Budget]]&gt;Lookups!$G$3,"RFP","Three quotes")))</f>
        <v>Proprietary</v>
      </c>
      <c r="L17" s="11" t="s">
        <v>178</v>
      </c>
      <c r="M17" s="460">
        <v>107593</v>
      </c>
      <c r="N17" s="9">
        <v>42787</v>
      </c>
      <c r="O17" s="9">
        <v>45473</v>
      </c>
      <c r="P17" s="11"/>
      <c r="Q17" s="11"/>
      <c r="R17" s="463">
        <v>75294</v>
      </c>
      <c r="S17" s="463">
        <v>135883.26</v>
      </c>
      <c r="T17" s="463">
        <v>139959.49</v>
      </c>
      <c r="U17" s="1">
        <f>Table1[[#This Row],[FY24 Budget]]-Table1[[#This Row],[FY23 Budget]]</f>
        <v>64665.489999999991</v>
      </c>
      <c r="V17" s="463">
        <v>139883</v>
      </c>
      <c r="W17" s="463"/>
      <c r="X17" s="463"/>
      <c r="Y17" s="463"/>
      <c r="Z17" s="463"/>
      <c r="AA17" s="15" t="s">
        <v>491</v>
      </c>
      <c r="AB17" s="9">
        <v>45108</v>
      </c>
      <c r="AC17" s="9">
        <v>45473</v>
      </c>
      <c r="AD17" s="15" t="s">
        <v>492</v>
      </c>
      <c r="AE17" s="9">
        <v>45444</v>
      </c>
      <c r="AF17" s="9" t="s">
        <v>178</v>
      </c>
      <c r="AG17" s="166"/>
      <c r="AH17" s="234" t="s">
        <v>178</v>
      </c>
      <c r="AI17" s="234"/>
      <c r="AJ17" s="130">
        <v>2612</v>
      </c>
      <c r="AK17" s="16" t="s">
        <v>493</v>
      </c>
      <c r="AL17" s="454" t="s">
        <v>494</v>
      </c>
      <c r="AM17" s="2" t="s">
        <v>495</v>
      </c>
      <c r="AN17" s="454"/>
    </row>
    <row r="18" spans="1:40" x14ac:dyDescent="0.25">
      <c r="A18" t="s">
        <v>48</v>
      </c>
      <c r="B18" t="s">
        <v>496</v>
      </c>
      <c r="C18" s="3" t="s">
        <v>38</v>
      </c>
      <c r="D18" s="179" t="s">
        <v>437</v>
      </c>
      <c r="E18" s="179" t="s">
        <v>18</v>
      </c>
      <c r="F18">
        <v>37560</v>
      </c>
      <c r="G18" t="s">
        <v>50</v>
      </c>
      <c r="H18">
        <v>6205</v>
      </c>
      <c r="I18" t="s">
        <v>51</v>
      </c>
      <c r="J18" t="s">
        <v>56</v>
      </c>
      <c r="K18" s="11" t="str">
        <f>IF(Table1[[#This Row],[Proprietary?
(Y/N)]]="Y","Proprietary",IF(Table1[[#This Row],[FY24 Budget]]&lt;Lookups!$F$3,"Single Quote",IF(Table1[[#This Row],[FY24 Budget]]&gt;Lookups!$G$3,"RFP","Three quotes")))</f>
        <v>Proprietary</v>
      </c>
      <c r="L18" s="11" t="s">
        <v>178</v>
      </c>
      <c r="M18" s="460"/>
      <c r="N18" s="9"/>
      <c r="O18" s="9"/>
      <c r="P18" s="11"/>
      <c r="Q18" s="11"/>
      <c r="R18" s="463">
        <v>10000</v>
      </c>
      <c r="S18" s="463"/>
      <c r="T18" s="463">
        <v>10000</v>
      </c>
      <c r="U18" s="1">
        <f>Table1[[#This Row],[FY24 Budget]]-Table1[[#This Row],[FY23 Budget]]</f>
        <v>0</v>
      </c>
      <c r="V18" s="463">
        <v>45100</v>
      </c>
      <c r="W18" s="463"/>
      <c r="X18" s="463"/>
      <c r="Y18" s="463"/>
      <c r="Z18" s="463"/>
      <c r="AA18" s="15" t="s">
        <v>234</v>
      </c>
      <c r="AB18" s="9">
        <v>45108</v>
      </c>
      <c r="AC18" s="9">
        <v>45473</v>
      </c>
      <c r="AD18" s="15" t="s">
        <v>497</v>
      </c>
      <c r="AE18" s="9">
        <v>45444</v>
      </c>
      <c r="AF18" s="9" t="s">
        <v>178</v>
      </c>
      <c r="AG18" s="166"/>
      <c r="AH18" s="234"/>
      <c r="AI18" s="234"/>
      <c r="AJ18" s="130" t="s">
        <v>234</v>
      </c>
      <c r="AK18" s="16"/>
      <c r="AL18" s="454"/>
      <c r="AM18" s="454"/>
      <c r="AN18" s="454"/>
    </row>
    <row r="19" spans="1:40" x14ac:dyDescent="0.25">
      <c r="A19" t="s">
        <v>498</v>
      </c>
      <c r="B19" t="s">
        <v>499</v>
      </c>
      <c r="C19" s="3" t="s">
        <v>16</v>
      </c>
      <c r="D19" s="179" t="s">
        <v>24</v>
      </c>
      <c r="E19" s="179" t="s">
        <v>25</v>
      </c>
      <c r="F19">
        <v>37540</v>
      </c>
      <c r="G19" t="s">
        <v>32</v>
      </c>
      <c r="H19">
        <v>6405</v>
      </c>
      <c r="I19" t="s">
        <v>431</v>
      </c>
      <c r="J19" t="s">
        <v>21</v>
      </c>
      <c r="K19" s="11" t="str">
        <f>IF(Table1[[#This Row],[Proprietary?
(Y/N)]]="Y","Proprietary",IF(Table1[[#This Row],[FY24 Budget]]&lt;Lookups!$F$3,"Single Quote",IF(Table1[[#This Row],[FY24 Budget]]&gt;Lookups!$G$3,"RFP","Three quotes")))</f>
        <v>Single Quote</v>
      </c>
      <c r="L19" s="11" t="s">
        <v>174</v>
      </c>
      <c r="M19" s="460"/>
      <c r="N19" s="9"/>
      <c r="O19" s="9"/>
      <c r="P19" s="11"/>
      <c r="Q19" s="11"/>
      <c r="R19" s="463">
        <v>0</v>
      </c>
      <c r="S19" s="463">
        <v>0</v>
      </c>
      <c r="T19" s="463">
        <v>0</v>
      </c>
      <c r="U19" s="1">
        <f>Table1[[#This Row],[FY24 Budget]]-Table1[[#This Row],[FY23 Budget]]</f>
        <v>0</v>
      </c>
      <c r="V19" s="463">
        <v>10000</v>
      </c>
      <c r="W19" s="463"/>
      <c r="X19" s="463"/>
      <c r="Y19" s="463"/>
      <c r="Z19" s="463"/>
      <c r="AA19" s="15" t="s">
        <v>234</v>
      </c>
      <c r="AB19" s="9">
        <v>45108</v>
      </c>
      <c r="AC19" s="9">
        <v>45473</v>
      </c>
      <c r="AD19" s="15" t="s">
        <v>500</v>
      </c>
      <c r="AE19" s="9">
        <v>45444</v>
      </c>
      <c r="AF19" s="9" t="s">
        <v>178</v>
      </c>
      <c r="AG19" s="166"/>
      <c r="AH19" s="234" t="s">
        <v>174</v>
      </c>
      <c r="AI19" s="234" t="s">
        <v>234</v>
      </c>
      <c r="AJ19" s="130"/>
      <c r="AK19" s="16"/>
      <c r="AL19" s="454"/>
      <c r="AM19" s="2" t="s">
        <v>421</v>
      </c>
      <c r="AN19" s="454"/>
    </row>
    <row r="20" spans="1:40" x14ac:dyDescent="0.25">
      <c r="A20" t="s">
        <v>170</v>
      </c>
      <c r="B20" t="s">
        <v>171</v>
      </c>
      <c r="C20" s="3" t="s">
        <v>16</v>
      </c>
      <c r="D20" s="179" t="s">
        <v>24</v>
      </c>
      <c r="E20" s="179" t="s">
        <v>25</v>
      </c>
      <c r="F20">
        <v>37510</v>
      </c>
      <c r="G20" t="s">
        <v>26</v>
      </c>
      <c r="H20">
        <v>6405</v>
      </c>
      <c r="I20" t="s">
        <v>28</v>
      </c>
      <c r="K20" s="11" t="str">
        <f>IF(Table1[[#This Row],[Proprietary?
(Y/N)]]="Y","Proprietary",IF(Table1[[#This Row],[FY24 Budget]]&lt;Lookups!$F$3,"Single Quote",IF(Table1[[#This Row],[FY24 Budget]]&gt;Lookups!$G$3,"RFP","Three quotes")))</f>
        <v>Single Quote</v>
      </c>
      <c r="L20" s="11" t="s">
        <v>174</v>
      </c>
      <c r="M20" s="460"/>
      <c r="N20" s="9"/>
      <c r="O20" s="9"/>
      <c r="P20" s="11"/>
      <c r="Q20" s="11"/>
      <c r="R20" s="463">
        <v>11330</v>
      </c>
      <c r="S20" s="463">
        <v>11124</v>
      </c>
      <c r="T20" s="463">
        <v>11457.720000000001</v>
      </c>
      <c r="U20" s="1">
        <f>Table1[[#This Row],[FY24 Budget]]-Table1[[#This Row],[FY23 Budget]]</f>
        <v>127.72000000000116</v>
      </c>
      <c r="V20" s="463">
        <v>11700</v>
      </c>
      <c r="W20" s="463"/>
      <c r="X20" s="463"/>
      <c r="Y20" s="463"/>
      <c r="Z20" s="463"/>
      <c r="AA20" s="15" t="s">
        <v>177</v>
      </c>
      <c r="AB20" s="9">
        <v>44957</v>
      </c>
      <c r="AC20" s="9">
        <v>45322</v>
      </c>
      <c r="AD20" s="15" t="s">
        <v>501</v>
      </c>
      <c r="AE20" s="9">
        <v>45231</v>
      </c>
      <c r="AF20" s="9" t="s">
        <v>178</v>
      </c>
      <c r="AG20" s="166" t="s">
        <v>502</v>
      </c>
      <c r="AH20" s="234" t="s">
        <v>178</v>
      </c>
      <c r="AI20" s="234"/>
      <c r="AJ20" s="130">
        <v>2503</v>
      </c>
      <c r="AK20" s="16" t="s">
        <v>503</v>
      </c>
      <c r="AL20" s="454" t="s">
        <v>504</v>
      </c>
      <c r="AM20" s="2" t="s">
        <v>421</v>
      </c>
      <c r="AN20" s="454"/>
    </row>
    <row r="21" spans="1:40" x14ac:dyDescent="0.25">
      <c r="A21" t="s">
        <v>52</v>
      </c>
      <c r="B21" t="s">
        <v>53</v>
      </c>
      <c r="C21" s="3" t="s">
        <v>16</v>
      </c>
      <c r="D21" s="179" t="s">
        <v>408</v>
      </c>
      <c r="E21" s="179" t="s">
        <v>25</v>
      </c>
      <c r="F21">
        <v>37530</v>
      </c>
      <c r="G21" t="s">
        <v>44</v>
      </c>
      <c r="H21">
        <v>6405</v>
      </c>
      <c r="I21" t="s">
        <v>45</v>
      </c>
      <c r="J21" t="s">
        <v>21</v>
      </c>
      <c r="K21" s="11" t="str">
        <f>IF(Table1[[#This Row],[Proprietary?
(Y/N)]]="Y","Proprietary",IF(Table1[[#This Row],[FY24 Budget]]&lt;Lookups!$F$3,"Single Quote",IF(Table1[[#This Row],[FY24 Budget]]&gt;Lookups!$G$3,"RFP","Three quotes")))</f>
        <v>Three quotes</v>
      </c>
      <c r="L21" s="11" t="s">
        <v>178</v>
      </c>
      <c r="M21" s="460">
        <v>107533</v>
      </c>
      <c r="N21" s="9">
        <v>42856</v>
      </c>
      <c r="O21" s="9">
        <v>45473</v>
      </c>
      <c r="P21" s="11"/>
      <c r="Q21" s="11"/>
      <c r="R21" s="463">
        <v>33926</v>
      </c>
      <c r="S21" s="463">
        <v>23369.54</v>
      </c>
      <c r="T21" s="463">
        <v>37080</v>
      </c>
      <c r="U21" s="1">
        <f>Table1[[#This Row],[FY24 Budget]]-Table1[[#This Row],[FY23 Budget]]</f>
        <v>3154</v>
      </c>
      <c r="V21" s="463">
        <v>40001.279999999999</v>
      </c>
      <c r="W21" s="463"/>
      <c r="X21" s="463"/>
      <c r="Y21" s="463"/>
      <c r="Z21" s="463"/>
      <c r="AA21" s="15" t="s">
        <v>505</v>
      </c>
      <c r="AB21" s="9">
        <v>45108</v>
      </c>
      <c r="AC21" s="9">
        <v>45473</v>
      </c>
      <c r="AD21" s="15" t="s">
        <v>506</v>
      </c>
      <c r="AE21" s="9">
        <v>45444</v>
      </c>
      <c r="AF21" s="9" t="s">
        <v>178</v>
      </c>
      <c r="AG21" s="166"/>
      <c r="AH21" s="234" t="s">
        <v>174</v>
      </c>
      <c r="AI21" s="234" t="s">
        <v>234</v>
      </c>
      <c r="AJ21" s="130" t="s">
        <v>234</v>
      </c>
      <c r="AK21" s="16" t="s">
        <v>186</v>
      </c>
      <c r="AL21" s="454" t="s">
        <v>507</v>
      </c>
      <c r="AM21" s="2" t="s">
        <v>508</v>
      </c>
      <c r="AN21" s="454"/>
    </row>
    <row r="22" spans="1:40" x14ac:dyDescent="0.25">
      <c r="A22" t="s">
        <v>509</v>
      </c>
      <c r="B22" t="s">
        <v>230</v>
      </c>
      <c r="C22" s="3" t="s">
        <v>16</v>
      </c>
      <c r="D22" s="179" t="s">
        <v>24</v>
      </c>
      <c r="E22" s="179" t="s">
        <v>18</v>
      </c>
      <c r="F22">
        <v>37100</v>
      </c>
      <c r="G22" t="s">
        <v>324</v>
      </c>
      <c r="H22">
        <v>6405</v>
      </c>
      <c r="I22" t="s">
        <v>452</v>
      </c>
      <c r="K22" s="11" t="str">
        <f>IF(Table1[[#This Row],[Proprietary?
(Y/N)]]="Y","Proprietary",IF(Table1[[#This Row],[FY24 Budget]]&lt;Lookups!$F$3,"Single Quote",IF(Table1[[#This Row],[FY24 Budget]]&gt;Lookups!$G$3,"RFP","Three quotes")))</f>
        <v>Three quotes</v>
      </c>
      <c r="L22" s="11" t="s">
        <v>178</v>
      </c>
      <c r="M22" s="460">
        <v>105064</v>
      </c>
      <c r="N22" s="9">
        <v>41351</v>
      </c>
      <c r="O22" s="9">
        <v>45473</v>
      </c>
      <c r="P22" s="11"/>
      <c r="Q22" s="11"/>
      <c r="R22" s="463">
        <v>118450</v>
      </c>
      <c r="S22" s="463">
        <v>115000</v>
      </c>
      <c r="T22" s="463">
        <v>118450</v>
      </c>
      <c r="U22" s="1">
        <f>Table1[[#This Row],[FY24 Budget]]-Table1[[#This Row],[FY23 Budget]]</f>
        <v>0</v>
      </c>
      <c r="V22" s="463">
        <v>130000</v>
      </c>
      <c r="W22" s="463"/>
      <c r="X22" s="463"/>
      <c r="Y22" s="463"/>
      <c r="Z22" s="463"/>
      <c r="AA22" s="15" t="s">
        <v>510</v>
      </c>
      <c r="AB22" s="9">
        <v>45108</v>
      </c>
      <c r="AC22" s="9">
        <v>45473</v>
      </c>
      <c r="AD22" s="15" t="s">
        <v>511</v>
      </c>
      <c r="AE22" s="9">
        <v>45444</v>
      </c>
      <c r="AF22" s="9" t="s">
        <v>178</v>
      </c>
      <c r="AG22" s="166"/>
      <c r="AH22" s="234" t="s">
        <v>174</v>
      </c>
      <c r="AI22" s="234" t="s">
        <v>234</v>
      </c>
      <c r="AJ22" s="130" t="s">
        <v>234</v>
      </c>
      <c r="AK22" s="16" t="s">
        <v>186</v>
      </c>
      <c r="AL22" s="454" t="s">
        <v>512</v>
      </c>
      <c r="AM22" s="2" t="s">
        <v>513</v>
      </c>
      <c r="AN22" s="454"/>
    </row>
    <row r="23" spans="1:40" x14ac:dyDescent="0.25">
      <c r="A23" t="s">
        <v>514</v>
      </c>
      <c r="B23" t="s">
        <v>102</v>
      </c>
      <c r="C23" s="3" t="s">
        <v>16</v>
      </c>
      <c r="D23" s="179" t="s">
        <v>408</v>
      </c>
      <c r="E23" s="179" t="s">
        <v>25</v>
      </c>
      <c r="F23">
        <v>37530</v>
      </c>
      <c r="G23" t="s">
        <v>44</v>
      </c>
      <c r="H23">
        <v>6405</v>
      </c>
      <c r="I23" t="s">
        <v>45</v>
      </c>
      <c r="J23" t="s">
        <v>21</v>
      </c>
      <c r="K23" s="11" t="s">
        <v>515</v>
      </c>
      <c r="L23" s="11"/>
      <c r="M23" s="460">
        <v>1002634</v>
      </c>
      <c r="N23" s="9">
        <v>45280</v>
      </c>
      <c r="O23" s="9">
        <v>46375</v>
      </c>
      <c r="P23" s="11"/>
      <c r="Q23" s="11"/>
      <c r="R23" s="463">
        <v>227757</v>
      </c>
      <c r="S23" s="463">
        <v>0</v>
      </c>
      <c r="T23" s="463">
        <v>250532.7</v>
      </c>
      <c r="U23" s="1">
        <f>Table1[[#This Row],[FY24 Budget]]-Table1[[#This Row],[FY23 Budget]]</f>
        <v>22775.700000000012</v>
      </c>
      <c r="V23" s="463"/>
      <c r="W23" s="463"/>
      <c r="X23" s="463"/>
      <c r="Y23" s="463"/>
      <c r="Z23" s="463"/>
      <c r="AA23" s="15"/>
      <c r="AB23" s="9"/>
      <c r="AC23" s="9"/>
      <c r="AD23" s="15"/>
      <c r="AE23" s="9"/>
      <c r="AF23" s="9" t="s">
        <v>174</v>
      </c>
      <c r="AG23" s="166" t="s">
        <v>516</v>
      </c>
      <c r="AH23" s="234"/>
      <c r="AI23" s="234"/>
      <c r="AJ23" s="130" t="s">
        <v>234</v>
      </c>
      <c r="AK23" s="16"/>
      <c r="AL23" s="454" t="s">
        <v>517</v>
      </c>
      <c r="AM23" s="2" t="s">
        <v>421</v>
      </c>
      <c r="AN23" s="454"/>
    </row>
    <row r="24" spans="1:40" x14ac:dyDescent="0.25">
      <c r="A24" t="s">
        <v>518</v>
      </c>
      <c r="B24" t="s">
        <v>519</v>
      </c>
      <c r="C24" s="3" t="s">
        <v>16</v>
      </c>
      <c r="D24" s="179" t="s">
        <v>74</v>
      </c>
      <c r="E24" s="179" t="s">
        <v>18</v>
      </c>
      <c r="F24">
        <v>37410</v>
      </c>
      <c r="G24" t="s">
        <v>416</v>
      </c>
      <c r="H24">
        <v>6405</v>
      </c>
      <c r="I24" t="s">
        <v>474</v>
      </c>
      <c r="J24" t="s">
        <v>418</v>
      </c>
      <c r="K24" s="11" t="s">
        <v>515</v>
      </c>
      <c r="L24" s="11" t="s">
        <v>178</v>
      </c>
      <c r="M24" s="460">
        <v>1002116</v>
      </c>
      <c r="N24" s="9">
        <v>45092</v>
      </c>
      <c r="O24" s="9">
        <v>46187</v>
      </c>
      <c r="P24" s="11"/>
      <c r="Q24" s="11"/>
      <c r="R24" s="463">
        <v>0</v>
      </c>
      <c r="S24" s="463">
        <v>0</v>
      </c>
      <c r="T24" s="463">
        <v>130000</v>
      </c>
      <c r="U24" s="1">
        <f>Table1[[#This Row],[FY24 Budget]]-Table1[[#This Row],[FY23 Budget]]</f>
        <v>130000</v>
      </c>
      <c r="V24" s="463">
        <v>130000</v>
      </c>
      <c r="W24" s="463"/>
      <c r="X24" s="463"/>
      <c r="Y24" s="463"/>
      <c r="Z24" s="463"/>
      <c r="AA24" s="15"/>
      <c r="AB24" s="9">
        <v>45200</v>
      </c>
      <c r="AC24" s="9">
        <v>45473</v>
      </c>
      <c r="AD24" s="15" t="s">
        <v>520</v>
      </c>
      <c r="AE24" s="9">
        <v>45444</v>
      </c>
      <c r="AF24" s="9" t="s">
        <v>178</v>
      </c>
      <c r="AG24" s="357" t="s">
        <v>521</v>
      </c>
      <c r="AH24" s="234" t="s">
        <v>174</v>
      </c>
      <c r="AI24" s="234"/>
      <c r="AJ24" s="130" t="s">
        <v>234</v>
      </c>
      <c r="AK24" s="16"/>
      <c r="AL24" s="454"/>
      <c r="AM24" s="2" t="s">
        <v>421</v>
      </c>
      <c r="AN24" s="454"/>
    </row>
    <row r="25" spans="1:40" x14ac:dyDescent="0.25">
      <c r="A25" t="s">
        <v>518</v>
      </c>
      <c r="B25" t="s">
        <v>522</v>
      </c>
      <c r="C25" s="3" t="s">
        <v>16</v>
      </c>
      <c r="D25" s="179" t="s">
        <v>408</v>
      </c>
      <c r="E25" s="179" t="s">
        <v>25</v>
      </c>
      <c r="F25">
        <v>37530</v>
      </c>
      <c r="G25" t="s">
        <v>44</v>
      </c>
      <c r="H25">
        <v>6405</v>
      </c>
      <c r="I25" t="s">
        <v>21</v>
      </c>
      <c r="K25" s="11" t="s">
        <v>515</v>
      </c>
      <c r="L25" s="11" t="s">
        <v>178</v>
      </c>
      <c r="M25" s="460">
        <v>1002116</v>
      </c>
      <c r="N25" s="9">
        <v>45092</v>
      </c>
      <c r="O25" s="9">
        <v>46187</v>
      </c>
      <c r="P25" s="11"/>
      <c r="Q25" s="11"/>
      <c r="R25" s="463">
        <v>21630</v>
      </c>
      <c r="S25" s="463">
        <v>27575</v>
      </c>
      <c r="T25" s="463">
        <v>28953.75</v>
      </c>
      <c r="U25" s="1">
        <f>Table1[[#This Row],[FY24 Budget]]-Table1[[#This Row],[FY23 Budget]]</f>
        <v>7323.75</v>
      </c>
      <c r="V25" s="463">
        <v>40592</v>
      </c>
      <c r="W25" s="463"/>
      <c r="X25" s="463"/>
      <c r="Y25" s="463"/>
      <c r="Z25" s="463"/>
      <c r="AA25" s="15"/>
      <c r="AB25" s="9">
        <v>45170</v>
      </c>
      <c r="AC25" s="9">
        <v>45473</v>
      </c>
      <c r="AD25" s="15" t="s">
        <v>523</v>
      </c>
      <c r="AE25" s="9">
        <v>45444</v>
      </c>
      <c r="AF25" s="9" t="s">
        <v>178</v>
      </c>
      <c r="AG25" s="455"/>
      <c r="AH25" s="234"/>
      <c r="AI25" s="234"/>
      <c r="AJ25" s="130" t="s">
        <v>234</v>
      </c>
      <c r="AK25" s="16"/>
      <c r="AL25" s="454"/>
      <c r="AM25" s="2" t="s">
        <v>421</v>
      </c>
      <c r="AN25" s="454"/>
    </row>
    <row r="26" spans="1:40" x14ac:dyDescent="0.25">
      <c r="A26" t="s">
        <v>54</v>
      </c>
      <c r="B26" t="s">
        <v>55</v>
      </c>
      <c r="C26" s="3" t="s">
        <v>38</v>
      </c>
      <c r="D26" s="179" t="s">
        <v>437</v>
      </c>
      <c r="E26" s="179" t="s">
        <v>18</v>
      </c>
      <c r="F26">
        <v>37560</v>
      </c>
      <c r="G26" t="s">
        <v>50</v>
      </c>
      <c r="H26">
        <v>6405</v>
      </c>
      <c r="I26" t="s">
        <v>56</v>
      </c>
      <c r="K26" s="11" t="str">
        <f>IF(Table1[[#This Row],[Proprietary?
(Y/N)]]="Y","Proprietary",IF(Table1[[#This Row],[FY24 Budget]]&lt;Lookups!$F$3,"Single Quote",IF(Table1[[#This Row],[FY24 Budget]]&gt;Lookups!$G$3,"RFP","Three quotes")))</f>
        <v>Proprietary</v>
      </c>
      <c r="L26" s="11" t="s">
        <v>178</v>
      </c>
      <c r="M26" s="460">
        <v>200086</v>
      </c>
      <c r="N26" s="9">
        <v>45108</v>
      </c>
      <c r="O26" s="9">
        <v>45473</v>
      </c>
      <c r="P26" s="11"/>
      <c r="Q26" s="11"/>
      <c r="R26" s="463">
        <v>54802</v>
      </c>
      <c r="S26" s="463">
        <v>30750</v>
      </c>
      <c r="T26" s="463">
        <v>42082</v>
      </c>
      <c r="U26" s="1">
        <f>Table1[[#This Row],[FY24 Budget]]-Table1[[#This Row],[FY23 Budget]]</f>
        <v>-12720</v>
      </c>
      <c r="V26" s="463">
        <v>28464</v>
      </c>
      <c r="W26" s="463"/>
      <c r="X26" s="463"/>
      <c r="Y26" s="463"/>
      <c r="Z26" s="463"/>
      <c r="AA26" s="15" t="s">
        <v>524</v>
      </c>
      <c r="AB26" s="9">
        <v>45108</v>
      </c>
      <c r="AC26" s="9">
        <v>45473</v>
      </c>
      <c r="AD26" s="15" t="s">
        <v>525</v>
      </c>
      <c r="AE26" s="9">
        <v>45444</v>
      </c>
      <c r="AF26" s="9" t="s">
        <v>178</v>
      </c>
      <c r="AG26" s="166" t="s">
        <v>526</v>
      </c>
      <c r="AH26" s="234" t="s">
        <v>178</v>
      </c>
      <c r="AI26" s="234"/>
      <c r="AJ26" s="130"/>
      <c r="AK26" s="16" t="s">
        <v>527</v>
      </c>
      <c r="AL26" s="454" t="s">
        <v>528</v>
      </c>
      <c r="AM26" s="2" t="s">
        <v>467</v>
      </c>
      <c r="AN26" s="454"/>
    </row>
    <row r="27" spans="1:40" x14ac:dyDescent="0.25">
      <c r="A27" t="s">
        <v>57</v>
      </c>
      <c r="B27" t="s">
        <v>58</v>
      </c>
      <c r="C27" s="3" t="s">
        <v>38</v>
      </c>
      <c r="D27" s="179" t="s">
        <v>437</v>
      </c>
      <c r="E27" s="179" t="s">
        <v>18</v>
      </c>
      <c r="F27">
        <v>37560</v>
      </c>
      <c r="G27" t="s">
        <v>50</v>
      </c>
      <c r="H27">
        <v>6405</v>
      </c>
      <c r="I27" t="s">
        <v>56</v>
      </c>
      <c r="K27" s="11" t="str">
        <f>IF(Table1[[#This Row],[Proprietary?
(Y/N)]]="Y","Proprietary",IF(Table1[[#This Row],[FY24 Budget]]&lt;Lookups!$F$3,"Single Quote",IF(Table1[[#This Row],[FY24 Budget]]&gt;Lookups!$G$3,"RFP","Three quotes")))</f>
        <v>Proprietary</v>
      </c>
      <c r="L27" s="11" t="s">
        <v>174</v>
      </c>
      <c r="M27" s="460">
        <v>200195</v>
      </c>
      <c r="N27" s="9">
        <v>44075</v>
      </c>
      <c r="O27" s="9">
        <v>45169</v>
      </c>
      <c r="P27" s="11"/>
      <c r="Q27" s="11"/>
      <c r="R27" s="463">
        <v>8446</v>
      </c>
      <c r="S27" s="463">
        <v>9430</v>
      </c>
      <c r="T27" s="463">
        <v>10090.1</v>
      </c>
      <c r="U27" s="1">
        <f>Table1[[#This Row],[FY24 Budget]]-Table1[[#This Row],[FY23 Budget]]</f>
        <v>1644.1000000000004</v>
      </c>
      <c r="V27" s="463">
        <v>9430</v>
      </c>
      <c r="W27" s="463"/>
      <c r="X27" s="463"/>
      <c r="Y27" s="463"/>
      <c r="Z27" s="463"/>
      <c r="AA27" s="15" t="s">
        <v>529</v>
      </c>
      <c r="AB27" s="9">
        <v>45047</v>
      </c>
      <c r="AC27" s="9">
        <v>45412</v>
      </c>
      <c r="AD27" s="15" t="s">
        <v>530</v>
      </c>
      <c r="AE27" s="9">
        <v>45383</v>
      </c>
      <c r="AF27" s="9" t="s">
        <v>178</v>
      </c>
      <c r="AG27" s="166"/>
      <c r="AH27" s="234" t="s">
        <v>178</v>
      </c>
      <c r="AI27" s="234"/>
      <c r="AJ27" s="130">
        <v>2618</v>
      </c>
      <c r="AK27" s="16" t="s">
        <v>531</v>
      </c>
      <c r="AL27" s="454" t="s">
        <v>532</v>
      </c>
      <c r="AM27" s="2" t="s">
        <v>421</v>
      </c>
      <c r="AN27" s="454"/>
    </row>
    <row r="28" spans="1:40" x14ac:dyDescent="0.25">
      <c r="A28" t="s">
        <v>59</v>
      </c>
      <c r="B28" t="s">
        <v>60</v>
      </c>
      <c r="C28" s="3" t="s">
        <v>16</v>
      </c>
      <c r="D28" s="179" t="s">
        <v>408</v>
      </c>
      <c r="E28" s="179" t="s">
        <v>25</v>
      </c>
      <c r="F28">
        <v>37530</v>
      </c>
      <c r="G28" t="s">
        <v>44</v>
      </c>
      <c r="H28">
        <v>6405</v>
      </c>
      <c r="I28" t="s">
        <v>21</v>
      </c>
      <c r="K28" s="11" t="str">
        <f>IF(Table1[[#This Row],[Proprietary?
(Y/N)]]="Y","Proprietary",IF(Table1[[#This Row],[FY24 Budget]]&lt;Lookups!$F$3,"Single Quote",IF(Table1[[#This Row],[FY24 Budget]]&gt;Lookups!$G$3,"RFP","Three quotes")))</f>
        <v>RFP</v>
      </c>
      <c r="L28" s="11" t="s">
        <v>178</v>
      </c>
      <c r="M28" s="460">
        <v>1003214</v>
      </c>
      <c r="N28" s="9">
        <v>45352</v>
      </c>
      <c r="O28" s="9">
        <v>46446</v>
      </c>
      <c r="P28" s="11"/>
      <c r="Q28" s="11"/>
      <c r="R28" s="463">
        <v>113300</v>
      </c>
      <c r="S28" s="463">
        <v>247009</v>
      </c>
      <c r="T28" s="463">
        <v>321111.7</v>
      </c>
      <c r="U28" s="1">
        <f>Table1[[#This Row],[FY24 Budget]]-Table1[[#This Row],[FY23 Budget]]</f>
        <v>207811.7</v>
      </c>
      <c r="V28" s="463">
        <v>230242.88</v>
      </c>
      <c r="W28" s="463"/>
      <c r="X28" s="463"/>
      <c r="Y28" s="463"/>
      <c r="Z28" s="463"/>
      <c r="AA28" s="15" t="s">
        <v>533</v>
      </c>
      <c r="AB28" s="9">
        <v>45108</v>
      </c>
      <c r="AC28" s="9">
        <v>45473</v>
      </c>
      <c r="AD28" s="15"/>
      <c r="AE28" s="9">
        <v>45444</v>
      </c>
      <c r="AF28" s="9" t="s">
        <v>174</v>
      </c>
      <c r="AG28" s="166" t="s">
        <v>534</v>
      </c>
      <c r="AH28" s="234" t="s">
        <v>174</v>
      </c>
      <c r="AI28" s="234" t="s">
        <v>234</v>
      </c>
      <c r="AJ28" s="130" t="s">
        <v>234</v>
      </c>
      <c r="AK28" s="16" t="s">
        <v>186</v>
      </c>
      <c r="AL28" s="454" t="s">
        <v>535</v>
      </c>
      <c r="AM28" s="2" t="s">
        <v>421</v>
      </c>
      <c r="AN28" s="454"/>
    </row>
    <row r="29" spans="1:40" x14ac:dyDescent="0.25">
      <c r="A29" t="s">
        <v>61</v>
      </c>
      <c r="B29" t="s">
        <v>62</v>
      </c>
      <c r="C29" s="3" t="s">
        <v>16</v>
      </c>
      <c r="D29" s="179" t="s">
        <v>437</v>
      </c>
      <c r="E29" s="179" t="s">
        <v>18</v>
      </c>
      <c r="F29">
        <v>37560</v>
      </c>
      <c r="G29" t="s">
        <v>50</v>
      </c>
      <c r="H29">
        <v>6405</v>
      </c>
      <c r="I29" t="s">
        <v>56</v>
      </c>
      <c r="K29" s="11" t="str">
        <f>IF(Table1[[#This Row],[Proprietary?
(Y/N)]]="Y","Proprietary",IF(Table1[[#This Row],[FY24 Budget]]&lt;Lookups!$F$3,"Single Quote",IF(Table1[[#This Row],[FY24 Budget]]&gt;Lookups!$G$3,"RFP","Three quotes")))</f>
        <v>Single Quote</v>
      </c>
      <c r="L29" s="11" t="s">
        <v>174</v>
      </c>
      <c r="M29" s="460" t="s">
        <v>29</v>
      </c>
      <c r="N29" s="9"/>
      <c r="O29" s="9"/>
      <c r="P29" s="11"/>
      <c r="Q29" s="11"/>
      <c r="R29" s="463">
        <v>0</v>
      </c>
      <c r="S29" s="463">
        <v>0</v>
      </c>
      <c r="T29" s="463">
        <v>0</v>
      </c>
      <c r="U29" s="1">
        <f>Table1[[#This Row],[FY24 Budget]]-Table1[[#This Row],[FY23 Budget]]</f>
        <v>0</v>
      </c>
      <c r="V29" s="463">
        <v>8473.7999999999993</v>
      </c>
      <c r="W29" s="463">
        <v>13631</v>
      </c>
      <c r="X29" s="463"/>
      <c r="Y29" s="463"/>
      <c r="Z29" s="463"/>
      <c r="AA29" s="15" t="s">
        <v>234</v>
      </c>
      <c r="AB29" s="9">
        <v>45108</v>
      </c>
      <c r="AC29" s="9">
        <v>45473</v>
      </c>
      <c r="AD29" s="15" t="s">
        <v>536</v>
      </c>
      <c r="AE29" s="9">
        <v>45444</v>
      </c>
      <c r="AF29" s="9" t="s">
        <v>178</v>
      </c>
      <c r="AG29" s="166"/>
      <c r="AH29" s="234"/>
      <c r="AI29" s="234"/>
      <c r="AJ29" s="130">
        <v>2740</v>
      </c>
      <c r="AK29" s="16" t="s">
        <v>537</v>
      </c>
      <c r="AL29" s="2" t="s">
        <v>538</v>
      </c>
      <c r="AM29" s="2" t="s">
        <v>539</v>
      </c>
      <c r="AN29" s="454"/>
    </row>
    <row r="30" spans="1:40" x14ac:dyDescent="0.25">
      <c r="A30" t="s">
        <v>63</v>
      </c>
      <c r="B30" t="s">
        <v>64</v>
      </c>
      <c r="C30" s="3" t="s">
        <v>16</v>
      </c>
      <c r="D30" s="179" t="s">
        <v>24</v>
      </c>
      <c r="E30" s="179" t="s">
        <v>25</v>
      </c>
      <c r="F30">
        <v>37510</v>
      </c>
      <c r="G30" t="s">
        <v>26</v>
      </c>
      <c r="H30">
        <v>6205</v>
      </c>
      <c r="I30" t="s">
        <v>65</v>
      </c>
      <c r="J30" t="s">
        <v>28</v>
      </c>
      <c r="K30" s="11" t="str">
        <f>IF(Table1[[#This Row],[Proprietary?
(Y/N)]]="Y","Proprietary",IF(Table1[[#This Row],[FY24 Budget]]&lt;Lookups!$F$3,"Single Quote",IF(Table1[[#This Row],[FY24 Budget]]&gt;Lookups!$G$3,"RFP","Three quotes")))</f>
        <v>Single Quote</v>
      </c>
      <c r="L30" s="11" t="s">
        <v>174</v>
      </c>
      <c r="M30" s="460"/>
      <c r="N30" s="9"/>
      <c r="O30" s="9"/>
      <c r="P30" s="11"/>
      <c r="Q30" s="11"/>
      <c r="R30" s="463">
        <v>0</v>
      </c>
      <c r="S30" s="463">
        <v>4000</v>
      </c>
      <c r="T30" s="463"/>
      <c r="U30" s="1">
        <f>Table1[[#This Row],[FY24 Budget]]-Table1[[#This Row],[FY23 Budget]]</f>
        <v>0</v>
      </c>
      <c r="V30" s="463">
        <v>4000</v>
      </c>
      <c r="W30" s="463"/>
      <c r="X30" s="463"/>
      <c r="Y30" s="463"/>
      <c r="Z30" s="463"/>
      <c r="AA30" s="15" t="s">
        <v>540</v>
      </c>
      <c r="AB30" s="9">
        <v>45108</v>
      </c>
      <c r="AC30" s="9">
        <v>45473</v>
      </c>
      <c r="AD30" s="15" t="s">
        <v>541</v>
      </c>
      <c r="AE30" s="9">
        <v>45444</v>
      </c>
      <c r="AF30" s="9" t="s">
        <v>178</v>
      </c>
      <c r="AG30" s="166"/>
      <c r="AH30" s="234" t="s">
        <v>174</v>
      </c>
      <c r="AI30" s="234" t="s">
        <v>234</v>
      </c>
      <c r="AJ30" s="130">
        <v>2511</v>
      </c>
      <c r="AK30" s="16" t="s">
        <v>186</v>
      </c>
      <c r="AL30" s="454" t="s">
        <v>542</v>
      </c>
      <c r="AM30" s="2" t="s">
        <v>421</v>
      </c>
      <c r="AN30" s="454"/>
    </row>
    <row r="31" spans="1:40" x14ac:dyDescent="0.25">
      <c r="A31" t="s">
        <v>66</v>
      </c>
      <c r="B31" t="s">
        <v>67</v>
      </c>
      <c r="C31" s="3" t="s">
        <v>38</v>
      </c>
      <c r="D31" s="179" t="s">
        <v>24</v>
      </c>
      <c r="E31" s="179" t="s">
        <v>18</v>
      </c>
      <c r="F31">
        <v>37510</v>
      </c>
      <c r="G31" t="s">
        <v>68</v>
      </c>
      <c r="H31">
        <v>6405</v>
      </c>
      <c r="I31" t="s">
        <v>65</v>
      </c>
      <c r="J31" t="s">
        <v>28</v>
      </c>
      <c r="K31" s="11" t="str">
        <f>IF(Table1[[#This Row],[Proprietary?
(Y/N)]]="Y","Proprietary",IF(Table1[[#This Row],[FY24 Budget]]&lt;Lookups!$F$3,"Single Quote",IF(Table1[[#This Row],[FY24 Budget]]&gt;Lookups!$G$3,"RFP","Three quotes")))</f>
        <v>Proprietary</v>
      </c>
      <c r="L31" s="11" t="s">
        <v>174</v>
      </c>
      <c r="M31" s="460" t="s">
        <v>29</v>
      </c>
      <c r="N31" s="9"/>
      <c r="O31" s="9"/>
      <c r="P31" s="11"/>
      <c r="Q31" s="11"/>
      <c r="R31" s="463">
        <v>9013</v>
      </c>
      <c r="S31" s="463">
        <v>19640</v>
      </c>
      <c r="T31" s="463">
        <v>20229.2</v>
      </c>
      <c r="U31" s="1">
        <f>Table1[[#This Row],[FY24 Budget]]-Table1[[#This Row],[FY23 Budget]]</f>
        <v>11216.2</v>
      </c>
      <c r="V31" s="463">
        <v>24640</v>
      </c>
      <c r="W31" s="463"/>
      <c r="X31" s="463"/>
      <c r="Y31" s="463"/>
      <c r="Z31" s="463"/>
      <c r="AA31" s="15" t="s">
        <v>543</v>
      </c>
      <c r="AB31" s="9">
        <v>45108</v>
      </c>
      <c r="AC31" s="9">
        <v>45473</v>
      </c>
      <c r="AD31" s="15" t="s">
        <v>544</v>
      </c>
      <c r="AE31" s="9">
        <v>45444</v>
      </c>
      <c r="AF31" s="9" t="s">
        <v>178</v>
      </c>
      <c r="AG31" s="166"/>
      <c r="AH31" s="234" t="s">
        <v>178</v>
      </c>
      <c r="AI31" s="234"/>
      <c r="AJ31" s="130" t="s">
        <v>545</v>
      </c>
      <c r="AK31" s="16" t="s">
        <v>546</v>
      </c>
      <c r="AL31" s="454" t="s">
        <v>542</v>
      </c>
      <c r="AM31" s="2" t="s">
        <v>421</v>
      </c>
      <c r="AN31" s="454"/>
    </row>
    <row r="32" spans="1:40" x14ac:dyDescent="0.25">
      <c r="A32" t="s">
        <v>241</v>
      </c>
      <c r="B32" t="s">
        <v>242</v>
      </c>
      <c r="C32" s="3" t="s">
        <v>38</v>
      </c>
      <c r="D32" s="179" t="s">
        <v>437</v>
      </c>
      <c r="E32" s="179" t="s">
        <v>18</v>
      </c>
      <c r="F32">
        <v>37550</v>
      </c>
      <c r="G32" t="s">
        <v>87</v>
      </c>
      <c r="H32">
        <v>6405</v>
      </c>
      <c r="I32" t="s">
        <v>51</v>
      </c>
      <c r="J32" t="s">
        <v>56</v>
      </c>
      <c r="K32" s="11" t="str">
        <f>IF(Table1[[#This Row],[Proprietary?
(Y/N)]]="Y","Proprietary",IF(Table1[[#This Row],[FY24 Budget]]&lt;Lookups!$F$3,"Single Quote",IF(Table1[[#This Row],[FY24 Budget]]&gt;Lookups!$G$3,"RFP","Three quotes")))</f>
        <v>Proprietary</v>
      </c>
      <c r="L32" s="11" t="s">
        <v>178</v>
      </c>
      <c r="M32" s="460" t="s">
        <v>29</v>
      </c>
      <c r="N32" s="9"/>
      <c r="O32" s="9"/>
      <c r="P32" s="11"/>
      <c r="Q32" s="11"/>
      <c r="R32" s="463">
        <v>5848</v>
      </c>
      <c r="S32" s="463">
        <v>10701.97</v>
      </c>
      <c r="T32" s="463">
        <v>9201</v>
      </c>
      <c r="U32" s="1">
        <f>Table1[[#This Row],[FY24 Budget]]-Table1[[#This Row],[FY23 Budget]]</f>
        <v>3353</v>
      </c>
      <c r="V32" s="463">
        <v>9200.98</v>
      </c>
      <c r="W32" s="463">
        <v>9432.56</v>
      </c>
      <c r="X32" s="463">
        <v>11553.85</v>
      </c>
      <c r="Y32" s="463">
        <v>9916.75</v>
      </c>
      <c r="Z32" s="463"/>
      <c r="AA32" s="15" t="s">
        <v>547</v>
      </c>
      <c r="AB32" s="9">
        <v>44743</v>
      </c>
      <c r="AC32" s="9">
        <v>46568</v>
      </c>
      <c r="AD32" s="15" t="s">
        <v>548</v>
      </c>
      <c r="AE32" s="9">
        <v>46539</v>
      </c>
      <c r="AF32" s="9" t="s">
        <v>178</v>
      </c>
      <c r="AG32" s="166" t="s">
        <v>549</v>
      </c>
      <c r="AH32" s="234" t="s">
        <v>178</v>
      </c>
      <c r="AI32" s="234"/>
      <c r="AJ32" s="130">
        <v>2557</v>
      </c>
      <c r="AK32" s="16" t="s">
        <v>550</v>
      </c>
      <c r="AL32" s="454" t="s">
        <v>551</v>
      </c>
      <c r="AM32" s="2" t="s">
        <v>461</v>
      </c>
      <c r="AN32" s="454"/>
    </row>
    <row r="33" spans="1:40" x14ac:dyDescent="0.25">
      <c r="A33" t="s">
        <v>69</v>
      </c>
      <c r="B33" t="s">
        <v>70</v>
      </c>
      <c r="C33" s="3" t="s">
        <v>38</v>
      </c>
      <c r="D33" s="179" t="s">
        <v>437</v>
      </c>
      <c r="E33" s="179" t="s">
        <v>18</v>
      </c>
      <c r="F33">
        <v>37560</v>
      </c>
      <c r="G33" t="s">
        <v>50</v>
      </c>
      <c r="H33">
        <v>6405</v>
      </c>
      <c r="I33" t="s">
        <v>56</v>
      </c>
      <c r="K33" s="11" t="str">
        <f>IF(Table1[[#This Row],[Proprietary?
(Y/N)]]="Y","Proprietary",IF(Table1[[#This Row],[FY24 Budget]]&lt;Lookups!$F$3,"Single Quote",IF(Table1[[#This Row],[FY24 Budget]]&gt;Lookups!$G$3,"RFP","Three quotes")))</f>
        <v>Proprietary</v>
      </c>
      <c r="L33" s="11" t="s">
        <v>178</v>
      </c>
      <c r="M33" s="460" t="s">
        <v>29</v>
      </c>
      <c r="N33" s="9">
        <v>45108</v>
      </c>
      <c r="O33" s="9">
        <v>46568</v>
      </c>
      <c r="P33" s="11"/>
      <c r="Q33" s="11"/>
      <c r="R33" s="463">
        <v>11227</v>
      </c>
      <c r="S33" s="463">
        <v>28323</v>
      </c>
      <c r="T33" s="463">
        <v>30306</v>
      </c>
      <c r="U33" s="1">
        <f>Table1[[#This Row],[FY24 Budget]]-Table1[[#This Row],[FY23 Budget]]</f>
        <v>19079</v>
      </c>
      <c r="V33" s="463">
        <v>28323</v>
      </c>
      <c r="W33" s="463">
        <v>28323</v>
      </c>
      <c r="X33" s="463">
        <v>28323</v>
      </c>
      <c r="Y33" s="463">
        <v>28323</v>
      </c>
      <c r="Z33" s="463"/>
      <c r="AA33" s="15" t="s">
        <v>552</v>
      </c>
      <c r="AB33" s="9">
        <v>45108</v>
      </c>
      <c r="AC33" s="9">
        <v>46568</v>
      </c>
      <c r="AD33" s="15" t="s">
        <v>553</v>
      </c>
      <c r="AE33" s="9">
        <v>46539</v>
      </c>
      <c r="AF33" s="9" t="s">
        <v>178</v>
      </c>
      <c r="AG33" s="166"/>
      <c r="AH33" s="234" t="s">
        <v>178</v>
      </c>
      <c r="AI33" s="234"/>
      <c r="AJ33" s="130">
        <v>2553</v>
      </c>
      <c r="AK33" s="16" t="s">
        <v>550</v>
      </c>
      <c r="AL33" s="454" t="s">
        <v>554</v>
      </c>
      <c r="AM33" s="2" t="s">
        <v>461</v>
      </c>
      <c r="AN33" s="454"/>
    </row>
    <row r="34" spans="1:40" x14ac:dyDescent="0.25">
      <c r="A34" t="s">
        <v>71</v>
      </c>
      <c r="B34" t="s">
        <v>72</v>
      </c>
      <c r="C34" s="3" t="s">
        <v>16</v>
      </c>
      <c r="D34" s="179" t="s">
        <v>408</v>
      </c>
      <c r="E34" s="179" t="s">
        <v>18</v>
      </c>
      <c r="F34">
        <v>37530</v>
      </c>
      <c r="G34" t="s">
        <v>44</v>
      </c>
      <c r="H34">
        <v>6405</v>
      </c>
      <c r="I34" t="s">
        <v>555</v>
      </c>
      <c r="K34" s="11" t="str">
        <f>IF(Table1[[#This Row],[Proprietary?
(Y/N)]]="Y","Proprietary",IF(Table1[[#This Row],[FY24 Budget]]&lt;Lookups!$F$3,"Single Quote",IF(Table1[[#This Row],[FY24 Budget]]&gt;Lookups!$G$3,"RFP","Three quotes")))</f>
        <v>Single Quote</v>
      </c>
      <c r="L34" s="11" t="s">
        <v>174</v>
      </c>
      <c r="M34" s="460" t="s">
        <v>29</v>
      </c>
      <c r="N34" s="9"/>
      <c r="O34" s="9"/>
      <c r="P34" s="11"/>
      <c r="Q34" s="11"/>
      <c r="R34" s="463">
        <v>10300</v>
      </c>
      <c r="S34" s="463"/>
      <c r="T34" s="463">
        <v>10300</v>
      </c>
      <c r="U34" s="1">
        <v>0</v>
      </c>
      <c r="V34" s="463">
        <v>17350</v>
      </c>
      <c r="W34" s="463"/>
      <c r="X34" s="463"/>
      <c r="Y34" s="463"/>
      <c r="Z34" s="463"/>
      <c r="AA34" s="15" t="s">
        <v>556</v>
      </c>
      <c r="AB34" s="9">
        <v>45292</v>
      </c>
      <c r="AC34" s="9">
        <v>45657</v>
      </c>
      <c r="AD34" s="15" t="s">
        <v>557</v>
      </c>
      <c r="AE34" s="9">
        <v>45627</v>
      </c>
      <c r="AF34" s="9" t="s">
        <v>178</v>
      </c>
      <c r="AG34" s="166"/>
      <c r="AH34" s="234" t="s">
        <v>174</v>
      </c>
      <c r="AI34" s="234"/>
      <c r="AJ34" s="130">
        <v>1016</v>
      </c>
      <c r="AK34" s="16" t="s">
        <v>488</v>
      </c>
      <c r="AL34" s="454" t="s">
        <v>542</v>
      </c>
      <c r="AM34" s="2" t="s">
        <v>443</v>
      </c>
      <c r="AN34" s="454"/>
    </row>
    <row r="35" spans="1:40" x14ac:dyDescent="0.25">
      <c r="A35" t="s">
        <v>75</v>
      </c>
      <c r="B35" t="s">
        <v>76</v>
      </c>
      <c r="C35" s="3" t="s">
        <v>16</v>
      </c>
      <c r="D35" s="179" t="s">
        <v>24</v>
      </c>
      <c r="E35" s="179" t="s">
        <v>25</v>
      </c>
      <c r="F35">
        <v>37510</v>
      </c>
      <c r="G35" t="s">
        <v>26</v>
      </c>
      <c r="H35">
        <v>6405</v>
      </c>
      <c r="I35" t="s">
        <v>65</v>
      </c>
      <c r="J35" t="s">
        <v>28</v>
      </c>
      <c r="K35" s="11" t="str">
        <f>IF(Table1[[#This Row],[Proprietary?
(Y/N)]]="Y","Proprietary",IF(Table1[[#This Row],[FY24 Budget]]&lt;Lookups!$F$3,"Single Quote",IF(Table1[[#This Row],[FY24 Budget]]&gt;Lookups!$G$3,"RFP","Three quotes")))</f>
        <v>Three quotes</v>
      </c>
      <c r="L35" s="11" t="s">
        <v>178</v>
      </c>
      <c r="M35" s="460">
        <v>200105</v>
      </c>
      <c r="N35" s="9">
        <v>43665</v>
      </c>
      <c r="O35" s="9">
        <v>44760</v>
      </c>
      <c r="P35" s="11"/>
      <c r="Q35" s="11"/>
      <c r="R35" s="463">
        <v>91256</v>
      </c>
      <c r="S35" s="463">
        <v>87798</v>
      </c>
      <c r="T35" s="463">
        <v>90431.94</v>
      </c>
      <c r="U35" s="1">
        <f>Table1[[#This Row],[FY24 Budget]]-Table1[[#This Row],[FY23 Budget]]</f>
        <v>-824.05999999999767</v>
      </c>
      <c r="V35" s="463">
        <v>98098</v>
      </c>
      <c r="W35" s="463"/>
      <c r="X35" s="463"/>
      <c r="Y35" s="463"/>
      <c r="Z35" s="463"/>
      <c r="AA35" s="15" t="s">
        <v>558</v>
      </c>
      <c r="AB35" s="9">
        <v>45108</v>
      </c>
      <c r="AC35" s="9">
        <v>45473</v>
      </c>
      <c r="AD35" s="15" t="s">
        <v>559</v>
      </c>
      <c r="AE35" s="9">
        <v>45444</v>
      </c>
      <c r="AF35" s="9" t="s">
        <v>178</v>
      </c>
      <c r="AG35" s="166" t="s">
        <v>560</v>
      </c>
      <c r="AH35" s="234" t="s">
        <v>178</v>
      </c>
      <c r="AI35" s="234" t="s">
        <v>178</v>
      </c>
      <c r="AJ35" s="130" t="s">
        <v>561</v>
      </c>
      <c r="AK35" s="16"/>
      <c r="AL35" s="454" t="s">
        <v>562</v>
      </c>
      <c r="AM35" s="2" t="s">
        <v>563</v>
      </c>
      <c r="AN35" s="454"/>
    </row>
    <row r="36" spans="1:40" x14ac:dyDescent="0.25">
      <c r="A36" t="s">
        <v>564</v>
      </c>
      <c r="B36" t="s">
        <v>565</v>
      </c>
      <c r="C36" s="3" t="s">
        <v>38</v>
      </c>
      <c r="D36" s="179" t="s">
        <v>408</v>
      </c>
      <c r="E36" s="179" t="s">
        <v>25</v>
      </c>
      <c r="F36">
        <v>37000</v>
      </c>
      <c r="G36" t="s">
        <v>566</v>
      </c>
      <c r="H36">
        <v>6130</v>
      </c>
      <c r="I36" t="s">
        <v>439</v>
      </c>
      <c r="J36" t="s">
        <v>567</v>
      </c>
      <c r="K36" s="11" t="str">
        <f>IF(Table1[[#This Row],[Proprietary?
(Y/N)]]="Y","Proprietary",IF(Table1[[#This Row],[FY24 Budget]]&lt;Lookups!$F$3,"Single Quote",IF(Table1[[#This Row],[FY24 Budget]]&gt;Lookups!$G$3,"RFP","Three quotes")))</f>
        <v>Proprietary</v>
      </c>
      <c r="L36" s="11" t="s">
        <v>178</v>
      </c>
      <c r="M36" s="460">
        <v>200019</v>
      </c>
      <c r="N36" s="9">
        <v>43374</v>
      </c>
      <c r="O36" s="9">
        <v>45910</v>
      </c>
      <c r="P36" s="11"/>
      <c r="Q36" s="11"/>
      <c r="R36" s="463">
        <v>250000</v>
      </c>
      <c r="S36" s="463">
        <v>235735</v>
      </c>
      <c r="T36" s="463">
        <v>274000</v>
      </c>
      <c r="U36" s="1">
        <f>Table1[[#This Row],[FY24 Budget]]-Table1[[#This Row],[FY23 Budget]]</f>
        <v>24000</v>
      </c>
      <c r="V36" s="463">
        <v>273169.26</v>
      </c>
      <c r="W36" s="463"/>
      <c r="X36" s="463"/>
      <c r="Y36" s="463"/>
      <c r="Z36" s="463"/>
      <c r="AA36" s="15" t="s">
        <v>568</v>
      </c>
      <c r="AB36" s="9">
        <v>45180</v>
      </c>
      <c r="AC36" s="9">
        <v>45545</v>
      </c>
      <c r="AD36" s="15" t="s">
        <v>569</v>
      </c>
      <c r="AE36" s="9">
        <v>45870</v>
      </c>
      <c r="AF36" s="9" t="s">
        <v>178</v>
      </c>
      <c r="AG36" s="166" t="s">
        <v>570</v>
      </c>
      <c r="AH36" s="234" t="s">
        <v>174</v>
      </c>
      <c r="AI36" s="234" t="s">
        <v>234</v>
      </c>
      <c r="AJ36" s="130" t="s">
        <v>234</v>
      </c>
      <c r="AK36" s="16" t="s">
        <v>186</v>
      </c>
      <c r="AL36" s="454" t="s">
        <v>571</v>
      </c>
      <c r="AM36" s="2" t="s">
        <v>572</v>
      </c>
      <c r="AN36" s="454"/>
    </row>
    <row r="37" spans="1:40" x14ac:dyDescent="0.25">
      <c r="A37" t="s">
        <v>78</v>
      </c>
      <c r="B37" t="s">
        <v>79</v>
      </c>
      <c r="C37" s="3" t="s">
        <v>16</v>
      </c>
      <c r="D37" s="179" t="s">
        <v>24</v>
      </c>
      <c r="E37" s="179" t="s">
        <v>25</v>
      </c>
      <c r="F37">
        <v>37540</v>
      </c>
      <c r="G37" t="s">
        <v>32</v>
      </c>
      <c r="H37">
        <v>6405</v>
      </c>
      <c r="I37" t="s">
        <v>431</v>
      </c>
      <c r="J37" t="s">
        <v>21</v>
      </c>
      <c r="K37" s="11" t="str">
        <f>IF(Table1[[#This Row],[Proprietary?
(Y/N)]]="Y","Proprietary",IF(Table1[[#This Row],[FY24 Budget]]&lt;Lookups!$F$3,"Single Quote",IF(Table1[[#This Row],[FY24 Budget]]&gt;Lookups!$G$3,"RFP","Three quotes")))</f>
        <v>Single Quote</v>
      </c>
      <c r="L37" s="11" t="s">
        <v>174</v>
      </c>
      <c r="M37" s="460">
        <v>1001272</v>
      </c>
      <c r="N37" s="9">
        <v>43952</v>
      </c>
      <c r="O37" s="9">
        <v>45413</v>
      </c>
      <c r="P37" s="11"/>
      <c r="Q37" s="11"/>
      <c r="R37" s="463">
        <v>16140</v>
      </c>
      <c r="S37" s="463">
        <v>16140</v>
      </c>
      <c r="T37" s="463">
        <v>16140</v>
      </c>
      <c r="U37" s="1">
        <f>Table1[[#This Row],[FY24 Budget]]-Table1[[#This Row],[FY23 Budget]]</f>
        <v>0</v>
      </c>
      <c r="V37" s="463">
        <v>16140</v>
      </c>
      <c r="W37" s="463"/>
      <c r="X37" s="463"/>
      <c r="Y37" s="463"/>
      <c r="Z37" s="463"/>
      <c r="AA37" s="15" t="s">
        <v>573</v>
      </c>
      <c r="AB37" s="9">
        <v>45047</v>
      </c>
      <c r="AC37" s="9">
        <v>45473</v>
      </c>
      <c r="AD37" s="15" t="s">
        <v>574</v>
      </c>
      <c r="AE37" s="9">
        <v>45473</v>
      </c>
      <c r="AF37" s="9" t="s">
        <v>178</v>
      </c>
      <c r="AG37" s="166" t="s">
        <v>575</v>
      </c>
      <c r="AH37" s="234"/>
      <c r="AI37" s="234"/>
      <c r="AJ37" s="130">
        <v>2622</v>
      </c>
      <c r="AK37" s="16" t="s">
        <v>488</v>
      </c>
      <c r="AL37" s="454" t="s">
        <v>576</v>
      </c>
      <c r="AM37" s="2" t="s">
        <v>421</v>
      </c>
      <c r="AN37" s="454"/>
    </row>
    <row r="38" spans="1:40" x14ac:dyDescent="0.25">
      <c r="A38" t="s">
        <v>577</v>
      </c>
      <c r="B38" t="s">
        <v>578</v>
      </c>
      <c r="C38" s="3" t="s">
        <v>16</v>
      </c>
      <c r="D38" s="179" t="s">
        <v>437</v>
      </c>
      <c r="E38" s="179" t="s">
        <v>18</v>
      </c>
      <c r="F38">
        <v>37550</v>
      </c>
      <c r="G38" t="s">
        <v>50</v>
      </c>
      <c r="H38">
        <v>6130</v>
      </c>
      <c r="I38" t="s">
        <v>56</v>
      </c>
      <c r="K38" s="11" t="str">
        <f>IF(Table1[[#This Row],[Proprietary?
(Y/N)]]="Y","Proprietary",IF(Table1[[#This Row],[FY24 Budget]]&lt;Lookups!$F$3,"Single Quote",IF(Table1[[#This Row],[FY24 Budget]]&gt;Lookups!$G$3,"RFP","Three quotes")))</f>
        <v>Single Quote</v>
      </c>
      <c r="L38" s="11" t="s">
        <v>178</v>
      </c>
      <c r="M38" s="460"/>
      <c r="N38" s="9"/>
      <c r="O38" s="9"/>
      <c r="P38" s="11"/>
      <c r="Q38" s="11"/>
      <c r="R38" s="463">
        <v>0</v>
      </c>
      <c r="S38" s="463">
        <v>0</v>
      </c>
      <c r="T38" s="463">
        <v>0</v>
      </c>
      <c r="U38" s="1">
        <f>Table1[[#This Row],[FY24 Budget]]-Table1[[#This Row],[FY23 Budget]]</f>
        <v>0</v>
      </c>
      <c r="V38" s="463">
        <v>24700</v>
      </c>
      <c r="W38" s="463">
        <v>4940</v>
      </c>
      <c r="X38" s="463"/>
      <c r="Y38" s="463"/>
      <c r="Z38" s="463"/>
      <c r="AA38" s="15" t="s">
        <v>579</v>
      </c>
      <c r="AB38" s="9">
        <v>45108</v>
      </c>
      <c r="AC38" s="9">
        <v>45473</v>
      </c>
      <c r="AD38" s="15" t="s">
        <v>579</v>
      </c>
      <c r="AE38" s="9">
        <v>45444</v>
      </c>
      <c r="AF38" s="9" t="s">
        <v>178</v>
      </c>
      <c r="AG38" s="166" t="s">
        <v>580</v>
      </c>
      <c r="AH38" s="234"/>
      <c r="AI38" s="234"/>
      <c r="AJ38" s="130" t="s">
        <v>234</v>
      </c>
      <c r="AK38" s="16"/>
      <c r="AL38" s="454"/>
      <c r="AM38" s="2" t="s">
        <v>471</v>
      </c>
      <c r="AN38" s="454"/>
    </row>
    <row r="39" spans="1:40" x14ac:dyDescent="0.25">
      <c r="A39" t="s">
        <v>81</v>
      </c>
      <c r="B39" t="s">
        <v>82</v>
      </c>
      <c r="C39" s="3" t="s">
        <v>16</v>
      </c>
      <c r="D39" s="179" t="s">
        <v>24</v>
      </c>
      <c r="E39" s="179" t="s">
        <v>25</v>
      </c>
      <c r="F39">
        <v>37510</v>
      </c>
      <c r="G39" t="s">
        <v>26</v>
      </c>
      <c r="H39">
        <v>6405</v>
      </c>
      <c r="I39" t="s">
        <v>65</v>
      </c>
      <c r="J39" t="s">
        <v>28</v>
      </c>
      <c r="K39" s="11" t="str">
        <f>IF(Table1[[#This Row],[Proprietary?
(Y/N)]]="Y","Proprietary",IF(Table1[[#This Row],[FY24 Budget]]&lt;Lookups!$F$3,"Single Quote",IF(Table1[[#This Row],[FY24 Budget]]&gt;Lookups!$G$3,"RFP","Three quotes")))</f>
        <v>Three quotes</v>
      </c>
      <c r="L39" s="11" t="s">
        <v>178</v>
      </c>
      <c r="M39" s="460">
        <v>200107</v>
      </c>
      <c r="N39" s="9">
        <v>43647</v>
      </c>
      <c r="O39" s="9">
        <v>45473</v>
      </c>
      <c r="P39" s="11"/>
      <c r="Q39" s="11"/>
      <c r="R39" s="463">
        <v>135806</v>
      </c>
      <c r="S39" s="463">
        <v>146625</v>
      </c>
      <c r="T39" s="463">
        <v>151023.75</v>
      </c>
      <c r="U39" s="1">
        <f>Table1[[#This Row],[FY24 Budget]]-Table1[[#This Row],[FY23 Budget]]</f>
        <v>15217.75</v>
      </c>
      <c r="V39" s="463">
        <v>172500</v>
      </c>
      <c r="W39" s="463"/>
      <c r="X39" s="463"/>
      <c r="Y39" s="463"/>
      <c r="Z39" s="463"/>
      <c r="AA39" s="15" t="s">
        <v>581</v>
      </c>
      <c r="AB39" s="9">
        <v>45108</v>
      </c>
      <c r="AC39" s="9">
        <v>45473</v>
      </c>
      <c r="AD39" s="15" t="s">
        <v>582</v>
      </c>
      <c r="AE39" s="9">
        <v>45444</v>
      </c>
      <c r="AF39" s="9" t="s">
        <v>178</v>
      </c>
      <c r="AG39" s="166"/>
      <c r="AH39" s="234" t="s">
        <v>178</v>
      </c>
      <c r="AI39" s="234" t="s">
        <v>178</v>
      </c>
      <c r="AJ39" s="130" t="s">
        <v>583</v>
      </c>
      <c r="AK39" s="16"/>
      <c r="AL39" s="454" t="s">
        <v>584</v>
      </c>
      <c r="AM39" s="2" t="s">
        <v>563</v>
      </c>
      <c r="AN39" s="454"/>
    </row>
    <row r="40" spans="1:40" x14ac:dyDescent="0.25">
      <c r="A40" t="s">
        <v>85</v>
      </c>
      <c r="B40" t="s">
        <v>86</v>
      </c>
      <c r="C40" s="3" t="s">
        <v>38</v>
      </c>
      <c r="D40" s="179" t="s">
        <v>437</v>
      </c>
      <c r="E40" s="179" t="s">
        <v>18</v>
      </c>
      <c r="F40">
        <v>37550</v>
      </c>
      <c r="G40" t="s">
        <v>87</v>
      </c>
      <c r="H40">
        <v>6405</v>
      </c>
      <c r="I40" t="s">
        <v>51</v>
      </c>
      <c r="J40" t="s">
        <v>56</v>
      </c>
      <c r="K40" s="11" t="str">
        <f>IF(Table1[[#This Row],[Proprietary?
(Y/N)]]="Y","Proprietary",IF(Table1[[#This Row],[FY24 Budget]]&lt;Lookups!$F$3,"Single Quote",IF(Table1[[#This Row],[FY24 Budget]]&gt;Lookups!$G$3,"RFP","Three quotes")))</f>
        <v>Proprietary</v>
      </c>
      <c r="L40" s="11" t="s">
        <v>178</v>
      </c>
      <c r="M40" s="460">
        <v>1001875</v>
      </c>
      <c r="N40" s="9">
        <v>44378</v>
      </c>
      <c r="O40" s="9">
        <v>45473</v>
      </c>
      <c r="P40" s="11"/>
      <c r="Q40" s="11"/>
      <c r="R40" s="463">
        <v>33221</v>
      </c>
      <c r="S40" s="463">
        <v>34382</v>
      </c>
      <c r="T40" s="463">
        <v>36789</v>
      </c>
      <c r="U40" s="1">
        <f>Table1[[#This Row],[FY24 Budget]]-Table1[[#This Row],[FY23 Budget]]</f>
        <v>3568</v>
      </c>
      <c r="V40" s="463">
        <v>35381</v>
      </c>
      <c r="W40" s="463"/>
      <c r="X40" s="463"/>
      <c r="Y40" s="463"/>
      <c r="Z40" s="463"/>
      <c r="AA40" s="15" t="s">
        <v>585</v>
      </c>
      <c r="AB40" s="9">
        <v>45108</v>
      </c>
      <c r="AC40" s="9">
        <v>45473</v>
      </c>
      <c r="AD40" s="15" t="s">
        <v>586</v>
      </c>
      <c r="AE40" s="9">
        <v>45444</v>
      </c>
      <c r="AF40" s="9" t="s">
        <v>178</v>
      </c>
      <c r="AG40" s="166"/>
      <c r="AH40" s="234" t="s">
        <v>178</v>
      </c>
      <c r="AI40" s="234"/>
      <c r="AJ40" s="130">
        <v>2558</v>
      </c>
      <c r="AK40" s="16" t="s">
        <v>587</v>
      </c>
      <c r="AL40" s="454" t="s">
        <v>542</v>
      </c>
      <c r="AM40" s="2" t="s">
        <v>588</v>
      </c>
      <c r="AN40" s="454"/>
    </row>
    <row r="41" spans="1:40" x14ac:dyDescent="0.25">
      <c r="A41" t="s">
        <v>589</v>
      </c>
      <c r="B41" t="s">
        <v>89</v>
      </c>
      <c r="C41" s="3" t="s">
        <v>16</v>
      </c>
      <c r="D41" s="179" t="s">
        <v>24</v>
      </c>
      <c r="E41" s="179" t="s">
        <v>25</v>
      </c>
      <c r="F41">
        <v>37510</v>
      </c>
      <c r="G41" t="s">
        <v>26</v>
      </c>
      <c r="H41">
        <v>6405</v>
      </c>
      <c r="I41" t="s">
        <v>27</v>
      </c>
      <c r="J41" t="s">
        <v>28</v>
      </c>
      <c r="K41" s="11" t="str">
        <f>IF(Table1[[#This Row],[Proprietary?
(Y/N)]]="Y","Proprietary",IF(Table1[[#This Row],[FY24 Budget]]&lt;Lookups!$F$3,"Single Quote",IF(Table1[[#This Row],[FY24 Budget]]&gt;Lookups!$G$3,"RFP","Three quotes")))</f>
        <v>Three quotes</v>
      </c>
      <c r="L41" s="11" t="s">
        <v>178</v>
      </c>
      <c r="M41" s="460">
        <v>107066</v>
      </c>
      <c r="N41" s="9">
        <v>42491</v>
      </c>
      <c r="O41" s="9">
        <v>43646</v>
      </c>
      <c r="P41" s="11"/>
      <c r="Q41" s="11"/>
      <c r="R41" s="463">
        <v>69499</v>
      </c>
      <c r="S41" s="463">
        <v>88607</v>
      </c>
      <c r="T41" s="463">
        <v>91265.21</v>
      </c>
      <c r="U41" s="1">
        <f>Table1[[#This Row],[FY24 Budget]]-Table1[[#This Row],[FY23 Budget]]</f>
        <v>21766.210000000006</v>
      </c>
      <c r="V41" s="463">
        <v>95616.24</v>
      </c>
      <c r="W41" s="463"/>
      <c r="X41" s="463"/>
      <c r="Y41" s="463"/>
      <c r="Z41" s="463"/>
      <c r="AA41" s="15" t="s">
        <v>590</v>
      </c>
      <c r="AB41" s="9">
        <v>45108</v>
      </c>
      <c r="AC41" s="9">
        <v>45473</v>
      </c>
      <c r="AD41" s="15" t="s">
        <v>591</v>
      </c>
      <c r="AE41" s="9">
        <v>45444</v>
      </c>
      <c r="AF41" s="9" t="s">
        <v>178</v>
      </c>
      <c r="AG41" s="166"/>
      <c r="AH41" s="234"/>
      <c r="AI41" s="234"/>
      <c r="AJ41" s="130">
        <v>2560</v>
      </c>
      <c r="AK41" s="16"/>
      <c r="AL41" s="454" t="s">
        <v>535</v>
      </c>
      <c r="AM41" s="2" t="s">
        <v>592</v>
      </c>
      <c r="AN41" s="454"/>
    </row>
    <row r="42" spans="1:40" x14ac:dyDescent="0.25">
      <c r="A42" t="s">
        <v>593</v>
      </c>
      <c r="B42" t="s">
        <v>594</v>
      </c>
      <c r="C42" s="3" t="s">
        <v>38</v>
      </c>
      <c r="D42" s="179" t="s">
        <v>24</v>
      </c>
      <c r="E42" s="179" t="s">
        <v>25</v>
      </c>
      <c r="F42">
        <v>37100</v>
      </c>
      <c r="G42" t="s">
        <v>324</v>
      </c>
      <c r="H42">
        <v>6130</v>
      </c>
      <c r="J42" t="s">
        <v>439</v>
      </c>
      <c r="K42" s="11" t="str">
        <f>IF(Table1[[#This Row],[Proprietary?
(Y/N)]]="Y","Proprietary",IF(Table1[[#This Row],[FY24 Budget]]&lt;Lookups!$F$3,"Single Quote",IF(Table1[[#This Row],[FY24 Budget]]&gt;Lookups!$G$3,"RFP","Three quotes")))</f>
        <v>Proprietary</v>
      </c>
      <c r="L42" s="11"/>
      <c r="M42" s="460" t="s">
        <v>29</v>
      </c>
      <c r="N42" s="9"/>
      <c r="O42" s="9"/>
      <c r="P42" s="11"/>
      <c r="Q42" s="11"/>
      <c r="R42" s="463">
        <v>0</v>
      </c>
      <c r="S42" s="463">
        <v>0</v>
      </c>
      <c r="T42" s="463">
        <v>0</v>
      </c>
      <c r="U42" s="1">
        <f>Table1[[#This Row],[FY24 Budget]]-Table1[[#This Row],[FY23 Budget]]</f>
        <v>0</v>
      </c>
      <c r="V42" s="463"/>
      <c r="W42" s="463"/>
      <c r="X42" s="463"/>
      <c r="Y42" s="463"/>
      <c r="Z42" s="463"/>
      <c r="AA42" s="15" t="s">
        <v>595</v>
      </c>
      <c r="AB42" s="9">
        <v>44378</v>
      </c>
      <c r="AC42" s="9">
        <v>45473</v>
      </c>
      <c r="AD42" s="15" t="str">
        <f>Table1[[#This Row],[FY23 PO]]</f>
        <v>P21051970</v>
      </c>
      <c r="AE42" s="9">
        <v>45444</v>
      </c>
      <c r="AF42" s="9" t="s">
        <v>178</v>
      </c>
      <c r="AG42" s="166" t="s">
        <v>596</v>
      </c>
      <c r="AH42" s="234" t="s">
        <v>174</v>
      </c>
      <c r="AI42" s="234" t="s">
        <v>234</v>
      </c>
      <c r="AJ42" s="130" t="s">
        <v>234</v>
      </c>
      <c r="AK42" s="16" t="s">
        <v>186</v>
      </c>
      <c r="AL42" s="454" t="s">
        <v>542</v>
      </c>
      <c r="AM42" s="2" t="s">
        <v>421</v>
      </c>
      <c r="AN42" s="454"/>
    </row>
    <row r="43" spans="1:40" x14ac:dyDescent="0.25">
      <c r="A43" t="s">
        <v>597</v>
      </c>
      <c r="B43" t="s">
        <v>598</v>
      </c>
      <c r="D43" s="179" t="s">
        <v>408</v>
      </c>
      <c r="F43">
        <v>37530</v>
      </c>
      <c r="G43" t="s">
        <v>44</v>
      </c>
      <c r="H43">
        <v>6405</v>
      </c>
      <c r="I43" t="s">
        <v>45</v>
      </c>
      <c r="J43" t="s">
        <v>21</v>
      </c>
      <c r="K43" s="11" t="str">
        <f>IF(Table1[[#This Row],[Proprietary?
(Y/N)]]="Y","Proprietary",IF(Table1[[#This Row],[FY24 Budget]]&lt;Lookups!$F$3,"Single Quote",IF(Table1[[#This Row],[FY24 Budget]]&gt;Lookups!$G$3,"RFP","Three quotes")))</f>
        <v>Single Quote</v>
      </c>
      <c r="L43" s="11" t="s">
        <v>174</v>
      </c>
      <c r="M43" s="460" t="s">
        <v>29</v>
      </c>
      <c r="N43" s="9"/>
      <c r="O43" s="9"/>
      <c r="P43" s="11"/>
      <c r="Q43" s="11"/>
      <c r="R43" s="463">
        <v>0</v>
      </c>
      <c r="S43" s="463">
        <v>0</v>
      </c>
      <c r="T43" s="463">
        <v>0</v>
      </c>
      <c r="U43" s="1">
        <f>Table1[[#This Row],[FY24 Budget]]-Table1[[#This Row],[FY23 Budget]]</f>
        <v>0</v>
      </c>
      <c r="V43" s="463">
        <v>22800</v>
      </c>
      <c r="W43" s="463"/>
      <c r="X43" s="463"/>
      <c r="Y43" s="463"/>
      <c r="Z43" s="463"/>
      <c r="AA43" s="15" t="s">
        <v>234</v>
      </c>
      <c r="AB43" s="9">
        <v>45108</v>
      </c>
      <c r="AC43" s="9">
        <v>45473</v>
      </c>
      <c r="AD43" s="15" t="s">
        <v>599</v>
      </c>
      <c r="AE43" s="9">
        <v>45444</v>
      </c>
      <c r="AF43" s="9" t="s">
        <v>178</v>
      </c>
      <c r="AG43" s="166"/>
      <c r="AH43" s="234" t="s">
        <v>178</v>
      </c>
      <c r="AI43" s="234" t="s">
        <v>178</v>
      </c>
      <c r="AJ43" s="130"/>
      <c r="AK43" s="16" t="s">
        <v>600</v>
      </c>
      <c r="AL43" s="454"/>
      <c r="AM43" s="2" t="s">
        <v>421</v>
      </c>
      <c r="AN43" s="454"/>
    </row>
    <row r="44" spans="1:40" x14ac:dyDescent="0.25">
      <c r="A44" t="s">
        <v>92</v>
      </c>
      <c r="B44" t="s">
        <v>93</v>
      </c>
      <c r="C44" s="3" t="s">
        <v>16</v>
      </c>
      <c r="D44" s="179" t="s">
        <v>408</v>
      </c>
      <c r="E44" s="179" t="s">
        <v>25</v>
      </c>
      <c r="F44">
        <v>37530</v>
      </c>
      <c r="G44" t="s">
        <v>44</v>
      </c>
      <c r="H44">
        <v>6405</v>
      </c>
      <c r="I44" t="s">
        <v>45</v>
      </c>
      <c r="J44" t="s">
        <v>21</v>
      </c>
      <c r="K44" s="11" t="str">
        <f>IF(Table1[[#This Row],[Proprietary?
(Y/N)]]="Y","Proprietary",IF(Table1[[#This Row],[FY24 Budget]]&lt;Lookups!$F$3,"Single Quote",IF(Table1[[#This Row],[FY24 Budget]]&gt;Lookups!$G$3,"RFP","Three quotes")))</f>
        <v>Three quotes</v>
      </c>
      <c r="L44" s="11" t="s">
        <v>178</v>
      </c>
      <c r="M44" s="460">
        <v>1000233</v>
      </c>
      <c r="N44" s="9">
        <v>44743</v>
      </c>
      <c r="O44" s="9">
        <v>45838</v>
      </c>
      <c r="P44" s="11"/>
      <c r="Q44" s="11"/>
      <c r="R44" s="463">
        <v>245113</v>
      </c>
      <c r="S44" s="463">
        <v>119808</v>
      </c>
      <c r="T44" s="463">
        <v>123402.24000000001</v>
      </c>
      <c r="U44" s="1">
        <f>Table1[[#This Row],[FY24 Budget]]-Table1[[#This Row],[FY23 Budget]]</f>
        <v>-121710.76</v>
      </c>
      <c r="V44" s="463">
        <v>119817.96</v>
      </c>
      <c r="W44" s="463"/>
      <c r="X44" s="463"/>
      <c r="Y44" s="463"/>
      <c r="Z44" s="463"/>
      <c r="AA44" s="15" t="s">
        <v>601</v>
      </c>
      <c r="AB44" s="9">
        <v>45108</v>
      </c>
      <c r="AC44" s="9">
        <v>45473</v>
      </c>
      <c r="AD44" s="15" t="s">
        <v>602</v>
      </c>
      <c r="AE44" s="9">
        <v>45444</v>
      </c>
      <c r="AF44" s="9" t="s">
        <v>178</v>
      </c>
      <c r="AG44" s="166" t="s">
        <v>603</v>
      </c>
      <c r="AH44" s="234" t="s">
        <v>174</v>
      </c>
      <c r="AI44" s="234" t="s">
        <v>234</v>
      </c>
      <c r="AJ44" s="130" t="s">
        <v>234</v>
      </c>
      <c r="AK44" s="16" t="s">
        <v>488</v>
      </c>
      <c r="AL44" s="454" t="s">
        <v>604</v>
      </c>
      <c r="AM44" s="2" t="s">
        <v>605</v>
      </c>
      <c r="AN44" s="454"/>
    </row>
    <row r="45" spans="1:40" x14ac:dyDescent="0.25">
      <c r="A45" t="s">
        <v>606</v>
      </c>
      <c r="B45" t="s">
        <v>95</v>
      </c>
      <c r="C45" s="3" t="s">
        <v>16</v>
      </c>
      <c r="D45" s="179" t="s">
        <v>437</v>
      </c>
      <c r="E45" s="179" t="s">
        <v>18</v>
      </c>
      <c r="F45">
        <v>37560</v>
      </c>
      <c r="G45" t="s">
        <v>50</v>
      </c>
      <c r="H45">
        <v>6405</v>
      </c>
      <c r="I45" t="s">
        <v>56</v>
      </c>
      <c r="K45" s="11" t="str">
        <f>IF(Table1[[#This Row],[Proprietary?
(Y/N)]]="Y","Proprietary",IF(Table1[[#This Row],[FY24 Budget]]&lt;Lookups!$F$3,"Single Quote",IF(Table1[[#This Row],[FY24 Budget]]&gt;Lookups!$G$3,"RFP","Three quotes")))</f>
        <v>RFP</v>
      </c>
      <c r="L45" s="11" t="s">
        <v>178</v>
      </c>
      <c r="M45" s="460">
        <v>1001930</v>
      </c>
      <c r="N45" s="9">
        <v>45108</v>
      </c>
      <c r="O45" s="9">
        <v>46203</v>
      </c>
      <c r="P45" s="11"/>
      <c r="Q45" s="11"/>
      <c r="R45" s="463">
        <v>195700</v>
      </c>
      <c r="S45" s="463">
        <v>280000</v>
      </c>
      <c r="T45" s="463">
        <v>336705</v>
      </c>
      <c r="U45" s="1">
        <f>Table1[[#This Row],[FY24 Budget]]-Table1[[#This Row],[FY23 Budget]]</f>
        <v>141005</v>
      </c>
      <c r="V45" s="463">
        <v>293950</v>
      </c>
      <c r="W45" s="463"/>
      <c r="X45" s="463"/>
      <c r="Y45" s="463"/>
      <c r="Z45" s="463"/>
      <c r="AA45" s="15" t="s">
        <v>607</v>
      </c>
      <c r="AB45" s="9">
        <v>45108</v>
      </c>
      <c r="AC45" s="9">
        <v>45473</v>
      </c>
      <c r="AD45" s="15" t="s">
        <v>608</v>
      </c>
      <c r="AE45" s="9">
        <v>45444</v>
      </c>
      <c r="AF45" s="9" t="s">
        <v>178</v>
      </c>
      <c r="AG45" s="166"/>
      <c r="AH45" s="234" t="s">
        <v>178</v>
      </c>
      <c r="AI45" s="234" t="s">
        <v>178</v>
      </c>
      <c r="AJ45" s="130">
        <v>2667</v>
      </c>
      <c r="AK45" s="16" t="s">
        <v>609</v>
      </c>
      <c r="AL45" s="454" t="s">
        <v>610</v>
      </c>
      <c r="AM45" s="2" t="s">
        <v>611</v>
      </c>
      <c r="AN45" s="454"/>
    </row>
    <row r="46" spans="1:40" x14ac:dyDescent="0.25">
      <c r="A46" t="s">
        <v>612</v>
      </c>
      <c r="B46" t="s">
        <v>96</v>
      </c>
      <c r="C46" s="3" t="s">
        <v>16</v>
      </c>
      <c r="D46" s="179" t="s">
        <v>437</v>
      </c>
      <c r="E46" s="179" t="s">
        <v>18</v>
      </c>
      <c r="F46">
        <v>37560</v>
      </c>
      <c r="G46" t="s">
        <v>50</v>
      </c>
      <c r="H46">
        <v>6405</v>
      </c>
      <c r="I46" t="s">
        <v>56</v>
      </c>
      <c r="K46" s="11" t="str">
        <f>IF(Table1[[#This Row],[Proprietary?
(Y/N)]]="Y","Proprietary",IF(Table1[[#This Row],[FY24 Budget]]&lt;Lookups!$F$3,"Single Quote",IF(Table1[[#This Row],[FY24 Budget]]&gt;Lookups!$G$3,"RFP","Three quotes")))</f>
        <v>Three quotes</v>
      </c>
      <c r="L46" s="11" t="s">
        <v>178</v>
      </c>
      <c r="M46" s="460">
        <v>200379</v>
      </c>
      <c r="N46" s="9">
        <v>45108</v>
      </c>
      <c r="O46" s="9">
        <v>46203</v>
      </c>
      <c r="P46" s="11"/>
      <c r="Q46" s="11"/>
      <c r="R46" s="463">
        <v>0</v>
      </c>
      <c r="S46" s="463">
        <v>24000</v>
      </c>
      <c r="T46" s="463">
        <v>53500</v>
      </c>
      <c r="U46" s="1">
        <f>Table1[[#This Row],[FY24 Budget]]-Table1[[#This Row],[FY23 Budget]]</f>
        <v>53500</v>
      </c>
      <c r="V46" s="463">
        <v>50000</v>
      </c>
      <c r="W46" s="463"/>
      <c r="X46" s="463"/>
      <c r="Y46" s="463"/>
      <c r="Z46" s="463"/>
      <c r="AA46" s="15" t="s">
        <v>613</v>
      </c>
      <c r="AB46" s="9">
        <v>45108</v>
      </c>
      <c r="AC46" s="9">
        <v>45473</v>
      </c>
      <c r="AD46" s="15" t="s">
        <v>614</v>
      </c>
      <c r="AE46" s="9">
        <v>45444</v>
      </c>
      <c r="AF46" s="9" t="s">
        <v>178</v>
      </c>
      <c r="AG46" s="166"/>
      <c r="AH46" s="234"/>
      <c r="AI46" s="234"/>
      <c r="AJ46" s="130"/>
      <c r="AK46" s="16" t="s">
        <v>615</v>
      </c>
      <c r="AL46" s="454" t="s">
        <v>610</v>
      </c>
      <c r="AM46" s="2" t="s">
        <v>611</v>
      </c>
      <c r="AN46" s="454"/>
    </row>
    <row r="47" spans="1:40" x14ac:dyDescent="0.25">
      <c r="A47" t="s">
        <v>616</v>
      </c>
      <c r="B47" t="s">
        <v>263</v>
      </c>
      <c r="C47" s="3" t="s">
        <v>38</v>
      </c>
      <c r="D47" s="179" t="s">
        <v>437</v>
      </c>
      <c r="E47" s="179" t="s">
        <v>18</v>
      </c>
      <c r="F47">
        <v>37560</v>
      </c>
      <c r="G47" t="s">
        <v>50</v>
      </c>
      <c r="H47">
        <v>6405</v>
      </c>
      <c r="I47" t="s">
        <v>56</v>
      </c>
      <c r="K47" s="11" t="str">
        <f>IF(Table1[[#This Row],[Proprietary?
(Y/N)]]="Y","Proprietary",IF(Table1[[#This Row],[FY24 Budget]]&lt;Lookups!$F$3,"Single Quote",IF(Table1[[#This Row],[FY24 Budget]]&gt;Lookups!$G$3,"RFP","Three quotes")))</f>
        <v>Proprietary</v>
      </c>
      <c r="L47" s="11" t="s">
        <v>178</v>
      </c>
      <c r="M47" s="460">
        <v>1000009</v>
      </c>
      <c r="N47" s="9">
        <v>44501</v>
      </c>
      <c r="O47" s="9">
        <v>45596</v>
      </c>
      <c r="P47" s="11"/>
      <c r="Q47" s="11"/>
      <c r="R47" s="463">
        <v>39962</v>
      </c>
      <c r="S47" s="463">
        <v>39962</v>
      </c>
      <c r="T47" s="463">
        <v>44931</v>
      </c>
      <c r="U47" s="1">
        <f>Table1[[#This Row],[FY24 Budget]]-Table1[[#This Row],[FY23 Budget]]</f>
        <v>4969</v>
      </c>
      <c r="V47" s="463">
        <v>48077</v>
      </c>
      <c r="W47" s="463"/>
      <c r="X47" s="463"/>
      <c r="Y47" s="463"/>
      <c r="Z47" s="463"/>
      <c r="AA47" s="15" t="s">
        <v>617</v>
      </c>
      <c r="AB47" s="9">
        <v>44378</v>
      </c>
      <c r="AC47" s="9">
        <v>45473</v>
      </c>
      <c r="AD47" s="15" t="str">
        <f>Table1[[#This Row],[FY23 PO]]</f>
        <v>P21052458</v>
      </c>
      <c r="AE47" s="9">
        <v>45444</v>
      </c>
      <c r="AF47" s="9" t="s">
        <v>178</v>
      </c>
      <c r="AG47" s="166" t="s">
        <v>596</v>
      </c>
      <c r="AH47" s="234" t="s">
        <v>178</v>
      </c>
      <c r="AI47" s="234"/>
      <c r="AJ47" s="130">
        <v>2547</v>
      </c>
      <c r="AK47" s="16" t="s">
        <v>618</v>
      </c>
      <c r="AL47" s="454" t="s">
        <v>619</v>
      </c>
      <c r="AM47" s="2" t="s">
        <v>495</v>
      </c>
      <c r="AN47" s="454"/>
    </row>
    <row r="48" spans="1:40" x14ac:dyDescent="0.25">
      <c r="A48" t="s">
        <v>265</v>
      </c>
      <c r="B48" t="s">
        <v>266</v>
      </c>
      <c r="C48" s="3" t="s">
        <v>38</v>
      </c>
      <c r="D48" s="179" t="s">
        <v>437</v>
      </c>
      <c r="E48" s="179" t="s">
        <v>18</v>
      </c>
      <c r="F48">
        <v>37560</v>
      </c>
      <c r="G48" t="s">
        <v>50</v>
      </c>
      <c r="H48">
        <v>6405</v>
      </c>
      <c r="I48" t="s">
        <v>56</v>
      </c>
      <c r="K48" s="11" t="str">
        <f>IF(Table1[[#This Row],[Proprietary?
(Y/N)]]="Y","Proprietary",IF(Table1[[#This Row],[FY24 Budget]]&lt;Lookups!$F$3,"Single Quote",IF(Table1[[#This Row],[FY24 Budget]]&gt;Lookups!$G$3,"RFP","Three quotes")))</f>
        <v>Proprietary</v>
      </c>
      <c r="L48" s="11" t="s">
        <v>178</v>
      </c>
      <c r="M48" s="460">
        <v>1000009</v>
      </c>
      <c r="N48" s="9">
        <v>44501</v>
      </c>
      <c r="O48" s="9">
        <v>45596</v>
      </c>
      <c r="P48" s="11"/>
      <c r="Q48" s="11"/>
      <c r="R48" s="463">
        <v>101341</v>
      </c>
      <c r="S48" s="463">
        <v>101341</v>
      </c>
      <c r="T48" s="463">
        <v>104382</v>
      </c>
      <c r="U48" s="1">
        <f>Table1[[#This Row],[FY24 Budget]]-Table1[[#This Row],[FY23 Budget]]</f>
        <v>3041</v>
      </c>
      <c r="V48" s="463">
        <v>104382</v>
      </c>
      <c r="W48" s="463"/>
      <c r="X48" s="463"/>
      <c r="Y48" s="463"/>
      <c r="Z48" s="463"/>
      <c r="AA48" s="15" t="s">
        <v>620</v>
      </c>
      <c r="AB48" s="9">
        <v>44378</v>
      </c>
      <c r="AC48" s="9">
        <v>45473</v>
      </c>
      <c r="AD48" s="15" t="str">
        <f>Table1[[#This Row],[FY23 PO]]</f>
        <v>P21053316</v>
      </c>
      <c r="AE48" s="9">
        <v>45444</v>
      </c>
      <c r="AF48" s="9" t="s">
        <v>178</v>
      </c>
      <c r="AG48" s="166" t="s">
        <v>596</v>
      </c>
      <c r="AH48" s="234" t="s">
        <v>178</v>
      </c>
      <c r="AI48" s="234"/>
      <c r="AJ48" s="130">
        <v>2614</v>
      </c>
      <c r="AK48" s="16" t="s">
        <v>621</v>
      </c>
      <c r="AL48" s="454" t="s">
        <v>619</v>
      </c>
      <c r="AM48" s="2" t="s">
        <v>495</v>
      </c>
      <c r="AN48" s="454"/>
    </row>
    <row r="49" spans="1:40" x14ac:dyDescent="0.25">
      <c r="A49" t="s">
        <v>97</v>
      </c>
      <c r="B49" t="s">
        <v>98</v>
      </c>
      <c r="C49" s="3" t="s">
        <v>16</v>
      </c>
      <c r="D49" s="179" t="s">
        <v>24</v>
      </c>
      <c r="E49" s="179" t="s">
        <v>18</v>
      </c>
      <c r="F49">
        <v>37540</v>
      </c>
      <c r="G49" t="s">
        <v>32</v>
      </c>
      <c r="H49">
        <v>6405</v>
      </c>
      <c r="I49" t="s">
        <v>431</v>
      </c>
      <c r="J49" t="s">
        <v>21</v>
      </c>
      <c r="K49" s="11" t="str">
        <f>IF(Table1[[#This Row],[Proprietary?
(Y/N)]]="Y","Proprietary",IF(Table1[[#This Row],[FY24 Budget]]&lt;Lookups!$F$3,"Single Quote",IF(Table1[[#This Row],[FY24 Budget]]&gt;Lookups!$G$3,"RFP","Three quotes")))</f>
        <v>Single Quote</v>
      </c>
      <c r="L49" s="11" t="s">
        <v>174</v>
      </c>
      <c r="M49" s="460" t="s">
        <v>29</v>
      </c>
      <c r="N49" s="9"/>
      <c r="O49" s="9"/>
      <c r="P49" s="11"/>
      <c r="Q49" s="11"/>
      <c r="R49" s="463">
        <v>11742</v>
      </c>
      <c r="S49" s="463">
        <v>11400</v>
      </c>
      <c r="T49" s="463">
        <v>11742</v>
      </c>
      <c r="U49" s="1">
        <f>Table1[[#This Row],[FY24 Budget]]-Table1[[#This Row],[FY23 Budget]]</f>
        <v>0</v>
      </c>
      <c r="V49" s="463">
        <v>13110</v>
      </c>
      <c r="W49" s="463"/>
      <c r="X49" s="463"/>
      <c r="Y49" s="463"/>
      <c r="Z49" s="463"/>
      <c r="AA49" s="15" t="s">
        <v>622</v>
      </c>
      <c r="AB49" s="9">
        <v>45108</v>
      </c>
      <c r="AC49" s="9">
        <v>45473</v>
      </c>
      <c r="AD49" s="168" t="s">
        <v>623</v>
      </c>
      <c r="AE49" s="9">
        <v>45444</v>
      </c>
      <c r="AF49" s="9" t="s">
        <v>178</v>
      </c>
      <c r="AG49" s="166"/>
      <c r="AH49" s="234" t="s">
        <v>178</v>
      </c>
      <c r="AI49" s="234"/>
      <c r="AJ49" s="130">
        <v>2564</v>
      </c>
      <c r="AK49" s="16" t="s">
        <v>624</v>
      </c>
      <c r="AL49" s="454" t="s">
        <v>542</v>
      </c>
      <c r="AM49" s="2" t="s">
        <v>421</v>
      </c>
      <c r="AN49" s="454"/>
    </row>
    <row r="50" spans="1:40" x14ac:dyDescent="0.25">
      <c r="A50" t="s">
        <v>625</v>
      </c>
      <c r="B50" t="s">
        <v>626</v>
      </c>
      <c r="D50" s="179" t="s">
        <v>437</v>
      </c>
      <c r="E50" s="179" t="s">
        <v>18</v>
      </c>
      <c r="F50">
        <v>37560</v>
      </c>
      <c r="G50" t="s">
        <v>50</v>
      </c>
      <c r="H50">
        <v>6405</v>
      </c>
      <c r="I50" t="s">
        <v>56</v>
      </c>
      <c r="K50" s="11" t="str">
        <f>IF(Table1[[#This Row],[Proprietary?
(Y/N)]]="Y","Proprietary",IF(Table1[[#This Row],[FY24 Budget]]&lt;Lookups!$F$3,"Single Quote",IF(Table1[[#This Row],[FY24 Budget]]&gt;Lookups!$G$3,"RFP","Three quotes")))</f>
        <v>Single Quote</v>
      </c>
      <c r="L50" s="11" t="s">
        <v>178</v>
      </c>
      <c r="M50" s="460">
        <v>1000292</v>
      </c>
      <c r="N50" s="363">
        <v>45108</v>
      </c>
      <c r="O50" s="363">
        <v>45473</v>
      </c>
      <c r="P50" s="364"/>
      <c r="Q50" s="11"/>
      <c r="R50" s="463"/>
      <c r="S50" s="463"/>
      <c r="T50" s="463"/>
      <c r="U50" s="1">
        <f>Table1[[#This Row],[FY24 Budget]]-Table1[[#This Row],[FY23 Budget]]</f>
        <v>0</v>
      </c>
      <c r="V50" s="463">
        <v>91000</v>
      </c>
      <c r="W50" s="463"/>
      <c r="X50" s="463"/>
      <c r="Y50" s="463"/>
      <c r="Z50" s="463"/>
      <c r="AA50" s="15"/>
      <c r="AB50" s="9">
        <v>45108</v>
      </c>
      <c r="AC50" s="9">
        <v>45473</v>
      </c>
      <c r="AD50" s="15" t="s">
        <v>627</v>
      </c>
      <c r="AE50" s="9">
        <v>45444</v>
      </c>
      <c r="AF50" s="9" t="s">
        <v>178</v>
      </c>
      <c r="AG50" s="166" t="s">
        <v>628</v>
      </c>
      <c r="AH50" s="234"/>
      <c r="AI50" s="234"/>
      <c r="AJ50" s="130"/>
      <c r="AK50" s="16" t="s">
        <v>186</v>
      </c>
      <c r="AL50" s="454"/>
      <c r="AM50" s="2" t="s">
        <v>611</v>
      </c>
      <c r="AN50" s="454"/>
    </row>
    <row r="51" spans="1:40" x14ac:dyDescent="0.25">
      <c r="A51" t="s">
        <v>629</v>
      </c>
      <c r="B51" t="s">
        <v>630</v>
      </c>
      <c r="C51" s="3" t="s">
        <v>16</v>
      </c>
      <c r="D51" s="179" t="s">
        <v>24</v>
      </c>
      <c r="E51" s="179" t="s">
        <v>18</v>
      </c>
      <c r="F51">
        <v>37510</v>
      </c>
      <c r="G51" t="s">
        <v>26</v>
      </c>
      <c r="H51">
        <v>6405</v>
      </c>
      <c r="I51" t="s">
        <v>631</v>
      </c>
      <c r="J51" t="s">
        <v>28</v>
      </c>
      <c r="K51" s="11" t="str">
        <f>IF(Table1[[#This Row],[Proprietary?
(Y/N)]]="Y","Proprietary",IF(Table1[[#This Row],[FY24 Budget]]&lt;Lookups!$F$3,"Single Quote",IF(Table1[[#This Row],[FY24 Budget]]&gt;Lookups!$G$3,"RFP","Three quotes")))</f>
        <v>Single Quote</v>
      </c>
      <c r="L51" s="11" t="s">
        <v>174</v>
      </c>
      <c r="M51" s="460" t="s">
        <v>29</v>
      </c>
      <c r="N51" s="9"/>
      <c r="O51" s="9"/>
      <c r="P51" s="11"/>
      <c r="Q51" s="11"/>
      <c r="R51" s="463">
        <v>0</v>
      </c>
      <c r="S51" s="463">
        <v>0</v>
      </c>
      <c r="T51" s="463"/>
      <c r="U51" s="1">
        <f>Table1[[#This Row],[FY24 Budget]]-Table1[[#This Row],[FY23 Budget]]</f>
        <v>0</v>
      </c>
      <c r="V51" s="463">
        <v>5148</v>
      </c>
      <c r="W51" s="463"/>
      <c r="X51" s="463"/>
      <c r="Y51" s="463"/>
      <c r="Z51" s="463"/>
      <c r="AA51" s="15"/>
      <c r="AB51" s="9">
        <v>45108</v>
      </c>
      <c r="AC51" s="9">
        <v>45473</v>
      </c>
      <c r="AD51" s="15" t="s">
        <v>632</v>
      </c>
      <c r="AE51" s="9">
        <v>45444</v>
      </c>
      <c r="AF51" s="9" t="s">
        <v>178</v>
      </c>
      <c r="AG51" s="166"/>
      <c r="AH51" s="234" t="s">
        <v>174</v>
      </c>
      <c r="AI51" s="234" t="s">
        <v>234</v>
      </c>
      <c r="AJ51" s="130"/>
      <c r="AK51" s="16"/>
      <c r="AL51" s="454"/>
      <c r="AM51" s="2" t="s">
        <v>421</v>
      </c>
      <c r="AN51" s="454"/>
    </row>
    <row r="52" spans="1:40" x14ac:dyDescent="0.25">
      <c r="A52" t="s">
        <v>99</v>
      </c>
      <c r="B52" t="s">
        <v>100</v>
      </c>
      <c r="C52" s="3" t="s">
        <v>16</v>
      </c>
      <c r="D52" s="179" t="s">
        <v>24</v>
      </c>
      <c r="E52" s="179" t="s">
        <v>25</v>
      </c>
      <c r="F52">
        <v>37510</v>
      </c>
      <c r="G52" t="s">
        <v>26</v>
      </c>
      <c r="H52">
        <v>6405</v>
      </c>
      <c r="I52" t="s">
        <v>28</v>
      </c>
      <c r="J52" t="s">
        <v>28</v>
      </c>
      <c r="K52" s="11" t="str">
        <f>IF(Table1[[#This Row],[Proprietary?
(Y/N)]]="Y","Proprietary",IF(Table1[[#This Row],[FY24 Budget]]&lt;Lookups!$F$3,"Single Quote",IF(Table1[[#This Row],[FY24 Budget]]&gt;Lookups!$G$3,"RFP","Three quotes")))</f>
        <v>Three quotes</v>
      </c>
      <c r="L52" s="11" t="s">
        <v>178</v>
      </c>
      <c r="M52" s="460">
        <v>1001460</v>
      </c>
      <c r="N52" s="9">
        <v>44593</v>
      </c>
      <c r="O52" s="9">
        <v>45688</v>
      </c>
      <c r="P52" s="11"/>
      <c r="Q52" s="11"/>
      <c r="R52" s="463">
        <v>168391</v>
      </c>
      <c r="S52" s="463">
        <v>166730</v>
      </c>
      <c r="T52" s="463">
        <v>171731.9</v>
      </c>
      <c r="U52" s="1">
        <f>Table1[[#This Row],[FY24 Budget]]-Table1[[#This Row],[FY23 Budget]]</f>
        <v>3340.8999999999942</v>
      </c>
      <c r="V52" s="463">
        <v>173111.72</v>
      </c>
      <c r="W52" s="463"/>
      <c r="X52" s="463"/>
      <c r="Y52" s="463"/>
      <c r="Z52" s="463"/>
      <c r="AA52" s="15" t="s">
        <v>633</v>
      </c>
      <c r="AB52" s="9">
        <v>45078</v>
      </c>
      <c r="AC52" s="9">
        <v>45443</v>
      </c>
      <c r="AD52" s="15" t="s">
        <v>634</v>
      </c>
      <c r="AE52" s="9">
        <v>45413</v>
      </c>
      <c r="AF52" s="9" t="s">
        <v>178</v>
      </c>
      <c r="AG52" s="166"/>
      <c r="AH52" s="234" t="s">
        <v>174</v>
      </c>
      <c r="AI52" s="234" t="s">
        <v>234</v>
      </c>
      <c r="AJ52" s="130" t="s">
        <v>234</v>
      </c>
      <c r="AK52" s="16" t="s">
        <v>186</v>
      </c>
      <c r="AL52" s="454" t="s">
        <v>635</v>
      </c>
      <c r="AM52" s="2" t="s">
        <v>636</v>
      </c>
      <c r="AN52" s="454"/>
    </row>
    <row r="53" spans="1:40" x14ac:dyDescent="0.25">
      <c r="A53" t="s">
        <v>637</v>
      </c>
      <c r="B53" t="s">
        <v>125</v>
      </c>
      <c r="C53" s="3" t="s">
        <v>16</v>
      </c>
      <c r="D53" s="179" t="s">
        <v>24</v>
      </c>
      <c r="E53" s="179" t="s">
        <v>25</v>
      </c>
      <c r="F53">
        <v>37540</v>
      </c>
      <c r="G53" t="s">
        <v>32</v>
      </c>
      <c r="H53">
        <v>6405</v>
      </c>
      <c r="I53" t="s">
        <v>80</v>
      </c>
      <c r="J53" t="s">
        <v>21</v>
      </c>
      <c r="K53" s="11" t="s">
        <v>638</v>
      </c>
      <c r="L53" s="11" t="s">
        <v>178</v>
      </c>
      <c r="M53" s="460"/>
      <c r="N53" s="9"/>
      <c r="O53" s="9"/>
      <c r="P53" s="11"/>
      <c r="Q53" s="11"/>
      <c r="R53" s="463">
        <v>21016</v>
      </c>
      <c r="S53" s="463">
        <v>33239</v>
      </c>
      <c r="T53" s="463">
        <v>34236</v>
      </c>
      <c r="U53" s="1">
        <f>Table1[[#This Row],[FY24 Budget]]-Table1[[#This Row],[FY23 Budget]]</f>
        <v>13220</v>
      </c>
      <c r="V53" s="463">
        <v>29170</v>
      </c>
      <c r="W53" s="463"/>
      <c r="X53" s="463"/>
      <c r="Y53" s="463"/>
      <c r="Z53" s="463"/>
      <c r="AA53" s="15" t="s">
        <v>639</v>
      </c>
      <c r="AB53" s="9">
        <v>45108</v>
      </c>
      <c r="AC53" s="9">
        <v>45473</v>
      </c>
      <c r="AD53" s="15" t="s">
        <v>640</v>
      </c>
      <c r="AE53" s="9">
        <v>45444</v>
      </c>
      <c r="AF53" s="9" t="s">
        <v>178</v>
      </c>
      <c r="AG53" s="166"/>
      <c r="AH53" s="234" t="s">
        <v>178</v>
      </c>
      <c r="AI53" s="234" t="s">
        <v>178</v>
      </c>
      <c r="AJ53" s="130"/>
      <c r="AK53" s="16" t="s">
        <v>641</v>
      </c>
      <c r="AL53" s="454"/>
      <c r="AM53" s="2" t="s">
        <v>467</v>
      </c>
      <c r="AN53" s="454"/>
    </row>
    <row r="54" spans="1:40" x14ac:dyDescent="0.25">
      <c r="A54" t="s">
        <v>642</v>
      </c>
      <c r="B54" t="s">
        <v>643</v>
      </c>
      <c r="C54" s="3" t="s">
        <v>16</v>
      </c>
      <c r="D54" s="179" t="s">
        <v>437</v>
      </c>
      <c r="E54" s="179" t="s">
        <v>18</v>
      </c>
      <c r="F54">
        <v>37560</v>
      </c>
      <c r="G54" t="s">
        <v>50</v>
      </c>
      <c r="H54">
        <v>6405</v>
      </c>
      <c r="I54" t="s">
        <v>56</v>
      </c>
      <c r="K54" s="11" t="str">
        <f>IF(Table1[[#This Row],[Proprietary?
(Y/N)]]="Y","Proprietary",IF(Table1[[#This Row],[FY24 Budget]]&lt;Lookups!$F$3,"Single Quote",IF(Table1[[#This Row],[FY24 Budget]]&gt;Lookups!$G$3,"RFP","Three quotes")))</f>
        <v>Single Quote</v>
      </c>
      <c r="L54" s="11" t="s">
        <v>174</v>
      </c>
      <c r="M54" s="460"/>
      <c r="N54" s="9"/>
      <c r="O54" s="9"/>
      <c r="P54" s="11"/>
      <c r="Q54" s="11"/>
      <c r="R54" s="463">
        <v>0</v>
      </c>
      <c r="S54" s="463">
        <v>0</v>
      </c>
      <c r="T54" s="463">
        <v>0</v>
      </c>
      <c r="U54" s="1">
        <f>Table1[[#This Row],[FY24 Budget]]-Table1[[#This Row],[FY23 Budget]]</f>
        <v>0</v>
      </c>
      <c r="V54" s="463">
        <v>11000</v>
      </c>
      <c r="W54" s="463"/>
      <c r="X54" s="463"/>
      <c r="Y54" s="463"/>
      <c r="Z54" s="463"/>
      <c r="AA54" s="15" t="s">
        <v>644</v>
      </c>
      <c r="AB54" s="9">
        <v>45108</v>
      </c>
      <c r="AC54" s="9">
        <v>45473</v>
      </c>
      <c r="AD54" s="15" t="s">
        <v>644</v>
      </c>
      <c r="AE54" s="9">
        <v>45444</v>
      </c>
      <c r="AF54" s="9"/>
      <c r="AG54" s="166"/>
      <c r="AH54" s="234"/>
      <c r="AI54" s="234"/>
      <c r="AJ54" s="130"/>
      <c r="AK54" s="16"/>
      <c r="AL54" s="454"/>
      <c r="AM54" s="2" t="s">
        <v>421</v>
      </c>
      <c r="AN54" s="454"/>
    </row>
    <row r="55" spans="1:40" x14ac:dyDescent="0.25">
      <c r="A55" t="s">
        <v>103</v>
      </c>
      <c r="B55" t="s">
        <v>104</v>
      </c>
      <c r="C55" s="3" t="s">
        <v>38</v>
      </c>
      <c r="D55" s="179" t="s">
        <v>437</v>
      </c>
      <c r="E55" s="179" t="s">
        <v>18</v>
      </c>
      <c r="F55">
        <v>37560</v>
      </c>
      <c r="G55" t="s">
        <v>50</v>
      </c>
      <c r="H55">
        <v>6405</v>
      </c>
      <c r="I55" t="s">
        <v>56</v>
      </c>
      <c r="K55" s="11" t="str">
        <f>IF(Table1[[#This Row],[Proprietary?
(Y/N)]]="Y","Proprietary",IF(Table1[[#This Row],[FY24 Budget]]&lt;Lookups!$F$3,"Single Quote",IF(Table1[[#This Row],[FY24 Budget]]&gt;Lookups!$G$3,"RFP","Three quotes")))</f>
        <v>Proprietary</v>
      </c>
      <c r="L55" s="11" t="s">
        <v>178</v>
      </c>
      <c r="M55" s="460">
        <v>200112</v>
      </c>
      <c r="N55" s="9">
        <v>43709</v>
      </c>
      <c r="O55" s="9">
        <v>44805</v>
      </c>
      <c r="P55" s="11"/>
      <c r="Q55" s="11"/>
      <c r="R55" s="463">
        <v>17291</v>
      </c>
      <c r="S55" s="463">
        <v>17291</v>
      </c>
      <c r="T55" s="463">
        <v>18501</v>
      </c>
      <c r="U55" s="1">
        <f>Table1[[#This Row],[FY24 Budget]]-Table1[[#This Row],[FY23 Budget]]</f>
        <v>1210</v>
      </c>
      <c r="V55" s="463">
        <v>31800</v>
      </c>
      <c r="W55" s="463">
        <v>32760</v>
      </c>
      <c r="X55" s="463">
        <v>33744</v>
      </c>
      <c r="Y55" s="463"/>
      <c r="Z55" s="463"/>
      <c r="AA55" s="15" t="s">
        <v>645</v>
      </c>
      <c r="AB55" s="9">
        <v>45108</v>
      </c>
      <c r="AC55" s="9">
        <v>45473</v>
      </c>
      <c r="AD55" s="15" t="s">
        <v>646</v>
      </c>
      <c r="AE55" s="9">
        <v>45444</v>
      </c>
      <c r="AF55" s="9" t="s">
        <v>178</v>
      </c>
      <c r="AG55" s="166"/>
      <c r="AH55" s="234" t="s">
        <v>178</v>
      </c>
      <c r="AI55" s="234"/>
      <c r="AJ55" s="130">
        <v>2551</v>
      </c>
      <c r="AK55" s="16" t="s">
        <v>647</v>
      </c>
      <c r="AL55" s="454" t="s">
        <v>648</v>
      </c>
      <c r="AM55" s="2" t="s">
        <v>455</v>
      </c>
      <c r="AN55" s="454"/>
    </row>
    <row r="56" spans="1:40" x14ac:dyDescent="0.25">
      <c r="A56" t="s">
        <v>105</v>
      </c>
      <c r="B56" t="s">
        <v>649</v>
      </c>
      <c r="C56" s="3" t="s">
        <v>38</v>
      </c>
      <c r="D56" s="179" t="s">
        <v>437</v>
      </c>
      <c r="E56" s="179" t="s">
        <v>18</v>
      </c>
      <c r="F56">
        <v>37560</v>
      </c>
      <c r="G56" t="s">
        <v>50</v>
      </c>
      <c r="H56">
        <v>6405</v>
      </c>
      <c r="I56" t="s">
        <v>56</v>
      </c>
      <c r="K56" s="11" t="str">
        <f>IF(Table1[[#This Row],[Proprietary?
(Y/N)]]="Y","Proprietary",IF(Table1[[#This Row],[FY24 Budget]]&lt;Lookups!$F$3,"Single Quote",IF(Table1[[#This Row],[FY24 Budget]]&gt;Lookups!$G$3,"RFP","Three quotes")))</f>
        <v>Proprietary</v>
      </c>
      <c r="L56" s="11" t="s">
        <v>174</v>
      </c>
      <c r="M56" s="460"/>
      <c r="N56" s="9"/>
      <c r="O56" s="9"/>
      <c r="P56" s="11"/>
      <c r="Q56" s="11"/>
      <c r="R56" s="463"/>
      <c r="S56" s="463">
        <v>0</v>
      </c>
      <c r="T56" s="463">
        <v>0</v>
      </c>
      <c r="U56" s="1">
        <f>Table1[[#This Row],[FY24 Budget]]-Table1[[#This Row],[FY23 Budget]]</f>
        <v>0</v>
      </c>
      <c r="V56" s="463">
        <v>18554</v>
      </c>
      <c r="W56" s="463"/>
      <c r="X56" s="463"/>
      <c r="Y56" s="463"/>
      <c r="Z56" s="463"/>
      <c r="AA56" s="15" t="s">
        <v>234</v>
      </c>
      <c r="AB56" s="9">
        <v>45108</v>
      </c>
      <c r="AC56" s="9">
        <v>45473</v>
      </c>
      <c r="AD56" s="15" t="s">
        <v>650</v>
      </c>
      <c r="AE56" s="9">
        <v>45444</v>
      </c>
      <c r="AF56" s="9" t="s">
        <v>178</v>
      </c>
      <c r="AG56" s="166"/>
      <c r="AH56" s="234"/>
      <c r="AI56" s="234"/>
      <c r="AJ56" s="130">
        <v>2748</v>
      </c>
      <c r="AK56" s="16"/>
      <c r="AL56" s="454"/>
      <c r="AM56" s="2" t="s">
        <v>467</v>
      </c>
      <c r="AN56" s="454"/>
    </row>
    <row r="57" spans="1:40" x14ac:dyDescent="0.25">
      <c r="A57" t="s">
        <v>107</v>
      </c>
      <c r="B57" t="s">
        <v>108</v>
      </c>
      <c r="C57" s="3" t="s">
        <v>16</v>
      </c>
      <c r="D57" s="179" t="s">
        <v>437</v>
      </c>
      <c r="E57" s="179" t="s">
        <v>18</v>
      </c>
      <c r="F57">
        <v>37550</v>
      </c>
      <c r="G57" t="s">
        <v>87</v>
      </c>
      <c r="H57">
        <v>6405</v>
      </c>
      <c r="I57" t="s">
        <v>51</v>
      </c>
      <c r="J57" t="s">
        <v>56</v>
      </c>
      <c r="K57" s="11" t="str">
        <f>IF(Table1[[#This Row],[Proprietary?
(Y/N)]]="Y","Proprietary",IF(Table1[[#This Row],[FY24 Budget]]&lt;Lookups!$F$3,"Single Quote",IF(Table1[[#This Row],[FY24 Budget]]&gt;Lookups!$G$3,"RFP","Three quotes")))</f>
        <v>RFP</v>
      </c>
      <c r="L57" s="11" t="s">
        <v>178</v>
      </c>
      <c r="M57" s="460">
        <v>1000000</v>
      </c>
      <c r="N57" s="9">
        <v>44562</v>
      </c>
      <c r="O57" s="9">
        <v>46387</v>
      </c>
      <c r="P57" s="11"/>
      <c r="Q57" s="11"/>
      <c r="R57" s="463">
        <v>436720</v>
      </c>
      <c r="S57" s="463">
        <v>545166</v>
      </c>
      <c r="T57" s="463">
        <v>544371</v>
      </c>
      <c r="U57" s="1">
        <f>Table1[[#This Row],[FY24 Budget]]-Table1[[#This Row],[FY23 Budget]]</f>
        <v>107651</v>
      </c>
      <c r="V57" s="463">
        <v>561813</v>
      </c>
      <c r="W57" s="463"/>
      <c r="X57" s="463"/>
      <c r="Y57" s="463"/>
      <c r="Z57" s="463"/>
      <c r="AA57" s="15" t="s">
        <v>651</v>
      </c>
      <c r="AB57" s="9">
        <v>44986</v>
      </c>
      <c r="AC57" s="9">
        <v>45473</v>
      </c>
      <c r="AD57" s="15" t="s">
        <v>652</v>
      </c>
      <c r="AE57" s="9">
        <v>45444</v>
      </c>
      <c r="AF57" s="9" t="s">
        <v>178</v>
      </c>
      <c r="AG57" s="166"/>
      <c r="AH57" s="234" t="s">
        <v>178</v>
      </c>
      <c r="AI57" s="234" t="s">
        <v>178</v>
      </c>
      <c r="AJ57" s="130">
        <v>2565</v>
      </c>
      <c r="AK57" s="16" t="s">
        <v>653</v>
      </c>
      <c r="AL57" s="454" t="s">
        <v>654</v>
      </c>
      <c r="AM57" s="2" t="s">
        <v>421</v>
      </c>
      <c r="AN57" s="454"/>
    </row>
    <row r="58" spans="1:40" x14ac:dyDescent="0.25">
      <c r="A58" t="s">
        <v>109</v>
      </c>
      <c r="B58" t="s">
        <v>110</v>
      </c>
      <c r="C58" s="3" t="s">
        <v>38</v>
      </c>
      <c r="D58" s="179" t="s">
        <v>437</v>
      </c>
      <c r="E58" s="179" t="s">
        <v>18</v>
      </c>
      <c r="F58">
        <v>37550</v>
      </c>
      <c r="G58" t="s">
        <v>87</v>
      </c>
      <c r="H58">
        <v>6405</v>
      </c>
      <c r="I58" t="s">
        <v>51</v>
      </c>
      <c r="J58" t="s">
        <v>56</v>
      </c>
      <c r="K58" s="11" t="str">
        <f>IF(Table1[[#This Row],[Proprietary?
(Y/N)]]="Y","Proprietary",IF(Table1[[#This Row],[FY24 Budget]]&lt;Lookups!$F$3,"Single Quote",IF(Table1[[#This Row],[FY24 Budget]]&gt;Lookups!$G$3,"RFP","Three quotes")))</f>
        <v>Proprietary</v>
      </c>
      <c r="L58" s="11" t="s">
        <v>178</v>
      </c>
      <c r="M58" s="460">
        <v>1000652</v>
      </c>
      <c r="N58" s="9">
        <v>44835</v>
      </c>
      <c r="O58" s="9">
        <v>46660</v>
      </c>
      <c r="P58" s="11"/>
      <c r="Q58" s="11"/>
      <c r="R58" s="463">
        <v>471559</v>
      </c>
      <c r="S58" s="463">
        <v>454183.17</v>
      </c>
      <c r="T58" s="463">
        <v>497000</v>
      </c>
      <c r="U58" s="1">
        <f>Table1[[#This Row],[FY24 Budget]]-Table1[[#This Row],[FY23 Budget]]</f>
        <v>25441</v>
      </c>
      <c r="V58" s="463">
        <v>497761</v>
      </c>
      <c r="W58" s="463"/>
      <c r="X58" s="463"/>
      <c r="Y58" s="463"/>
      <c r="Z58" s="463"/>
      <c r="AA58" s="15" t="s">
        <v>655</v>
      </c>
      <c r="AB58" s="9">
        <v>45108</v>
      </c>
      <c r="AC58" s="9">
        <v>45473</v>
      </c>
      <c r="AD58" s="15" t="s">
        <v>656</v>
      </c>
      <c r="AE58" s="9">
        <v>45444</v>
      </c>
      <c r="AF58" s="9" t="s">
        <v>178</v>
      </c>
      <c r="AG58" s="166"/>
      <c r="AH58" s="234" t="s">
        <v>178</v>
      </c>
      <c r="AI58" s="234" t="s">
        <v>178</v>
      </c>
      <c r="AJ58" s="130">
        <v>2566</v>
      </c>
      <c r="AK58" s="16" t="s">
        <v>657</v>
      </c>
      <c r="AL58" s="454" t="s">
        <v>658</v>
      </c>
      <c r="AM58" s="2" t="s">
        <v>421</v>
      </c>
      <c r="AN58" s="454"/>
    </row>
    <row r="59" spans="1:40" x14ac:dyDescent="0.25">
      <c r="A59" t="s">
        <v>111</v>
      </c>
      <c r="B59" t="s">
        <v>112</v>
      </c>
      <c r="C59" s="3" t="s">
        <v>16</v>
      </c>
      <c r="D59" s="179" t="s">
        <v>408</v>
      </c>
      <c r="E59" s="179" t="s">
        <v>18</v>
      </c>
      <c r="F59">
        <v>37520</v>
      </c>
      <c r="G59" t="s">
        <v>19</v>
      </c>
      <c r="H59">
        <v>6405</v>
      </c>
      <c r="I59" t="s">
        <v>39</v>
      </c>
      <c r="J59" t="s">
        <v>21</v>
      </c>
      <c r="K59" s="11" t="str">
        <f>IF(Table1[[#This Row],[Proprietary?
(Y/N)]]="Y","Proprietary",IF(Table1[[#This Row],[FY24 Budget]]&lt;Lookups!$F$3,"Single Quote",IF(Table1[[#This Row],[FY24 Budget]]&gt;Lookups!$G$3,"RFP","Three quotes")))</f>
        <v>Single Quote</v>
      </c>
      <c r="L59" s="11" t="s">
        <v>174</v>
      </c>
      <c r="M59" s="460" t="s">
        <v>29</v>
      </c>
      <c r="N59" s="9"/>
      <c r="O59" s="9"/>
      <c r="P59" s="11"/>
      <c r="Q59" s="11"/>
      <c r="R59" s="463">
        <v>0</v>
      </c>
      <c r="S59" s="463">
        <v>15000</v>
      </c>
      <c r="T59" s="463">
        <v>15450</v>
      </c>
      <c r="U59" s="1">
        <f>Table1[[#This Row],[FY24 Budget]]-Table1[[#This Row],[FY23 Budget]]</f>
        <v>15450</v>
      </c>
      <c r="V59" s="463">
        <v>15000</v>
      </c>
      <c r="W59" s="463"/>
      <c r="X59" s="463"/>
      <c r="Y59" s="463"/>
      <c r="Z59" s="463"/>
      <c r="AA59" s="15" t="s">
        <v>659</v>
      </c>
      <c r="AB59" s="9">
        <v>45108</v>
      </c>
      <c r="AC59" s="9">
        <v>45473</v>
      </c>
      <c r="AD59" s="15" t="s">
        <v>660</v>
      </c>
      <c r="AE59" s="9">
        <v>45444</v>
      </c>
      <c r="AF59" s="9" t="s">
        <v>178</v>
      </c>
      <c r="AG59" s="166"/>
      <c r="AH59" s="234" t="s">
        <v>178</v>
      </c>
      <c r="AI59" s="234" t="s">
        <v>178</v>
      </c>
      <c r="AJ59" s="130" t="s">
        <v>234</v>
      </c>
      <c r="AK59" s="16" t="s">
        <v>411</v>
      </c>
      <c r="AL59" s="454" t="s">
        <v>542</v>
      </c>
      <c r="AM59" s="2" t="s">
        <v>421</v>
      </c>
      <c r="AN59" s="454"/>
    </row>
    <row r="60" spans="1:40" x14ac:dyDescent="0.25">
      <c r="A60" t="s">
        <v>661</v>
      </c>
      <c r="B60" t="s">
        <v>662</v>
      </c>
      <c r="C60" s="3" t="s">
        <v>16</v>
      </c>
      <c r="D60" s="179" t="s">
        <v>437</v>
      </c>
      <c r="E60" s="179" t="s">
        <v>18</v>
      </c>
      <c r="F60">
        <v>37410</v>
      </c>
      <c r="G60" t="s">
        <v>416</v>
      </c>
      <c r="H60">
        <v>6130</v>
      </c>
      <c r="J60" t="s">
        <v>418</v>
      </c>
      <c r="K60" s="11" t="str">
        <f>IF(Table1[[#This Row],[Proprietary?
(Y/N)]]="Y","Proprietary",IF(Table1[[#This Row],[FY24 Budget]]&lt;Lookups!$F$3,"Single Quote",IF(Table1[[#This Row],[FY24 Budget]]&gt;Lookups!$G$3,"RFP","Three quotes")))</f>
        <v>Single Quote</v>
      </c>
      <c r="L60" s="11" t="s">
        <v>174</v>
      </c>
      <c r="M60" s="460">
        <v>1000156</v>
      </c>
      <c r="N60" s="9"/>
      <c r="O60" s="9"/>
      <c r="P60" s="11"/>
      <c r="Q60" s="11"/>
      <c r="R60" s="463">
        <v>183000</v>
      </c>
      <c r="S60" s="463">
        <v>121740</v>
      </c>
      <c r="T60" s="463">
        <v>22000</v>
      </c>
      <c r="U60" s="1">
        <f>Table1[[#This Row],[FY24 Budget]]-Table1[[#This Row],[FY23 Budget]]</f>
        <v>-161000</v>
      </c>
      <c r="V60" s="463">
        <v>21540</v>
      </c>
      <c r="W60" s="463"/>
      <c r="X60" s="463"/>
      <c r="Y60" s="463"/>
      <c r="Z60" s="463"/>
      <c r="AA60" s="15" t="s">
        <v>663</v>
      </c>
      <c r="AB60" s="9">
        <v>45108</v>
      </c>
      <c r="AC60" s="9">
        <v>45473</v>
      </c>
      <c r="AD60" s="15" t="s">
        <v>664</v>
      </c>
      <c r="AE60" s="9">
        <v>45444</v>
      </c>
      <c r="AF60" s="9" t="s">
        <v>178</v>
      </c>
      <c r="AG60" s="166"/>
      <c r="AH60" s="234" t="s">
        <v>174</v>
      </c>
      <c r="AI60" s="234" t="s">
        <v>234</v>
      </c>
      <c r="AJ60" s="130" t="s">
        <v>234</v>
      </c>
      <c r="AK60" s="16" t="s">
        <v>186</v>
      </c>
      <c r="AL60" s="454" t="s">
        <v>665</v>
      </c>
      <c r="AM60" s="2" t="s">
        <v>421</v>
      </c>
      <c r="AN60" s="454"/>
    </row>
    <row r="61" spans="1:40" x14ac:dyDescent="0.25">
      <c r="A61" t="s">
        <v>113</v>
      </c>
      <c r="B61" t="s">
        <v>114</v>
      </c>
      <c r="C61" s="3" t="s">
        <v>16</v>
      </c>
      <c r="D61" s="179" t="s">
        <v>437</v>
      </c>
      <c r="E61" s="179" t="s">
        <v>18</v>
      </c>
      <c r="F61">
        <v>37550</v>
      </c>
      <c r="G61" t="s">
        <v>87</v>
      </c>
      <c r="H61">
        <v>6405</v>
      </c>
      <c r="I61" t="s">
        <v>51</v>
      </c>
      <c r="J61" t="s">
        <v>56</v>
      </c>
      <c r="K61" s="11" t="str">
        <f>IF(Table1[[#This Row],[Proprietary?
(Y/N)]]="Y","Proprietary",IF(Table1[[#This Row],[FY24 Budget]]&lt;Lookups!$F$3,"Single Quote",IF(Table1[[#This Row],[FY24 Budget]]&gt;Lookups!$G$3,"RFP","Three quotes")))</f>
        <v>Three quotes</v>
      </c>
      <c r="L61" s="11" t="s">
        <v>178</v>
      </c>
      <c r="M61" s="460" t="s">
        <v>29</v>
      </c>
      <c r="N61" s="9"/>
      <c r="O61" s="9"/>
      <c r="P61" s="11"/>
      <c r="Q61" s="11"/>
      <c r="R61" s="463">
        <v>61800</v>
      </c>
      <c r="S61" s="463">
        <v>65000</v>
      </c>
      <c r="T61" s="463">
        <v>66950</v>
      </c>
      <c r="U61" s="1">
        <f>Table1[[#This Row],[FY24 Budget]]-Table1[[#This Row],[FY23 Budget]]</f>
        <v>5150</v>
      </c>
      <c r="V61" s="463">
        <v>65000</v>
      </c>
      <c r="W61" s="463"/>
      <c r="X61" s="463"/>
      <c r="Y61" s="463"/>
      <c r="Z61" s="463"/>
      <c r="AA61" s="15" t="s">
        <v>666</v>
      </c>
      <c r="AB61" s="9">
        <v>45108</v>
      </c>
      <c r="AC61" s="9">
        <v>45473</v>
      </c>
      <c r="AD61" s="15" t="s">
        <v>667</v>
      </c>
      <c r="AE61" s="9">
        <v>45078</v>
      </c>
      <c r="AF61" s="9" t="s">
        <v>178</v>
      </c>
      <c r="AG61" s="166"/>
      <c r="AH61" s="234" t="s">
        <v>178</v>
      </c>
      <c r="AI61" s="234"/>
      <c r="AJ61" s="130">
        <v>2567</v>
      </c>
      <c r="AK61" s="16" t="s">
        <v>668</v>
      </c>
      <c r="AL61" s="454" t="s">
        <v>669</v>
      </c>
      <c r="AM61" s="2" t="s">
        <v>421</v>
      </c>
      <c r="AN61" s="454"/>
    </row>
    <row r="62" spans="1:40" x14ac:dyDescent="0.25">
      <c r="A62" t="s">
        <v>670</v>
      </c>
      <c r="B62" t="s">
        <v>117</v>
      </c>
      <c r="C62" s="3" t="s">
        <v>16</v>
      </c>
      <c r="D62" s="179" t="s">
        <v>437</v>
      </c>
      <c r="E62" s="179" t="s">
        <v>18</v>
      </c>
      <c r="F62">
        <v>37560</v>
      </c>
      <c r="G62" t="s">
        <v>50</v>
      </c>
      <c r="H62">
        <v>6405</v>
      </c>
      <c r="I62" t="s">
        <v>56</v>
      </c>
      <c r="K62" s="11" t="str">
        <f>IF(Table1[[#This Row],[Proprietary?
(Y/N)]]="Y","Proprietary",IF(Table1[[#This Row],[FY24 Budget]]&lt;Lookups!$F$3,"Single Quote",IF(Table1[[#This Row],[FY24 Budget]]&gt;Lookups!$G$3,"RFP","Three quotes")))</f>
        <v>Three quotes</v>
      </c>
      <c r="L62" s="11" t="s">
        <v>178</v>
      </c>
      <c r="M62" s="460">
        <v>1001929</v>
      </c>
      <c r="N62" s="9">
        <v>45108</v>
      </c>
      <c r="O62" s="9">
        <v>46203</v>
      </c>
      <c r="P62" s="11"/>
      <c r="Q62" s="11"/>
      <c r="R62" s="463">
        <v>92700</v>
      </c>
      <c r="S62" s="463">
        <v>100000</v>
      </c>
      <c r="T62" s="463">
        <v>107000</v>
      </c>
      <c r="U62" s="1">
        <f>Table1[[#This Row],[FY24 Budget]]-Table1[[#This Row],[FY23 Budget]]</f>
        <v>14300</v>
      </c>
      <c r="V62" s="463">
        <v>68500</v>
      </c>
      <c r="W62" s="463"/>
      <c r="X62" s="463"/>
      <c r="Y62" s="463"/>
      <c r="Z62" s="463"/>
      <c r="AA62" s="15" t="s">
        <v>671</v>
      </c>
      <c r="AB62" s="9">
        <v>45108</v>
      </c>
      <c r="AC62" s="9">
        <v>45473</v>
      </c>
      <c r="AD62" s="15" t="s">
        <v>672</v>
      </c>
      <c r="AE62" s="9">
        <v>45444</v>
      </c>
      <c r="AF62" s="9" t="s">
        <v>178</v>
      </c>
      <c r="AG62" s="166" t="s">
        <v>673</v>
      </c>
      <c r="AH62" s="234" t="s">
        <v>178</v>
      </c>
      <c r="AI62" s="234"/>
      <c r="AJ62" s="130">
        <v>1012</v>
      </c>
      <c r="AK62" s="16" t="s">
        <v>674</v>
      </c>
      <c r="AL62" s="454" t="s">
        <v>610</v>
      </c>
      <c r="AM62" s="2" t="s">
        <v>611</v>
      </c>
      <c r="AN62" s="454"/>
    </row>
    <row r="63" spans="1:40" x14ac:dyDescent="0.25">
      <c r="A63" t="s">
        <v>118</v>
      </c>
      <c r="B63" t="s">
        <v>119</v>
      </c>
      <c r="C63" s="3" t="s">
        <v>16</v>
      </c>
      <c r="D63" s="179" t="s">
        <v>408</v>
      </c>
      <c r="E63" s="179" t="s">
        <v>18</v>
      </c>
      <c r="F63">
        <v>37520</v>
      </c>
      <c r="G63" t="s">
        <v>19</v>
      </c>
      <c r="H63">
        <v>6405</v>
      </c>
      <c r="I63" t="s">
        <v>675</v>
      </c>
      <c r="J63" t="s">
        <v>21</v>
      </c>
      <c r="K63" s="11" t="str">
        <f>IF(Table1[[#This Row],[Proprietary?
(Y/N)]]="Y","Proprietary",IF(Table1[[#This Row],[FY24 Budget]]&lt;Lookups!$F$3,"Single Quote",IF(Table1[[#This Row],[FY24 Budget]]&gt;Lookups!$G$3,"RFP","Three quotes")))</f>
        <v>RFP</v>
      </c>
      <c r="L63" s="11" t="s">
        <v>178</v>
      </c>
      <c r="M63" s="460">
        <v>1000570</v>
      </c>
      <c r="N63" s="9">
        <v>44774</v>
      </c>
      <c r="O63" s="9">
        <v>46599</v>
      </c>
      <c r="P63" s="11"/>
      <c r="Q63" s="11"/>
      <c r="R63" s="463">
        <v>300000</v>
      </c>
      <c r="S63" s="463">
        <v>400000</v>
      </c>
      <c r="T63" s="463">
        <v>428000</v>
      </c>
      <c r="U63" s="1">
        <f>Table1[[#This Row],[FY24 Budget]]-Table1[[#This Row],[FY23 Budget]]</f>
        <v>128000</v>
      </c>
      <c r="V63" s="463">
        <v>260000</v>
      </c>
      <c r="W63" s="463"/>
      <c r="X63" s="463"/>
      <c r="Y63" s="463"/>
      <c r="Z63" s="463"/>
      <c r="AA63" s="15" t="s">
        <v>676</v>
      </c>
      <c r="AB63" s="9">
        <v>45108</v>
      </c>
      <c r="AC63" s="9">
        <v>45473</v>
      </c>
      <c r="AD63" s="15" t="s">
        <v>677</v>
      </c>
      <c r="AE63" s="9">
        <v>45444</v>
      </c>
      <c r="AF63" s="9" t="s">
        <v>178</v>
      </c>
      <c r="AG63" s="166"/>
      <c r="AH63" s="234" t="s">
        <v>174</v>
      </c>
      <c r="AI63" s="234" t="s">
        <v>234</v>
      </c>
      <c r="AJ63" s="130" t="s">
        <v>234</v>
      </c>
      <c r="AK63" s="16" t="s">
        <v>186</v>
      </c>
      <c r="AL63" s="454" t="s">
        <v>678</v>
      </c>
      <c r="AM63" s="2" t="s">
        <v>421</v>
      </c>
      <c r="AN63" s="454"/>
    </row>
    <row r="64" spans="1:40" x14ac:dyDescent="0.25">
      <c r="A64" t="s">
        <v>679</v>
      </c>
      <c r="B64" t="s">
        <v>680</v>
      </c>
      <c r="C64" s="3" t="s">
        <v>16</v>
      </c>
      <c r="D64" s="179" t="s">
        <v>437</v>
      </c>
      <c r="E64" s="179" t="s">
        <v>18</v>
      </c>
      <c r="F64">
        <v>37550</v>
      </c>
      <c r="G64" t="s">
        <v>87</v>
      </c>
      <c r="H64">
        <v>6205</v>
      </c>
      <c r="I64" t="s">
        <v>681</v>
      </c>
      <c r="J64" t="s">
        <v>56</v>
      </c>
      <c r="K64" s="11" t="str">
        <f>IF(Table1[[#This Row],[Proprietary?
(Y/N)]]="Y","Proprietary",IF(Table1[[#This Row],[FY24 Budget]]&lt;Lookups!$F$3,"Single Quote",IF(Table1[[#This Row],[FY24 Budget]]&gt;Lookups!$G$3,"RFP","Three quotes")))</f>
        <v>Three quotes</v>
      </c>
      <c r="L64" s="11" t="s">
        <v>178</v>
      </c>
      <c r="M64" s="460">
        <v>1000923</v>
      </c>
      <c r="N64" s="9">
        <v>44936</v>
      </c>
      <c r="O64" s="9">
        <v>46031</v>
      </c>
      <c r="P64" s="11"/>
      <c r="Q64" s="11"/>
      <c r="R64" s="463">
        <v>50000</v>
      </c>
      <c r="S64" s="463">
        <v>30000</v>
      </c>
      <c r="T64" s="463">
        <v>60000</v>
      </c>
      <c r="U64" s="1">
        <f>Table1[[#This Row],[FY24 Budget]]-Table1[[#This Row],[FY23 Budget]]</f>
        <v>10000</v>
      </c>
      <c r="V64" s="463">
        <v>60000</v>
      </c>
      <c r="W64" s="463"/>
      <c r="X64" s="463"/>
      <c r="Y64" s="463"/>
      <c r="Z64" s="463"/>
      <c r="AA64" s="15" t="s">
        <v>682</v>
      </c>
      <c r="AB64" s="9">
        <v>45292</v>
      </c>
      <c r="AC64" s="9">
        <v>45657</v>
      </c>
      <c r="AD64" s="15" t="s">
        <v>683</v>
      </c>
      <c r="AE64" s="9">
        <v>45597</v>
      </c>
      <c r="AF64" s="9" t="s">
        <v>178</v>
      </c>
      <c r="AG64" s="166"/>
      <c r="AH64" s="234" t="s">
        <v>174</v>
      </c>
      <c r="AI64" s="234" t="s">
        <v>234</v>
      </c>
      <c r="AJ64" s="130" t="s">
        <v>234</v>
      </c>
      <c r="AK64" s="16" t="s">
        <v>186</v>
      </c>
      <c r="AL64" s="454" t="s">
        <v>684</v>
      </c>
      <c r="AM64" s="2" t="s">
        <v>443</v>
      </c>
      <c r="AN64" s="454"/>
    </row>
    <row r="65" spans="1:40" ht="20.25" customHeight="1" x14ac:dyDescent="0.25">
      <c r="A65" t="s">
        <v>121</v>
      </c>
      <c r="B65" t="s">
        <v>122</v>
      </c>
      <c r="C65" s="3" t="s">
        <v>16</v>
      </c>
      <c r="D65" s="179" t="s">
        <v>24</v>
      </c>
      <c r="E65" s="179" t="s">
        <v>25</v>
      </c>
      <c r="F65">
        <v>37510</v>
      </c>
      <c r="G65" t="s">
        <v>26</v>
      </c>
      <c r="H65">
        <v>6405</v>
      </c>
      <c r="I65" t="s">
        <v>123</v>
      </c>
      <c r="J65" t="s">
        <v>28</v>
      </c>
      <c r="K65" s="11" t="str">
        <f>IF(Table1[[#This Row],[Proprietary?
(Y/N)]]="Y","Proprietary",IF(Table1[[#This Row],[FY24 Budget]]&lt;Lookups!$F$3,"Single Quote",IF(Table1[[#This Row],[FY24 Budget]]&gt;Lookups!$G$3,"RFP","Three quotes")))</f>
        <v>Single Quote</v>
      </c>
      <c r="L65" s="11" t="s">
        <v>174</v>
      </c>
      <c r="M65" s="460" t="s">
        <v>29</v>
      </c>
      <c r="N65" s="9"/>
      <c r="O65" s="9"/>
      <c r="P65" s="11"/>
      <c r="Q65" s="11"/>
      <c r="R65" s="463">
        <v>6180</v>
      </c>
      <c r="S65" s="463">
        <v>6000</v>
      </c>
      <c r="T65" s="463">
        <v>6180</v>
      </c>
      <c r="U65" s="1">
        <f>Table1[[#This Row],[FY24 Budget]]-Table1[[#This Row],[FY23 Budget]]</f>
        <v>0</v>
      </c>
      <c r="V65" s="463">
        <v>12000</v>
      </c>
      <c r="W65" s="463"/>
      <c r="X65" s="463"/>
      <c r="Y65" s="463"/>
      <c r="Z65" s="463"/>
      <c r="AA65" s="15" t="s">
        <v>685</v>
      </c>
      <c r="AB65" s="9">
        <v>45108</v>
      </c>
      <c r="AC65" s="9">
        <v>45473</v>
      </c>
      <c r="AD65" s="15" t="s">
        <v>686</v>
      </c>
      <c r="AE65" s="9">
        <v>45444</v>
      </c>
      <c r="AF65" s="9" t="s">
        <v>178</v>
      </c>
      <c r="AG65" s="166"/>
      <c r="AH65" s="234" t="s">
        <v>178</v>
      </c>
      <c r="AI65" s="234"/>
      <c r="AJ65" s="130"/>
      <c r="AK65" s="16" t="s">
        <v>687</v>
      </c>
      <c r="AL65" s="454" t="s">
        <v>542</v>
      </c>
      <c r="AM65" s="2" t="s">
        <v>421</v>
      </c>
      <c r="AN65" s="454"/>
    </row>
    <row r="66" spans="1:40" x14ac:dyDescent="0.25">
      <c r="A66" t="s">
        <v>688</v>
      </c>
      <c r="B66" t="s">
        <v>689</v>
      </c>
      <c r="C66" s="3" t="s">
        <v>16</v>
      </c>
      <c r="D66" s="179" t="s">
        <v>24</v>
      </c>
      <c r="E66" s="179" t="s">
        <v>25</v>
      </c>
      <c r="F66">
        <v>37510</v>
      </c>
      <c r="G66" t="s">
        <v>26</v>
      </c>
      <c r="H66">
        <v>6405</v>
      </c>
      <c r="I66" t="s">
        <v>123</v>
      </c>
      <c r="J66" t="s">
        <v>28</v>
      </c>
      <c r="K66" s="11" t="str">
        <f>IF(Table1[[#This Row],[Proprietary?
(Y/N)]]="Y","Proprietary",IF(Table1[[#This Row],[FY24 Budget]]&lt;Lookups!$F$3,"Single Quote",IF(Table1[[#This Row],[FY24 Budget]]&gt;Lookups!$G$3,"RFP","Three quotes")))</f>
        <v>Single Quote</v>
      </c>
      <c r="L66" s="11" t="s">
        <v>174</v>
      </c>
      <c r="M66" s="460"/>
      <c r="N66" s="9"/>
      <c r="O66" s="9"/>
      <c r="P66" s="11"/>
      <c r="Q66" s="11"/>
      <c r="R66" s="463"/>
      <c r="S66" s="463"/>
      <c r="T66" s="463"/>
      <c r="U66" s="1">
        <f>Table1[[#This Row],[FY24 Budget]]-Table1[[#This Row],[FY23 Budget]]</f>
        <v>0</v>
      </c>
      <c r="V66" s="463">
        <v>15000</v>
      </c>
      <c r="W66" s="463"/>
      <c r="X66" s="463"/>
      <c r="Y66" s="463"/>
      <c r="Z66" s="463"/>
      <c r="AA66" s="15" t="s">
        <v>234</v>
      </c>
      <c r="AB66" s="9">
        <v>45108</v>
      </c>
      <c r="AC66" s="9">
        <v>45473</v>
      </c>
      <c r="AD66" s="15" t="s">
        <v>690</v>
      </c>
      <c r="AE66" s="9">
        <v>45444</v>
      </c>
      <c r="AF66" s="9" t="s">
        <v>178</v>
      </c>
      <c r="AG66" s="166"/>
      <c r="AH66" s="234"/>
      <c r="AI66" s="234"/>
      <c r="AJ66" s="130"/>
      <c r="AK66" s="16"/>
      <c r="AL66" s="454"/>
      <c r="AM66" s="2" t="s">
        <v>691</v>
      </c>
      <c r="AN66" s="454"/>
    </row>
    <row r="67" spans="1:40" x14ac:dyDescent="0.25">
      <c r="A67" t="s">
        <v>692</v>
      </c>
      <c r="B67" t="s">
        <v>693</v>
      </c>
      <c r="C67" s="3" t="s">
        <v>16</v>
      </c>
      <c r="D67" s="179" t="s">
        <v>24</v>
      </c>
      <c r="E67" s="179" t="s">
        <v>25</v>
      </c>
      <c r="F67">
        <v>37540</v>
      </c>
      <c r="G67" t="s">
        <v>32</v>
      </c>
      <c r="H67">
        <v>6405</v>
      </c>
      <c r="I67" t="s">
        <v>431</v>
      </c>
      <c r="J67" t="s">
        <v>21</v>
      </c>
      <c r="K67" s="11" t="str">
        <f>IF(Table1[[#This Row],[Proprietary?
(Y/N)]]="Y","Proprietary",IF(Table1[[#This Row],[FY24 Budget]]&lt;Lookups!$F$3,"Single Quote",IF(Table1[[#This Row],[FY24 Budget]]&gt;Lookups!$G$3,"RFP","Three quotes")))</f>
        <v>Single Quote</v>
      </c>
      <c r="L67" s="11" t="s">
        <v>174</v>
      </c>
      <c r="M67" s="460">
        <v>107256</v>
      </c>
      <c r="N67" s="9">
        <v>42079</v>
      </c>
      <c r="O67" s="9">
        <v>45016</v>
      </c>
      <c r="P67" s="11"/>
      <c r="Q67" s="11"/>
      <c r="R67" s="463">
        <v>4768</v>
      </c>
      <c r="S67" s="463">
        <v>4767.8</v>
      </c>
      <c r="T67" s="463"/>
      <c r="U67" s="1">
        <f>Table1[[#This Row],[FY24 Budget]]-Table1[[#This Row],[FY23 Budget]]</f>
        <v>-4768</v>
      </c>
      <c r="V67" s="463">
        <v>4767.8</v>
      </c>
      <c r="W67" s="463">
        <v>4767.8</v>
      </c>
      <c r="X67" s="463">
        <v>4767.8</v>
      </c>
      <c r="Y67" s="463"/>
      <c r="Z67" s="463"/>
      <c r="AA67" s="15" t="s">
        <v>694</v>
      </c>
      <c r="AB67" s="9">
        <v>44378</v>
      </c>
      <c r="AC67" s="9">
        <v>46203</v>
      </c>
      <c r="AD67" s="15" t="str">
        <f>Table1[[#This Row],[FY23 PO]]</f>
        <v>P21044995</v>
      </c>
      <c r="AE67" s="9">
        <v>46174</v>
      </c>
      <c r="AF67" s="9" t="s">
        <v>178</v>
      </c>
      <c r="AG67" s="166"/>
      <c r="AH67" s="234" t="s">
        <v>178</v>
      </c>
      <c r="AI67" s="234"/>
      <c r="AJ67" s="130"/>
      <c r="AK67" s="16" t="s">
        <v>695</v>
      </c>
      <c r="AL67" s="454" t="s">
        <v>696</v>
      </c>
      <c r="AM67" s="2" t="s">
        <v>455</v>
      </c>
      <c r="AN67" s="454"/>
    </row>
    <row r="68" spans="1:40" x14ac:dyDescent="0.25">
      <c r="A68" t="s">
        <v>126</v>
      </c>
      <c r="B68" t="s">
        <v>127</v>
      </c>
      <c r="C68" s="3" t="s">
        <v>38</v>
      </c>
      <c r="D68" s="179" t="s">
        <v>437</v>
      </c>
      <c r="E68" s="179" t="s">
        <v>18</v>
      </c>
      <c r="F68">
        <v>37550</v>
      </c>
      <c r="G68" t="s">
        <v>87</v>
      </c>
      <c r="H68">
        <v>6405</v>
      </c>
      <c r="I68" t="s">
        <v>51</v>
      </c>
      <c r="J68" t="s">
        <v>56</v>
      </c>
      <c r="K68" s="11" t="str">
        <f>IF(Table1[[#This Row],[Proprietary?
(Y/N)]]="Y","Proprietary",IF(Table1[[#This Row],[FY24 Budget]]&lt;Lookups!$F$3,"Single Quote",IF(Table1[[#This Row],[FY24 Budget]]&gt;Lookups!$G$3,"RFP","Three quotes")))</f>
        <v>Proprietary</v>
      </c>
      <c r="L68" s="11" t="s">
        <v>178</v>
      </c>
      <c r="M68" s="460">
        <v>106756</v>
      </c>
      <c r="N68" s="9">
        <v>42217</v>
      </c>
      <c r="O68" s="9">
        <v>45291</v>
      </c>
      <c r="P68" s="11"/>
      <c r="Q68" s="11"/>
      <c r="R68" s="463">
        <v>1338249</v>
      </c>
      <c r="S68" s="463">
        <v>1325520</v>
      </c>
      <c r="T68" s="463">
        <v>1405115</v>
      </c>
      <c r="U68" s="1">
        <f>Table1[[#This Row],[FY24 Budget]]-Table1[[#This Row],[FY23 Budget]]</f>
        <v>66866</v>
      </c>
      <c r="V68" s="463">
        <v>1489353</v>
      </c>
      <c r="W68" s="463"/>
      <c r="X68" s="463"/>
      <c r="Y68" s="463"/>
      <c r="Z68" s="463"/>
      <c r="AA68" s="15" t="s">
        <v>697</v>
      </c>
      <c r="AB68" s="9">
        <v>44927</v>
      </c>
      <c r="AC68" s="9">
        <v>45412</v>
      </c>
      <c r="AD68" s="15" t="s">
        <v>698</v>
      </c>
      <c r="AE68" s="9">
        <v>45231</v>
      </c>
      <c r="AF68" s="9" t="s">
        <v>178</v>
      </c>
      <c r="AG68" s="166" t="s">
        <v>699</v>
      </c>
      <c r="AH68" s="234" t="s">
        <v>178</v>
      </c>
      <c r="AI68" s="234"/>
      <c r="AJ68" s="130"/>
      <c r="AK68" s="16" t="s">
        <v>700</v>
      </c>
      <c r="AL68" s="454" t="s">
        <v>701</v>
      </c>
      <c r="AM68" s="2" t="s">
        <v>702</v>
      </c>
      <c r="AN68" s="454"/>
    </row>
    <row r="69" spans="1:40" x14ac:dyDescent="0.25">
      <c r="A69" t="s">
        <v>703</v>
      </c>
      <c r="B69" t="s">
        <v>415</v>
      </c>
      <c r="C69" s="3" t="s">
        <v>16</v>
      </c>
      <c r="D69" s="179" t="s">
        <v>74</v>
      </c>
      <c r="E69" s="179" t="s">
        <v>18</v>
      </c>
      <c r="F69">
        <v>37410</v>
      </c>
      <c r="G69" t="s">
        <v>416</v>
      </c>
      <c r="H69">
        <v>6405</v>
      </c>
      <c r="I69" t="s">
        <v>417</v>
      </c>
      <c r="J69" t="s">
        <v>418</v>
      </c>
      <c r="K69" s="11" t="str">
        <f>IF(Table1[[#This Row],[Proprietary?
(Y/N)]]="Y","Proprietary",IF(Table1[[#This Row],[FY24 Budget]]&lt;Lookups!$F$3,"Single Quote",IF(Table1[[#This Row],[FY24 Budget]]&gt;Lookups!$G$3,"RFP","Three quotes")))</f>
        <v>Single Quote</v>
      </c>
      <c r="L69" s="11" t="s">
        <v>174</v>
      </c>
      <c r="M69" s="460"/>
      <c r="N69" s="9"/>
      <c r="O69" s="9"/>
      <c r="P69" s="11"/>
      <c r="Q69" s="11"/>
      <c r="R69" s="463">
        <v>0</v>
      </c>
      <c r="S69" s="463">
        <v>0</v>
      </c>
      <c r="T69" s="463">
        <v>0</v>
      </c>
      <c r="U69" s="1">
        <f>Table1[[#This Row],[FY24 Budget]]-Table1[[#This Row],[FY23 Budget]]</f>
        <v>0</v>
      </c>
      <c r="V69" s="463">
        <v>10000</v>
      </c>
      <c r="W69" s="463"/>
      <c r="X69" s="463"/>
      <c r="Y69" s="463"/>
      <c r="Z69" s="463"/>
      <c r="AA69" s="15" t="s">
        <v>234</v>
      </c>
      <c r="AB69" s="9">
        <v>45047</v>
      </c>
      <c r="AC69" s="9">
        <v>45473</v>
      </c>
      <c r="AD69" s="15" t="s">
        <v>704</v>
      </c>
      <c r="AE69" s="9">
        <v>45444</v>
      </c>
      <c r="AF69" s="9" t="s">
        <v>178</v>
      </c>
      <c r="AG69" s="166"/>
      <c r="AH69" s="234" t="s">
        <v>174</v>
      </c>
      <c r="AI69" s="234" t="s">
        <v>234</v>
      </c>
      <c r="AJ69" s="130" t="s">
        <v>234</v>
      </c>
      <c r="AK69" s="16"/>
      <c r="AL69" s="454"/>
      <c r="AM69" s="2" t="s">
        <v>421</v>
      </c>
      <c r="AN69" s="454"/>
    </row>
    <row r="70" spans="1:40" x14ac:dyDescent="0.25">
      <c r="A70" t="s">
        <v>705</v>
      </c>
      <c r="B70" t="s">
        <v>706</v>
      </c>
      <c r="D70" s="179" t="s">
        <v>437</v>
      </c>
      <c r="E70" s="179" t="s">
        <v>18</v>
      </c>
      <c r="F70">
        <v>37560</v>
      </c>
      <c r="G70" t="s">
        <v>50</v>
      </c>
      <c r="H70">
        <v>6405</v>
      </c>
      <c r="I70" t="s">
        <v>56</v>
      </c>
      <c r="K70" s="11" t="str">
        <f>IF(Table1[[#This Row],[Proprietary?
(Y/N)]]="Y","Proprietary",IF(Table1[[#This Row],[FY24 Budget]]&lt;Lookups!$F$3,"Single Quote",IF(Table1[[#This Row],[FY24 Budget]]&gt;Lookups!$G$3,"RFP","Three quotes")))</f>
        <v>Single Quote</v>
      </c>
      <c r="L70" s="11" t="s">
        <v>178</v>
      </c>
      <c r="M70" s="460"/>
      <c r="N70" s="9"/>
      <c r="O70" s="9"/>
      <c r="P70" s="11"/>
      <c r="Q70" s="11"/>
      <c r="R70" s="463"/>
      <c r="S70" s="463">
        <v>55725</v>
      </c>
      <c r="T70" s="463">
        <v>0</v>
      </c>
      <c r="U70" s="1">
        <f>Table1[[#This Row],[FY24 Budget]]-Table1[[#This Row],[FY23 Budget]]</f>
        <v>0</v>
      </c>
      <c r="V70" s="463">
        <v>11145</v>
      </c>
      <c r="W70" s="463">
        <v>11145</v>
      </c>
      <c r="X70" s="463">
        <v>11145</v>
      </c>
      <c r="Y70" s="463">
        <v>11145</v>
      </c>
      <c r="Z70" s="463"/>
      <c r="AA70" s="15" t="s">
        <v>707</v>
      </c>
      <c r="AB70" s="9">
        <v>44743</v>
      </c>
      <c r="AC70" s="9">
        <v>46568</v>
      </c>
      <c r="AD70" s="15" t="s">
        <v>707</v>
      </c>
      <c r="AE70" s="9">
        <v>46539</v>
      </c>
      <c r="AF70" s="9" t="s">
        <v>178</v>
      </c>
      <c r="AG70" s="166" t="s">
        <v>708</v>
      </c>
      <c r="AH70" s="234"/>
      <c r="AI70" s="234"/>
      <c r="AJ70" s="130"/>
      <c r="AK70" s="16" t="s">
        <v>488</v>
      </c>
      <c r="AL70" s="454"/>
      <c r="AM70" s="2" t="s">
        <v>461</v>
      </c>
      <c r="AN70" s="454"/>
    </row>
    <row r="71" spans="1:40" x14ac:dyDescent="0.25">
      <c r="A71" t="s">
        <v>128</v>
      </c>
      <c r="B71" t="s">
        <v>709</v>
      </c>
      <c r="C71" s="3" t="s">
        <v>16</v>
      </c>
      <c r="D71" s="179" t="s">
        <v>408</v>
      </c>
      <c r="E71" s="179" t="s">
        <v>25</v>
      </c>
      <c r="F71">
        <v>37530</v>
      </c>
      <c r="G71" t="s">
        <v>44</v>
      </c>
      <c r="H71">
        <v>6405</v>
      </c>
      <c r="I71" t="s">
        <v>45</v>
      </c>
      <c r="J71" t="s">
        <v>21</v>
      </c>
      <c r="K71" s="11" t="str">
        <f>IF(Table1[[#This Row],[Proprietary?
(Y/N)]]="Y","Proprietary",IF(Table1[[#This Row],[FY24 Budget]]&lt;Lookups!$F$3,"Single Quote",IF(Table1[[#This Row],[FY24 Budget]]&gt;Lookups!$G$3,"RFP","Three quotes")))</f>
        <v>RFP</v>
      </c>
      <c r="L71" s="11" t="s">
        <v>178</v>
      </c>
      <c r="M71" s="460">
        <v>1000287</v>
      </c>
      <c r="N71" s="9">
        <v>44743</v>
      </c>
      <c r="O71" s="9">
        <v>45838</v>
      </c>
      <c r="P71" s="11"/>
      <c r="Q71" s="11"/>
      <c r="R71" s="463">
        <v>1025888</v>
      </c>
      <c r="S71" s="463">
        <v>1721375</v>
      </c>
      <c r="T71" s="463">
        <v>2889000</v>
      </c>
      <c r="U71" s="1">
        <f>Table1[[#This Row],[FY24 Budget]]-Table1[[#This Row],[FY23 Budget]]</f>
        <v>1863112</v>
      </c>
      <c r="V71" s="463">
        <v>2468979</v>
      </c>
      <c r="W71" s="463"/>
      <c r="X71" s="463"/>
      <c r="Y71" s="463"/>
      <c r="Z71" s="463"/>
      <c r="AA71" s="15" t="s">
        <v>710</v>
      </c>
      <c r="AB71" s="9">
        <v>45108</v>
      </c>
      <c r="AC71" s="9">
        <v>45473</v>
      </c>
      <c r="AD71" s="15" t="s">
        <v>711</v>
      </c>
      <c r="AE71" s="9">
        <v>45444</v>
      </c>
      <c r="AF71" s="9" t="s">
        <v>178</v>
      </c>
      <c r="AG71" s="166"/>
      <c r="AH71" s="234"/>
      <c r="AI71" s="234"/>
      <c r="AJ71" s="130">
        <v>1017</v>
      </c>
      <c r="AK71" s="16" t="s">
        <v>712</v>
      </c>
      <c r="AL71" s="454" t="s">
        <v>713</v>
      </c>
      <c r="AM71" s="2" t="s">
        <v>611</v>
      </c>
      <c r="AN71" s="454"/>
    </row>
    <row r="72" spans="1:40" x14ac:dyDescent="0.25">
      <c r="A72" t="s">
        <v>714</v>
      </c>
      <c r="B72" t="s">
        <v>715</v>
      </c>
      <c r="C72" s="3" t="s">
        <v>16</v>
      </c>
      <c r="D72" s="179" t="s">
        <v>408</v>
      </c>
      <c r="E72" s="179" t="s">
        <v>25</v>
      </c>
      <c r="F72">
        <v>37530</v>
      </c>
      <c r="G72" t="s">
        <v>44</v>
      </c>
      <c r="H72">
        <v>6405</v>
      </c>
      <c r="I72" t="s">
        <v>452</v>
      </c>
      <c r="K72" s="11" t="s">
        <v>192</v>
      </c>
      <c r="L72" s="11" t="s">
        <v>178</v>
      </c>
      <c r="M72" s="460"/>
      <c r="N72" s="9"/>
      <c r="O72" s="9"/>
      <c r="P72" s="11"/>
      <c r="Q72" s="11"/>
      <c r="R72" s="463">
        <v>0</v>
      </c>
      <c r="S72" s="463">
        <v>57200</v>
      </c>
      <c r="T72" s="463">
        <v>0</v>
      </c>
      <c r="U72" s="1">
        <f>Table1[[#This Row],[FY24 Budget]]-Table1[[#This Row],[FY23 Budget]]</f>
        <v>0</v>
      </c>
      <c r="V72" s="463">
        <v>45000</v>
      </c>
      <c r="W72" s="463"/>
      <c r="X72" s="463"/>
      <c r="Y72" s="463"/>
      <c r="Z72" s="463"/>
      <c r="AA72" s="15" t="s">
        <v>716</v>
      </c>
      <c r="AB72" s="9">
        <v>45108</v>
      </c>
      <c r="AC72" s="9">
        <v>45473</v>
      </c>
      <c r="AD72" s="15" t="s">
        <v>717</v>
      </c>
      <c r="AE72" s="9">
        <v>45444</v>
      </c>
      <c r="AF72" s="9" t="s">
        <v>178</v>
      </c>
      <c r="AG72" s="166"/>
      <c r="AH72" s="234" t="s">
        <v>174</v>
      </c>
      <c r="AI72" s="234" t="s">
        <v>234</v>
      </c>
      <c r="AJ72" s="130" t="s">
        <v>234</v>
      </c>
      <c r="AK72" s="16"/>
      <c r="AL72" s="454" t="s">
        <v>718</v>
      </c>
      <c r="AM72" s="2" t="s">
        <v>421</v>
      </c>
      <c r="AN72" s="454"/>
    </row>
    <row r="73" spans="1:40" x14ac:dyDescent="0.25">
      <c r="A73" t="s">
        <v>301</v>
      </c>
      <c r="B73" t="s">
        <v>302</v>
      </c>
      <c r="C73" s="3" t="s">
        <v>38</v>
      </c>
      <c r="D73" s="179" t="s">
        <v>437</v>
      </c>
      <c r="E73" s="179" t="s">
        <v>18</v>
      </c>
      <c r="F73">
        <v>37560</v>
      </c>
      <c r="G73" t="s">
        <v>50</v>
      </c>
      <c r="H73">
        <v>6405</v>
      </c>
      <c r="I73" t="s">
        <v>56</v>
      </c>
      <c r="K73" s="11" t="str">
        <f>IF(Table1[[#This Row],[Proprietary?
(Y/N)]]="Y","Proprietary",IF(Table1[[#This Row],[FY24 Budget]]&lt;Lookups!$F$3,"Single Quote",IF(Table1[[#This Row],[FY24 Budget]]&gt;Lookups!$G$3,"RFP","Three quotes")))</f>
        <v>Proprietary</v>
      </c>
      <c r="L73" s="11" t="s">
        <v>178</v>
      </c>
      <c r="M73" s="460" t="s">
        <v>719</v>
      </c>
      <c r="N73" s="9" t="s">
        <v>720</v>
      </c>
      <c r="O73" s="9" t="s">
        <v>721</v>
      </c>
      <c r="P73" s="11"/>
      <c r="Q73" s="11"/>
      <c r="R73" s="463">
        <v>46202</v>
      </c>
      <c r="S73" s="463">
        <v>46202</v>
      </c>
      <c r="T73" s="463">
        <v>47488</v>
      </c>
      <c r="U73" s="1">
        <f>Table1[[#This Row],[FY24 Budget]]-Table1[[#This Row],[FY23 Budget]]</f>
        <v>1286</v>
      </c>
      <c r="V73" s="463">
        <v>47488</v>
      </c>
      <c r="W73" s="463"/>
      <c r="X73" s="463"/>
      <c r="Y73" s="463"/>
      <c r="Z73" s="463"/>
      <c r="AA73" s="15" t="s">
        <v>722</v>
      </c>
      <c r="AB73" s="9">
        <v>44378</v>
      </c>
      <c r="AC73" s="9">
        <v>45473</v>
      </c>
      <c r="AD73" s="15" t="str">
        <f>Table1[[#This Row],[FY23 PO]]</f>
        <v>P21052459</v>
      </c>
      <c r="AE73" s="9">
        <v>45444</v>
      </c>
      <c r="AF73" s="9" t="s">
        <v>178</v>
      </c>
      <c r="AG73" s="166" t="s">
        <v>596</v>
      </c>
      <c r="AH73" s="234" t="s">
        <v>178</v>
      </c>
      <c r="AI73" s="234"/>
      <c r="AJ73" s="130">
        <v>2552</v>
      </c>
      <c r="AK73" s="16" t="s">
        <v>723</v>
      </c>
      <c r="AL73" s="454" t="s">
        <v>724</v>
      </c>
      <c r="AM73" s="2" t="s">
        <v>725</v>
      </c>
      <c r="AN73" s="454"/>
    </row>
    <row r="74" spans="1:40" x14ac:dyDescent="0.25">
      <c r="A74" t="s">
        <v>726</v>
      </c>
      <c r="B74" t="s">
        <v>727</v>
      </c>
      <c r="C74" s="3" t="s">
        <v>16</v>
      </c>
      <c r="D74" s="179" t="s">
        <v>24</v>
      </c>
      <c r="E74" s="179" t="s">
        <v>25</v>
      </c>
      <c r="F74">
        <v>37100</v>
      </c>
      <c r="G74" t="s">
        <v>324</v>
      </c>
      <c r="H74">
        <v>6110</v>
      </c>
      <c r="I74" t="s">
        <v>728</v>
      </c>
      <c r="K74" s="11" t="str">
        <f>IF(Table1[[#This Row],[Proprietary?
(Y/N)]]="Y","Proprietary",IF(Table1[[#This Row],[FY24 Budget]]&lt;Lookups!$F$3,"Single Quote",IF(Table1[[#This Row],[FY24 Budget]]&gt;Lookups!$G$3,"RFP","Three quotes")))</f>
        <v>Single Quote</v>
      </c>
      <c r="L74" s="11" t="s">
        <v>174</v>
      </c>
      <c r="M74" s="460" t="s">
        <v>29</v>
      </c>
      <c r="N74" s="9"/>
      <c r="O74" s="9"/>
      <c r="P74" s="11"/>
      <c r="Q74" s="11"/>
      <c r="R74" s="463">
        <v>0</v>
      </c>
      <c r="S74" s="463">
        <v>1956</v>
      </c>
      <c r="T74" s="463">
        <v>0</v>
      </c>
      <c r="U74" s="1">
        <f>Table1[[#This Row],[FY24 Budget]]-Table1[[#This Row],[FY23 Budget]]</f>
        <v>0</v>
      </c>
      <c r="V74" s="463">
        <v>1956</v>
      </c>
      <c r="W74" s="463"/>
      <c r="X74" s="463"/>
      <c r="Y74" s="463"/>
      <c r="Z74" s="463"/>
      <c r="AA74" s="15" t="s">
        <v>729</v>
      </c>
      <c r="AB74" s="9">
        <v>45108</v>
      </c>
      <c r="AC74" s="9">
        <v>45473</v>
      </c>
      <c r="AD74" s="15" t="s">
        <v>730</v>
      </c>
      <c r="AE74" s="9">
        <v>45444</v>
      </c>
      <c r="AF74" s="9" t="s">
        <v>178</v>
      </c>
      <c r="AG74" s="166"/>
      <c r="AH74" s="234" t="s">
        <v>174</v>
      </c>
      <c r="AI74" s="234" t="s">
        <v>234</v>
      </c>
      <c r="AJ74" s="130" t="s">
        <v>234</v>
      </c>
      <c r="AK74" s="16" t="s">
        <v>186</v>
      </c>
      <c r="AL74" s="454" t="s">
        <v>542</v>
      </c>
      <c r="AM74" s="2" t="s">
        <v>421</v>
      </c>
      <c r="AN74" s="454"/>
    </row>
    <row r="75" spans="1:40" x14ac:dyDescent="0.25">
      <c r="A75" t="s">
        <v>731</v>
      </c>
      <c r="B75" t="s">
        <v>732</v>
      </c>
      <c r="C75" s="3" t="s">
        <v>16</v>
      </c>
      <c r="D75" s="179" t="s">
        <v>24</v>
      </c>
      <c r="E75" s="179" t="s">
        <v>25</v>
      </c>
      <c r="F75">
        <v>37540</v>
      </c>
      <c r="G75" t="s">
        <v>32</v>
      </c>
      <c r="H75">
        <v>6605</v>
      </c>
      <c r="I75" t="s">
        <v>431</v>
      </c>
      <c r="J75" t="s">
        <v>21</v>
      </c>
      <c r="K75" s="11" t="str">
        <f>IF(Table1[[#This Row],[Proprietary?
(Y/N)]]="Y","Proprietary",IF(Table1[[#This Row],[FY24 Budget]]&lt;Lookups!$F$3,"Single Quote",IF(Table1[[#This Row],[FY24 Budget]]&gt;Lookups!$G$3,"RFP","Three quotes")))</f>
        <v>Single Quote</v>
      </c>
      <c r="L75" s="11" t="s">
        <v>178</v>
      </c>
      <c r="M75" s="460" t="s">
        <v>29</v>
      </c>
      <c r="N75" s="9"/>
      <c r="O75" s="9"/>
      <c r="P75" s="11"/>
      <c r="Q75" s="11"/>
      <c r="R75" s="463">
        <v>10000</v>
      </c>
      <c r="S75" s="463">
        <v>10000</v>
      </c>
      <c r="T75" s="463">
        <v>0</v>
      </c>
      <c r="U75" s="1">
        <f>Table1[[#This Row],[FY24 Budget]]-Table1[[#This Row],[FY23 Budget]]</f>
        <v>-10000</v>
      </c>
      <c r="V75" s="463">
        <v>10000</v>
      </c>
      <c r="W75" s="463">
        <v>10000</v>
      </c>
      <c r="X75" s="463">
        <v>10000</v>
      </c>
      <c r="Y75" s="463"/>
      <c r="Z75" s="463"/>
      <c r="AA75" s="15" t="s">
        <v>733</v>
      </c>
      <c r="AB75" s="9">
        <v>45108</v>
      </c>
      <c r="AC75" s="9">
        <v>45473</v>
      </c>
      <c r="AD75" s="15" t="s">
        <v>734</v>
      </c>
      <c r="AE75" s="9">
        <v>45444</v>
      </c>
      <c r="AF75" s="9" t="s">
        <v>178</v>
      </c>
      <c r="AG75" s="166" t="s">
        <v>735</v>
      </c>
      <c r="AH75" s="234" t="s">
        <v>178</v>
      </c>
      <c r="AI75" s="234" t="s">
        <v>178</v>
      </c>
      <c r="AJ75" s="130">
        <v>2657</v>
      </c>
      <c r="AK75" s="16" t="s">
        <v>695</v>
      </c>
      <c r="AL75" s="454" t="s">
        <v>542</v>
      </c>
      <c r="AM75" s="2" t="s">
        <v>455</v>
      </c>
      <c r="AN75" s="454"/>
    </row>
    <row r="76" spans="1:40" x14ac:dyDescent="0.25">
      <c r="A76" t="s">
        <v>131</v>
      </c>
      <c r="B76" t="s">
        <v>132</v>
      </c>
      <c r="C76" s="3" t="s">
        <v>16</v>
      </c>
      <c r="D76" s="179" t="s">
        <v>437</v>
      </c>
      <c r="E76" s="179" t="s">
        <v>18</v>
      </c>
      <c r="F76">
        <v>37560</v>
      </c>
      <c r="G76" t="s">
        <v>50</v>
      </c>
      <c r="H76">
        <v>6405</v>
      </c>
      <c r="I76" t="s">
        <v>56</v>
      </c>
      <c r="K76" s="11" t="str">
        <f>IF(Table1[[#This Row],[Proprietary?
(Y/N)]]="Y","Proprietary",IF(Table1[[#This Row],[FY24 Budget]]&lt;Lookups!$F$3,"Single Quote",IF(Table1[[#This Row],[FY24 Budget]]&gt;Lookups!$G$3,"RFP","Three quotes")))</f>
        <v>Three quotes</v>
      </c>
      <c r="L76" s="11" t="s">
        <v>178</v>
      </c>
      <c r="M76" s="460" t="s">
        <v>736</v>
      </c>
      <c r="N76" s="9">
        <v>42514</v>
      </c>
      <c r="O76" s="9">
        <v>45657</v>
      </c>
      <c r="P76" s="11"/>
      <c r="Q76" s="11"/>
      <c r="R76" s="463">
        <v>63860</v>
      </c>
      <c r="S76" s="463">
        <v>60000</v>
      </c>
      <c r="T76" s="463">
        <v>69550</v>
      </c>
      <c r="U76" s="1">
        <f>Table1[[#This Row],[FY24 Budget]]-Table1[[#This Row],[FY23 Budget]]</f>
        <v>5690</v>
      </c>
      <c r="V76" s="463">
        <v>100000</v>
      </c>
      <c r="W76" s="463"/>
      <c r="X76" s="463"/>
      <c r="Y76" s="463"/>
      <c r="Z76" s="463"/>
      <c r="AA76" s="15" t="s">
        <v>737</v>
      </c>
      <c r="AB76" s="9">
        <v>45292</v>
      </c>
      <c r="AC76" s="9">
        <v>45657</v>
      </c>
      <c r="AD76" s="3" t="s">
        <v>738</v>
      </c>
      <c r="AE76" s="9">
        <v>45627</v>
      </c>
      <c r="AF76" s="9" t="s">
        <v>178</v>
      </c>
      <c r="AG76" s="166" t="s">
        <v>739</v>
      </c>
      <c r="AH76" s="234" t="s">
        <v>178</v>
      </c>
      <c r="AI76" s="234"/>
      <c r="AJ76" s="130"/>
      <c r="AK76" s="16" t="s">
        <v>740</v>
      </c>
      <c r="AL76" s="454" t="s">
        <v>741</v>
      </c>
      <c r="AM76" s="2" t="s">
        <v>443</v>
      </c>
      <c r="AN76" s="454"/>
    </row>
    <row r="77" spans="1:40" x14ac:dyDescent="0.25">
      <c r="A77" t="s">
        <v>133</v>
      </c>
      <c r="B77" t="s">
        <v>134</v>
      </c>
      <c r="C77" s="3" t="s">
        <v>16</v>
      </c>
      <c r="D77" s="179" t="s">
        <v>24</v>
      </c>
      <c r="E77" s="179" t="s">
        <v>18</v>
      </c>
      <c r="F77">
        <v>37510</v>
      </c>
      <c r="G77" t="s">
        <v>26</v>
      </c>
      <c r="H77">
        <v>6405</v>
      </c>
      <c r="I77" t="s">
        <v>28</v>
      </c>
      <c r="K77" s="11" t="str">
        <f>IF(Table1[[#This Row],[Proprietary?
(Y/N)]]="Y","Proprietary",IF(Table1[[#This Row],[FY24 Budget]]&lt;Lookups!$F$3,"Single Quote",IF(Table1[[#This Row],[FY24 Budget]]&gt;Lookups!$G$3,"RFP","Three quotes")))</f>
        <v>RFP</v>
      </c>
      <c r="L77" s="11" t="s">
        <v>178</v>
      </c>
      <c r="M77" s="460">
        <v>1000002</v>
      </c>
      <c r="N77" s="9">
        <v>44593</v>
      </c>
      <c r="O77" s="9">
        <v>45688</v>
      </c>
      <c r="P77" s="11"/>
      <c r="Q77" s="11"/>
      <c r="R77" s="463">
        <v>724090</v>
      </c>
      <c r="S77" s="463">
        <v>586572</v>
      </c>
      <c r="T77" s="463">
        <v>604169.16</v>
      </c>
      <c r="U77" s="1">
        <f>Table1[[#This Row],[FY24 Budget]]-Table1[[#This Row],[FY23 Budget]]</f>
        <v>-119920.83999999997</v>
      </c>
      <c r="V77" s="463">
        <v>622294</v>
      </c>
      <c r="W77" s="463">
        <v>622294</v>
      </c>
      <c r="X77" s="463"/>
      <c r="Y77" s="463"/>
      <c r="Z77" s="463"/>
      <c r="AA77" s="15" t="s">
        <v>742</v>
      </c>
      <c r="AB77" s="9">
        <v>44958</v>
      </c>
      <c r="AC77" s="9">
        <v>45322</v>
      </c>
      <c r="AD77" s="15" t="s">
        <v>743</v>
      </c>
      <c r="AE77" s="9">
        <v>45231</v>
      </c>
      <c r="AF77" s="9" t="s">
        <v>178</v>
      </c>
      <c r="AG77" s="166" t="s">
        <v>744</v>
      </c>
      <c r="AH77" s="234" t="s">
        <v>178</v>
      </c>
      <c r="AI77" s="234"/>
      <c r="AJ77" s="130"/>
      <c r="AK77" s="16"/>
      <c r="AL77" s="454" t="s">
        <v>745</v>
      </c>
      <c r="AM77" s="2" t="s">
        <v>471</v>
      </c>
      <c r="AN77" s="454"/>
    </row>
    <row r="78" spans="1:40" x14ac:dyDescent="0.25">
      <c r="A78" t="s">
        <v>746</v>
      </c>
      <c r="B78" t="s">
        <v>747</v>
      </c>
      <c r="C78" s="3" t="s">
        <v>16</v>
      </c>
      <c r="D78" s="179" t="s">
        <v>24</v>
      </c>
      <c r="E78" s="179" t="s">
        <v>18</v>
      </c>
      <c r="F78">
        <v>37100</v>
      </c>
      <c r="G78" t="s">
        <v>324</v>
      </c>
      <c r="H78">
        <v>6235</v>
      </c>
      <c r="I78" t="s">
        <v>452</v>
      </c>
      <c r="K78" s="11" t="s">
        <v>192</v>
      </c>
      <c r="L78" s="11" t="s">
        <v>178</v>
      </c>
      <c r="M78" s="460">
        <v>1000710</v>
      </c>
      <c r="N78" s="9"/>
      <c r="O78" s="9"/>
      <c r="P78" s="11"/>
      <c r="Q78" s="11"/>
      <c r="R78" s="463">
        <v>60000</v>
      </c>
      <c r="S78" s="463">
        <v>50000</v>
      </c>
      <c r="T78" s="463">
        <v>60000</v>
      </c>
      <c r="U78" s="1">
        <f>Table1[[#This Row],[FY24 Budget]]-Table1[[#This Row],[FY23 Budget]]</f>
        <v>0</v>
      </c>
      <c r="V78" s="463">
        <v>50000</v>
      </c>
      <c r="W78" s="463"/>
      <c r="X78" s="463"/>
      <c r="Y78" s="463"/>
      <c r="Z78" s="463"/>
      <c r="AA78" s="15" t="s">
        <v>748</v>
      </c>
      <c r="AB78" s="9">
        <v>45108</v>
      </c>
      <c r="AC78" s="9">
        <v>45473</v>
      </c>
      <c r="AD78" s="15" t="s">
        <v>749</v>
      </c>
      <c r="AE78" s="9">
        <v>45444</v>
      </c>
      <c r="AF78" s="9" t="s">
        <v>178</v>
      </c>
      <c r="AG78" s="166"/>
      <c r="AH78" s="234" t="s">
        <v>174</v>
      </c>
      <c r="AI78" s="234" t="s">
        <v>234</v>
      </c>
      <c r="AJ78" s="130" t="s">
        <v>234</v>
      </c>
      <c r="AK78" s="16" t="s">
        <v>186</v>
      </c>
      <c r="AL78" s="454" t="s">
        <v>750</v>
      </c>
      <c r="AM78" s="2" t="s">
        <v>421</v>
      </c>
      <c r="AN78" s="454"/>
    </row>
    <row r="79" spans="1:40" x14ac:dyDescent="0.25">
      <c r="A79" t="s">
        <v>751</v>
      </c>
      <c r="B79" t="s">
        <v>752</v>
      </c>
      <c r="C79" s="3" t="s">
        <v>38</v>
      </c>
      <c r="D79" s="179" t="s">
        <v>24</v>
      </c>
      <c r="E79" s="179" t="s">
        <v>25</v>
      </c>
      <c r="F79">
        <v>37100</v>
      </c>
      <c r="G79" t="s">
        <v>324</v>
      </c>
      <c r="H79">
        <v>6205</v>
      </c>
      <c r="I79" t="s">
        <v>438</v>
      </c>
      <c r="J79" t="s">
        <v>439</v>
      </c>
      <c r="K79" s="11" t="str">
        <f>IF(Table1[[#This Row],[Proprietary?
(Y/N)]]="Y","Proprietary",IF(Table1[[#This Row],[FY24 Budget]]&lt;Lookups!$F$3,"Single Quote",IF(Table1[[#This Row],[FY24 Budget]]&gt;Lookups!$G$3,"RFP","Three quotes")))</f>
        <v>Proprietary</v>
      </c>
      <c r="L79" s="11" t="s">
        <v>174</v>
      </c>
      <c r="M79" s="460" t="s">
        <v>753</v>
      </c>
      <c r="N79" s="9"/>
      <c r="O79" s="9"/>
      <c r="P79" s="11"/>
      <c r="Q79" s="11"/>
      <c r="R79" s="463">
        <v>0</v>
      </c>
      <c r="S79" s="463">
        <v>0</v>
      </c>
      <c r="T79" s="463">
        <v>3000</v>
      </c>
      <c r="U79" s="1">
        <f>Table1[[#This Row],[FY24 Budget]]-Table1[[#This Row],[FY23 Budget]]</f>
        <v>3000</v>
      </c>
      <c r="V79" s="463">
        <v>3000</v>
      </c>
      <c r="W79" s="463"/>
      <c r="X79" s="463"/>
      <c r="Y79" s="463"/>
      <c r="Z79" s="463"/>
      <c r="AA79" s="15" t="s">
        <v>754</v>
      </c>
      <c r="AB79" s="9">
        <v>43647</v>
      </c>
      <c r="AC79" s="9">
        <v>45473</v>
      </c>
      <c r="AD79" s="15" t="str">
        <f>Table1[[#This Row],[FY23 PO]]</f>
        <v>P20003379</v>
      </c>
      <c r="AE79" s="9">
        <v>45444</v>
      </c>
      <c r="AF79" s="9" t="s">
        <v>178</v>
      </c>
      <c r="AG79" s="166" t="s">
        <v>596</v>
      </c>
      <c r="AH79" s="234" t="s">
        <v>174</v>
      </c>
      <c r="AI79" s="234" t="s">
        <v>234</v>
      </c>
      <c r="AJ79" s="130" t="s">
        <v>234</v>
      </c>
      <c r="AK79" s="16" t="s">
        <v>186</v>
      </c>
      <c r="AL79" s="454" t="s">
        <v>755</v>
      </c>
      <c r="AM79" s="2" t="s">
        <v>421</v>
      </c>
      <c r="AN79" s="454"/>
    </row>
    <row r="80" spans="1:40" x14ac:dyDescent="0.25">
      <c r="A80" t="s">
        <v>137</v>
      </c>
      <c r="B80" t="s">
        <v>138</v>
      </c>
      <c r="C80" s="3" t="s">
        <v>16</v>
      </c>
      <c r="D80" s="179" t="s">
        <v>437</v>
      </c>
      <c r="E80" s="179" t="s">
        <v>18</v>
      </c>
      <c r="F80">
        <v>37560</v>
      </c>
      <c r="G80" t="s">
        <v>50</v>
      </c>
      <c r="H80">
        <v>6405</v>
      </c>
      <c r="I80" t="s">
        <v>56</v>
      </c>
      <c r="K80" s="11" t="str">
        <f>IF(Table1[[#This Row],[Proprietary?
(Y/N)]]="Y","Proprietary",IF(Table1[[#This Row],[FY24 Budget]]&lt;Lookups!$F$3,"Single Quote",IF(Table1[[#This Row],[FY24 Budget]]&gt;Lookups!$G$3,"RFP","Three quotes")))</f>
        <v>Single Quote</v>
      </c>
      <c r="L80" s="11" t="s">
        <v>178</v>
      </c>
      <c r="M80" s="460" t="s">
        <v>29</v>
      </c>
      <c r="N80" s="9"/>
      <c r="O80" s="9"/>
      <c r="P80" s="11"/>
      <c r="Q80" s="11"/>
      <c r="R80" s="463">
        <v>10300</v>
      </c>
      <c r="S80" s="463">
        <v>10000</v>
      </c>
      <c r="T80" s="463">
        <v>10700</v>
      </c>
      <c r="U80" s="1">
        <f>Table1[[#This Row],[FY24 Budget]]-Table1[[#This Row],[FY23 Budget]]</f>
        <v>400</v>
      </c>
      <c r="V80" s="463">
        <v>49999</v>
      </c>
      <c r="W80" s="463"/>
      <c r="X80" s="463"/>
      <c r="Y80" s="463"/>
      <c r="Z80" s="463"/>
      <c r="AA80" s="15" t="s">
        <v>756</v>
      </c>
      <c r="AB80" s="9">
        <v>45108</v>
      </c>
      <c r="AC80" s="9">
        <v>45473</v>
      </c>
      <c r="AD80" s="15" t="s">
        <v>757</v>
      </c>
      <c r="AE80" s="9">
        <v>45444</v>
      </c>
      <c r="AF80" s="9" t="s">
        <v>178</v>
      </c>
      <c r="AG80" s="166" t="s">
        <v>758</v>
      </c>
      <c r="AH80" s="234" t="s">
        <v>178</v>
      </c>
      <c r="AI80" s="234"/>
      <c r="AJ80" s="130"/>
      <c r="AK80" s="16" t="s">
        <v>687</v>
      </c>
      <c r="AL80" s="454" t="s">
        <v>542</v>
      </c>
      <c r="AM80" s="2" t="s">
        <v>759</v>
      </c>
      <c r="AN80" s="454"/>
    </row>
    <row r="81" spans="1:40" x14ac:dyDescent="0.25">
      <c r="A81" t="s">
        <v>139</v>
      </c>
      <c r="B81" t="s">
        <v>140</v>
      </c>
      <c r="C81" s="3" t="s">
        <v>16</v>
      </c>
      <c r="D81" s="179" t="s">
        <v>24</v>
      </c>
      <c r="E81" s="179" t="s">
        <v>25</v>
      </c>
      <c r="F81">
        <v>37540</v>
      </c>
      <c r="G81" t="s">
        <v>32</v>
      </c>
      <c r="H81">
        <v>6405</v>
      </c>
      <c r="I81" t="s">
        <v>21</v>
      </c>
      <c r="K81" s="11" t="str">
        <f>IF(Table1[[#This Row],[Proprietary?
(Y/N)]]="Y","Proprietary",IF(Table1[[#This Row],[FY24 Budget]]&lt;Lookups!$F$3,"Single Quote",IF(Table1[[#This Row],[FY24 Budget]]&gt;Lookups!$G$3,"RFP","Three quotes")))</f>
        <v>RFP</v>
      </c>
      <c r="L81" s="11" t="s">
        <v>178</v>
      </c>
      <c r="M81" s="460">
        <v>1000064</v>
      </c>
      <c r="N81" s="9">
        <v>44593</v>
      </c>
      <c r="O81" s="9">
        <v>45688</v>
      </c>
      <c r="P81" s="11"/>
      <c r="Q81" s="11"/>
      <c r="R81" s="463">
        <v>300134</v>
      </c>
      <c r="S81" s="463">
        <v>581875</v>
      </c>
      <c r="T81" s="463">
        <v>622606</v>
      </c>
      <c r="U81" s="1">
        <f>Table1[[#This Row],[FY24 Budget]]-Table1[[#This Row],[FY23 Budget]]</f>
        <v>322472</v>
      </c>
      <c r="V81" s="463">
        <v>701080.66</v>
      </c>
      <c r="W81" s="463"/>
      <c r="X81" s="463"/>
      <c r="Y81" s="463"/>
      <c r="Z81" s="463"/>
      <c r="AA81" s="15" t="s">
        <v>760</v>
      </c>
      <c r="AB81" s="9">
        <v>45108</v>
      </c>
      <c r="AC81" s="9">
        <v>45473</v>
      </c>
      <c r="AD81" s="15" t="s">
        <v>761</v>
      </c>
      <c r="AE81" s="9">
        <v>45444</v>
      </c>
      <c r="AF81" s="9" t="s">
        <v>178</v>
      </c>
      <c r="AG81" s="166"/>
      <c r="AH81" s="234" t="s">
        <v>174</v>
      </c>
      <c r="AI81" s="234" t="s">
        <v>234</v>
      </c>
      <c r="AJ81" s="130" t="s">
        <v>234</v>
      </c>
      <c r="AK81" s="16" t="s">
        <v>186</v>
      </c>
      <c r="AL81" s="454" t="s">
        <v>762</v>
      </c>
      <c r="AM81" s="2" t="s">
        <v>763</v>
      </c>
      <c r="AN81" s="454"/>
    </row>
    <row r="82" spans="1:40" x14ac:dyDescent="0.25">
      <c r="A82" t="s">
        <v>141</v>
      </c>
      <c r="B82" t="s">
        <v>142</v>
      </c>
      <c r="C82" s="3" t="s">
        <v>16</v>
      </c>
      <c r="D82" s="179" t="s">
        <v>24</v>
      </c>
      <c r="E82" s="179" t="s">
        <v>25</v>
      </c>
      <c r="F82">
        <v>37510</v>
      </c>
      <c r="G82" t="s">
        <v>26</v>
      </c>
      <c r="H82">
        <v>6405</v>
      </c>
      <c r="I82" t="s">
        <v>27</v>
      </c>
      <c r="J82" t="s">
        <v>28</v>
      </c>
      <c r="K82" s="11" t="str">
        <f>IF(Table1[[#This Row],[Proprietary?
(Y/N)]]="Y","Proprietary",IF(Table1[[#This Row],[FY24 Budget]]&lt;Lookups!$F$3,"Single Quote",IF(Table1[[#This Row],[FY24 Budget]]&gt;Lookups!$G$3,"RFP","Three quotes")))</f>
        <v>Three quotes</v>
      </c>
      <c r="L82" s="11" t="s">
        <v>178</v>
      </c>
      <c r="M82" s="460" t="s">
        <v>29</v>
      </c>
      <c r="N82" s="9"/>
      <c r="O82" s="9"/>
      <c r="P82" s="11"/>
      <c r="Q82" s="11"/>
      <c r="R82" s="463">
        <v>29872.06</v>
      </c>
      <c r="S82" s="463">
        <v>37615</v>
      </c>
      <c r="T82" s="463">
        <v>29872.06</v>
      </c>
      <c r="U82" s="1">
        <f>Table1[[#This Row],[FY24 Budget]]-Table1[[#This Row],[FY23 Budget]]</f>
        <v>0</v>
      </c>
      <c r="V82" s="463">
        <v>38754</v>
      </c>
      <c r="W82" s="463"/>
      <c r="X82" s="463"/>
      <c r="Y82" s="463"/>
      <c r="Z82" s="463"/>
      <c r="AA82" s="15" t="s">
        <v>764</v>
      </c>
      <c r="AB82" s="9">
        <v>45108</v>
      </c>
      <c r="AC82" s="9">
        <v>45473</v>
      </c>
      <c r="AD82" s="15" t="s">
        <v>765</v>
      </c>
      <c r="AE82" s="9">
        <v>45444</v>
      </c>
      <c r="AF82" s="9" t="s">
        <v>178</v>
      </c>
      <c r="AG82" s="166"/>
      <c r="AH82" s="234" t="s">
        <v>178</v>
      </c>
      <c r="AI82" s="234"/>
      <c r="AJ82" s="130">
        <v>2749</v>
      </c>
      <c r="AK82" s="16" t="s">
        <v>766</v>
      </c>
      <c r="AL82" s="454" t="s">
        <v>542</v>
      </c>
      <c r="AM82" s="2" t="s">
        <v>421</v>
      </c>
      <c r="AN82" s="454"/>
    </row>
    <row r="83" spans="1:40" x14ac:dyDescent="0.25">
      <c r="A83" s="24"/>
    </row>
    <row r="84" spans="1:40" x14ac:dyDescent="0.25">
      <c r="AD84" s="464"/>
      <c r="AF84" s="463"/>
    </row>
    <row r="85" spans="1:40" x14ac:dyDescent="0.25">
      <c r="C85" s="88"/>
      <c r="D85" s="235"/>
      <c r="E85" s="235"/>
      <c r="AD85" s="464"/>
      <c r="AF85" s="463"/>
    </row>
    <row r="86" spans="1:40" x14ac:dyDescent="0.25">
      <c r="AD86" s="464"/>
      <c r="AF86" s="463"/>
    </row>
  </sheetData>
  <phoneticPr fontId="16" type="noConversion"/>
  <pageMargins left="0" right="0" top="0" bottom="0" header="0" footer="0"/>
  <pageSetup paperSize="17" scale="72"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showInputMessage="1" showErrorMessage="1" xr:uid="{986BADB8-47AA-45CA-A389-36DF5A0327CB}">
          <x14:formula1>
            <xm:f>Lookups!$A$2:$A$6</xm:f>
          </x14:formula1>
          <xm:sqref>AF2:AF82</xm:sqref>
        </x14:dataValidation>
        <x14:dataValidation type="list" allowBlank="1" showInputMessage="1" showErrorMessage="1" xr:uid="{BEC268E4-6FCD-4B41-8016-7BFD0892F9DB}">
          <x14:formula1>
            <xm:f>Lookups!$B$2:$B$5</xm:f>
          </x14:formula1>
          <xm:sqref>AH2:AI82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E487-62C6-4CF3-8048-EED8DADEA7CB}">
  <dimension ref="A1:S566"/>
  <sheetViews>
    <sheetView workbookViewId="0">
      <selection activeCell="D404" sqref="D404"/>
    </sheetView>
  </sheetViews>
  <sheetFormatPr defaultRowHeight="15" outlineLevelRow="1" x14ac:dyDescent="0.25"/>
  <cols>
    <col min="1" max="1" width="12" style="54" customWidth="1"/>
    <col min="2" max="2" width="50.85546875" customWidth="1"/>
    <col min="3" max="3" width="12.5703125" style="2" bestFit="1" customWidth="1"/>
    <col min="4" max="4" width="22.140625" customWidth="1"/>
    <col min="5" max="5" width="13.42578125" customWidth="1"/>
    <col min="6" max="6" width="12.140625" bestFit="1" customWidth="1"/>
    <col min="7" max="7" width="23.5703125" style="2" bestFit="1" customWidth="1"/>
    <col min="8" max="8" width="22.28515625" customWidth="1"/>
    <col min="9" max="9" width="12.42578125" bestFit="1" customWidth="1"/>
    <col min="10" max="10" width="3.5703125" customWidth="1"/>
    <col min="11" max="11" width="31.28515625" style="54" customWidth="1"/>
    <col min="12" max="12" width="36.42578125" customWidth="1"/>
    <col min="13" max="13" width="12.5703125" style="2" bestFit="1" customWidth="1"/>
    <col min="16" max="16" width="11.5703125" bestFit="1" customWidth="1"/>
    <col min="17" max="17" width="26.28515625" style="2" customWidth="1"/>
    <col min="18" max="18" width="12.5703125" bestFit="1" customWidth="1"/>
    <col min="19" max="19" width="10.5703125" bestFit="1" customWidth="1"/>
  </cols>
  <sheetData>
    <row r="1" spans="1:19" x14ac:dyDescent="0.25">
      <c r="A1" s="54" t="s">
        <v>767</v>
      </c>
      <c r="K1" s="54" t="s">
        <v>768</v>
      </c>
    </row>
    <row r="2" spans="1:19" x14ac:dyDescent="0.25">
      <c r="A2" s="106" t="s">
        <v>14</v>
      </c>
      <c r="B2" s="106"/>
      <c r="C2" s="111">
        <f>VLOOKUP(A2,'FY24 Service Agreements'!$A:$AF,31,FALSE)</f>
        <v>45444</v>
      </c>
      <c r="D2" s="106"/>
      <c r="E2" s="106" t="s">
        <v>769</v>
      </c>
      <c r="F2" s="106"/>
      <c r="G2" s="114"/>
      <c r="H2" s="123">
        <v>44743</v>
      </c>
      <c r="I2" s="123">
        <v>45107</v>
      </c>
      <c r="K2" s="106" t="s">
        <v>770</v>
      </c>
      <c r="L2" s="106"/>
      <c r="M2" s="123" t="s">
        <v>446</v>
      </c>
      <c r="N2" s="106"/>
      <c r="O2" s="175" t="s">
        <v>771</v>
      </c>
      <c r="P2" s="106" t="s">
        <v>772</v>
      </c>
      <c r="Q2" s="175" t="s">
        <v>773</v>
      </c>
      <c r="R2" s="123">
        <v>44743</v>
      </c>
      <c r="S2" s="123">
        <v>45107</v>
      </c>
    </row>
    <row r="3" spans="1:19" x14ac:dyDescent="0.25">
      <c r="B3" t="s">
        <v>774</v>
      </c>
      <c r="C3" s="2">
        <v>9500</v>
      </c>
      <c r="K3" t="s">
        <v>775</v>
      </c>
    </row>
    <row r="4" spans="1:19" x14ac:dyDescent="0.25">
      <c r="B4" t="s">
        <v>776</v>
      </c>
      <c r="C4" s="2">
        <v>7500</v>
      </c>
      <c r="G4" s="103"/>
      <c r="H4" s="40"/>
      <c r="I4" s="40"/>
      <c r="L4" t="s">
        <v>777</v>
      </c>
    </row>
    <row r="5" spans="1:19" x14ac:dyDescent="0.25">
      <c r="B5" t="s">
        <v>778</v>
      </c>
      <c r="C5" s="2">
        <v>7500</v>
      </c>
      <c r="L5" s="52" t="s">
        <v>779</v>
      </c>
    </row>
    <row r="6" spans="1:19" x14ac:dyDescent="0.25">
      <c r="B6" s="54" t="s">
        <v>780</v>
      </c>
      <c r="C6" s="120">
        <f>SUM(C3:C5)</f>
        <v>24500</v>
      </c>
      <c r="L6" t="s">
        <v>781</v>
      </c>
    </row>
    <row r="7" spans="1:19" x14ac:dyDescent="0.25">
      <c r="L7" t="s">
        <v>782</v>
      </c>
    </row>
    <row r="8" spans="1:19" x14ac:dyDescent="0.25">
      <c r="B8" s="192" t="s">
        <v>783</v>
      </c>
      <c r="C8" s="193" t="s">
        <v>784</v>
      </c>
      <c r="D8" s="192" t="s">
        <v>785</v>
      </c>
      <c r="L8" t="s">
        <v>786</v>
      </c>
    </row>
    <row r="9" spans="1:19" x14ac:dyDescent="0.25">
      <c r="B9" t="s">
        <v>787</v>
      </c>
      <c r="C9" s="178">
        <v>375</v>
      </c>
      <c r="D9" t="s">
        <v>788</v>
      </c>
      <c r="F9" s="139"/>
      <c r="L9" t="s">
        <v>789</v>
      </c>
      <c r="Q9" s="187"/>
    </row>
    <row r="10" spans="1:19" x14ac:dyDescent="0.25">
      <c r="A10"/>
      <c r="B10" t="s">
        <v>790</v>
      </c>
      <c r="C10" s="178">
        <v>249</v>
      </c>
      <c r="D10" t="s">
        <v>791</v>
      </c>
      <c r="G10"/>
      <c r="L10" t="s">
        <v>792</v>
      </c>
    </row>
    <row r="11" spans="1:19" x14ac:dyDescent="0.25">
      <c r="B11" t="s">
        <v>793</v>
      </c>
      <c r="C11" s="178">
        <v>179</v>
      </c>
      <c r="D11" t="s">
        <v>794</v>
      </c>
      <c r="L11" t="s">
        <v>795</v>
      </c>
    </row>
    <row r="12" spans="1:19" x14ac:dyDescent="0.25">
      <c r="B12" t="s">
        <v>796</v>
      </c>
      <c r="C12" s="178">
        <v>149</v>
      </c>
      <c r="D12" t="s">
        <v>797</v>
      </c>
      <c r="L12" t="s">
        <v>798</v>
      </c>
    </row>
    <row r="13" spans="1:19" x14ac:dyDescent="0.25">
      <c r="B13" t="s">
        <v>799</v>
      </c>
      <c r="C13" s="178">
        <v>149</v>
      </c>
      <c r="D13" t="s">
        <v>797</v>
      </c>
      <c r="L13" s="54" t="s">
        <v>800</v>
      </c>
      <c r="M13" s="120">
        <f>SUM(M4:M12)</f>
        <v>0</v>
      </c>
    </row>
    <row r="14" spans="1:19" x14ac:dyDescent="0.25">
      <c r="B14" t="s">
        <v>801</v>
      </c>
      <c r="C14" s="178">
        <v>149</v>
      </c>
      <c r="D14" t="s">
        <v>797</v>
      </c>
    </row>
    <row r="15" spans="1:19" x14ac:dyDescent="0.25">
      <c r="B15" t="s">
        <v>802</v>
      </c>
      <c r="C15" s="178">
        <v>875</v>
      </c>
      <c r="D15" t="s">
        <v>803</v>
      </c>
    </row>
    <row r="16" spans="1:19" x14ac:dyDescent="0.25">
      <c r="B16" t="s">
        <v>804</v>
      </c>
      <c r="C16" s="178">
        <v>295</v>
      </c>
      <c r="D16" t="s">
        <v>805</v>
      </c>
    </row>
    <row r="17" spans="1:19" x14ac:dyDescent="0.25">
      <c r="B17" t="s">
        <v>806</v>
      </c>
      <c r="C17" s="178">
        <v>875</v>
      </c>
      <c r="D17" t="s">
        <v>807</v>
      </c>
    </row>
    <row r="18" spans="1:19" x14ac:dyDescent="0.25">
      <c r="B18" t="s">
        <v>808</v>
      </c>
      <c r="C18" s="178">
        <v>179</v>
      </c>
      <c r="D18" t="s">
        <v>809</v>
      </c>
    </row>
    <row r="19" spans="1:19" x14ac:dyDescent="0.25">
      <c r="B19" t="s">
        <v>810</v>
      </c>
      <c r="C19" s="178">
        <v>1150</v>
      </c>
      <c r="D19" t="s">
        <v>811</v>
      </c>
      <c r="K19" s="106" t="s">
        <v>770</v>
      </c>
      <c r="L19" s="106"/>
      <c r="M19" s="123" t="s">
        <v>446</v>
      </c>
      <c r="N19" s="106"/>
      <c r="O19" s="175" t="s">
        <v>771</v>
      </c>
      <c r="P19" s="106" t="s">
        <v>772</v>
      </c>
      <c r="Q19" s="175" t="s">
        <v>773</v>
      </c>
      <c r="R19" s="123">
        <v>44743</v>
      </c>
      <c r="S19" s="123">
        <v>45107</v>
      </c>
    </row>
    <row r="20" spans="1:19" x14ac:dyDescent="0.25">
      <c r="B20" t="s">
        <v>812</v>
      </c>
      <c r="C20" s="178">
        <v>350</v>
      </c>
      <c r="D20" t="s">
        <v>813</v>
      </c>
      <c r="K20" t="s">
        <v>814</v>
      </c>
    </row>
    <row r="21" spans="1:19" x14ac:dyDescent="0.25">
      <c r="B21" t="s">
        <v>815</v>
      </c>
      <c r="C21" s="178">
        <v>375</v>
      </c>
      <c r="D21" t="s">
        <v>816</v>
      </c>
      <c r="L21" t="s">
        <v>795</v>
      </c>
      <c r="M21" s="2">
        <v>2172.98</v>
      </c>
    </row>
    <row r="22" spans="1:19" x14ac:dyDescent="0.25">
      <c r="C22" s="343">
        <f>+SUM(C9:C21)</f>
        <v>5349</v>
      </c>
      <c r="L22" t="s">
        <v>798</v>
      </c>
      <c r="M22" s="2">
        <v>843.94</v>
      </c>
    </row>
    <row r="23" spans="1:19" x14ac:dyDescent="0.25">
      <c r="K23"/>
      <c r="M23" s="2">
        <f>SUM(M21:M22)</f>
        <v>3016.92</v>
      </c>
    </row>
    <row r="24" spans="1:19" ht="14.25" customHeight="1" x14ac:dyDescent="0.25">
      <c r="A24" s="183" t="s">
        <v>208</v>
      </c>
      <c r="B24" s="184"/>
      <c r="C24" s="245">
        <v>0</v>
      </c>
      <c r="D24" s="246"/>
      <c r="E24" s="246" t="s">
        <v>769</v>
      </c>
      <c r="F24" s="246"/>
      <c r="G24" s="185"/>
      <c r="H24" s="247">
        <v>0</v>
      </c>
      <c r="I24" s="247">
        <v>0</v>
      </c>
      <c r="K24"/>
    </row>
    <row r="25" spans="1:19" x14ac:dyDescent="0.25">
      <c r="A25" t="s">
        <v>817</v>
      </c>
      <c r="B25" t="s">
        <v>818</v>
      </c>
      <c r="C25" s="457">
        <v>55</v>
      </c>
      <c r="D25" s="139">
        <f>C25*12</f>
        <v>660</v>
      </c>
      <c r="E25" s="186"/>
      <c r="F25" t="s">
        <v>819</v>
      </c>
      <c r="G25" s="187"/>
      <c r="H25" s="188"/>
      <c r="I25" s="188"/>
      <c r="K25"/>
    </row>
    <row r="26" spans="1:19" x14ac:dyDescent="0.25">
      <c r="B26" t="s">
        <v>820</v>
      </c>
      <c r="C26" s="454">
        <v>55</v>
      </c>
      <c r="D26" s="139">
        <f>C26*12</f>
        <v>660</v>
      </c>
      <c r="F26" t="s">
        <v>821</v>
      </c>
      <c r="K26"/>
    </row>
    <row r="27" spans="1:19" x14ac:dyDescent="0.25">
      <c r="K27"/>
    </row>
    <row r="28" spans="1:19" x14ac:dyDescent="0.25">
      <c r="A28" s="115" t="s">
        <v>22</v>
      </c>
      <c r="B28" s="115"/>
      <c r="C28" s="121">
        <f>VLOOKUP(A28,'FY24 Service Agreements'!$A:$AF,31,FALSE)</f>
        <v>45444</v>
      </c>
      <c r="D28" s="115"/>
      <c r="E28" s="283" t="s">
        <v>771</v>
      </c>
      <c r="F28" s="115" t="s">
        <v>772</v>
      </c>
      <c r="G28" s="283" t="s">
        <v>822</v>
      </c>
      <c r="H28" s="121">
        <v>44743</v>
      </c>
      <c r="I28" s="121">
        <v>45107</v>
      </c>
      <c r="K28"/>
    </row>
    <row r="29" spans="1:19" x14ac:dyDescent="0.25">
      <c r="B29" t="s">
        <v>823</v>
      </c>
      <c r="K29"/>
    </row>
    <row r="30" spans="1:19" x14ac:dyDescent="0.25">
      <c r="B30" t="s">
        <v>824</v>
      </c>
      <c r="K30"/>
    </row>
    <row r="31" spans="1:19" x14ac:dyDescent="0.25">
      <c r="K31"/>
    </row>
    <row r="32" spans="1:19" x14ac:dyDescent="0.25">
      <c r="A32" s="108" t="s">
        <v>30</v>
      </c>
      <c r="B32" s="248"/>
      <c r="C32" s="249">
        <f>VLOOKUP(A32,'FY24 Service Agreements'!$A:$AF,31,FALSE)</f>
        <v>45444</v>
      </c>
      <c r="D32" s="250"/>
      <c r="E32" s="250" t="s">
        <v>769</v>
      </c>
      <c r="F32" s="250"/>
      <c r="G32" s="286" t="s">
        <v>822</v>
      </c>
      <c r="H32" s="252">
        <v>44743</v>
      </c>
      <c r="I32" s="252">
        <v>45107</v>
      </c>
    </row>
    <row r="33" spans="1:19" x14ac:dyDescent="0.25">
      <c r="A33" s="186"/>
      <c r="B33" t="s">
        <v>825</v>
      </c>
      <c r="C33" s="2">
        <v>120</v>
      </c>
      <c r="D33" s="186"/>
      <c r="E33" s="186"/>
      <c r="F33" s="186"/>
      <c r="G33" s="194"/>
      <c r="H33" s="195"/>
      <c r="I33" s="195"/>
      <c r="K33" s="108" t="s">
        <v>826</v>
      </c>
      <c r="L33" s="108"/>
      <c r="M33" s="122">
        <v>0</v>
      </c>
      <c r="N33" s="108"/>
      <c r="O33" s="280" t="s">
        <v>771</v>
      </c>
      <c r="P33" s="108" t="s">
        <v>772</v>
      </c>
      <c r="Q33" s="280" t="s">
        <v>773</v>
      </c>
      <c r="R33" s="122">
        <v>0</v>
      </c>
      <c r="S33" s="122">
        <v>0</v>
      </c>
    </row>
    <row r="34" spans="1:19" x14ac:dyDescent="0.25">
      <c r="L34" t="s">
        <v>827</v>
      </c>
      <c r="M34" s="2">
        <v>591.4</v>
      </c>
      <c r="N34" s="142" t="s">
        <v>828</v>
      </c>
    </row>
    <row r="35" spans="1:19" x14ac:dyDescent="0.25">
      <c r="A35" s="107" t="s">
        <v>36</v>
      </c>
      <c r="B35" s="107"/>
      <c r="C35" s="253">
        <f>VLOOKUP(A35,'FY24 Service Agreements'!$A:$AF,31,FALSE)</f>
        <v>45444</v>
      </c>
      <c r="D35" s="254"/>
      <c r="E35" s="254" t="s">
        <v>769</v>
      </c>
      <c r="F35" s="254"/>
      <c r="G35" s="255"/>
      <c r="H35" s="256">
        <v>44743</v>
      </c>
      <c r="I35" s="256">
        <v>45107</v>
      </c>
      <c r="L35" t="s">
        <v>829</v>
      </c>
      <c r="M35" s="2">
        <v>808.22</v>
      </c>
      <c r="N35" s="142" t="s">
        <v>830</v>
      </c>
    </row>
    <row r="36" spans="1:19" x14ac:dyDescent="0.25">
      <c r="B36" t="s">
        <v>831</v>
      </c>
      <c r="C36" s="2">
        <v>165</v>
      </c>
      <c r="D36" t="s">
        <v>832</v>
      </c>
      <c r="F36" s="503" t="s">
        <v>833</v>
      </c>
      <c r="G36" s="503"/>
      <c r="H36" s="503"/>
      <c r="I36" s="503"/>
      <c r="L36" t="s">
        <v>834</v>
      </c>
      <c r="M36" s="2">
        <v>713.14</v>
      </c>
      <c r="N36" s="142" t="s">
        <v>835</v>
      </c>
    </row>
    <row r="37" spans="1:19" x14ac:dyDescent="0.25">
      <c r="B37" t="s">
        <v>836</v>
      </c>
      <c r="C37" s="2">
        <v>82.5</v>
      </c>
      <c r="D37" t="s">
        <v>837</v>
      </c>
      <c r="F37" s="503"/>
      <c r="G37" s="503"/>
      <c r="H37" s="503"/>
      <c r="I37" s="503"/>
      <c r="L37" t="s">
        <v>838</v>
      </c>
      <c r="M37" s="2">
        <v>639.67999999999995</v>
      </c>
      <c r="N37" s="142" t="s">
        <v>839</v>
      </c>
    </row>
    <row r="38" spans="1:19" x14ac:dyDescent="0.25">
      <c r="B38" t="s">
        <v>840</v>
      </c>
      <c r="C38" s="2">
        <v>495</v>
      </c>
      <c r="D38" t="s">
        <v>832</v>
      </c>
      <c r="F38" s="503" t="s">
        <v>841</v>
      </c>
      <c r="G38" s="503"/>
      <c r="H38" s="503"/>
      <c r="I38" s="503"/>
      <c r="L38" t="s">
        <v>842</v>
      </c>
      <c r="M38" s="2">
        <v>281.22000000000003</v>
      </c>
      <c r="N38" s="142" t="s">
        <v>843</v>
      </c>
    </row>
    <row r="39" spans="1:19" x14ac:dyDescent="0.25">
      <c r="B39" t="s">
        <v>844</v>
      </c>
      <c r="C39" s="2">
        <v>123.75</v>
      </c>
      <c r="D39" t="s">
        <v>837</v>
      </c>
      <c r="F39" s="503"/>
      <c r="G39" s="503"/>
      <c r="H39" s="503"/>
      <c r="I39" s="503"/>
    </row>
    <row r="40" spans="1:19" x14ac:dyDescent="0.25">
      <c r="B40" t="s">
        <v>845</v>
      </c>
      <c r="C40" s="2">
        <v>660</v>
      </c>
      <c r="D40" t="s">
        <v>832</v>
      </c>
      <c r="F40" s="503" t="s">
        <v>846</v>
      </c>
      <c r="G40" s="503"/>
      <c r="H40" s="503"/>
      <c r="I40" s="503"/>
    </row>
    <row r="41" spans="1:19" x14ac:dyDescent="0.25">
      <c r="B41" t="s">
        <v>845</v>
      </c>
      <c r="C41" s="2">
        <v>165</v>
      </c>
      <c r="D41" t="s">
        <v>837</v>
      </c>
      <c r="F41" s="503"/>
      <c r="G41" s="503"/>
      <c r="H41" s="503"/>
      <c r="I41" s="503"/>
    </row>
    <row r="43" spans="1:19" x14ac:dyDescent="0.25">
      <c r="B43" t="s">
        <v>847</v>
      </c>
      <c r="C43" s="454">
        <v>15000</v>
      </c>
      <c r="K43" s="107" t="s">
        <v>848</v>
      </c>
      <c r="L43" s="107"/>
      <c r="M43" s="113" t="e">
        <v>#N/A</v>
      </c>
      <c r="N43" s="107"/>
      <c r="O43" s="281" t="s">
        <v>771</v>
      </c>
      <c r="P43" s="107" t="s">
        <v>772</v>
      </c>
      <c r="Q43" s="281" t="s">
        <v>773</v>
      </c>
      <c r="R43" s="113" t="e">
        <v>#N/A</v>
      </c>
      <c r="S43" s="113" t="e">
        <v>#N/A</v>
      </c>
    </row>
    <row r="44" spans="1:19" x14ac:dyDescent="0.25">
      <c r="L44" t="s">
        <v>849</v>
      </c>
      <c r="M44" s="2">
        <v>29500</v>
      </c>
    </row>
    <row r="45" spans="1:19" x14ac:dyDescent="0.25">
      <c r="A45" s="104" t="s">
        <v>34</v>
      </c>
      <c r="B45" s="104"/>
      <c r="C45" s="105" t="e">
        <f>VLOOKUP(A45,'FY24 Service Agreements'!$A:$AF,31,FALSE)</f>
        <v>#N/A</v>
      </c>
      <c r="D45" s="104"/>
      <c r="E45" s="104" t="s">
        <v>769</v>
      </c>
      <c r="F45" s="104" t="s">
        <v>850</v>
      </c>
      <c r="G45" s="287" t="s">
        <v>822</v>
      </c>
      <c r="H45" s="124">
        <v>44743</v>
      </c>
      <c r="I45" s="124">
        <v>45107</v>
      </c>
      <c r="L45" t="s">
        <v>851</v>
      </c>
      <c r="M45" s="2">
        <v>29500</v>
      </c>
      <c r="N45" s="40" t="s">
        <v>852</v>
      </c>
    </row>
    <row r="46" spans="1:19" x14ac:dyDescent="0.25">
      <c r="B46" t="s">
        <v>853</v>
      </c>
      <c r="C46" s="2">
        <v>5000</v>
      </c>
      <c r="L46" t="s">
        <v>854</v>
      </c>
      <c r="M46" s="2">
        <v>29500</v>
      </c>
      <c r="N46" s="40" t="s">
        <v>852</v>
      </c>
    </row>
    <row r="47" spans="1:19" x14ac:dyDescent="0.25">
      <c r="B47" t="s">
        <v>855</v>
      </c>
    </row>
    <row r="48" spans="1:19" x14ac:dyDescent="0.25">
      <c r="C48" s="103"/>
      <c r="K48" s="104" t="s">
        <v>564</v>
      </c>
      <c r="L48" s="104"/>
      <c r="M48" s="124" t="s">
        <v>568</v>
      </c>
      <c r="N48" s="104"/>
      <c r="O48" s="282" t="s">
        <v>771</v>
      </c>
      <c r="P48" s="104" t="s">
        <v>772</v>
      </c>
      <c r="Q48" s="282" t="s">
        <v>773</v>
      </c>
      <c r="R48" s="124">
        <v>44815</v>
      </c>
      <c r="S48" s="124">
        <v>45179</v>
      </c>
    </row>
    <row r="49" spans="1:19" x14ac:dyDescent="0.25">
      <c r="A49" s="117" t="s">
        <v>456</v>
      </c>
      <c r="B49" s="117"/>
      <c r="C49" s="118">
        <f>VLOOKUP(A49,'FY24 Service Agreements'!$A:$AF,31,FALSE)</f>
        <v>46478</v>
      </c>
      <c r="D49" s="117"/>
      <c r="E49" s="117" t="s">
        <v>769</v>
      </c>
      <c r="F49" s="117"/>
      <c r="G49" s="118"/>
      <c r="H49" s="125">
        <v>44652</v>
      </c>
      <c r="I49" s="125">
        <v>46477</v>
      </c>
      <c r="L49" t="s">
        <v>856</v>
      </c>
      <c r="M49" s="2">
        <v>216541.92</v>
      </c>
      <c r="N49" s="142" t="s">
        <v>857</v>
      </c>
    </row>
    <row r="50" spans="1:19" x14ac:dyDescent="0.25">
      <c r="B50" t="s">
        <v>858</v>
      </c>
      <c r="C50" s="2">
        <v>8125.73</v>
      </c>
      <c r="F50" s="294">
        <f>+C50/12</f>
        <v>677.14416666666659</v>
      </c>
    </row>
    <row r="51" spans="1:19" x14ac:dyDescent="0.25">
      <c r="B51" t="s">
        <v>859</v>
      </c>
      <c r="C51" s="454">
        <v>4831.6000000000004</v>
      </c>
      <c r="F51" s="294">
        <f t="shared" ref="F51:F55" si="0">+C51/12</f>
        <v>402.63333333333338</v>
      </c>
      <c r="K51" s="115" t="s">
        <v>860</v>
      </c>
      <c r="L51" s="115"/>
      <c r="M51" s="121" t="s">
        <v>861</v>
      </c>
      <c r="N51" s="115"/>
      <c r="O51" s="283" t="s">
        <v>771</v>
      </c>
      <c r="P51" s="115" t="s">
        <v>772</v>
      </c>
      <c r="Q51" s="283" t="s">
        <v>773</v>
      </c>
      <c r="R51" s="121">
        <v>44743</v>
      </c>
      <c r="S51" s="121">
        <v>44926</v>
      </c>
    </row>
    <row r="52" spans="1:19" x14ac:dyDescent="0.25">
      <c r="B52" t="s">
        <v>862</v>
      </c>
      <c r="C52" s="454">
        <v>2468.2800000000002</v>
      </c>
      <c r="F52" s="294">
        <f t="shared" si="0"/>
        <v>205.69000000000003</v>
      </c>
      <c r="L52" t="s">
        <v>863</v>
      </c>
      <c r="M52" s="2">
        <v>2500</v>
      </c>
      <c r="N52" t="s">
        <v>864</v>
      </c>
      <c r="P52" s="139">
        <f>M52*12</f>
        <v>30000</v>
      </c>
    </row>
    <row r="53" spans="1:19" x14ac:dyDescent="0.25">
      <c r="B53" t="s">
        <v>862</v>
      </c>
      <c r="C53" s="454">
        <v>2502.12</v>
      </c>
      <c r="F53" s="294">
        <f t="shared" si="0"/>
        <v>208.51</v>
      </c>
      <c r="L53" t="s">
        <v>865</v>
      </c>
      <c r="M53" s="2">
        <v>1000</v>
      </c>
      <c r="N53" t="s">
        <v>864</v>
      </c>
      <c r="P53" s="139">
        <f>M53*12</f>
        <v>12000</v>
      </c>
    </row>
    <row r="54" spans="1:19" x14ac:dyDescent="0.25">
      <c r="B54" t="s">
        <v>866</v>
      </c>
      <c r="C54" s="2">
        <v>2615.73</v>
      </c>
      <c r="F54" s="294">
        <f t="shared" si="0"/>
        <v>217.97749999999999</v>
      </c>
      <c r="L54" t="s">
        <v>867</v>
      </c>
      <c r="M54" s="2">
        <v>4000</v>
      </c>
      <c r="P54" s="139">
        <f>M54</f>
        <v>4000</v>
      </c>
    </row>
    <row r="55" spans="1:19" x14ac:dyDescent="0.25">
      <c r="B55" t="s">
        <v>866</v>
      </c>
      <c r="C55" s="2">
        <v>2615.73</v>
      </c>
      <c r="F55" s="294">
        <f t="shared" si="0"/>
        <v>217.97749999999999</v>
      </c>
      <c r="L55" s="54" t="s">
        <v>868</v>
      </c>
      <c r="M55" s="120">
        <f>SUM(M52:M54)</f>
        <v>7500</v>
      </c>
      <c r="N55" s="54"/>
      <c r="O55" s="176" t="s">
        <v>869</v>
      </c>
      <c r="P55" s="177">
        <f>SUM(P52:P54)</f>
        <v>46000</v>
      </c>
    </row>
    <row r="56" spans="1:19" x14ac:dyDescent="0.25">
      <c r="C56" s="110">
        <f>SUM(C50:C55)</f>
        <v>23159.19</v>
      </c>
      <c r="F56" s="295">
        <f>SUM(F50:F55)</f>
        <v>1929.9324999999999</v>
      </c>
    </row>
    <row r="57" spans="1:19" x14ac:dyDescent="0.25">
      <c r="C57" s="112"/>
    </row>
    <row r="58" spans="1:19" x14ac:dyDescent="0.25">
      <c r="A58" s="106" t="s">
        <v>40</v>
      </c>
      <c r="B58" s="106"/>
      <c r="C58" s="111" t="e">
        <f>VLOOKUP(A58,'FY24 Service Agreements'!$A:$AF,31,FALSE)</f>
        <v>#N/A</v>
      </c>
      <c r="D58" s="106"/>
      <c r="E58" s="106" t="s">
        <v>769</v>
      </c>
      <c r="F58" s="106"/>
      <c r="G58" s="111"/>
      <c r="H58" s="123">
        <v>43191</v>
      </c>
      <c r="I58" s="123">
        <v>45016</v>
      </c>
    </row>
    <row r="59" spans="1:19" x14ac:dyDescent="0.25">
      <c r="B59" t="s">
        <v>870</v>
      </c>
      <c r="C59" s="2">
        <f>17608/12</f>
        <v>1467.3333333333333</v>
      </c>
    </row>
    <row r="61" spans="1:19" x14ac:dyDescent="0.25">
      <c r="A61" s="106" t="s">
        <v>871</v>
      </c>
      <c r="B61" s="106"/>
      <c r="C61" s="111" t="e">
        <f>VLOOKUP(A61,'FY24 Service Agreements'!$A:$AF,31,FALSE)</f>
        <v>#N/A</v>
      </c>
      <c r="D61" s="106"/>
      <c r="E61" s="106" t="s">
        <v>769</v>
      </c>
      <c r="F61" s="106"/>
      <c r="G61" s="111"/>
      <c r="H61" s="123">
        <v>43497</v>
      </c>
      <c r="I61" s="123">
        <v>45322</v>
      </c>
    </row>
    <row r="62" spans="1:19" x14ac:dyDescent="0.25">
      <c r="B62" t="s">
        <v>870</v>
      </c>
      <c r="C62" s="2">
        <f>27344/12</f>
        <v>2278.6666666666665</v>
      </c>
    </row>
    <row r="64" spans="1:19" x14ac:dyDescent="0.25">
      <c r="A64" s="106" t="s">
        <v>872</v>
      </c>
      <c r="B64" s="106"/>
      <c r="C64" s="111" t="e">
        <f>VLOOKUP(A64,'FY24 Service Agreements'!$A:$AF,31,FALSE)</f>
        <v>#N/A</v>
      </c>
      <c r="D64" s="106"/>
      <c r="E64" s="106" t="s">
        <v>769</v>
      </c>
      <c r="F64" s="106"/>
      <c r="G64" s="111"/>
      <c r="H64" s="123">
        <v>43896</v>
      </c>
      <c r="I64" s="123">
        <v>45869</v>
      </c>
    </row>
    <row r="65" spans="1:19" x14ac:dyDescent="0.25">
      <c r="B65" t="s">
        <v>870</v>
      </c>
      <c r="C65" s="2">
        <f>26338/12</f>
        <v>2194.8333333333335</v>
      </c>
    </row>
    <row r="67" spans="1:19" x14ac:dyDescent="0.25">
      <c r="A67" s="104" t="s">
        <v>42</v>
      </c>
      <c r="B67" s="104"/>
      <c r="C67" s="105">
        <f>VLOOKUP(A67,'FY24 Service Agreements'!$A:$AF,31,FALSE)</f>
        <v>45444</v>
      </c>
      <c r="D67" s="104"/>
      <c r="E67" s="104" t="s">
        <v>769</v>
      </c>
      <c r="F67" s="104"/>
      <c r="G67" s="287" t="s">
        <v>822</v>
      </c>
      <c r="H67" s="124">
        <v>44593</v>
      </c>
      <c r="I67" s="124">
        <v>45107</v>
      </c>
    </row>
    <row r="68" spans="1:19" ht="30" x14ac:dyDescent="0.25">
      <c r="B68" s="8" t="s">
        <v>873</v>
      </c>
      <c r="C68" s="2">
        <f>159701.26/12</f>
        <v>13308.438333333334</v>
      </c>
      <c r="E68" t="s">
        <v>874</v>
      </c>
      <c r="G68" s="178">
        <v>159701.26</v>
      </c>
    </row>
    <row r="70" spans="1:19" x14ac:dyDescent="0.25">
      <c r="A70" s="278" t="s">
        <v>46</v>
      </c>
      <c r="B70" s="279"/>
      <c r="C70" s="266">
        <f>VLOOKUP(A70,'FY24 Service Agreements'!$A:$AF,31,FALSE)</f>
        <v>45444</v>
      </c>
      <c r="D70" s="267"/>
      <c r="E70" s="267" t="s">
        <v>769</v>
      </c>
      <c r="F70" s="267"/>
      <c r="G70" s="288" t="s">
        <v>822</v>
      </c>
      <c r="H70" s="268">
        <v>44743</v>
      </c>
      <c r="I70" s="268">
        <v>45107</v>
      </c>
    </row>
    <row r="71" spans="1:19" x14ac:dyDescent="0.25">
      <c r="B71" t="s">
        <v>875</v>
      </c>
      <c r="E71" t="s">
        <v>874</v>
      </c>
      <c r="G71" s="2">
        <v>127207.12</v>
      </c>
    </row>
    <row r="72" spans="1:19" x14ac:dyDescent="0.25">
      <c r="B72" s="54"/>
    </row>
    <row r="74" spans="1:19" x14ac:dyDescent="0.25">
      <c r="A74" s="107" t="s">
        <v>485</v>
      </c>
      <c r="B74" s="107"/>
      <c r="C74" s="253">
        <f>VLOOKUP(A74,'FY24 Service Agreements'!$A:$AF,31,FALSE)</f>
        <v>45383</v>
      </c>
      <c r="D74" s="254"/>
      <c r="E74" s="254" t="s">
        <v>769</v>
      </c>
      <c r="F74" s="254"/>
      <c r="G74" s="255"/>
      <c r="H74" s="256">
        <v>44378</v>
      </c>
      <c r="I74" s="256">
        <v>45473</v>
      </c>
    </row>
    <row r="75" spans="1:19" x14ac:dyDescent="0.25">
      <c r="B75" t="s">
        <v>870</v>
      </c>
      <c r="C75" s="2">
        <f>G75/12</f>
        <v>2338.6666666666665</v>
      </c>
      <c r="E75" t="s">
        <v>876</v>
      </c>
      <c r="G75" s="2">
        <v>28064</v>
      </c>
    </row>
    <row r="77" spans="1:19" x14ac:dyDescent="0.25">
      <c r="A77" s="108" t="s">
        <v>877</v>
      </c>
      <c r="B77" s="108"/>
      <c r="C77" s="109">
        <f>VLOOKUP(A77,'FY24 Service Agreements'!$A:$AF,31,FALSE)</f>
        <v>45444</v>
      </c>
      <c r="D77" s="108"/>
      <c r="E77" s="108" t="s">
        <v>769</v>
      </c>
      <c r="F77" s="108"/>
      <c r="G77" s="109"/>
      <c r="H77" s="122">
        <v>44743</v>
      </c>
      <c r="I77" s="122">
        <v>45107</v>
      </c>
    </row>
    <row r="78" spans="1:19" x14ac:dyDescent="0.25">
      <c r="B78" t="s">
        <v>878</v>
      </c>
      <c r="C78" s="2">
        <v>2007.56</v>
      </c>
      <c r="E78" s="178">
        <f>+C78/4</f>
        <v>501.89</v>
      </c>
      <c r="G78" s="112"/>
    </row>
    <row r="79" spans="1:19" x14ac:dyDescent="0.25">
      <c r="B79" t="s">
        <v>879</v>
      </c>
      <c r="C79" s="2">
        <v>3609.12</v>
      </c>
      <c r="E79" s="178">
        <f t="shared" ref="E79:E90" si="1">+C79/4</f>
        <v>902.28</v>
      </c>
      <c r="G79" s="112"/>
      <c r="K79" s="117" t="s">
        <v>880</v>
      </c>
      <c r="L79" s="117"/>
      <c r="M79" s="125" t="e">
        <v>#N/A</v>
      </c>
      <c r="N79" s="117"/>
      <c r="O79" s="284" t="s">
        <v>771</v>
      </c>
      <c r="P79" s="117" t="s">
        <v>772</v>
      </c>
      <c r="Q79" s="284" t="s">
        <v>773</v>
      </c>
      <c r="R79" s="125" t="e">
        <v>#N/A</v>
      </c>
      <c r="S79" s="125" t="e">
        <v>#N/A</v>
      </c>
    </row>
    <row r="80" spans="1:19" x14ac:dyDescent="0.25">
      <c r="B80" t="s">
        <v>881</v>
      </c>
      <c r="C80" s="2">
        <v>6002.8</v>
      </c>
      <c r="E80" s="178">
        <f t="shared" si="1"/>
        <v>1500.7</v>
      </c>
      <c r="G80" s="112"/>
      <c r="H80" t="s">
        <v>882</v>
      </c>
      <c r="I80" s="2">
        <f>8500-4000</f>
        <v>4500</v>
      </c>
      <c r="L80" t="s">
        <v>883</v>
      </c>
    </row>
    <row r="81" spans="1:19" x14ac:dyDescent="0.25">
      <c r="B81" t="s">
        <v>884</v>
      </c>
      <c r="C81" s="2">
        <v>979.36</v>
      </c>
      <c r="E81" s="178">
        <f t="shared" si="1"/>
        <v>244.84</v>
      </c>
      <c r="G81" s="112"/>
      <c r="I81" s="139"/>
      <c r="L81" s="52" t="s">
        <v>885</v>
      </c>
      <c r="M81" s="2">
        <v>6932.25</v>
      </c>
    </row>
    <row r="82" spans="1:19" x14ac:dyDescent="0.25">
      <c r="B82" t="s">
        <v>886</v>
      </c>
      <c r="C82" s="2">
        <v>4562.16</v>
      </c>
      <c r="E82" s="178">
        <f t="shared" si="1"/>
        <v>1140.54</v>
      </c>
      <c r="G82" s="112"/>
      <c r="I82" s="139">
        <f>+I80/4</f>
        <v>1125</v>
      </c>
      <c r="L82" t="s">
        <v>887</v>
      </c>
      <c r="M82" s="2">
        <v>2437.5</v>
      </c>
    </row>
    <row r="83" spans="1:19" x14ac:dyDescent="0.25">
      <c r="B83" t="s">
        <v>888</v>
      </c>
      <c r="C83" s="2">
        <v>5325</v>
      </c>
      <c r="E83" s="178">
        <f t="shared" si="1"/>
        <v>1331.25</v>
      </c>
      <c r="G83" s="112"/>
      <c r="I83" s="139"/>
      <c r="L83" t="s">
        <v>889</v>
      </c>
      <c r="M83" s="2">
        <v>600</v>
      </c>
    </row>
    <row r="84" spans="1:19" x14ac:dyDescent="0.25">
      <c r="B84" t="s">
        <v>890</v>
      </c>
      <c r="C84" s="2">
        <v>23700</v>
      </c>
      <c r="E84" s="178">
        <f t="shared" si="1"/>
        <v>5925</v>
      </c>
      <c r="G84" s="112"/>
      <c r="I84" s="178"/>
      <c r="L84" t="s">
        <v>780</v>
      </c>
      <c r="M84" s="110">
        <f>SUM(M81:M83)</f>
        <v>9969.75</v>
      </c>
    </row>
    <row r="85" spans="1:19" x14ac:dyDescent="0.25">
      <c r="B85" t="s">
        <v>891</v>
      </c>
      <c r="C85" s="2">
        <v>17680.98</v>
      </c>
      <c r="E85" s="178">
        <f t="shared" si="1"/>
        <v>4420.2449999999999</v>
      </c>
      <c r="G85" s="112"/>
    </row>
    <row r="86" spans="1:19" x14ac:dyDescent="0.25">
      <c r="B86" t="s">
        <v>892</v>
      </c>
      <c r="C86" s="2">
        <v>2784.66</v>
      </c>
      <c r="E86" s="178">
        <f t="shared" si="1"/>
        <v>696.16499999999996</v>
      </c>
      <c r="G86" s="112"/>
      <c r="I86" s="139"/>
    </row>
    <row r="87" spans="1:19" x14ac:dyDescent="0.25">
      <c r="B87" t="s">
        <v>893</v>
      </c>
      <c r="C87" s="2">
        <v>2829.9</v>
      </c>
      <c r="E87" s="178">
        <f t="shared" si="1"/>
        <v>707.47500000000002</v>
      </c>
      <c r="G87" s="112"/>
      <c r="H87" s="178">
        <f>+E91</f>
        <v>22220.814999999999</v>
      </c>
      <c r="K87" s="307" t="s">
        <v>894</v>
      </c>
      <c r="L87" s="304"/>
      <c r="M87" s="305" t="s">
        <v>895</v>
      </c>
      <c r="N87" s="304"/>
      <c r="O87" s="306" t="s">
        <v>771</v>
      </c>
      <c r="P87" s="304"/>
      <c r="Q87" s="306" t="s">
        <v>773</v>
      </c>
      <c r="R87" s="305" t="e">
        <v>#N/A</v>
      </c>
      <c r="S87" s="305" t="e">
        <v>#N/A</v>
      </c>
    </row>
    <row r="88" spans="1:19" x14ac:dyDescent="0.25">
      <c r="B88" t="s">
        <v>896</v>
      </c>
      <c r="C88" s="2">
        <v>5298.84</v>
      </c>
      <c r="E88" s="178">
        <f t="shared" si="1"/>
        <v>1324.71</v>
      </c>
      <c r="G88" s="112"/>
      <c r="H88" s="178">
        <f>+E101</f>
        <v>10625</v>
      </c>
      <c r="I88" s="139"/>
      <c r="L88" t="s">
        <v>897</v>
      </c>
    </row>
    <row r="89" spans="1:19" x14ac:dyDescent="0.25">
      <c r="B89" t="s">
        <v>898</v>
      </c>
      <c r="C89" s="2">
        <v>9174</v>
      </c>
      <c r="E89" s="178">
        <f t="shared" si="1"/>
        <v>2293.5</v>
      </c>
      <c r="G89" s="112"/>
      <c r="H89" s="178">
        <f>+I82</f>
        <v>1125</v>
      </c>
      <c r="L89" t="s">
        <v>899</v>
      </c>
      <c r="M89" s="2">
        <v>10850</v>
      </c>
      <c r="P89" s="139">
        <v>310</v>
      </c>
      <c r="Q89" s="2" t="s">
        <v>900</v>
      </c>
    </row>
    <row r="90" spans="1:19" x14ac:dyDescent="0.25">
      <c r="B90" t="s">
        <v>901</v>
      </c>
      <c r="C90" s="2">
        <v>4928.88</v>
      </c>
      <c r="E90" s="178">
        <f t="shared" si="1"/>
        <v>1232.22</v>
      </c>
      <c r="G90" s="112"/>
      <c r="H90" s="178"/>
      <c r="L90" t="s">
        <v>902</v>
      </c>
      <c r="M90" s="2">
        <v>18480</v>
      </c>
      <c r="P90" s="139">
        <v>44</v>
      </c>
      <c r="Q90" s="2" t="s">
        <v>903</v>
      </c>
    </row>
    <row r="91" spans="1:19" x14ac:dyDescent="0.25">
      <c r="B91" t="s">
        <v>904</v>
      </c>
      <c r="C91" s="110">
        <f>SUM(C78:C90)</f>
        <v>88883.26</v>
      </c>
      <c r="E91" s="243">
        <f>SUM(E78:E90)</f>
        <v>22220.814999999999</v>
      </c>
      <c r="F91" s="51"/>
      <c r="G91" s="244"/>
      <c r="H91" s="178">
        <f>+SUM(H87:H89)</f>
        <v>33970.815000000002</v>
      </c>
    </row>
    <row r="92" spans="1:19" x14ac:dyDescent="0.25">
      <c r="C92" s="112"/>
      <c r="E92" s="178"/>
      <c r="F92" s="51"/>
      <c r="G92" s="244"/>
      <c r="M92" s="2">
        <f>+M89+M90</f>
        <v>29330</v>
      </c>
    </row>
    <row r="93" spans="1:19" x14ac:dyDescent="0.25">
      <c r="A93" s="54" t="s">
        <v>905</v>
      </c>
      <c r="B93" t="s">
        <v>901</v>
      </c>
      <c r="C93" s="112">
        <v>2500</v>
      </c>
      <c r="E93" s="178">
        <f t="shared" ref="E93:E100" si="2">+C93/4</f>
        <v>625</v>
      </c>
      <c r="F93" s="51"/>
      <c r="G93" s="112"/>
    </row>
    <row r="94" spans="1:19" x14ac:dyDescent="0.25">
      <c r="B94" t="s">
        <v>906</v>
      </c>
      <c r="C94" s="112">
        <v>5000</v>
      </c>
      <c r="E94" s="178">
        <f t="shared" si="2"/>
        <v>1250</v>
      </c>
      <c r="F94" s="51"/>
      <c r="G94" s="112"/>
    </row>
    <row r="95" spans="1:19" x14ac:dyDescent="0.25">
      <c r="B95" t="s">
        <v>907</v>
      </c>
      <c r="C95" s="112">
        <v>5000</v>
      </c>
      <c r="E95" s="178">
        <f t="shared" si="2"/>
        <v>1250</v>
      </c>
      <c r="F95" s="51"/>
      <c r="G95" s="112"/>
    </row>
    <row r="96" spans="1:19" x14ac:dyDescent="0.25">
      <c r="B96" t="s">
        <v>890</v>
      </c>
      <c r="C96" s="112">
        <v>5000</v>
      </c>
      <c r="E96" s="178">
        <f t="shared" si="2"/>
        <v>1250</v>
      </c>
      <c r="F96" s="51"/>
      <c r="G96" s="112"/>
    </row>
    <row r="97" spans="1:19" x14ac:dyDescent="0.25">
      <c r="B97" t="s">
        <v>891</v>
      </c>
      <c r="C97" s="112">
        <v>10000</v>
      </c>
      <c r="E97" s="178">
        <f t="shared" si="2"/>
        <v>2500</v>
      </c>
      <c r="F97" s="51"/>
      <c r="G97" s="112"/>
    </row>
    <row r="98" spans="1:19" x14ac:dyDescent="0.25">
      <c r="B98" t="s">
        <v>896</v>
      </c>
      <c r="C98" s="112">
        <v>5000</v>
      </c>
      <c r="E98" s="178">
        <f t="shared" si="2"/>
        <v>1250</v>
      </c>
      <c r="F98" s="51"/>
      <c r="G98" s="112"/>
    </row>
    <row r="99" spans="1:19" x14ac:dyDescent="0.25">
      <c r="B99" t="s">
        <v>908</v>
      </c>
      <c r="C99" s="112">
        <v>7500</v>
      </c>
      <c r="E99" s="178">
        <f t="shared" si="2"/>
        <v>1875</v>
      </c>
      <c r="F99" s="51"/>
      <c r="G99" s="112"/>
      <c r="K99" s="106" t="s">
        <v>909</v>
      </c>
      <c r="L99" s="106"/>
      <c r="M99" s="123">
        <v>0</v>
      </c>
      <c r="N99" s="106"/>
      <c r="O99" s="175" t="s">
        <v>771</v>
      </c>
      <c r="P99" s="106" t="s">
        <v>772</v>
      </c>
      <c r="Q99" s="175" t="s">
        <v>773</v>
      </c>
      <c r="R99" s="123">
        <v>0</v>
      </c>
      <c r="S99" s="123">
        <v>0</v>
      </c>
    </row>
    <row r="100" spans="1:19" x14ac:dyDescent="0.25">
      <c r="B100" t="s">
        <v>910</v>
      </c>
      <c r="C100" s="112">
        <v>2500</v>
      </c>
      <c r="E100" s="178">
        <f t="shared" si="2"/>
        <v>625</v>
      </c>
      <c r="G100" s="112"/>
    </row>
    <row r="101" spans="1:19" x14ac:dyDescent="0.25">
      <c r="B101" t="s">
        <v>904</v>
      </c>
      <c r="C101" s="110">
        <f>+SUM(C93:C100)</f>
        <v>42500</v>
      </c>
      <c r="E101" s="243">
        <f>+SUM(E93:E100)</f>
        <v>10625</v>
      </c>
      <c r="F101" s="51"/>
      <c r="G101" s="112"/>
    </row>
    <row r="103" spans="1:19" x14ac:dyDescent="0.25">
      <c r="A103" s="104" t="s">
        <v>170</v>
      </c>
      <c r="B103" s="104"/>
      <c r="C103" s="105">
        <f>VLOOKUP(A103,'FY24 Service Agreements'!$A:$AF,31,FALSE)</f>
        <v>45231</v>
      </c>
      <c r="D103" s="104"/>
      <c r="E103" s="104" t="s">
        <v>769</v>
      </c>
      <c r="F103" s="104"/>
      <c r="G103" s="287" t="s">
        <v>822</v>
      </c>
      <c r="H103" s="124">
        <v>44592</v>
      </c>
      <c r="I103" s="124">
        <v>44957</v>
      </c>
    </row>
    <row r="104" spans="1:19" x14ac:dyDescent="0.25">
      <c r="B104" t="s">
        <v>870</v>
      </c>
      <c r="D104" s="139"/>
      <c r="E104" t="s">
        <v>911</v>
      </c>
      <c r="G104" s="2">
        <v>11124</v>
      </c>
    </row>
    <row r="105" spans="1:19" x14ac:dyDescent="0.25">
      <c r="B105" t="s">
        <v>912</v>
      </c>
      <c r="D105" s="139"/>
    </row>
    <row r="106" spans="1:19" x14ac:dyDescent="0.25">
      <c r="K106" s="108" t="s">
        <v>913</v>
      </c>
      <c r="L106" s="108"/>
      <c r="M106" s="122">
        <v>0</v>
      </c>
      <c r="N106" s="108"/>
      <c r="O106" s="280" t="s">
        <v>771</v>
      </c>
      <c r="P106" s="108" t="s">
        <v>772</v>
      </c>
      <c r="Q106" s="280" t="s">
        <v>773</v>
      </c>
      <c r="R106" s="122">
        <v>0</v>
      </c>
      <c r="S106" s="122">
        <v>0</v>
      </c>
    </row>
    <row r="107" spans="1:19" x14ac:dyDescent="0.25">
      <c r="A107" s="115" t="s">
        <v>914</v>
      </c>
      <c r="B107" s="115"/>
      <c r="C107" s="116">
        <v>0</v>
      </c>
      <c r="D107" s="115"/>
      <c r="E107" s="115" t="s">
        <v>769</v>
      </c>
      <c r="F107" s="115"/>
      <c r="G107" s="116"/>
      <c r="H107" s="121">
        <v>0</v>
      </c>
      <c r="I107" s="121">
        <v>0</v>
      </c>
      <c r="L107" t="s">
        <v>915</v>
      </c>
    </row>
    <row r="108" spans="1:19" x14ac:dyDescent="0.25">
      <c r="B108" t="s">
        <v>916</v>
      </c>
      <c r="C108" s="2">
        <v>25000</v>
      </c>
      <c r="L108" s="52" t="s">
        <v>917</v>
      </c>
    </row>
    <row r="109" spans="1:19" x14ac:dyDescent="0.25">
      <c r="L109" s="52" t="s">
        <v>918</v>
      </c>
      <c r="M109" s="2">
        <v>332</v>
      </c>
    </row>
    <row r="111" spans="1:19" x14ac:dyDescent="0.25">
      <c r="A111" s="101" t="s">
        <v>52</v>
      </c>
      <c r="B111" s="101"/>
      <c r="C111" s="266">
        <f>VLOOKUP(A111,'FY24 Service Agreements'!$A:$AF,31,FALSE)</f>
        <v>45444</v>
      </c>
      <c r="D111" s="267"/>
      <c r="E111" s="267" t="s">
        <v>769</v>
      </c>
      <c r="F111" s="267"/>
      <c r="G111" s="102"/>
      <c r="H111" s="268">
        <v>44866</v>
      </c>
      <c r="I111" s="268">
        <v>45107</v>
      </c>
    </row>
    <row r="112" spans="1:19" x14ac:dyDescent="0.25">
      <c r="B112" t="s">
        <v>919</v>
      </c>
      <c r="E112" t="s">
        <v>911</v>
      </c>
      <c r="G112" s="344">
        <v>23369.54</v>
      </c>
    </row>
    <row r="114" spans="1:19" x14ac:dyDescent="0.25">
      <c r="K114" s="107" t="s">
        <v>920</v>
      </c>
      <c r="L114" s="107"/>
      <c r="M114" s="113" t="e">
        <v>#N/A</v>
      </c>
      <c r="N114" s="107"/>
      <c r="O114" s="281" t="s">
        <v>771</v>
      </c>
      <c r="P114" s="107" t="s">
        <v>772</v>
      </c>
      <c r="Q114" s="281" t="s">
        <v>773</v>
      </c>
      <c r="R114" s="113" t="e">
        <v>#N/A</v>
      </c>
      <c r="S114" s="113" t="e">
        <v>#N/A</v>
      </c>
    </row>
    <row r="115" spans="1:19" x14ac:dyDescent="0.25">
      <c r="L115" t="s">
        <v>921</v>
      </c>
      <c r="M115" s="2">
        <v>11280</v>
      </c>
      <c r="N115" s="142" t="s">
        <v>922</v>
      </c>
    </row>
    <row r="116" spans="1:19" x14ac:dyDescent="0.25">
      <c r="B116" s="22"/>
      <c r="L116" t="s">
        <v>923</v>
      </c>
      <c r="M116" s="2">
        <v>4240</v>
      </c>
      <c r="N116" s="142" t="s">
        <v>924</v>
      </c>
      <c r="Q116" s="103"/>
      <c r="R116" s="40"/>
      <c r="S116" s="40"/>
    </row>
    <row r="117" spans="1:19" x14ac:dyDescent="0.25">
      <c r="B117" s="22"/>
      <c r="L117" t="s">
        <v>925</v>
      </c>
      <c r="M117" s="2">
        <v>0</v>
      </c>
      <c r="N117" s="142" t="s">
        <v>926</v>
      </c>
    </row>
    <row r="118" spans="1:19" x14ac:dyDescent="0.25">
      <c r="B118" s="22"/>
      <c r="L118" t="s">
        <v>927</v>
      </c>
      <c r="M118" s="2">
        <v>750</v>
      </c>
      <c r="N118" s="142" t="s">
        <v>928</v>
      </c>
    </row>
    <row r="119" spans="1:19" x14ac:dyDescent="0.25">
      <c r="B119" s="22"/>
      <c r="L119" s="54" t="s">
        <v>929</v>
      </c>
      <c r="M119" s="120">
        <f>SUM(M115:M118)</f>
        <v>16270</v>
      </c>
    </row>
    <row r="120" spans="1:19" x14ac:dyDescent="0.25">
      <c r="L120" s="54"/>
      <c r="M120" s="189"/>
    </row>
    <row r="121" spans="1:19" x14ac:dyDescent="0.25">
      <c r="A121" s="101" t="s">
        <v>509</v>
      </c>
      <c r="B121" s="101"/>
      <c r="C121" s="266">
        <f>VLOOKUP(A121,'FY24 Service Agreements'!$A:$AF,31,FALSE)</f>
        <v>45444</v>
      </c>
      <c r="D121" s="267"/>
      <c r="E121" s="267" t="s">
        <v>769</v>
      </c>
      <c r="F121" s="267"/>
      <c r="G121" s="102"/>
      <c r="H121" s="268">
        <v>44743</v>
      </c>
      <c r="I121" s="268">
        <v>45107</v>
      </c>
    </row>
    <row r="122" spans="1:19" x14ac:dyDescent="0.25">
      <c r="B122" t="s">
        <v>930</v>
      </c>
      <c r="C122" s="2">
        <f>G122/2</f>
        <v>62500</v>
      </c>
      <c r="E122" t="s">
        <v>911</v>
      </c>
      <c r="G122" s="2">
        <v>125000</v>
      </c>
      <c r="K122" s="107" t="s">
        <v>931</v>
      </c>
      <c r="L122" s="107"/>
      <c r="M122" s="113">
        <v>0</v>
      </c>
      <c r="N122" s="107"/>
      <c r="O122" s="281" t="s">
        <v>771</v>
      </c>
      <c r="P122" s="107" t="s">
        <v>772</v>
      </c>
      <c r="Q122" s="281" t="s">
        <v>773</v>
      </c>
      <c r="R122" s="113">
        <v>0</v>
      </c>
      <c r="S122" s="113">
        <v>0</v>
      </c>
    </row>
    <row r="123" spans="1:19" x14ac:dyDescent="0.25">
      <c r="C123" s="2">
        <f>G122/2</f>
        <v>62500</v>
      </c>
      <c r="L123" t="s">
        <v>752</v>
      </c>
    </row>
    <row r="124" spans="1:19" x14ac:dyDescent="0.25">
      <c r="L124" s="52" t="s">
        <v>932</v>
      </c>
      <c r="M124" s="2">
        <v>5480</v>
      </c>
    </row>
    <row r="125" spans="1:19" x14ac:dyDescent="0.25">
      <c r="A125" s="101" t="s">
        <v>933</v>
      </c>
      <c r="B125" s="101"/>
      <c r="C125" s="266" t="e">
        <v>#N/A</v>
      </c>
      <c r="D125" s="267"/>
      <c r="E125" s="267" t="s">
        <v>769</v>
      </c>
      <c r="F125" s="267"/>
      <c r="G125" s="102"/>
      <c r="H125" s="268" t="e">
        <v>#N/A</v>
      </c>
      <c r="I125" s="268" t="e">
        <v>#N/A</v>
      </c>
    </row>
    <row r="126" spans="1:19" x14ac:dyDescent="0.25">
      <c r="B126" t="s">
        <v>934</v>
      </c>
      <c r="C126" s="2">
        <v>11.36</v>
      </c>
      <c r="D126" t="s">
        <v>935</v>
      </c>
    </row>
    <row r="127" spans="1:19" x14ac:dyDescent="0.25">
      <c r="B127" t="s">
        <v>936</v>
      </c>
      <c r="C127" s="2">
        <v>11.36</v>
      </c>
    </row>
    <row r="128" spans="1:19" x14ac:dyDescent="0.25">
      <c r="B128" t="s">
        <v>937</v>
      </c>
      <c r="C128" s="2">
        <v>2.5</v>
      </c>
      <c r="D128" t="s">
        <v>935</v>
      </c>
    </row>
    <row r="129" spans="1:9" x14ac:dyDescent="0.25">
      <c r="B129" s="40" t="s">
        <v>938</v>
      </c>
    </row>
    <row r="131" spans="1:9" x14ac:dyDescent="0.25">
      <c r="A131" s="262" t="s">
        <v>54</v>
      </c>
      <c r="B131" s="262"/>
      <c r="C131" s="263">
        <f>VLOOKUP(A131,'FY24 Service Agreements'!$A:$AF,31,FALSE)</f>
        <v>45444</v>
      </c>
      <c r="D131" s="262"/>
      <c r="E131" s="262" t="s">
        <v>769</v>
      </c>
      <c r="F131" s="262"/>
      <c r="G131" s="264"/>
      <c r="H131" s="265">
        <v>44743</v>
      </c>
      <c r="I131" s="265">
        <v>44926</v>
      </c>
    </row>
    <row r="132" spans="1:9" x14ac:dyDescent="0.25">
      <c r="B132" t="s">
        <v>939</v>
      </c>
      <c r="C132" s="2">
        <f>G132/4</f>
        <v>15375</v>
      </c>
      <c r="E132" t="s">
        <v>911</v>
      </c>
      <c r="G132" s="2">
        <v>61500</v>
      </c>
    </row>
    <row r="133" spans="1:9" x14ac:dyDescent="0.25">
      <c r="B133" t="s">
        <v>940</v>
      </c>
      <c r="C133" s="2">
        <f>G133/4</f>
        <v>15625</v>
      </c>
      <c r="E133" t="s">
        <v>911</v>
      </c>
      <c r="G133" s="2">
        <v>62500</v>
      </c>
    </row>
    <row r="134" spans="1:9" x14ac:dyDescent="0.25">
      <c r="B134" t="s">
        <v>941</v>
      </c>
      <c r="C134" s="2">
        <f>G134/4</f>
        <v>16250</v>
      </c>
      <c r="E134" t="s">
        <v>911</v>
      </c>
      <c r="G134" s="2">
        <v>65000</v>
      </c>
    </row>
    <row r="136" spans="1:9" x14ac:dyDescent="0.25">
      <c r="B136" s="40" t="s">
        <v>942</v>
      </c>
      <c r="C136" s="103"/>
      <c r="D136" s="40"/>
      <c r="E136" s="40"/>
      <c r="F136" s="40"/>
      <c r="G136" s="103">
        <v>30750</v>
      </c>
    </row>
    <row r="138" spans="1:9" x14ac:dyDescent="0.25">
      <c r="A138" s="107" t="s">
        <v>57</v>
      </c>
      <c r="B138" s="107"/>
      <c r="C138" s="253">
        <f>VLOOKUP(A138,'FY24 Service Agreements'!$A:$AF,31,FALSE)</f>
        <v>45383</v>
      </c>
      <c r="D138" s="254"/>
      <c r="E138" s="254" t="s">
        <v>769</v>
      </c>
      <c r="F138" s="254"/>
      <c r="G138" s="255"/>
      <c r="H138" s="256">
        <v>44317</v>
      </c>
      <c r="I138" s="256">
        <v>45412</v>
      </c>
    </row>
    <row r="139" spans="1:9" x14ac:dyDescent="0.25">
      <c r="B139" t="s">
        <v>943</v>
      </c>
      <c r="C139" s="2">
        <v>9430</v>
      </c>
    </row>
    <row r="141" spans="1:9" x14ac:dyDescent="0.25">
      <c r="A141" s="277" t="s">
        <v>59</v>
      </c>
      <c r="B141" s="277"/>
      <c r="C141" s="253">
        <f>VLOOKUP(A141,'FY24 Service Agreements'!$A:$AF,31,FALSE)</f>
        <v>45444</v>
      </c>
      <c r="D141" s="254"/>
      <c r="E141" s="254" t="s">
        <v>769</v>
      </c>
      <c r="F141" s="254"/>
      <c r="G141" s="289" t="s">
        <v>822</v>
      </c>
      <c r="H141" s="256">
        <v>44743</v>
      </c>
      <c r="I141" s="256">
        <v>45107</v>
      </c>
    </row>
    <row r="142" spans="1:9" x14ac:dyDescent="0.25">
      <c r="B142" t="s">
        <v>944</v>
      </c>
    </row>
    <row r="143" spans="1:9" x14ac:dyDescent="0.25">
      <c r="B143" s="291" t="s">
        <v>945</v>
      </c>
      <c r="C143" s="290" t="s">
        <v>946</v>
      </c>
      <c r="D143" s="291" t="s">
        <v>947</v>
      </c>
      <c r="E143" s="291" t="s">
        <v>948</v>
      </c>
      <c r="F143" s="291" t="s">
        <v>949</v>
      </c>
      <c r="G143" s="290" t="s">
        <v>950</v>
      </c>
    </row>
    <row r="144" spans="1:9" x14ac:dyDescent="0.25">
      <c r="B144" t="s">
        <v>951</v>
      </c>
      <c r="C144" s="2" t="s">
        <v>952</v>
      </c>
      <c r="D144">
        <v>1</v>
      </c>
      <c r="E144">
        <v>132.66400000000002</v>
      </c>
      <c r="F144">
        <v>135</v>
      </c>
      <c r="G144" s="2">
        <v>17909.640000000003</v>
      </c>
    </row>
    <row r="145" spans="2:7" x14ac:dyDescent="0.25">
      <c r="B145" t="s">
        <v>951</v>
      </c>
      <c r="C145" s="2" t="s">
        <v>953</v>
      </c>
      <c r="D145">
        <v>22</v>
      </c>
      <c r="E145">
        <v>20.6</v>
      </c>
      <c r="F145">
        <v>135</v>
      </c>
      <c r="G145" s="2">
        <v>61182.000000000007</v>
      </c>
    </row>
    <row r="146" spans="2:7" x14ac:dyDescent="0.25">
      <c r="B146" t="s">
        <v>886</v>
      </c>
      <c r="C146" s="2" t="s">
        <v>953</v>
      </c>
      <c r="D146">
        <v>6</v>
      </c>
      <c r="E146">
        <v>20.6</v>
      </c>
      <c r="F146">
        <v>135</v>
      </c>
      <c r="G146" s="2">
        <v>16686</v>
      </c>
    </row>
    <row r="147" spans="2:7" x14ac:dyDescent="0.25">
      <c r="B147" t="s">
        <v>886</v>
      </c>
      <c r="C147" s="2" t="s">
        <v>954</v>
      </c>
      <c r="D147">
        <v>9</v>
      </c>
      <c r="E147">
        <v>13.596</v>
      </c>
      <c r="F147">
        <v>135</v>
      </c>
      <c r="G147" s="2">
        <v>16519.14</v>
      </c>
    </row>
    <row r="148" spans="2:7" x14ac:dyDescent="0.25">
      <c r="B148" t="s">
        <v>955</v>
      </c>
      <c r="C148" s="2" t="s">
        <v>953</v>
      </c>
      <c r="D148">
        <v>3</v>
      </c>
      <c r="E148">
        <v>20.6</v>
      </c>
      <c r="F148">
        <v>135</v>
      </c>
      <c r="G148" s="2">
        <v>8343</v>
      </c>
    </row>
    <row r="149" spans="2:7" x14ac:dyDescent="0.25">
      <c r="B149" t="s">
        <v>956</v>
      </c>
      <c r="C149" s="2" t="s">
        <v>953</v>
      </c>
      <c r="D149">
        <v>6</v>
      </c>
      <c r="E149">
        <v>20.6</v>
      </c>
      <c r="F149">
        <v>135</v>
      </c>
      <c r="G149" s="2">
        <v>16686</v>
      </c>
    </row>
    <row r="150" spans="2:7" x14ac:dyDescent="0.25">
      <c r="B150" t="s">
        <v>957</v>
      </c>
      <c r="C150" s="2" t="s">
        <v>953</v>
      </c>
      <c r="D150">
        <v>3</v>
      </c>
      <c r="E150">
        <v>20.6</v>
      </c>
      <c r="F150">
        <v>135</v>
      </c>
      <c r="G150" s="2">
        <v>8343</v>
      </c>
    </row>
    <row r="151" spans="2:7" x14ac:dyDescent="0.25">
      <c r="B151" t="s">
        <v>958</v>
      </c>
      <c r="C151" s="2" t="s">
        <v>953</v>
      </c>
      <c r="D151">
        <v>6</v>
      </c>
      <c r="E151">
        <v>20.6</v>
      </c>
      <c r="F151">
        <v>135</v>
      </c>
      <c r="G151" s="2">
        <v>16686</v>
      </c>
    </row>
    <row r="152" spans="2:7" x14ac:dyDescent="0.25">
      <c r="B152" t="s">
        <v>959</v>
      </c>
      <c r="C152" s="2" t="s">
        <v>952</v>
      </c>
      <c r="D152">
        <v>1</v>
      </c>
      <c r="E152">
        <v>132.66400000000002</v>
      </c>
      <c r="F152">
        <v>135</v>
      </c>
      <c r="G152" s="2">
        <v>17909.640000000003</v>
      </c>
    </row>
    <row r="153" spans="2:7" x14ac:dyDescent="0.25">
      <c r="B153" t="s">
        <v>960</v>
      </c>
      <c r="C153" s="2" t="s">
        <v>953</v>
      </c>
      <c r="D153">
        <v>1</v>
      </c>
      <c r="E153">
        <v>20.6</v>
      </c>
      <c r="F153">
        <v>135</v>
      </c>
      <c r="G153" s="2">
        <v>2781</v>
      </c>
    </row>
    <row r="154" spans="2:7" x14ac:dyDescent="0.25">
      <c r="B154" t="s">
        <v>961</v>
      </c>
      <c r="C154" s="2" t="s">
        <v>953</v>
      </c>
      <c r="D154">
        <v>2</v>
      </c>
      <c r="E154">
        <v>20.6</v>
      </c>
      <c r="F154">
        <v>135</v>
      </c>
      <c r="G154" s="2">
        <v>5562</v>
      </c>
    </row>
    <row r="155" spans="2:7" x14ac:dyDescent="0.25">
      <c r="B155" t="s">
        <v>962</v>
      </c>
      <c r="C155" s="2" t="s">
        <v>953</v>
      </c>
      <c r="D155">
        <v>2</v>
      </c>
      <c r="E155">
        <v>20.6</v>
      </c>
      <c r="F155">
        <v>135</v>
      </c>
      <c r="G155" s="2">
        <v>5562</v>
      </c>
    </row>
    <row r="156" spans="2:7" x14ac:dyDescent="0.25">
      <c r="B156" t="s">
        <v>884</v>
      </c>
      <c r="C156" s="2" t="s">
        <v>953</v>
      </c>
      <c r="D156">
        <v>1</v>
      </c>
      <c r="E156">
        <v>20.6</v>
      </c>
      <c r="F156">
        <v>135</v>
      </c>
      <c r="G156" s="2">
        <v>2781</v>
      </c>
    </row>
    <row r="157" spans="2:7" x14ac:dyDescent="0.25">
      <c r="B157" t="s">
        <v>963</v>
      </c>
      <c r="C157" s="2" t="s">
        <v>953</v>
      </c>
      <c r="D157">
        <v>6</v>
      </c>
      <c r="E157">
        <v>20.6</v>
      </c>
      <c r="F157">
        <v>135</v>
      </c>
      <c r="G157" s="2">
        <v>16686</v>
      </c>
    </row>
    <row r="158" spans="2:7" x14ac:dyDescent="0.25">
      <c r="B158" t="s">
        <v>964</v>
      </c>
      <c r="C158" s="2" t="s">
        <v>953</v>
      </c>
      <c r="D158">
        <v>12</v>
      </c>
      <c r="E158">
        <v>20.6</v>
      </c>
      <c r="F158">
        <v>135</v>
      </c>
      <c r="G158" s="290">
        <v>33372</v>
      </c>
    </row>
    <row r="159" spans="2:7" x14ac:dyDescent="0.25">
      <c r="B159" s="22" t="s">
        <v>965</v>
      </c>
      <c r="F159" t="s">
        <v>874</v>
      </c>
      <c r="G159" s="2">
        <f>SUM(G144:G158)</f>
        <v>247008.42000000004</v>
      </c>
    </row>
    <row r="160" spans="2:7" x14ac:dyDescent="0.25">
      <c r="B160" s="22"/>
    </row>
    <row r="161" spans="1:12" x14ac:dyDescent="0.25">
      <c r="A161" s="101" t="s">
        <v>63</v>
      </c>
      <c r="B161" s="101"/>
      <c r="C161" s="266">
        <f>VLOOKUP(A161,'FY24 Service Agreements'!$A:$AF,31,FALSE)</f>
        <v>45444</v>
      </c>
      <c r="D161" s="267"/>
      <c r="E161" s="267" t="s">
        <v>769</v>
      </c>
      <c r="F161" s="267"/>
      <c r="G161" s="102"/>
      <c r="H161" s="268" t="e">
        <v>#N/A</v>
      </c>
      <c r="I161" s="268" t="e">
        <v>#N/A</v>
      </c>
    </row>
    <row r="162" spans="1:12" x14ac:dyDescent="0.25">
      <c r="A162" s="215"/>
      <c r="B162" t="s">
        <v>966</v>
      </c>
      <c r="C162" s="215"/>
      <c r="D162" s="215"/>
      <c r="E162" t="s">
        <v>911</v>
      </c>
      <c r="F162" s="215"/>
      <c r="G162" s="215"/>
      <c r="H162" s="345">
        <v>4000</v>
      </c>
      <c r="I162" s="215"/>
    </row>
    <row r="163" spans="1:12" x14ac:dyDescent="0.25">
      <c r="A163" s="215"/>
      <c r="B163" t="s">
        <v>967</v>
      </c>
      <c r="C163" s="215"/>
      <c r="D163" s="215"/>
      <c r="E163" s="215"/>
      <c r="F163" s="215"/>
      <c r="G163" s="215"/>
      <c r="H163" s="215"/>
      <c r="I163" s="215"/>
    </row>
    <row r="165" spans="1:12" x14ac:dyDescent="0.25">
      <c r="A165" s="257" t="s">
        <v>66</v>
      </c>
      <c r="B165" s="257"/>
      <c r="C165" s="258">
        <f>VLOOKUP(A165,'FY24 Service Agreements'!$A:$AF,31,FALSE)</f>
        <v>45444</v>
      </c>
      <c r="D165" s="259"/>
      <c r="E165" s="259" t="s">
        <v>769</v>
      </c>
      <c r="F165" s="259"/>
      <c r="G165" s="292" t="s">
        <v>822</v>
      </c>
      <c r="H165" s="261">
        <v>44743</v>
      </c>
      <c r="I165" s="261">
        <v>45107</v>
      </c>
    </row>
    <row r="166" spans="1:12" x14ac:dyDescent="0.25">
      <c r="B166" t="s">
        <v>123</v>
      </c>
      <c r="C166" s="2">
        <v>1250</v>
      </c>
      <c r="D166" t="s">
        <v>968</v>
      </c>
      <c r="E166" t="s">
        <v>969</v>
      </c>
      <c r="H166" s="139">
        <f>C166*5*2</f>
        <v>12500</v>
      </c>
    </row>
    <row r="167" spans="1:12" x14ac:dyDescent="0.25">
      <c r="B167" t="s">
        <v>970</v>
      </c>
      <c r="C167" s="2">
        <v>595</v>
      </c>
      <c r="D167" t="s">
        <v>971</v>
      </c>
      <c r="E167" t="s">
        <v>969</v>
      </c>
      <c r="H167" s="139">
        <f>C167*12</f>
        <v>7140</v>
      </c>
      <c r="I167" s="40"/>
    </row>
    <row r="168" spans="1:12" x14ac:dyDescent="0.25">
      <c r="H168" s="197">
        <f>SUM(H166:H167)</f>
        <v>19640</v>
      </c>
      <c r="I168" s="40" t="s">
        <v>972</v>
      </c>
    </row>
    <row r="169" spans="1:12" x14ac:dyDescent="0.25">
      <c r="B169" s="40" t="s">
        <v>973</v>
      </c>
    </row>
    <row r="170" spans="1:12" ht="15" customHeight="1" x14ac:dyDescent="0.25"/>
    <row r="171" spans="1:12" ht="15" customHeight="1" x14ac:dyDescent="0.25">
      <c r="A171" s="269" t="s">
        <v>241</v>
      </c>
      <c r="B171" s="269"/>
      <c r="C171" s="270">
        <f>VLOOKUP(A171,'FY24 Service Agreements'!$A:$AF,31,FALSE)</f>
        <v>46539</v>
      </c>
      <c r="D171" s="271"/>
      <c r="E171" s="271" t="s">
        <v>769</v>
      </c>
      <c r="F171" s="271"/>
      <c r="G171" s="272"/>
      <c r="H171" s="273">
        <v>44743</v>
      </c>
      <c r="I171" s="273">
        <v>46568</v>
      </c>
    </row>
    <row r="172" spans="1:12" ht="15" customHeight="1" x14ac:dyDescent="0.25">
      <c r="B172" t="s">
        <v>974</v>
      </c>
      <c r="C172" s="2">
        <v>547.79999999999995</v>
      </c>
    </row>
    <row r="173" spans="1:12" ht="15" customHeight="1" x14ac:dyDescent="0.25">
      <c r="B173" t="s">
        <v>975</v>
      </c>
      <c r="C173" s="2">
        <v>3899.4</v>
      </c>
      <c r="L173" s="139"/>
    </row>
    <row r="174" spans="1:12" ht="15" customHeight="1" x14ac:dyDescent="0.25">
      <c r="B174" t="s">
        <v>976</v>
      </c>
      <c r="C174" s="2">
        <v>4161.6000000000004</v>
      </c>
      <c r="L174" s="139"/>
    </row>
    <row r="175" spans="1:12" ht="15" customHeight="1" x14ac:dyDescent="0.25">
      <c r="B175" t="s">
        <v>977</v>
      </c>
      <c r="C175" s="2">
        <v>1725.81</v>
      </c>
      <c r="L175" s="139"/>
    </row>
    <row r="176" spans="1:12" ht="15" customHeight="1" x14ac:dyDescent="0.25">
      <c r="B176" t="s">
        <v>978</v>
      </c>
      <c r="C176" s="2">
        <v>367.36</v>
      </c>
      <c r="L176" s="139"/>
    </row>
    <row r="177" spans="1:12" ht="15" customHeight="1" x14ac:dyDescent="0.25">
      <c r="B177" t="s">
        <v>979</v>
      </c>
      <c r="C177" s="110">
        <f>SUM(C172:C176)</f>
        <v>10701.97</v>
      </c>
      <c r="L177" s="139"/>
    </row>
    <row r="178" spans="1:12" ht="15" customHeight="1" x14ac:dyDescent="0.25">
      <c r="L178" s="139"/>
    </row>
    <row r="179" spans="1:12" x14ac:dyDescent="0.25">
      <c r="L179" s="139"/>
    </row>
    <row r="180" spans="1:12" x14ac:dyDescent="0.25">
      <c r="A180" s="101" t="s">
        <v>69</v>
      </c>
      <c r="B180" s="101"/>
      <c r="C180" s="266">
        <f>VLOOKUP(A180,'FY24 Service Agreements'!$A:$AF,31,FALSE)</f>
        <v>46539</v>
      </c>
      <c r="D180" s="267"/>
      <c r="E180" s="267" t="s">
        <v>769</v>
      </c>
      <c r="F180" s="267"/>
      <c r="G180" s="102"/>
      <c r="H180" s="268">
        <v>44743</v>
      </c>
      <c r="I180" s="268">
        <v>45107</v>
      </c>
      <c r="L180" s="139"/>
    </row>
    <row r="181" spans="1:12" x14ac:dyDescent="0.25">
      <c r="B181" t="s">
        <v>980</v>
      </c>
      <c r="C181" s="2">
        <v>28323</v>
      </c>
      <c r="F181" s="139">
        <f>C181/4</f>
        <v>7080.75</v>
      </c>
      <c r="L181" s="139"/>
    </row>
    <row r="182" spans="1:12" x14ac:dyDescent="0.25">
      <c r="B182" s="52" t="s">
        <v>981</v>
      </c>
    </row>
    <row r="183" spans="1:12" ht="15" customHeight="1" x14ac:dyDescent="0.25">
      <c r="B183" s="52" t="s">
        <v>982</v>
      </c>
      <c r="L183" s="139"/>
    </row>
    <row r="184" spans="1:12" ht="15" customHeight="1" x14ac:dyDescent="0.25">
      <c r="B184" s="52" t="s">
        <v>983</v>
      </c>
    </row>
    <row r="185" spans="1:12" ht="15" customHeight="1" x14ac:dyDescent="0.25">
      <c r="B185" s="52" t="s">
        <v>984</v>
      </c>
    </row>
    <row r="186" spans="1:12" ht="15" customHeight="1" x14ac:dyDescent="0.25">
      <c r="B186" s="52" t="s">
        <v>985</v>
      </c>
    </row>
    <row r="187" spans="1:12" ht="15" customHeight="1" x14ac:dyDescent="0.25">
      <c r="A187" s="54" t="s">
        <v>986</v>
      </c>
    </row>
    <row r="188" spans="1:12" ht="15" customHeight="1" x14ac:dyDescent="0.25"/>
    <row r="189" spans="1:12" ht="15" customHeight="1" x14ac:dyDescent="0.25">
      <c r="A189" s="346" t="s">
        <v>71</v>
      </c>
      <c r="B189" s="347"/>
      <c r="C189" s="348">
        <f>VLOOKUP(A189,'FY24 Service Agreements'!$A:$AF,31,FALSE)</f>
        <v>45627</v>
      </c>
      <c r="D189" s="349"/>
      <c r="E189" s="349" t="s">
        <v>769</v>
      </c>
      <c r="F189" s="349"/>
      <c r="G189" s="350"/>
      <c r="H189" s="351">
        <v>44927</v>
      </c>
      <c r="I189" s="351">
        <v>45291</v>
      </c>
    </row>
    <row r="190" spans="1:12" ht="15" customHeight="1" x14ac:dyDescent="0.25">
      <c r="B190" t="s">
        <v>987</v>
      </c>
      <c r="C190" s="2">
        <v>195</v>
      </c>
      <c r="E190" t="s">
        <v>911</v>
      </c>
      <c r="G190" s="2">
        <v>10000</v>
      </c>
    </row>
    <row r="191" spans="1:12" ht="15" customHeight="1" x14ac:dyDescent="0.25">
      <c r="B191" t="s">
        <v>988</v>
      </c>
      <c r="C191" s="2">
        <v>85</v>
      </c>
    </row>
    <row r="192" spans="1:12" ht="15" customHeight="1" x14ac:dyDescent="0.25"/>
    <row r="193" spans="1:9" ht="15" customHeight="1" x14ac:dyDescent="0.25">
      <c r="A193" s="262" t="s">
        <v>75</v>
      </c>
      <c r="B193" s="262"/>
      <c r="C193" s="263">
        <f>VLOOKUP(A193,'FY24 Service Agreements'!$A:$AF,31,FALSE)</f>
        <v>45444</v>
      </c>
      <c r="D193" s="262"/>
      <c r="E193" s="262" t="s">
        <v>769</v>
      </c>
      <c r="F193" s="262"/>
      <c r="G193" s="293" t="s">
        <v>822</v>
      </c>
      <c r="H193" s="265">
        <v>44743</v>
      </c>
      <c r="I193" s="265">
        <v>45107</v>
      </c>
    </row>
    <row r="194" spans="1:9" ht="15" customHeight="1" x14ac:dyDescent="0.25">
      <c r="A194" s="54" t="s">
        <v>774</v>
      </c>
      <c r="B194" t="s">
        <v>989</v>
      </c>
      <c r="C194" s="2">
        <v>195</v>
      </c>
      <c r="D194" s="139">
        <f>C194*12</f>
        <v>2340</v>
      </c>
      <c r="E194" t="s">
        <v>911</v>
      </c>
      <c r="G194" s="2">
        <f>D204+D209+D227+D246</f>
        <v>87798</v>
      </c>
    </row>
    <row r="195" spans="1:9" ht="15" customHeight="1" x14ac:dyDescent="0.25">
      <c r="B195" t="s">
        <v>990</v>
      </c>
      <c r="C195" s="2">
        <v>294</v>
      </c>
      <c r="D195" s="139">
        <f t="shared" ref="D195:D196" si="3">C195*12</f>
        <v>3528</v>
      </c>
    </row>
    <row r="196" spans="1:9" ht="15" customHeight="1" x14ac:dyDescent="0.25">
      <c r="B196" t="s">
        <v>991</v>
      </c>
      <c r="C196" s="2">
        <v>373</v>
      </c>
      <c r="D196" s="139">
        <f t="shared" si="3"/>
        <v>4476</v>
      </c>
    </row>
    <row r="197" spans="1:9" ht="15" customHeight="1" x14ac:dyDescent="0.25">
      <c r="B197" t="s">
        <v>992</v>
      </c>
      <c r="C197" s="2">
        <v>162</v>
      </c>
      <c r="D197" s="139">
        <f>C197*4</f>
        <v>648</v>
      </c>
    </row>
    <row r="198" spans="1:9" ht="15" customHeight="1" outlineLevel="1" x14ac:dyDescent="0.25">
      <c r="B198" t="s">
        <v>808</v>
      </c>
      <c r="C198" s="2">
        <v>130</v>
      </c>
      <c r="D198" s="139">
        <f>C198*4</f>
        <v>520</v>
      </c>
    </row>
    <row r="199" spans="1:9" ht="15" customHeight="1" outlineLevel="1" x14ac:dyDescent="0.25">
      <c r="B199" t="s">
        <v>992</v>
      </c>
      <c r="C199" s="2">
        <v>130</v>
      </c>
      <c r="D199" s="139">
        <f>C199*4</f>
        <v>520</v>
      </c>
    </row>
    <row r="200" spans="1:9" ht="15" customHeight="1" outlineLevel="1" x14ac:dyDescent="0.25">
      <c r="B200" t="s">
        <v>993</v>
      </c>
      <c r="C200" s="2">
        <v>235</v>
      </c>
      <c r="D200" s="139">
        <f>C200*12</f>
        <v>2820</v>
      </c>
    </row>
    <row r="201" spans="1:9" outlineLevel="1" x14ac:dyDescent="0.25">
      <c r="B201" t="s">
        <v>807</v>
      </c>
      <c r="C201" s="2">
        <v>145</v>
      </c>
      <c r="D201" s="139">
        <f>C201*2</f>
        <v>290</v>
      </c>
    </row>
    <row r="202" spans="1:9" ht="15" customHeight="1" outlineLevel="1" x14ac:dyDescent="0.25">
      <c r="B202" t="s">
        <v>994</v>
      </c>
      <c r="C202" s="2">
        <v>250</v>
      </c>
      <c r="D202" s="139">
        <f>C202*4</f>
        <v>1000</v>
      </c>
    </row>
    <row r="203" spans="1:9" ht="15" customHeight="1" outlineLevel="1" x14ac:dyDescent="0.25">
      <c r="B203" t="s">
        <v>995</v>
      </c>
      <c r="C203" s="2">
        <v>1400</v>
      </c>
      <c r="D203" s="139">
        <f>C203*2</f>
        <v>2800</v>
      </c>
    </row>
    <row r="204" spans="1:9" ht="15" customHeight="1" outlineLevel="1" x14ac:dyDescent="0.25">
      <c r="B204" s="54" t="s">
        <v>996</v>
      </c>
      <c r="C204" s="120">
        <f>SUM(C194:C203)</f>
        <v>3314</v>
      </c>
      <c r="D204" s="120">
        <f>SUM(D194:D203)</f>
        <v>18942</v>
      </c>
    </row>
    <row r="205" spans="1:9" ht="15" customHeight="1" outlineLevel="1" x14ac:dyDescent="0.25"/>
    <row r="206" spans="1:9" ht="15" customHeight="1" outlineLevel="1" x14ac:dyDescent="0.25">
      <c r="A206" s="54" t="s">
        <v>776</v>
      </c>
      <c r="B206" t="s">
        <v>997</v>
      </c>
      <c r="C206" s="2">
        <v>160</v>
      </c>
      <c r="D206" s="139">
        <f>C206*4</f>
        <v>640</v>
      </c>
    </row>
    <row r="207" spans="1:9" ht="15" customHeight="1" x14ac:dyDescent="0.25">
      <c r="B207" t="s">
        <v>998</v>
      </c>
      <c r="C207" s="2">
        <v>160</v>
      </c>
      <c r="D207" s="139">
        <f t="shared" ref="D207:D208" si="4">C207*4</f>
        <v>640</v>
      </c>
    </row>
    <row r="208" spans="1:9" ht="15" customHeight="1" x14ac:dyDescent="0.25">
      <c r="B208" t="s">
        <v>999</v>
      </c>
      <c r="C208" s="2">
        <v>160</v>
      </c>
      <c r="D208" s="139">
        <f t="shared" si="4"/>
        <v>640</v>
      </c>
    </row>
    <row r="209" spans="1:4" ht="15" customHeight="1" x14ac:dyDescent="0.25">
      <c r="B209" s="54" t="s">
        <v>1000</v>
      </c>
      <c r="C209" s="120">
        <f>SUM(C206:C208)</f>
        <v>480</v>
      </c>
      <c r="D209" s="177">
        <f>SUM(D206:D208)</f>
        <v>1920</v>
      </c>
    </row>
    <row r="210" spans="1:4" ht="15" customHeight="1" outlineLevel="1" x14ac:dyDescent="0.25"/>
    <row r="211" spans="1:4" ht="15" customHeight="1" outlineLevel="1" x14ac:dyDescent="0.25">
      <c r="A211" s="54" t="s">
        <v>1001</v>
      </c>
      <c r="B211" t="s">
        <v>1002</v>
      </c>
      <c r="C211" s="2">
        <v>1657</v>
      </c>
      <c r="D211" s="139">
        <f>C211*12</f>
        <v>19884</v>
      </c>
    </row>
    <row r="212" spans="1:4" ht="15" customHeight="1" outlineLevel="1" x14ac:dyDescent="0.25">
      <c r="B212" t="s">
        <v>1003</v>
      </c>
      <c r="C212" s="2">
        <v>126</v>
      </c>
      <c r="D212" s="139">
        <f>C212*12</f>
        <v>1512</v>
      </c>
    </row>
    <row r="213" spans="1:4" ht="15" customHeight="1" outlineLevel="1" x14ac:dyDescent="0.25">
      <c r="B213" t="s">
        <v>1004</v>
      </c>
      <c r="C213" s="2">
        <v>450</v>
      </c>
      <c r="D213" s="139">
        <f>C213*12</f>
        <v>5400</v>
      </c>
    </row>
    <row r="214" spans="1:4" ht="15" customHeight="1" outlineLevel="1" x14ac:dyDescent="0.25">
      <c r="B214" t="s">
        <v>901</v>
      </c>
      <c r="C214" s="2">
        <v>558</v>
      </c>
      <c r="D214" s="139">
        <f>C214*12</f>
        <v>6696</v>
      </c>
    </row>
    <row r="215" spans="1:4" ht="15" customHeight="1" outlineLevel="1" x14ac:dyDescent="0.25">
      <c r="B215" t="s">
        <v>1005</v>
      </c>
      <c r="C215" s="2">
        <v>211</v>
      </c>
      <c r="D215" s="139">
        <f>C215*4</f>
        <v>844</v>
      </c>
    </row>
    <row r="216" spans="1:4" ht="15" customHeight="1" outlineLevel="1" x14ac:dyDescent="0.25">
      <c r="B216" t="s">
        <v>985</v>
      </c>
      <c r="C216" s="2">
        <v>339</v>
      </c>
      <c r="D216" s="139">
        <f>C216*4</f>
        <v>1356</v>
      </c>
    </row>
    <row r="217" spans="1:4" ht="15" customHeight="1" outlineLevel="1" x14ac:dyDescent="0.25">
      <c r="B217" t="s">
        <v>1006</v>
      </c>
      <c r="C217" s="2">
        <v>150</v>
      </c>
      <c r="D217" s="139">
        <f>C217*4</f>
        <v>600</v>
      </c>
    </row>
    <row r="218" spans="1:4" ht="15" customHeight="1" outlineLevel="1" x14ac:dyDescent="0.25">
      <c r="B218" t="s">
        <v>906</v>
      </c>
      <c r="C218" s="2">
        <v>1096</v>
      </c>
      <c r="D218" s="139">
        <f>C218*4</f>
        <v>4384</v>
      </c>
    </row>
    <row r="219" spans="1:4" ht="15" customHeight="1" outlineLevel="1" x14ac:dyDescent="0.25">
      <c r="B219" t="s">
        <v>1007</v>
      </c>
      <c r="C219" s="2">
        <v>413</v>
      </c>
      <c r="D219" s="139">
        <f t="shared" ref="D219:D225" si="5">C219*4</f>
        <v>1652</v>
      </c>
    </row>
    <row r="220" spans="1:4" ht="15" customHeight="1" outlineLevel="1" x14ac:dyDescent="0.25">
      <c r="B220" t="s">
        <v>1008</v>
      </c>
      <c r="C220" s="2">
        <v>553</v>
      </c>
      <c r="D220" s="139">
        <f t="shared" si="5"/>
        <v>2212</v>
      </c>
    </row>
    <row r="221" spans="1:4" ht="15" customHeight="1" outlineLevel="1" x14ac:dyDescent="0.25">
      <c r="B221" t="s">
        <v>1009</v>
      </c>
      <c r="C221" s="2">
        <v>282</v>
      </c>
      <c r="D221" s="139">
        <f t="shared" si="5"/>
        <v>1128</v>
      </c>
    </row>
    <row r="222" spans="1:4" ht="15" customHeight="1" outlineLevel="1" x14ac:dyDescent="0.25">
      <c r="B222" t="s">
        <v>1010</v>
      </c>
      <c r="C222" s="2">
        <v>369</v>
      </c>
      <c r="D222" s="139">
        <f t="shared" si="5"/>
        <v>1476</v>
      </c>
    </row>
    <row r="223" spans="1:4" ht="15" customHeight="1" outlineLevel="1" x14ac:dyDescent="0.25">
      <c r="B223" t="s">
        <v>1011</v>
      </c>
      <c r="C223" s="2">
        <v>400</v>
      </c>
      <c r="D223" s="139">
        <f t="shared" si="5"/>
        <v>1600</v>
      </c>
    </row>
    <row r="224" spans="1:4" ht="15" customHeight="1" outlineLevel="1" x14ac:dyDescent="0.25">
      <c r="B224" t="s">
        <v>1012</v>
      </c>
      <c r="C224" s="2">
        <v>495</v>
      </c>
      <c r="D224" s="139">
        <f t="shared" si="5"/>
        <v>1980</v>
      </c>
    </row>
    <row r="225" spans="1:4" ht="15" customHeight="1" outlineLevel="1" x14ac:dyDescent="0.25">
      <c r="B225" t="s">
        <v>1013</v>
      </c>
      <c r="C225" s="2">
        <v>501</v>
      </c>
      <c r="D225" s="139">
        <f t="shared" si="5"/>
        <v>2004</v>
      </c>
    </row>
    <row r="226" spans="1:4" ht="15" customHeight="1" outlineLevel="1" x14ac:dyDescent="0.25">
      <c r="B226" t="s">
        <v>1014</v>
      </c>
      <c r="C226" s="2">
        <v>149</v>
      </c>
      <c r="D226" s="139">
        <f>C226*2</f>
        <v>298</v>
      </c>
    </row>
    <row r="227" spans="1:4" ht="15" customHeight="1" outlineLevel="1" x14ac:dyDescent="0.25">
      <c r="B227" s="54" t="s">
        <v>1015</v>
      </c>
      <c r="C227" s="120">
        <f>SUM(C211:C226)</f>
        <v>7749</v>
      </c>
      <c r="D227" s="120">
        <f>SUM(D211:D226)</f>
        <v>53026</v>
      </c>
    </row>
    <row r="228" spans="1:4" ht="15" customHeight="1" outlineLevel="1" x14ac:dyDescent="0.25"/>
    <row r="229" spans="1:4" ht="15" customHeight="1" x14ac:dyDescent="0.25">
      <c r="A229" s="54" t="s">
        <v>1016</v>
      </c>
      <c r="B229" t="s">
        <v>1017</v>
      </c>
      <c r="C229" s="2">
        <v>200</v>
      </c>
      <c r="D229" s="139">
        <f>C229*12</f>
        <v>2400</v>
      </c>
    </row>
    <row r="230" spans="1:4" x14ac:dyDescent="0.25">
      <c r="B230" t="s">
        <v>1018</v>
      </c>
      <c r="C230" s="2">
        <v>400</v>
      </c>
      <c r="D230" s="139">
        <f>C230*4</f>
        <v>1600</v>
      </c>
    </row>
    <row r="231" spans="1:4" x14ac:dyDescent="0.25">
      <c r="B231" t="s">
        <v>1019</v>
      </c>
      <c r="C231" s="2">
        <v>120</v>
      </c>
      <c r="D231" s="139">
        <f>C231*4</f>
        <v>480</v>
      </c>
    </row>
    <row r="232" spans="1:4" outlineLevel="1" x14ac:dyDescent="0.25">
      <c r="B232" t="s">
        <v>1020</v>
      </c>
      <c r="C232" s="2">
        <v>120</v>
      </c>
      <c r="D232" s="139">
        <f t="shared" ref="D232:D241" si="6">C232*4</f>
        <v>480</v>
      </c>
    </row>
    <row r="233" spans="1:4" outlineLevel="1" x14ac:dyDescent="0.25">
      <c r="B233" t="s">
        <v>1021</v>
      </c>
      <c r="C233" s="2">
        <v>120</v>
      </c>
      <c r="D233" s="139">
        <f t="shared" si="6"/>
        <v>480</v>
      </c>
    </row>
    <row r="234" spans="1:4" outlineLevel="1" x14ac:dyDescent="0.25">
      <c r="B234" t="s">
        <v>1022</v>
      </c>
      <c r="C234" s="2">
        <v>120</v>
      </c>
      <c r="D234" s="139">
        <f t="shared" si="6"/>
        <v>480</v>
      </c>
    </row>
    <row r="235" spans="1:4" outlineLevel="1" x14ac:dyDescent="0.25">
      <c r="B235" t="s">
        <v>1023</v>
      </c>
      <c r="C235" s="2">
        <v>120</v>
      </c>
      <c r="D235" s="139">
        <f t="shared" si="6"/>
        <v>480</v>
      </c>
    </row>
    <row r="236" spans="1:4" outlineLevel="1" x14ac:dyDescent="0.25">
      <c r="B236" t="s">
        <v>1024</v>
      </c>
      <c r="C236" s="2">
        <v>120</v>
      </c>
      <c r="D236" s="139">
        <f t="shared" si="6"/>
        <v>480</v>
      </c>
    </row>
    <row r="237" spans="1:4" outlineLevel="1" x14ac:dyDescent="0.25">
      <c r="B237" t="s">
        <v>1025</v>
      </c>
      <c r="C237" s="2">
        <v>246</v>
      </c>
      <c r="D237" s="139">
        <f t="shared" si="6"/>
        <v>984</v>
      </c>
    </row>
    <row r="238" spans="1:4" outlineLevel="1" x14ac:dyDescent="0.25">
      <c r="B238" t="s">
        <v>1026</v>
      </c>
      <c r="C238" s="2">
        <v>246</v>
      </c>
      <c r="D238" s="139">
        <f t="shared" si="6"/>
        <v>984</v>
      </c>
    </row>
    <row r="239" spans="1:4" outlineLevel="1" x14ac:dyDescent="0.25">
      <c r="B239" t="s">
        <v>1027</v>
      </c>
      <c r="C239" s="2">
        <v>246</v>
      </c>
      <c r="D239" s="139">
        <f t="shared" si="6"/>
        <v>984</v>
      </c>
    </row>
    <row r="240" spans="1:4" outlineLevel="1" x14ac:dyDescent="0.25">
      <c r="B240" t="s">
        <v>1028</v>
      </c>
      <c r="C240" s="2">
        <v>246</v>
      </c>
      <c r="D240" s="139">
        <f t="shared" si="6"/>
        <v>984</v>
      </c>
    </row>
    <row r="241" spans="1:9" outlineLevel="1" x14ac:dyDescent="0.25">
      <c r="B241" t="s">
        <v>1029</v>
      </c>
      <c r="C241" s="2">
        <v>246</v>
      </c>
      <c r="D241" s="139">
        <f t="shared" si="6"/>
        <v>984</v>
      </c>
    </row>
    <row r="242" spans="1:9" outlineLevel="1" x14ac:dyDescent="0.25">
      <c r="B242" t="s">
        <v>1030</v>
      </c>
      <c r="C242" s="2">
        <v>160</v>
      </c>
      <c r="D242" s="139">
        <f>C242*2</f>
        <v>320</v>
      </c>
    </row>
    <row r="243" spans="1:9" outlineLevel="1" x14ac:dyDescent="0.25">
      <c r="B243" t="s">
        <v>1031</v>
      </c>
      <c r="C243" s="2">
        <v>160</v>
      </c>
      <c r="D243" s="139">
        <f t="shared" ref="D243:D245" si="7">C243*2</f>
        <v>320</v>
      </c>
    </row>
    <row r="244" spans="1:9" outlineLevel="1" x14ac:dyDescent="0.25">
      <c r="B244" t="s">
        <v>1032</v>
      </c>
      <c r="C244" s="2">
        <v>585</v>
      </c>
      <c r="D244" s="139">
        <f t="shared" si="7"/>
        <v>1170</v>
      </c>
    </row>
    <row r="245" spans="1:9" outlineLevel="1" x14ac:dyDescent="0.25">
      <c r="B245" t="s">
        <v>1033</v>
      </c>
      <c r="C245" s="2">
        <v>150</v>
      </c>
      <c r="D245" s="139">
        <f t="shared" si="7"/>
        <v>300</v>
      </c>
    </row>
    <row r="246" spans="1:9" outlineLevel="1" x14ac:dyDescent="0.25">
      <c r="B246" s="54" t="s">
        <v>1034</v>
      </c>
      <c r="C246" s="120">
        <f>SUM(C229:C245)</f>
        <v>3605</v>
      </c>
      <c r="D246" s="120">
        <f>SUM(D229:D245)</f>
        <v>13910</v>
      </c>
    </row>
    <row r="247" spans="1:9" outlineLevel="1" x14ac:dyDescent="0.25"/>
    <row r="248" spans="1:9" outlineLevel="1" x14ac:dyDescent="0.25">
      <c r="A248" s="107" t="s">
        <v>78</v>
      </c>
      <c r="B248" s="107"/>
      <c r="C248" s="253">
        <f>VLOOKUP(A248,'FY24 Service Agreements'!$A:$AF,31,FALSE)</f>
        <v>45473</v>
      </c>
      <c r="D248" s="254"/>
      <c r="E248" s="254" t="s">
        <v>769</v>
      </c>
      <c r="F248" s="254"/>
      <c r="G248" s="289" t="s">
        <v>822</v>
      </c>
      <c r="H248" s="256">
        <v>43952</v>
      </c>
      <c r="I248" s="256">
        <v>45046</v>
      </c>
    </row>
    <row r="249" spans="1:9" x14ac:dyDescent="0.25">
      <c r="B249" t="s">
        <v>1035</v>
      </c>
      <c r="C249" s="187">
        <v>5111</v>
      </c>
      <c r="F249" s="2"/>
      <c r="G249" s="2" t="s">
        <v>911</v>
      </c>
      <c r="H249" s="2">
        <v>63205</v>
      </c>
    </row>
    <row r="250" spans="1:9" x14ac:dyDescent="0.25">
      <c r="B250" t="s">
        <v>1036</v>
      </c>
    </row>
    <row r="251" spans="1:9" x14ac:dyDescent="0.25">
      <c r="B251" s="191" t="s">
        <v>1037</v>
      </c>
    </row>
    <row r="252" spans="1:9" x14ac:dyDescent="0.25">
      <c r="A252" s="248" t="s">
        <v>81</v>
      </c>
      <c r="B252" s="248"/>
      <c r="C252" s="249">
        <f>VLOOKUP(A252,'FY24 Service Agreements'!$A:$AF,31,FALSE)</f>
        <v>45444</v>
      </c>
      <c r="D252" s="250"/>
      <c r="E252" s="250" t="s">
        <v>769</v>
      </c>
      <c r="F252" s="250"/>
      <c r="G252" s="286" t="s">
        <v>822</v>
      </c>
      <c r="H252" s="252">
        <v>44743</v>
      </c>
      <c r="I252" s="252">
        <v>45107</v>
      </c>
    </row>
    <row r="253" spans="1:9" x14ac:dyDescent="0.25">
      <c r="A253" s="54" t="s">
        <v>776</v>
      </c>
      <c r="B253" t="s">
        <v>957</v>
      </c>
      <c r="C253" s="2">
        <v>425</v>
      </c>
      <c r="D253" s="2">
        <f>C253</f>
        <v>425</v>
      </c>
      <c r="E253" s="2"/>
      <c r="F253" s="2"/>
      <c r="G253" s="2" t="s">
        <v>911</v>
      </c>
      <c r="H253" s="2">
        <f>D268+D270</f>
        <v>146625</v>
      </c>
      <c r="I253" s="186"/>
    </row>
    <row r="254" spans="1:9" x14ac:dyDescent="0.25">
      <c r="B254" t="s">
        <v>884</v>
      </c>
      <c r="C254" s="2">
        <v>425</v>
      </c>
      <c r="D254" s="2">
        <f>C254*4</f>
        <v>1700</v>
      </c>
    </row>
    <row r="255" spans="1:9" x14ac:dyDescent="0.25">
      <c r="B255" t="s">
        <v>1038</v>
      </c>
      <c r="C255" s="2">
        <v>425</v>
      </c>
      <c r="D255" s="2">
        <f t="shared" ref="D255:D267" si="8">C255*4</f>
        <v>1700</v>
      </c>
    </row>
    <row r="256" spans="1:9" x14ac:dyDescent="0.25">
      <c r="B256" t="s">
        <v>1039</v>
      </c>
      <c r="C256" s="2">
        <v>425</v>
      </c>
      <c r="D256" s="2">
        <f t="shared" si="8"/>
        <v>1700</v>
      </c>
    </row>
    <row r="257" spans="1:9" x14ac:dyDescent="0.25">
      <c r="B257" t="s">
        <v>1040</v>
      </c>
      <c r="C257" s="2">
        <v>425</v>
      </c>
      <c r="D257" s="2">
        <f t="shared" si="8"/>
        <v>1700</v>
      </c>
    </row>
    <row r="258" spans="1:9" x14ac:dyDescent="0.25">
      <c r="B258" t="s">
        <v>1041</v>
      </c>
      <c r="C258" s="2">
        <v>425</v>
      </c>
      <c r="D258" s="2">
        <f t="shared" si="8"/>
        <v>1700</v>
      </c>
    </row>
    <row r="259" spans="1:9" x14ac:dyDescent="0.25">
      <c r="B259" t="s">
        <v>1042</v>
      </c>
      <c r="C259" s="2">
        <v>425</v>
      </c>
      <c r="D259" s="2">
        <f t="shared" si="8"/>
        <v>1700</v>
      </c>
    </row>
    <row r="260" spans="1:9" x14ac:dyDescent="0.25">
      <c r="B260" t="s">
        <v>1043</v>
      </c>
      <c r="C260" s="2">
        <v>425</v>
      </c>
      <c r="D260" s="2">
        <f t="shared" si="8"/>
        <v>1700</v>
      </c>
    </row>
    <row r="261" spans="1:9" x14ac:dyDescent="0.25">
      <c r="B261" t="s">
        <v>1044</v>
      </c>
      <c r="C261" s="2">
        <v>425</v>
      </c>
      <c r="D261" s="2">
        <f t="shared" si="8"/>
        <v>1700</v>
      </c>
    </row>
    <row r="262" spans="1:9" x14ac:dyDescent="0.25">
      <c r="B262" t="s">
        <v>1045</v>
      </c>
      <c r="C262" s="2">
        <v>425</v>
      </c>
      <c r="D262" s="2">
        <f t="shared" si="8"/>
        <v>1700</v>
      </c>
    </row>
    <row r="263" spans="1:9" x14ac:dyDescent="0.25">
      <c r="B263" t="s">
        <v>1046</v>
      </c>
      <c r="C263" s="2">
        <v>425</v>
      </c>
      <c r="D263" s="2">
        <f t="shared" si="8"/>
        <v>1700</v>
      </c>
    </row>
    <row r="264" spans="1:9" x14ac:dyDescent="0.25">
      <c r="B264" t="s">
        <v>879</v>
      </c>
      <c r="C264" s="2">
        <v>425</v>
      </c>
      <c r="D264" s="2">
        <f t="shared" si="8"/>
        <v>1700</v>
      </c>
    </row>
    <row r="265" spans="1:9" x14ac:dyDescent="0.25">
      <c r="B265" t="s">
        <v>1047</v>
      </c>
      <c r="C265" s="2">
        <v>425</v>
      </c>
      <c r="D265" s="2">
        <f t="shared" si="8"/>
        <v>1700</v>
      </c>
    </row>
    <row r="266" spans="1:9" x14ac:dyDescent="0.25">
      <c r="B266" t="s">
        <v>1048</v>
      </c>
      <c r="C266" s="2">
        <v>425</v>
      </c>
      <c r="D266" s="2">
        <f t="shared" si="8"/>
        <v>1700</v>
      </c>
    </row>
    <row r="267" spans="1:9" x14ac:dyDescent="0.25">
      <c r="B267" t="s">
        <v>1049</v>
      </c>
      <c r="C267" s="2">
        <v>425</v>
      </c>
      <c r="D267" s="290">
        <f t="shared" si="8"/>
        <v>1700</v>
      </c>
    </row>
    <row r="268" spans="1:9" x14ac:dyDescent="0.25">
      <c r="B268" t="s">
        <v>1050</v>
      </c>
      <c r="D268" s="2">
        <f>SUM(D253:D267)</f>
        <v>24225</v>
      </c>
    </row>
    <row r="269" spans="1:9" x14ac:dyDescent="0.25">
      <c r="D269" s="2"/>
    </row>
    <row r="270" spans="1:9" x14ac:dyDescent="0.25">
      <c r="A270" s="54" t="s">
        <v>778</v>
      </c>
      <c r="B270" s="22" t="s">
        <v>1051</v>
      </c>
      <c r="D270" s="2">
        <v>122400</v>
      </c>
    </row>
    <row r="272" spans="1:9" x14ac:dyDescent="0.25">
      <c r="A272" s="257" t="s">
        <v>85</v>
      </c>
      <c r="B272" s="257"/>
      <c r="C272" s="258">
        <f>VLOOKUP(A272,'FY24 Service Agreements'!$A:$AF,31,FALSE)</f>
        <v>45444</v>
      </c>
      <c r="D272" s="259"/>
      <c r="E272" s="259" t="s">
        <v>769</v>
      </c>
      <c r="F272" s="259"/>
      <c r="G272" s="260"/>
      <c r="H272" s="261">
        <v>44743</v>
      </c>
      <c r="I272" s="261">
        <v>45473</v>
      </c>
    </row>
    <row r="273" spans="1:9" x14ac:dyDescent="0.25">
      <c r="A273" s="54" t="s">
        <v>1052</v>
      </c>
      <c r="B273" t="s">
        <v>1053</v>
      </c>
      <c r="C273" s="2">
        <v>34382</v>
      </c>
    </row>
    <row r="274" spans="1:9" x14ac:dyDescent="0.25">
      <c r="B274" t="s">
        <v>1054</v>
      </c>
    </row>
    <row r="276" spans="1:9" x14ac:dyDescent="0.25">
      <c r="A276" s="269" t="s">
        <v>88</v>
      </c>
      <c r="B276" s="269"/>
      <c r="C276" s="270" t="e">
        <f>VLOOKUP(A276,'FY24 Service Agreements'!$A:$AF,31,FALSE)</f>
        <v>#N/A</v>
      </c>
      <c r="D276" s="271"/>
      <c r="E276" s="271" t="s">
        <v>769</v>
      </c>
      <c r="F276" s="271"/>
      <c r="G276" s="296" t="s">
        <v>822</v>
      </c>
      <c r="H276" s="273">
        <v>44743</v>
      </c>
      <c r="I276" s="273">
        <v>45107</v>
      </c>
    </row>
    <row r="277" spans="1:9" x14ac:dyDescent="0.25">
      <c r="A277" s="54" t="s">
        <v>906</v>
      </c>
      <c r="B277" t="s">
        <v>1055</v>
      </c>
      <c r="C277" s="2">
        <v>5083.26</v>
      </c>
      <c r="D277" s="139">
        <f>C277*12</f>
        <v>60999.12</v>
      </c>
      <c r="E277" t="s">
        <v>911</v>
      </c>
      <c r="G277" s="2">
        <f>SUM(D277:D279)</f>
        <v>65667.86</v>
      </c>
    </row>
    <row r="278" spans="1:9" x14ac:dyDescent="0.25">
      <c r="B278" t="s">
        <v>1056</v>
      </c>
      <c r="C278" s="2">
        <v>31</v>
      </c>
      <c r="D278" s="139">
        <f>C278*12</f>
        <v>372</v>
      </c>
    </row>
    <row r="279" spans="1:9" x14ac:dyDescent="0.25">
      <c r="B279" s="40" t="s">
        <v>1057</v>
      </c>
      <c r="C279" s="2">
        <v>4296.74</v>
      </c>
      <c r="D279" s="139">
        <f>C279</f>
        <v>4296.74</v>
      </c>
    </row>
    <row r="280" spans="1:9" x14ac:dyDescent="0.25">
      <c r="B280" s="40" t="s">
        <v>1058</v>
      </c>
      <c r="C280" s="2">
        <v>5890.16</v>
      </c>
      <c r="D280" s="40"/>
    </row>
    <row r="281" spans="1:9" x14ac:dyDescent="0.25">
      <c r="D281" s="40"/>
    </row>
    <row r="282" spans="1:9" x14ac:dyDescent="0.25">
      <c r="A282" s="54" t="s">
        <v>891</v>
      </c>
      <c r="B282" t="s">
        <v>1055</v>
      </c>
      <c r="C282" s="2">
        <v>4596.6400000000003</v>
      </c>
      <c r="D282" s="139">
        <f>C282*4</f>
        <v>18386.560000000001</v>
      </c>
      <c r="E282" t="s">
        <v>911</v>
      </c>
      <c r="G282" s="2">
        <f>SUM(D282:D285)</f>
        <v>23237.7</v>
      </c>
    </row>
    <row r="283" spans="1:9" x14ac:dyDescent="0.25">
      <c r="B283" t="s">
        <v>1056</v>
      </c>
      <c r="C283" s="2">
        <v>31</v>
      </c>
      <c r="D283" s="139">
        <f>C283*4</f>
        <v>124</v>
      </c>
    </row>
    <row r="284" spans="1:9" x14ac:dyDescent="0.25">
      <c r="B284" t="s">
        <v>1059</v>
      </c>
      <c r="C284" s="2">
        <v>2027.14</v>
      </c>
      <c r="D284" s="139">
        <f>C284</f>
        <v>2027.14</v>
      </c>
    </row>
    <row r="285" spans="1:9" x14ac:dyDescent="0.25">
      <c r="B285" s="40" t="s">
        <v>1057</v>
      </c>
      <c r="C285" s="2">
        <v>2700</v>
      </c>
      <c r="D285" s="139">
        <f>C285</f>
        <v>2700</v>
      </c>
    </row>
    <row r="286" spans="1:9" x14ac:dyDescent="0.25">
      <c r="B286" s="40" t="s">
        <v>1058</v>
      </c>
      <c r="C286" s="2">
        <v>806.58</v>
      </c>
      <c r="D286" s="40"/>
    </row>
    <row r="287" spans="1:9" x14ac:dyDescent="0.25">
      <c r="B287" s="40"/>
    </row>
    <row r="288" spans="1:9" x14ac:dyDescent="0.25">
      <c r="A288" s="117" t="s">
        <v>1060</v>
      </c>
      <c r="B288" s="117"/>
      <c r="C288" s="118" t="e">
        <f>VLOOKUP(A288,'FY24 Service Agreements'!$A:$AF,31,FALSE)</f>
        <v>#N/A</v>
      </c>
      <c r="D288" s="117"/>
      <c r="E288" s="117" t="s">
        <v>769</v>
      </c>
      <c r="F288" s="117"/>
      <c r="G288" s="118"/>
      <c r="H288" s="125">
        <v>44136</v>
      </c>
      <c r="I288" s="125">
        <v>44865</v>
      </c>
    </row>
    <row r="289" spans="1:9" x14ac:dyDescent="0.25">
      <c r="A289" s="54" t="s">
        <v>1061</v>
      </c>
      <c r="B289" t="s">
        <v>943</v>
      </c>
      <c r="C289" s="2">
        <v>39940</v>
      </c>
      <c r="D289" t="s">
        <v>1062</v>
      </c>
    </row>
    <row r="290" spans="1:9" x14ac:dyDescent="0.25">
      <c r="A290" s="54" t="s">
        <v>1063</v>
      </c>
      <c r="B290" t="s">
        <v>943</v>
      </c>
      <c r="C290" s="2">
        <v>39940</v>
      </c>
      <c r="D290" t="s">
        <v>1064</v>
      </c>
    </row>
    <row r="291" spans="1:9" x14ac:dyDescent="0.25">
      <c r="C291" s="120">
        <f>SUM(C289:C290)</f>
        <v>79880</v>
      </c>
    </row>
    <row r="294" spans="1:9" x14ac:dyDescent="0.25">
      <c r="A294" s="262" t="s">
        <v>255</v>
      </c>
      <c r="B294" s="262"/>
      <c r="C294" s="263" t="e">
        <f>VLOOKUP(A294,'FY24 Service Agreements'!$A:$AF,31,FALSE)</f>
        <v>#N/A</v>
      </c>
      <c r="D294" s="262"/>
      <c r="E294" s="262" t="s">
        <v>769</v>
      </c>
      <c r="F294" s="262"/>
      <c r="G294" s="264"/>
      <c r="H294" s="265">
        <v>0</v>
      </c>
      <c r="I294" s="265">
        <v>0</v>
      </c>
    </row>
    <row r="295" spans="1:9" x14ac:dyDescent="0.25">
      <c r="B295" t="s">
        <v>1065</v>
      </c>
      <c r="C295" s="2">
        <v>3000</v>
      </c>
    </row>
    <row r="296" spans="1:9" x14ac:dyDescent="0.25">
      <c r="B296" t="s">
        <v>1066</v>
      </c>
      <c r="C296" s="2">
        <v>3000</v>
      </c>
    </row>
    <row r="297" spans="1:9" x14ac:dyDescent="0.25">
      <c r="B297" t="s">
        <v>1067</v>
      </c>
      <c r="C297" s="2">
        <v>3000</v>
      </c>
    </row>
    <row r="298" spans="1:9" x14ac:dyDescent="0.25">
      <c r="B298" t="s">
        <v>1068</v>
      </c>
      <c r="C298" s="2">
        <v>3000</v>
      </c>
    </row>
    <row r="299" spans="1:9" x14ac:dyDescent="0.25">
      <c r="B299" t="s">
        <v>1069</v>
      </c>
      <c r="C299" s="2">
        <v>3800</v>
      </c>
    </row>
    <row r="300" spans="1:9" x14ac:dyDescent="0.25">
      <c r="B300" t="s">
        <v>1070</v>
      </c>
      <c r="C300" s="2">
        <v>3800</v>
      </c>
    </row>
    <row r="301" spans="1:9" x14ac:dyDescent="0.25">
      <c r="C301" s="120">
        <f>SUM(C295:C300)</f>
        <v>19600</v>
      </c>
    </row>
    <row r="304" spans="1:9" x14ac:dyDescent="0.25">
      <c r="A304" s="107" t="s">
        <v>258</v>
      </c>
      <c r="B304" s="107"/>
      <c r="C304" s="253" t="e">
        <f>VLOOKUP(A304,'FY24 Service Agreements'!$A:$AF,31,FALSE)</f>
        <v>#N/A</v>
      </c>
      <c r="D304" s="254"/>
      <c r="E304" s="254" t="s">
        <v>769</v>
      </c>
      <c r="F304" s="254"/>
      <c r="G304" s="255"/>
      <c r="H304" s="256">
        <v>0</v>
      </c>
      <c r="I304" s="256">
        <v>0</v>
      </c>
    </row>
    <row r="305" spans="1:9" x14ac:dyDescent="0.25">
      <c r="B305" t="s">
        <v>1071</v>
      </c>
      <c r="C305" s="2">
        <v>41</v>
      </c>
    </row>
    <row r="306" spans="1:9" x14ac:dyDescent="0.25">
      <c r="B306" t="s">
        <v>1072</v>
      </c>
      <c r="C306" s="2">
        <v>360</v>
      </c>
    </row>
    <row r="309" spans="1:9" x14ac:dyDescent="0.25">
      <c r="A309" s="248" t="s">
        <v>90</v>
      </c>
      <c r="B309" s="248"/>
      <c r="C309" s="249" t="e">
        <f>VLOOKUP(A309,'FY24 Service Agreements'!$A:$AF,31,FALSE)</f>
        <v>#N/A</v>
      </c>
      <c r="D309" s="250"/>
      <c r="E309" s="250" t="s">
        <v>769</v>
      </c>
      <c r="F309" s="250"/>
      <c r="G309" s="251"/>
      <c r="H309" s="252">
        <v>44013</v>
      </c>
      <c r="I309" s="252">
        <v>45107</v>
      </c>
    </row>
    <row r="310" spans="1:9" x14ac:dyDescent="0.25">
      <c r="B310" t="s">
        <v>1073</v>
      </c>
      <c r="C310" s="2">
        <v>3000</v>
      </c>
      <c r="E310" t="s">
        <v>911</v>
      </c>
      <c r="G310" s="2">
        <f>C310*12</f>
        <v>36000</v>
      </c>
      <c r="H310" t="s">
        <v>1074</v>
      </c>
    </row>
    <row r="311" spans="1:9" x14ac:dyDescent="0.25">
      <c r="B311" s="40" t="s">
        <v>1075</v>
      </c>
    </row>
    <row r="312" spans="1:9" x14ac:dyDescent="0.25">
      <c r="A312" s="54" t="s">
        <v>1076</v>
      </c>
    </row>
    <row r="313" spans="1:9" x14ac:dyDescent="0.25">
      <c r="B313" t="s">
        <v>1077</v>
      </c>
      <c r="C313" s="2">
        <v>93.5</v>
      </c>
      <c r="D313" t="s">
        <v>1078</v>
      </c>
    </row>
    <row r="314" spans="1:9" x14ac:dyDescent="0.25">
      <c r="B314" t="s">
        <v>1079</v>
      </c>
      <c r="C314" s="2">
        <v>140.25</v>
      </c>
      <c r="D314" t="s">
        <v>1080</v>
      </c>
    </row>
    <row r="315" spans="1:9" x14ac:dyDescent="0.25">
      <c r="B315" t="s">
        <v>1081</v>
      </c>
      <c r="C315" s="2">
        <v>140.25</v>
      </c>
      <c r="D315" t="s">
        <v>1082</v>
      </c>
    </row>
    <row r="317" spans="1:9" x14ac:dyDescent="0.25">
      <c r="A317" s="262" t="s">
        <v>92</v>
      </c>
      <c r="B317" s="262"/>
      <c r="C317" s="263">
        <f>VLOOKUP(A317,'FY24 Service Agreements'!$A:$AF,31,FALSE)</f>
        <v>45444</v>
      </c>
      <c r="D317" s="262"/>
      <c r="E317" s="262" t="s">
        <v>769</v>
      </c>
      <c r="F317" s="262"/>
      <c r="G317" s="293" t="s">
        <v>822</v>
      </c>
      <c r="H317" s="265">
        <v>44743</v>
      </c>
      <c r="I317" s="265">
        <v>45107</v>
      </c>
    </row>
    <row r="318" spans="1:9" x14ac:dyDescent="0.25">
      <c r="B318" t="s">
        <v>1083</v>
      </c>
      <c r="C318" s="2">
        <f>F318/12</f>
        <v>9984.83</v>
      </c>
      <c r="E318" t="s">
        <v>911</v>
      </c>
      <c r="F318" s="2">
        <v>119817.96</v>
      </c>
    </row>
    <row r="319" spans="1:9" x14ac:dyDescent="0.25">
      <c r="B319" t="s">
        <v>1084</v>
      </c>
    </row>
    <row r="320" spans="1:9" x14ac:dyDescent="0.25">
      <c r="A320" s="257" t="s">
        <v>606</v>
      </c>
      <c r="B320" s="257"/>
      <c r="C320" s="258">
        <f>VLOOKUP(A320,'FY24 Service Agreements'!$A:$AF,31,FALSE)</f>
        <v>45444</v>
      </c>
      <c r="D320" s="259"/>
      <c r="E320" s="259" t="s">
        <v>769</v>
      </c>
      <c r="F320" s="259"/>
      <c r="G320" s="260"/>
      <c r="H320" s="261">
        <v>44743</v>
      </c>
      <c r="I320" s="261">
        <v>45107</v>
      </c>
    </row>
    <row r="321" spans="1:9" x14ac:dyDescent="0.25">
      <c r="B321" t="s">
        <v>1085</v>
      </c>
      <c r="C321" s="2">
        <v>138688</v>
      </c>
      <c r="D321" t="s">
        <v>1086</v>
      </c>
      <c r="E321" t="s">
        <v>874</v>
      </c>
    </row>
    <row r="322" spans="1:9" x14ac:dyDescent="0.25">
      <c r="B322" t="s">
        <v>1087</v>
      </c>
      <c r="C322" s="2">
        <v>14696</v>
      </c>
      <c r="D322" t="s">
        <v>772</v>
      </c>
    </row>
    <row r="323" spans="1:9" x14ac:dyDescent="0.25">
      <c r="B323" t="s">
        <v>1088</v>
      </c>
      <c r="C323" s="2">
        <v>22616</v>
      </c>
      <c r="D323" t="s">
        <v>772</v>
      </c>
    </row>
    <row r="324" spans="1:9" x14ac:dyDescent="0.25">
      <c r="B324" t="s">
        <v>1089</v>
      </c>
      <c r="C324" s="2">
        <v>11000</v>
      </c>
      <c r="D324" t="s">
        <v>1090</v>
      </c>
      <c r="I324" s="139"/>
    </row>
    <row r="325" spans="1:9" x14ac:dyDescent="0.25">
      <c r="B325" t="s">
        <v>1091</v>
      </c>
      <c r="C325" s="2">
        <v>57024</v>
      </c>
      <c r="D325" t="s">
        <v>1092</v>
      </c>
    </row>
    <row r="326" spans="1:9" x14ac:dyDescent="0.25">
      <c r="B326" t="s">
        <v>1093</v>
      </c>
      <c r="C326" s="2">
        <v>30694</v>
      </c>
      <c r="D326" t="s">
        <v>1094</v>
      </c>
    </row>
    <row r="327" spans="1:9" x14ac:dyDescent="0.25">
      <c r="B327" t="s">
        <v>1095</v>
      </c>
      <c r="C327" s="2">
        <v>19184.04</v>
      </c>
      <c r="D327" t="s">
        <v>1092</v>
      </c>
      <c r="I327" s="139"/>
    </row>
    <row r="328" spans="1:9" x14ac:dyDescent="0.25">
      <c r="B328" t="s">
        <v>1096</v>
      </c>
      <c r="C328" s="2">
        <v>4536</v>
      </c>
      <c r="D328" t="s">
        <v>1092</v>
      </c>
    </row>
    <row r="329" spans="1:9" x14ac:dyDescent="0.25">
      <c r="B329" t="s">
        <v>1097</v>
      </c>
      <c r="C329" s="2">
        <v>9040</v>
      </c>
      <c r="D329" t="s">
        <v>1086</v>
      </c>
    </row>
    <row r="330" spans="1:9" x14ac:dyDescent="0.25">
      <c r="B330" t="s">
        <v>1097</v>
      </c>
      <c r="C330" s="2">
        <v>7200</v>
      </c>
      <c r="D330" t="s">
        <v>772</v>
      </c>
    </row>
    <row r="331" spans="1:9" x14ac:dyDescent="0.25">
      <c r="B331" s="40" t="s">
        <v>1098</v>
      </c>
    </row>
    <row r="332" spans="1:9" x14ac:dyDescent="0.25">
      <c r="B332" s="40" t="s">
        <v>95</v>
      </c>
    </row>
    <row r="333" spans="1:9" x14ac:dyDescent="0.25">
      <c r="B333" s="40"/>
    </row>
    <row r="334" spans="1:9" x14ac:dyDescent="0.25">
      <c r="A334" s="257" t="s">
        <v>612</v>
      </c>
      <c r="B334" s="276"/>
      <c r="C334" s="258">
        <f>VLOOKUP(A334,'FY24 Service Agreements'!$A:$AF,31,FALSE)</f>
        <v>45444</v>
      </c>
      <c r="D334" s="259"/>
      <c r="E334" s="259" t="s">
        <v>769</v>
      </c>
      <c r="F334" s="259"/>
      <c r="G334" s="260"/>
      <c r="H334" s="261">
        <v>44743</v>
      </c>
      <c r="I334" s="261">
        <v>44926</v>
      </c>
    </row>
    <row r="335" spans="1:9" x14ac:dyDescent="0.25">
      <c r="B335" s="40" t="s">
        <v>96</v>
      </c>
      <c r="C335" s="187">
        <v>24000</v>
      </c>
      <c r="G335" s="187"/>
    </row>
    <row r="336" spans="1:9" x14ac:dyDescent="0.25">
      <c r="B336" s="40"/>
      <c r="C336" s="187"/>
      <c r="G336" s="187"/>
    </row>
    <row r="338" spans="1:9" x14ac:dyDescent="0.25">
      <c r="A338" s="269" t="s">
        <v>616</v>
      </c>
      <c r="B338" s="269"/>
      <c r="C338" s="270">
        <f>VLOOKUP(A338,'FY24 Service Agreements'!$A:$AF,31,FALSE)</f>
        <v>45444</v>
      </c>
      <c r="D338" s="271"/>
      <c r="E338" s="271" t="s">
        <v>769</v>
      </c>
      <c r="F338" s="271"/>
      <c r="G338" s="272"/>
      <c r="H338" s="273">
        <v>44378</v>
      </c>
      <c r="I338" s="273">
        <v>45473</v>
      </c>
    </row>
    <row r="339" spans="1:9" x14ac:dyDescent="0.25">
      <c r="B339" t="s">
        <v>1099</v>
      </c>
      <c r="C339" s="2">
        <v>39962</v>
      </c>
    </row>
    <row r="340" spans="1:9" x14ac:dyDescent="0.25">
      <c r="A340" s="54" t="s">
        <v>1100</v>
      </c>
    </row>
    <row r="341" spans="1:9" x14ac:dyDescent="0.25">
      <c r="B341" t="s">
        <v>1101</v>
      </c>
    </row>
    <row r="342" spans="1:9" x14ac:dyDescent="0.25">
      <c r="B342" t="s">
        <v>1102</v>
      </c>
    </row>
    <row r="343" spans="1:9" x14ac:dyDescent="0.25">
      <c r="B343" t="s">
        <v>1103</v>
      </c>
    </row>
    <row r="344" spans="1:9" x14ac:dyDescent="0.25">
      <c r="B344" t="s">
        <v>1104</v>
      </c>
    </row>
    <row r="345" spans="1:9" x14ac:dyDescent="0.25">
      <c r="B345" t="s">
        <v>1105</v>
      </c>
    </row>
    <row r="346" spans="1:9" x14ac:dyDescent="0.25">
      <c r="B346" t="s">
        <v>1106</v>
      </c>
    </row>
    <row r="347" spans="1:9" x14ac:dyDescent="0.25">
      <c r="B347" t="s">
        <v>994</v>
      </c>
    </row>
    <row r="349" spans="1:9" x14ac:dyDescent="0.25">
      <c r="A349" s="269" t="s">
        <v>265</v>
      </c>
      <c r="B349" s="269"/>
      <c r="C349" s="270">
        <f>VLOOKUP(A349,'FY24 Service Agreements'!$A:$AF,31,FALSE)</f>
        <v>45444</v>
      </c>
      <c r="D349" s="271"/>
      <c r="E349" s="271" t="s">
        <v>769</v>
      </c>
      <c r="F349" s="271"/>
      <c r="G349" s="272"/>
      <c r="H349" s="273">
        <v>44378</v>
      </c>
      <c r="I349" s="273">
        <v>45473</v>
      </c>
    </row>
    <row r="350" spans="1:9" x14ac:dyDescent="0.25">
      <c r="B350" t="s">
        <v>1061</v>
      </c>
      <c r="C350" s="2">
        <v>98394</v>
      </c>
      <c r="E350" s="294">
        <f>+C350/4</f>
        <v>24598.5</v>
      </c>
    </row>
    <row r="351" spans="1:9" x14ac:dyDescent="0.25">
      <c r="B351" t="s">
        <v>1063</v>
      </c>
      <c r="C351" s="2">
        <v>101341</v>
      </c>
      <c r="E351" s="294">
        <f>+C351/4</f>
        <v>25335.25</v>
      </c>
      <c r="F351" t="s">
        <v>1107</v>
      </c>
    </row>
    <row r="352" spans="1:9" x14ac:dyDescent="0.25">
      <c r="B352" t="s">
        <v>1108</v>
      </c>
      <c r="C352" s="2">
        <v>104382</v>
      </c>
      <c r="E352" s="294">
        <f>+C352/4</f>
        <v>26095.5</v>
      </c>
    </row>
    <row r="353" spans="1:9" x14ac:dyDescent="0.25">
      <c r="A353" s="54" t="s">
        <v>1100</v>
      </c>
    </row>
    <row r="354" spans="1:9" x14ac:dyDescent="0.25">
      <c r="B354" t="s">
        <v>898</v>
      </c>
    </row>
    <row r="356" spans="1:9" x14ac:dyDescent="0.25">
      <c r="A356" s="101" t="s">
        <v>97</v>
      </c>
      <c r="B356" s="101"/>
      <c r="C356" s="266">
        <f>VLOOKUP(A356,'FY24 Service Agreements'!$A:$AF,31,FALSE)</f>
        <v>45444</v>
      </c>
      <c r="D356" s="267"/>
      <c r="E356" s="267" t="s">
        <v>769</v>
      </c>
      <c r="F356" s="267"/>
      <c r="G356" s="288" t="s">
        <v>822</v>
      </c>
      <c r="H356" s="268">
        <v>44743</v>
      </c>
      <c r="I356" s="268">
        <v>45107</v>
      </c>
    </row>
    <row r="357" spans="1:9" x14ac:dyDescent="0.25">
      <c r="B357" t="s">
        <v>1109</v>
      </c>
      <c r="C357" s="2">
        <f>F357/12</f>
        <v>950</v>
      </c>
      <c r="E357" t="s">
        <v>1110</v>
      </c>
      <c r="F357" s="2">
        <v>11400</v>
      </c>
    </row>
    <row r="358" spans="1:9" x14ac:dyDescent="0.25">
      <c r="B358" s="40" t="s">
        <v>1111</v>
      </c>
    </row>
    <row r="360" spans="1:9" x14ac:dyDescent="0.25">
      <c r="A360" s="262" t="s">
        <v>99</v>
      </c>
      <c r="B360" s="262"/>
      <c r="C360" s="263">
        <f>VLOOKUP(A360,'FY24 Service Agreements'!$A:$AF,31,FALSE)</f>
        <v>45413</v>
      </c>
      <c r="D360" s="262"/>
      <c r="E360" s="262" t="s">
        <v>769</v>
      </c>
      <c r="F360" s="262"/>
      <c r="G360" s="293" t="s">
        <v>822</v>
      </c>
      <c r="H360" s="265">
        <v>44713</v>
      </c>
      <c r="I360" s="265">
        <v>45077</v>
      </c>
    </row>
    <row r="361" spans="1:9" x14ac:dyDescent="0.25">
      <c r="B361" t="s">
        <v>1112</v>
      </c>
      <c r="C361" s="2">
        <v>8927.08</v>
      </c>
      <c r="D361" t="s">
        <v>1113</v>
      </c>
      <c r="H361" s="2">
        <f>C361*12</f>
        <v>107124.95999999999</v>
      </c>
    </row>
    <row r="362" spans="1:9" x14ac:dyDescent="0.25">
      <c r="B362" t="s">
        <v>1114</v>
      </c>
      <c r="C362" s="2">
        <v>1568</v>
      </c>
      <c r="H362" s="2">
        <f>C362*12</f>
        <v>18816</v>
      </c>
    </row>
    <row r="363" spans="1:9" x14ac:dyDescent="0.25">
      <c r="B363" t="s">
        <v>1115</v>
      </c>
      <c r="C363" s="2">
        <v>1942.34</v>
      </c>
      <c r="H363" s="2">
        <f>C363</f>
        <v>1942.34</v>
      </c>
    </row>
    <row r="364" spans="1:9" x14ac:dyDescent="0.25">
      <c r="B364" t="s">
        <v>1116</v>
      </c>
      <c r="D364" t="s">
        <v>1117</v>
      </c>
      <c r="H364" s="2">
        <v>38846.870000000003</v>
      </c>
    </row>
    <row r="365" spans="1:9" x14ac:dyDescent="0.25">
      <c r="G365" s="119" t="s">
        <v>979</v>
      </c>
      <c r="H365" s="120">
        <f>SUM(H361:H364)</f>
        <v>166730.16999999998</v>
      </c>
    </row>
    <row r="366" spans="1:9" x14ac:dyDescent="0.25">
      <c r="A366" s="54" t="s">
        <v>1118</v>
      </c>
      <c r="C366" s="2" t="s">
        <v>1119</v>
      </c>
    </row>
    <row r="367" spans="1:9" x14ac:dyDescent="0.25">
      <c r="B367" t="s">
        <v>1120</v>
      </c>
      <c r="C367" s="135">
        <v>77</v>
      </c>
      <c r="D367" s="2"/>
    </row>
    <row r="368" spans="1:9" x14ac:dyDescent="0.25">
      <c r="B368" t="s">
        <v>1121</v>
      </c>
      <c r="C368" s="135">
        <v>100</v>
      </c>
      <c r="D368" s="2"/>
    </row>
    <row r="369" spans="1:9" x14ac:dyDescent="0.25">
      <c r="B369" t="s">
        <v>1122</v>
      </c>
      <c r="C369" s="135">
        <v>17</v>
      </c>
      <c r="D369" s="2"/>
    </row>
    <row r="370" spans="1:9" x14ac:dyDescent="0.25">
      <c r="B370" t="s">
        <v>1123</v>
      </c>
      <c r="C370" s="135">
        <v>2</v>
      </c>
      <c r="D370" s="2"/>
    </row>
    <row r="371" spans="1:9" x14ac:dyDescent="0.25">
      <c r="B371" s="136" t="s">
        <v>1124</v>
      </c>
      <c r="C371" s="137">
        <f>SUM(C367:C370)</f>
        <v>196</v>
      </c>
    </row>
    <row r="373" spans="1:9" x14ac:dyDescent="0.25">
      <c r="A373" s="107" t="s">
        <v>101</v>
      </c>
      <c r="B373" s="107"/>
      <c r="C373" s="253" t="e">
        <f>VLOOKUP(A373,'FY24 Service Agreements'!$A:$AF,31,FALSE)</f>
        <v>#N/A</v>
      </c>
      <c r="D373" s="254"/>
      <c r="E373" s="254" t="s">
        <v>769</v>
      </c>
      <c r="F373" s="254"/>
      <c r="G373" s="255"/>
      <c r="H373" s="256">
        <v>0</v>
      </c>
      <c r="I373" s="256">
        <v>0</v>
      </c>
    </row>
    <row r="374" spans="1:9" x14ac:dyDescent="0.25">
      <c r="B374" t="s">
        <v>1125</v>
      </c>
    </row>
    <row r="377" spans="1:9" x14ac:dyDescent="0.25">
      <c r="A377" s="248" t="s">
        <v>1126</v>
      </c>
      <c r="B377" s="248"/>
      <c r="C377" s="249" t="e">
        <f>VLOOKUP(A377,'FY24 Service Agreements'!$A:$AF,31,FALSE)</f>
        <v>#N/A</v>
      </c>
      <c r="D377" s="250"/>
      <c r="E377" s="250" t="s">
        <v>769</v>
      </c>
      <c r="F377" s="250"/>
      <c r="G377" s="251"/>
      <c r="H377" s="252">
        <v>43709</v>
      </c>
      <c r="I377" s="252">
        <v>44804</v>
      </c>
    </row>
    <row r="378" spans="1:9" x14ac:dyDescent="0.25">
      <c r="B378" t="s">
        <v>1127</v>
      </c>
      <c r="C378" s="2">
        <v>16056</v>
      </c>
      <c r="D378" s="40" t="s">
        <v>1128</v>
      </c>
    </row>
    <row r="379" spans="1:9" x14ac:dyDescent="0.25">
      <c r="B379" t="s">
        <v>1129</v>
      </c>
      <c r="C379" s="2">
        <f>16056+5112+C383+C385</f>
        <v>33641</v>
      </c>
      <c r="H379" s="139">
        <f>C379/12</f>
        <v>2803.4166666666665</v>
      </c>
    </row>
    <row r="380" spans="1:9" x14ac:dyDescent="0.25">
      <c r="B380" t="s">
        <v>1130</v>
      </c>
      <c r="C380" s="2">
        <f>16056+5112+C384</f>
        <v>26921</v>
      </c>
      <c r="H380" s="139">
        <f>C380/12</f>
        <v>2243.4166666666665</v>
      </c>
    </row>
    <row r="381" spans="1:9" x14ac:dyDescent="0.25">
      <c r="B381" s="138" t="s">
        <v>1131</v>
      </c>
      <c r="C381" s="134">
        <v>5112</v>
      </c>
      <c r="D381" s="133" t="s">
        <v>1132</v>
      </c>
    </row>
    <row r="382" spans="1:9" x14ac:dyDescent="0.25">
      <c r="B382" s="138" t="s">
        <v>1131</v>
      </c>
      <c r="C382" s="134">
        <v>5112</v>
      </c>
      <c r="D382" s="133" t="s">
        <v>1133</v>
      </c>
    </row>
    <row r="383" spans="1:9" x14ac:dyDescent="0.25">
      <c r="B383" s="138" t="s">
        <v>1134</v>
      </c>
      <c r="C383" s="134">
        <v>5753</v>
      </c>
      <c r="D383" s="133" t="s">
        <v>1132</v>
      </c>
    </row>
    <row r="384" spans="1:9" x14ac:dyDescent="0.25">
      <c r="B384" s="138" t="s">
        <v>1134</v>
      </c>
      <c r="C384" s="134">
        <v>5753</v>
      </c>
      <c r="D384" s="133" t="s">
        <v>1133</v>
      </c>
    </row>
    <row r="385" spans="1:9" x14ac:dyDescent="0.25">
      <c r="B385" s="138" t="s">
        <v>1135</v>
      </c>
      <c r="C385" s="134">
        <v>6720</v>
      </c>
      <c r="D385" s="133" t="s">
        <v>1132</v>
      </c>
    </row>
    <row r="386" spans="1:9" x14ac:dyDescent="0.25">
      <c r="B386" s="138" t="s">
        <v>1135</v>
      </c>
      <c r="C386" s="134">
        <v>5753</v>
      </c>
      <c r="D386" s="133" t="s">
        <v>1133</v>
      </c>
    </row>
    <row r="388" spans="1:9" x14ac:dyDescent="0.25">
      <c r="A388" s="248" t="s">
        <v>103</v>
      </c>
      <c r="B388" s="248"/>
      <c r="C388" s="249">
        <f>VLOOKUP(A388,'FY24 Service Agreements'!$A:$AF,31,FALSE)</f>
        <v>45444</v>
      </c>
      <c r="D388" s="250"/>
      <c r="E388" s="250" t="s">
        <v>769</v>
      </c>
      <c r="F388" s="250"/>
      <c r="G388" s="251"/>
      <c r="H388" s="252">
        <v>44378</v>
      </c>
      <c r="I388" s="252">
        <v>45107</v>
      </c>
    </row>
    <row r="389" spans="1:9" x14ac:dyDescent="0.25">
      <c r="B389" t="s">
        <v>1136</v>
      </c>
      <c r="C389" s="2">
        <v>17291</v>
      </c>
    </row>
    <row r="390" spans="1:9" x14ac:dyDescent="0.25">
      <c r="B390" t="s">
        <v>1137</v>
      </c>
      <c r="C390" s="2">
        <v>17291</v>
      </c>
    </row>
    <row r="391" spans="1:9" x14ac:dyDescent="0.25">
      <c r="B391" t="s">
        <v>1138</v>
      </c>
      <c r="C391" s="2">
        <v>17291</v>
      </c>
    </row>
    <row r="392" spans="1:9" x14ac:dyDescent="0.25">
      <c r="B392" s="40" t="s">
        <v>1139</v>
      </c>
    </row>
    <row r="394" spans="1:9" x14ac:dyDescent="0.25">
      <c r="A394" s="104" t="s">
        <v>107</v>
      </c>
      <c r="B394" s="104"/>
      <c r="C394" s="105">
        <f>VLOOKUP(A394,'FY24 Service Agreements'!$A:$AF,31,FALSE)</f>
        <v>45444</v>
      </c>
      <c r="D394" s="104"/>
      <c r="E394" s="104" t="s">
        <v>769</v>
      </c>
      <c r="F394" s="104"/>
      <c r="G394" s="105"/>
      <c r="H394" s="124">
        <v>44621</v>
      </c>
      <c r="I394" s="124">
        <v>45107</v>
      </c>
    </row>
    <row r="395" spans="1:9" x14ac:dyDescent="0.25">
      <c r="B395" t="s">
        <v>1140</v>
      </c>
      <c r="C395" s="2">
        <v>9540</v>
      </c>
      <c r="D395" t="s">
        <v>1141</v>
      </c>
      <c r="E395" s="352">
        <v>10140</v>
      </c>
      <c r="F395" s="353" t="s">
        <v>1142</v>
      </c>
      <c r="G395" s="353"/>
      <c r="H395" s="353"/>
    </row>
    <row r="396" spans="1:9" x14ac:dyDescent="0.25">
      <c r="B396" t="s">
        <v>1143</v>
      </c>
      <c r="C396" s="103" t="s">
        <v>1144</v>
      </c>
      <c r="F396" t="s">
        <v>1145</v>
      </c>
      <c r="G396"/>
    </row>
    <row r="397" spans="1:9" x14ac:dyDescent="0.25">
      <c r="F397" s="294">
        <f>169*1.5</f>
        <v>253.5</v>
      </c>
      <c r="G397" s="2" t="s">
        <v>1146</v>
      </c>
    </row>
    <row r="398" spans="1:9" x14ac:dyDescent="0.25">
      <c r="A398" s="269" t="s">
        <v>109</v>
      </c>
      <c r="B398" s="269"/>
      <c r="C398" s="270">
        <f>VLOOKUP(A398,'FY24 Service Agreements'!$A:$AF,31,FALSE)</f>
        <v>45444</v>
      </c>
      <c r="D398" s="271"/>
      <c r="E398" s="271" t="s">
        <v>769</v>
      </c>
      <c r="F398" s="271"/>
      <c r="G398" s="272"/>
      <c r="H398" s="273">
        <v>44743</v>
      </c>
      <c r="I398" s="273">
        <v>45107</v>
      </c>
    </row>
    <row r="399" spans="1:9" x14ac:dyDescent="0.25">
      <c r="A399" s="302"/>
      <c r="B399" s="302"/>
      <c r="C399" s="504" t="s">
        <v>1147</v>
      </c>
      <c r="D399" s="504"/>
      <c r="E399" s="504"/>
      <c r="F399" s="303"/>
      <c r="G399" s="505" t="s">
        <v>1148</v>
      </c>
      <c r="H399" s="505"/>
      <c r="I399" s="505"/>
    </row>
    <row r="400" spans="1:9" x14ac:dyDescent="0.25">
      <c r="B400" t="s">
        <v>1149</v>
      </c>
      <c r="C400" s="2">
        <v>16195.18</v>
      </c>
      <c r="D400" s="2"/>
      <c r="E400" s="139">
        <f>C400*12</f>
        <v>194342.16</v>
      </c>
      <c r="G400" s="2">
        <v>18729</v>
      </c>
      <c r="H400" s="2"/>
      <c r="I400" s="139">
        <f>G400*12</f>
        <v>224748</v>
      </c>
    </row>
    <row r="401" spans="1:17" x14ac:dyDescent="0.25">
      <c r="B401" t="s">
        <v>1150</v>
      </c>
      <c r="C401" s="2">
        <v>19776.47</v>
      </c>
      <c r="D401" s="2"/>
      <c r="E401" s="139">
        <f>C401*12</f>
        <v>237317.64</v>
      </c>
      <c r="G401" s="2">
        <v>22751.08</v>
      </c>
      <c r="H401" s="2"/>
      <c r="I401" s="139">
        <f>G401*12</f>
        <v>273012.96000000002</v>
      </c>
    </row>
    <row r="402" spans="1:17" x14ac:dyDescent="0.25">
      <c r="B402" t="s">
        <v>1151</v>
      </c>
      <c r="C402" s="2">
        <v>496.02</v>
      </c>
      <c r="D402" s="2"/>
      <c r="E402" s="139">
        <f>C402*12</f>
        <v>5952.24</v>
      </c>
      <c r="G402" s="2">
        <v>0</v>
      </c>
      <c r="H402" s="2"/>
      <c r="I402" s="139">
        <f>G402*12</f>
        <v>0</v>
      </c>
    </row>
    <row r="403" spans="1:17" x14ac:dyDescent="0.25">
      <c r="B403" t="s">
        <v>1152</v>
      </c>
      <c r="C403" s="2">
        <v>1380.93</v>
      </c>
      <c r="D403" s="2"/>
      <c r="E403" s="139">
        <f>C403*12</f>
        <v>16571.16</v>
      </c>
      <c r="G403" s="2">
        <v>0</v>
      </c>
      <c r="H403" s="2"/>
      <c r="I403" s="139">
        <f>G403*12</f>
        <v>0</v>
      </c>
    </row>
    <row r="404" spans="1:17" x14ac:dyDescent="0.25">
      <c r="C404" s="140">
        <f>SUM(C400:C403)</f>
        <v>37848.6</v>
      </c>
      <c r="D404" s="301" t="s">
        <v>1153</v>
      </c>
      <c r="E404" s="140">
        <f>SUM(E400:E403)</f>
        <v>454183.2</v>
      </c>
      <c r="G404" s="140">
        <f>SUM(G400:G403)</f>
        <v>41480.080000000002</v>
      </c>
      <c r="H404" s="301" t="s">
        <v>1153</v>
      </c>
      <c r="I404" s="140">
        <f>SUM(I400:I403)</f>
        <v>497760.96</v>
      </c>
      <c r="L404" s="242"/>
    </row>
    <row r="405" spans="1:17" x14ac:dyDescent="0.25">
      <c r="A405" s="107" t="s">
        <v>111</v>
      </c>
      <c r="B405" s="107"/>
      <c r="C405" s="253">
        <f>VLOOKUP(A405,'FY24 Service Agreements'!$A:$AF,31,FALSE)</f>
        <v>45444</v>
      </c>
      <c r="D405" s="254"/>
      <c r="E405" s="254" t="s">
        <v>769</v>
      </c>
      <c r="F405" s="254"/>
      <c r="G405" s="255"/>
      <c r="H405" s="256">
        <v>44743</v>
      </c>
      <c r="I405" s="256">
        <v>45107</v>
      </c>
      <c r="L405" s="242"/>
    </row>
    <row r="406" spans="1:17" x14ac:dyDescent="0.25">
      <c r="B406" t="s">
        <v>1154</v>
      </c>
      <c r="C406" s="2">
        <v>15000</v>
      </c>
      <c r="G406" s="119"/>
      <c r="H406" s="240"/>
      <c r="L406" s="242"/>
    </row>
    <row r="407" spans="1:17" x14ac:dyDescent="0.25">
      <c r="B407" t="s">
        <v>1155</v>
      </c>
      <c r="L407" s="242"/>
    </row>
    <row r="408" spans="1:17" x14ac:dyDescent="0.25">
      <c r="B408" t="s">
        <v>1156</v>
      </c>
      <c r="L408" s="242"/>
      <c r="M408" s="187"/>
      <c r="Q408" s="187"/>
    </row>
    <row r="409" spans="1:17" x14ac:dyDescent="0.25">
      <c r="K409" s="354">
        <f>+G400*9</f>
        <v>168561</v>
      </c>
    </row>
    <row r="410" spans="1:17" x14ac:dyDescent="0.25">
      <c r="B410" s="40" t="s">
        <v>1157</v>
      </c>
      <c r="K410" s="354">
        <f>+G401*9</f>
        <v>204759.72000000003</v>
      </c>
      <c r="L410" s="242"/>
    </row>
    <row r="411" spans="1:17" x14ac:dyDescent="0.25">
      <c r="K411" s="354"/>
    </row>
    <row r="412" spans="1:17" x14ac:dyDescent="0.25">
      <c r="A412" s="117" t="s">
        <v>113</v>
      </c>
      <c r="B412" s="117"/>
      <c r="C412" s="118">
        <f>VLOOKUP(A412,'FY24 Service Agreements'!$A:$AF,31,FALSE)</f>
        <v>45078</v>
      </c>
      <c r="D412" s="117"/>
      <c r="E412" s="117" t="s">
        <v>769</v>
      </c>
      <c r="F412" s="117"/>
      <c r="G412" s="118"/>
      <c r="H412" s="125">
        <v>44743</v>
      </c>
      <c r="I412" s="125">
        <v>45107</v>
      </c>
      <c r="K412" s="354"/>
    </row>
    <row r="413" spans="1:17" x14ac:dyDescent="0.25">
      <c r="B413" t="s">
        <v>1158</v>
      </c>
      <c r="C413" s="2">
        <v>410</v>
      </c>
      <c r="G413" s="2" t="s">
        <v>1159</v>
      </c>
      <c r="H413" s="178">
        <v>65000</v>
      </c>
      <c r="K413" s="355">
        <f>SUM(K409:K412)</f>
        <v>373320.72000000003</v>
      </c>
    </row>
    <row r="414" spans="1:17" x14ac:dyDescent="0.25">
      <c r="B414" t="s">
        <v>1160</v>
      </c>
      <c r="C414" s="2">
        <v>535.21</v>
      </c>
    </row>
    <row r="416" spans="1:17" x14ac:dyDescent="0.25">
      <c r="A416" s="262" t="s">
        <v>1161</v>
      </c>
      <c r="B416" s="262"/>
      <c r="C416" s="263" t="e">
        <f>VLOOKUP(A416,'FY24 Service Agreements'!$A:$AF,31,FALSE)</f>
        <v>#N/A</v>
      </c>
      <c r="D416" s="262"/>
      <c r="E416" s="262" t="s">
        <v>769</v>
      </c>
      <c r="F416" s="262"/>
      <c r="G416" s="264"/>
      <c r="H416" s="265">
        <v>0</v>
      </c>
      <c r="I416" s="265">
        <v>0</v>
      </c>
    </row>
    <row r="417" spans="1:9" x14ac:dyDescent="0.25">
      <c r="B417" t="s">
        <v>1109</v>
      </c>
      <c r="C417" s="2">
        <v>57750</v>
      </c>
      <c r="G417" s="2" t="s">
        <v>1162</v>
      </c>
      <c r="H417" s="139">
        <f>C417*12</f>
        <v>693000</v>
      </c>
    </row>
    <row r="418" spans="1:9" x14ac:dyDescent="0.25">
      <c r="B418" s="40" t="s">
        <v>1163</v>
      </c>
    </row>
    <row r="420" spans="1:9" x14ac:dyDescent="0.25">
      <c r="A420" s="107" t="s">
        <v>670</v>
      </c>
      <c r="B420" s="107"/>
      <c r="C420" s="253">
        <f>VLOOKUP(A420,'FY24 Service Agreements'!$A:$AF,31,FALSE)</f>
        <v>45444</v>
      </c>
      <c r="D420" s="254"/>
      <c r="E420" s="254" t="s">
        <v>769</v>
      </c>
      <c r="F420" s="254"/>
      <c r="G420" s="255"/>
      <c r="H420" s="256">
        <v>44743</v>
      </c>
      <c r="I420" s="256">
        <v>45107</v>
      </c>
    </row>
    <row r="421" spans="1:9" x14ac:dyDescent="0.25">
      <c r="B421" t="s">
        <v>1164</v>
      </c>
      <c r="C421" s="2">
        <v>30000</v>
      </c>
      <c r="D421" s="196" t="s">
        <v>1165</v>
      </c>
      <c r="G421" s="2" t="s">
        <v>1166</v>
      </c>
    </row>
    <row r="422" spans="1:9" x14ac:dyDescent="0.25">
      <c r="B422" t="s">
        <v>1167</v>
      </c>
      <c r="C422" s="2">
        <v>20000</v>
      </c>
      <c r="D422" s="196" t="s">
        <v>1168</v>
      </c>
      <c r="E422" s="2"/>
    </row>
    <row r="423" spans="1:9" x14ac:dyDescent="0.25">
      <c r="C423" s="110">
        <f>SUM(C421:C422)</f>
        <v>50000</v>
      </c>
    </row>
    <row r="425" spans="1:9" x14ac:dyDescent="0.25">
      <c r="A425" s="107" t="s">
        <v>1169</v>
      </c>
      <c r="B425" s="107"/>
      <c r="C425" s="253" t="e">
        <f>VLOOKUP(A425,'FY24 Service Agreements'!$A:$AF,31,FALSE)</f>
        <v>#N/A</v>
      </c>
      <c r="D425" s="254"/>
      <c r="E425" s="254" t="s">
        <v>769</v>
      </c>
      <c r="F425" s="254"/>
      <c r="G425" s="255"/>
      <c r="H425" s="256">
        <v>44743</v>
      </c>
      <c r="I425" s="256">
        <v>45107</v>
      </c>
    </row>
    <row r="426" spans="1:9" x14ac:dyDescent="0.25">
      <c r="B426" t="s">
        <v>1170</v>
      </c>
      <c r="C426" s="2">
        <v>12186</v>
      </c>
    </row>
    <row r="427" spans="1:9" x14ac:dyDescent="0.25">
      <c r="B427" t="s">
        <v>1171</v>
      </c>
      <c r="C427" s="2">
        <v>0</v>
      </c>
      <c r="D427" s="2"/>
    </row>
    <row r="428" spans="1:9" x14ac:dyDescent="0.25">
      <c r="B428" s="54" t="s">
        <v>780</v>
      </c>
      <c r="C428" s="120">
        <f>SUM(C426:C427)</f>
        <v>12186</v>
      </c>
    </row>
    <row r="429" spans="1:9" x14ac:dyDescent="0.25">
      <c r="B429" s="54"/>
      <c r="C429" s="189"/>
    </row>
    <row r="431" spans="1:9" x14ac:dyDescent="0.25">
      <c r="A431" s="257" t="s">
        <v>118</v>
      </c>
      <c r="B431" s="257"/>
      <c r="C431" s="258">
        <f>VLOOKUP(A431,'FY24 Service Agreements'!$A:$AF,31,FALSE)</f>
        <v>45444</v>
      </c>
      <c r="D431" s="259"/>
      <c r="E431" s="259" t="s">
        <v>769</v>
      </c>
      <c r="F431" s="259"/>
      <c r="G431" s="260"/>
      <c r="H431" s="261">
        <v>44774</v>
      </c>
      <c r="I431" s="261">
        <v>45107</v>
      </c>
    </row>
    <row r="432" spans="1:9" x14ac:dyDescent="0.25">
      <c r="B432" s="241" t="s">
        <v>1172</v>
      </c>
    </row>
    <row r="434" spans="1:9" x14ac:dyDescent="0.25">
      <c r="A434" s="269" t="s">
        <v>121</v>
      </c>
      <c r="B434" s="269"/>
      <c r="C434" s="270">
        <f>VLOOKUP(A434,'FY24 Service Agreements'!$A:$AF,31,FALSE)</f>
        <v>45444</v>
      </c>
      <c r="D434" s="271"/>
      <c r="E434" s="271" t="s">
        <v>769</v>
      </c>
      <c r="F434" s="271"/>
      <c r="G434" s="296" t="s">
        <v>822</v>
      </c>
      <c r="H434" s="273">
        <v>44743</v>
      </c>
      <c r="I434" s="273">
        <v>45107</v>
      </c>
    </row>
    <row r="435" spans="1:9" x14ac:dyDescent="0.25">
      <c r="B435" t="s">
        <v>1173</v>
      </c>
      <c r="E435" t="s">
        <v>192</v>
      </c>
      <c r="F435" s="2">
        <v>6000</v>
      </c>
    </row>
    <row r="437" spans="1:9" x14ac:dyDescent="0.25">
      <c r="A437" s="101" t="s">
        <v>1174</v>
      </c>
      <c r="B437" s="101"/>
      <c r="C437" s="266" t="e">
        <f>VLOOKUP(A437,'FY24 Service Agreements'!$A:$AF,31,FALSE)</f>
        <v>#N/A</v>
      </c>
      <c r="D437" s="267"/>
      <c r="E437" s="267" t="s">
        <v>769</v>
      </c>
      <c r="F437" s="267"/>
      <c r="G437" s="102"/>
      <c r="H437" s="268">
        <v>44743</v>
      </c>
      <c r="I437" s="268">
        <v>45107</v>
      </c>
    </row>
    <row r="438" spans="1:9" x14ac:dyDescent="0.25">
      <c r="B438" s="2" t="s">
        <v>1175</v>
      </c>
      <c r="C438" s="178">
        <v>2928</v>
      </c>
    </row>
    <row r="439" spans="1:9" x14ac:dyDescent="0.25">
      <c r="B439" s="2" t="s">
        <v>1176</v>
      </c>
      <c r="C439" s="178">
        <v>2086</v>
      </c>
    </row>
    <row r="440" spans="1:9" x14ac:dyDescent="0.25">
      <c r="B440" s="2" t="s">
        <v>1177</v>
      </c>
      <c r="C440" s="178">
        <v>1068</v>
      </c>
    </row>
    <row r="441" spans="1:9" x14ac:dyDescent="0.25">
      <c r="B441" s="2" t="s">
        <v>1178</v>
      </c>
      <c r="C441" s="178">
        <v>1068</v>
      </c>
    </row>
    <row r="442" spans="1:9" x14ac:dyDescent="0.25">
      <c r="B442" s="2" t="s">
        <v>1179</v>
      </c>
      <c r="C442" s="178">
        <v>1068</v>
      </c>
    </row>
    <row r="443" spans="1:9" x14ac:dyDescent="0.25">
      <c r="B443" s="2" t="s">
        <v>1180</v>
      </c>
      <c r="C443" s="178">
        <v>1068</v>
      </c>
    </row>
    <row r="444" spans="1:9" x14ac:dyDescent="0.25">
      <c r="B444" s="2" t="s">
        <v>1181</v>
      </c>
      <c r="C444" s="178">
        <v>1068</v>
      </c>
    </row>
    <row r="445" spans="1:9" x14ac:dyDescent="0.25">
      <c r="B445" s="2" t="s">
        <v>1182</v>
      </c>
      <c r="C445" s="178">
        <v>1068</v>
      </c>
    </row>
    <row r="446" spans="1:9" x14ac:dyDescent="0.25">
      <c r="B446" s="2" t="s">
        <v>1183</v>
      </c>
      <c r="C446" s="178">
        <v>1068</v>
      </c>
    </row>
    <row r="447" spans="1:9" x14ac:dyDescent="0.25">
      <c r="B447" s="2" t="s">
        <v>1184</v>
      </c>
      <c r="C447" s="178">
        <v>1265</v>
      </c>
    </row>
    <row r="448" spans="1:9" x14ac:dyDescent="0.25">
      <c r="B448" s="2" t="s">
        <v>1185</v>
      </c>
      <c r="C448" s="178">
        <v>1068</v>
      </c>
    </row>
    <row r="449" spans="1:9" x14ac:dyDescent="0.25">
      <c r="B449" s="2" t="s">
        <v>1186</v>
      </c>
      <c r="C449" s="178">
        <v>2058</v>
      </c>
    </row>
    <row r="450" spans="1:9" x14ac:dyDescent="0.25">
      <c r="B450" s="2" t="s">
        <v>1187</v>
      </c>
      <c r="C450" s="178">
        <v>1518</v>
      </c>
    </row>
    <row r="451" spans="1:9" x14ac:dyDescent="0.25">
      <c r="B451" s="2" t="s">
        <v>1188</v>
      </c>
      <c r="C451" s="178">
        <v>1068</v>
      </c>
    </row>
    <row r="452" spans="1:9" x14ac:dyDescent="0.25">
      <c r="B452" s="2" t="s">
        <v>1189</v>
      </c>
      <c r="C452" s="178">
        <v>1560</v>
      </c>
    </row>
    <row r="453" spans="1:9" x14ac:dyDescent="0.25">
      <c r="B453" s="2" t="s">
        <v>1190</v>
      </c>
      <c r="C453" s="178">
        <v>1068</v>
      </c>
    </row>
    <row r="454" spans="1:9" x14ac:dyDescent="0.25">
      <c r="B454" s="2" t="s">
        <v>1191</v>
      </c>
      <c r="C454" s="178">
        <v>1068</v>
      </c>
    </row>
    <row r="455" spans="1:9" x14ac:dyDescent="0.25">
      <c r="B455" s="112" t="s">
        <v>1191</v>
      </c>
      <c r="C455" s="178">
        <v>1068</v>
      </c>
    </row>
    <row r="456" spans="1:9" x14ac:dyDescent="0.25">
      <c r="B456" t="s">
        <v>1192</v>
      </c>
      <c r="C456" s="243">
        <f>SUM(C438:C455)</f>
        <v>24231</v>
      </c>
    </row>
    <row r="457" spans="1:9" x14ac:dyDescent="0.25">
      <c r="B457" s="2" t="s">
        <v>1193</v>
      </c>
      <c r="C457" s="244">
        <f>+C456*0.3127</f>
        <v>7577.033699999999</v>
      </c>
    </row>
    <row r="458" spans="1:9" x14ac:dyDescent="0.25">
      <c r="B458" s="112" t="s">
        <v>1194</v>
      </c>
      <c r="C458" s="356">
        <f>+(C456+C457)*0.045</f>
        <v>1431.3615164999999</v>
      </c>
    </row>
    <row r="459" spans="1:9" x14ac:dyDescent="0.25">
      <c r="B459" s="2" t="s">
        <v>780</v>
      </c>
      <c r="C459" s="244">
        <f>+C456+C457+C458</f>
        <v>33239.395216500001</v>
      </c>
    </row>
    <row r="460" spans="1:9" x14ac:dyDescent="0.25">
      <c r="C460" s="112"/>
    </row>
    <row r="462" spans="1:9" x14ac:dyDescent="0.25">
      <c r="A462" s="262" t="s">
        <v>1195</v>
      </c>
      <c r="B462" s="262"/>
      <c r="C462" s="263" t="e">
        <f>VLOOKUP(A462,'FY24 Service Agreements'!$A:$AF,31,FALSE)</f>
        <v>#N/A</v>
      </c>
      <c r="D462" s="262"/>
      <c r="E462" s="262" t="s">
        <v>769</v>
      </c>
      <c r="F462" s="262"/>
      <c r="G462" s="264"/>
      <c r="H462" s="265">
        <f>H466</f>
        <v>44378</v>
      </c>
      <c r="I462" s="265">
        <f>I466</f>
        <v>46203</v>
      </c>
    </row>
    <row r="463" spans="1:9" x14ac:dyDescent="0.25">
      <c r="B463" t="s">
        <v>1196</v>
      </c>
      <c r="E463" t="s">
        <v>192</v>
      </c>
      <c r="F463" s="2">
        <v>25000</v>
      </c>
    </row>
    <row r="464" spans="1:9" x14ac:dyDescent="0.25">
      <c r="B464" s="297" t="s">
        <v>1197</v>
      </c>
      <c r="F464" s="2"/>
    </row>
    <row r="466" spans="1:9" x14ac:dyDescent="0.25">
      <c r="A466" s="262" t="s">
        <v>692</v>
      </c>
      <c r="B466" s="262"/>
      <c r="C466" s="263">
        <f>VLOOKUP(A466,'FY24 Service Agreements'!$A:$AF,31,FALSE)</f>
        <v>46174</v>
      </c>
      <c r="D466" s="262"/>
      <c r="E466" s="262" t="s">
        <v>769</v>
      </c>
      <c r="F466" s="262"/>
      <c r="G466" s="264"/>
      <c r="H466" s="265">
        <v>44378</v>
      </c>
      <c r="I466" s="265">
        <v>46203</v>
      </c>
    </row>
    <row r="468" spans="1:9" x14ac:dyDescent="0.25">
      <c r="B468" t="s">
        <v>1198</v>
      </c>
      <c r="C468" s="178">
        <v>2428</v>
      </c>
      <c r="D468" t="s">
        <v>1199</v>
      </c>
    </row>
    <row r="469" spans="1:9" x14ac:dyDescent="0.25">
      <c r="B469" t="s">
        <v>1200</v>
      </c>
      <c r="C469" s="178">
        <v>2428</v>
      </c>
      <c r="D469" t="s">
        <v>1199</v>
      </c>
    </row>
    <row r="470" spans="1:9" x14ac:dyDescent="0.25">
      <c r="B470" s="8" t="s">
        <v>1201</v>
      </c>
      <c r="C470" s="178">
        <v>2428</v>
      </c>
      <c r="D470" t="s">
        <v>1199</v>
      </c>
    </row>
    <row r="471" spans="1:9" x14ac:dyDescent="0.25">
      <c r="B471" t="s">
        <v>1202</v>
      </c>
      <c r="C471" s="178">
        <v>1710.75</v>
      </c>
      <c r="D471" t="s">
        <v>1203</v>
      </c>
    </row>
    <row r="472" spans="1:9" x14ac:dyDescent="0.25">
      <c r="B472" t="s">
        <v>1204</v>
      </c>
      <c r="C472" s="178">
        <v>1710.25</v>
      </c>
      <c r="D472" t="s">
        <v>1203</v>
      </c>
    </row>
    <row r="473" spans="1:9" x14ac:dyDescent="0.25">
      <c r="B473" t="s">
        <v>1205</v>
      </c>
      <c r="C473" s="178">
        <v>2428</v>
      </c>
      <c r="D473" t="s">
        <v>1199</v>
      </c>
    </row>
    <row r="474" spans="1:9" x14ac:dyDescent="0.25">
      <c r="B474" t="s">
        <v>1206</v>
      </c>
      <c r="C474" s="178">
        <v>1710.75</v>
      </c>
      <c r="D474" t="s">
        <v>1203</v>
      </c>
    </row>
    <row r="475" spans="1:9" x14ac:dyDescent="0.25">
      <c r="B475" t="s">
        <v>1207</v>
      </c>
      <c r="C475" s="178">
        <v>2428</v>
      </c>
      <c r="D475" t="s">
        <v>1199</v>
      </c>
    </row>
    <row r="476" spans="1:9" x14ac:dyDescent="0.25">
      <c r="B476" t="s">
        <v>1208</v>
      </c>
      <c r="C476" s="178">
        <v>2428</v>
      </c>
      <c r="D476" t="s">
        <v>1199</v>
      </c>
    </row>
    <row r="477" spans="1:9" x14ac:dyDescent="0.25">
      <c r="B477" t="s">
        <v>1209</v>
      </c>
      <c r="C477" s="178">
        <v>1710.75</v>
      </c>
      <c r="D477" t="s">
        <v>1203</v>
      </c>
    </row>
    <row r="478" spans="1:9" x14ac:dyDescent="0.25">
      <c r="B478" t="s">
        <v>1210</v>
      </c>
      <c r="C478" s="298">
        <v>2428</v>
      </c>
      <c r="D478" t="s">
        <v>1199</v>
      </c>
    </row>
    <row r="479" spans="1:9" x14ac:dyDescent="0.25">
      <c r="B479" t="s">
        <v>780</v>
      </c>
      <c r="C479" s="178">
        <f>SUM(C468:C478)</f>
        <v>23838.5</v>
      </c>
    </row>
    <row r="482" spans="1:12" x14ac:dyDescent="0.25">
      <c r="A482" s="107" t="s">
        <v>126</v>
      </c>
      <c r="B482" s="107"/>
      <c r="C482" s="253">
        <f>VLOOKUP(A482,'FY24 Service Agreements'!$A:$AF,31,FALSE)</f>
        <v>45231</v>
      </c>
      <c r="D482" s="254"/>
      <c r="E482" s="254" t="s">
        <v>769</v>
      </c>
      <c r="F482" s="254"/>
      <c r="G482" s="255"/>
      <c r="H482" s="256">
        <v>44713</v>
      </c>
      <c r="I482" s="256">
        <v>45291</v>
      </c>
    </row>
    <row r="483" spans="1:12" x14ac:dyDescent="0.25">
      <c r="B483" t="s">
        <v>1211</v>
      </c>
      <c r="C483" s="2">
        <v>110460</v>
      </c>
      <c r="D483" t="s">
        <v>1212</v>
      </c>
      <c r="E483" s="2">
        <v>117087.52</v>
      </c>
    </row>
    <row r="485" spans="1:12" x14ac:dyDescent="0.25">
      <c r="A485" s="274" t="s">
        <v>128</v>
      </c>
      <c r="B485" s="274"/>
      <c r="C485" s="263">
        <f>VLOOKUP(A485,'FY24 Service Agreements'!$A:$AF,31,FALSE)</f>
        <v>45444</v>
      </c>
      <c r="D485" s="262"/>
      <c r="E485" s="262" t="s">
        <v>769</v>
      </c>
      <c r="F485" s="262"/>
      <c r="G485" s="264"/>
      <c r="H485" s="265">
        <v>44743</v>
      </c>
      <c r="I485" s="265">
        <v>45107</v>
      </c>
    </row>
    <row r="486" spans="1:12" x14ac:dyDescent="0.25">
      <c r="B486" t="s">
        <v>1213</v>
      </c>
      <c r="C486" s="299">
        <v>1668714</v>
      </c>
      <c r="E486" s="178">
        <f>C486/12</f>
        <v>139059.5</v>
      </c>
    </row>
    <row r="487" spans="1:12" x14ac:dyDescent="0.25">
      <c r="B487" t="s">
        <v>1214</v>
      </c>
      <c r="C487" s="300">
        <v>52661</v>
      </c>
      <c r="D487" t="s">
        <v>1215</v>
      </c>
    </row>
    <row r="488" spans="1:12" x14ac:dyDescent="0.25">
      <c r="B488" t="s">
        <v>780</v>
      </c>
      <c r="C488" s="299">
        <f>SUM(C486:C487)</f>
        <v>1721375</v>
      </c>
      <c r="D488" s="299"/>
      <c r="E488" s="178"/>
      <c r="L488" s="139"/>
    </row>
    <row r="489" spans="1:12" x14ac:dyDescent="0.25">
      <c r="C489" s="299"/>
      <c r="D489" s="299"/>
    </row>
    <row r="490" spans="1:12" x14ac:dyDescent="0.25">
      <c r="A490" s="248" t="s">
        <v>301</v>
      </c>
      <c r="B490" s="248"/>
      <c r="C490" s="249">
        <f>VLOOKUP(A490,'FY24 Service Agreements'!$A:$AF,31,FALSE)</f>
        <v>45444</v>
      </c>
      <c r="D490" s="250"/>
      <c r="E490" s="250" t="s">
        <v>769</v>
      </c>
      <c r="F490" s="250"/>
      <c r="G490" s="251"/>
      <c r="H490" s="252">
        <v>44378</v>
      </c>
      <c r="I490" s="252">
        <v>45473</v>
      </c>
    </row>
    <row r="491" spans="1:12" x14ac:dyDescent="0.25">
      <c r="B491" t="s">
        <v>1216</v>
      </c>
      <c r="C491" s="2">
        <v>44856</v>
      </c>
    </row>
    <row r="492" spans="1:12" x14ac:dyDescent="0.25">
      <c r="B492" t="s">
        <v>1217</v>
      </c>
      <c r="C492" s="2">
        <v>46202</v>
      </c>
    </row>
    <row r="493" spans="1:12" x14ac:dyDescent="0.25">
      <c r="B493" t="s">
        <v>1218</v>
      </c>
      <c r="C493" s="2">
        <v>47488</v>
      </c>
    </row>
    <row r="495" spans="1:12" x14ac:dyDescent="0.25">
      <c r="A495" s="54" t="s">
        <v>1100</v>
      </c>
    </row>
    <row r="496" spans="1:12" x14ac:dyDescent="0.25">
      <c r="B496" t="s">
        <v>1219</v>
      </c>
    </row>
    <row r="497" spans="1:9" x14ac:dyDescent="0.25">
      <c r="B497" t="s">
        <v>1220</v>
      </c>
    </row>
    <row r="498" spans="1:9" x14ac:dyDescent="0.25">
      <c r="B498" t="s">
        <v>906</v>
      </c>
    </row>
    <row r="499" spans="1:9" x14ac:dyDescent="0.25">
      <c r="B499" t="s">
        <v>1221</v>
      </c>
    </row>
    <row r="501" spans="1:9" x14ac:dyDescent="0.25">
      <c r="B501" t="s">
        <v>1007</v>
      </c>
    </row>
    <row r="502" spans="1:9" x14ac:dyDescent="0.25">
      <c r="B502" t="s">
        <v>1222</v>
      </c>
    </row>
    <row r="503" spans="1:9" x14ac:dyDescent="0.25">
      <c r="B503" t="s">
        <v>990</v>
      </c>
    </row>
    <row r="504" spans="1:9" x14ac:dyDescent="0.25">
      <c r="B504" t="s">
        <v>970</v>
      </c>
    </row>
    <row r="505" spans="1:9" x14ac:dyDescent="0.25">
      <c r="B505" t="s">
        <v>1223</v>
      </c>
    </row>
    <row r="506" spans="1:9" x14ac:dyDescent="0.25">
      <c r="B506" t="s">
        <v>1224</v>
      </c>
    </row>
    <row r="507" spans="1:9" x14ac:dyDescent="0.25">
      <c r="B507" t="s">
        <v>1225</v>
      </c>
    </row>
    <row r="509" spans="1:9" x14ac:dyDescent="0.25">
      <c r="A509" s="101" t="s">
        <v>1226</v>
      </c>
      <c r="B509" s="101"/>
      <c r="C509" s="266" t="e">
        <f>VLOOKUP(A509,'FY24 Service Agreements'!$A:$AF,31,FALSE)</f>
        <v>#N/A</v>
      </c>
      <c r="D509" s="267"/>
      <c r="E509" s="267" t="s">
        <v>769</v>
      </c>
      <c r="F509" s="267"/>
      <c r="G509" s="102"/>
      <c r="H509" s="268" t="e">
        <v>#N/A</v>
      </c>
      <c r="I509" s="268" t="e">
        <v>#N/A</v>
      </c>
    </row>
    <row r="511" spans="1:9" x14ac:dyDescent="0.25">
      <c r="B511" t="s">
        <v>1227</v>
      </c>
      <c r="C511" s="2">
        <v>11500</v>
      </c>
    </row>
    <row r="512" spans="1:9" x14ac:dyDescent="0.25">
      <c r="B512" t="s">
        <v>1228</v>
      </c>
      <c r="C512" s="2">
        <v>10000</v>
      </c>
      <c r="D512" s="196" t="s">
        <v>1229</v>
      </c>
    </row>
    <row r="513" spans="1:9" x14ac:dyDescent="0.25">
      <c r="B513" t="s">
        <v>1230</v>
      </c>
      <c r="C513" s="2">
        <v>10000</v>
      </c>
      <c r="D513" s="196" t="s">
        <v>1229</v>
      </c>
    </row>
    <row r="514" spans="1:9" x14ac:dyDescent="0.25">
      <c r="B514" t="s">
        <v>1231</v>
      </c>
      <c r="C514" s="2">
        <v>10000</v>
      </c>
      <c r="D514" s="196" t="s">
        <v>1229</v>
      </c>
    </row>
    <row r="515" spans="1:9" x14ac:dyDescent="0.25">
      <c r="B515" t="s">
        <v>1232</v>
      </c>
      <c r="C515" s="2">
        <v>10000</v>
      </c>
      <c r="D515" s="196" t="s">
        <v>1229</v>
      </c>
    </row>
    <row r="516" spans="1:9" x14ac:dyDescent="0.25">
      <c r="B516" t="s">
        <v>1233</v>
      </c>
      <c r="C516" s="2">
        <v>10000</v>
      </c>
      <c r="D516" s="196" t="s">
        <v>1229</v>
      </c>
    </row>
    <row r="518" spans="1:9" x14ac:dyDescent="0.25">
      <c r="B518" t="s">
        <v>1234</v>
      </c>
      <c r="D518" s="2"/>
    </row>
    <row r="520" spans="1:9" x14ac:dyDescent="0.25">
      <c r="A520" s="257" t="s">
        <v>131</v>
      </c>
      <c r="B520" s="257"/>
      <c r="C520" s="258">
        <f>VLOOKUP(A520,'FY24 Service Agreements'!$A:$AF,31,FALSE)</f>
        <v>45627</v>
      </c>
      <c r="D520" s="259"/>
      <c r="E520" s="259" t="s">
        <v>769</v>
      </c>
      <c r="F520" s="259"/>
      <c r="G520" s="260"/>
      <c r="H520" s="261">
        <v>44927</v>
      </c>
      <c r="I520" s="261">
        <v>45291</v>
      </c>
    </row>
    <row r="521" spans="1:9" x14ac:dyDescent="0.25">
      <c r="B521" t="s">
        <v>1235</v>
      </c>
      <c r="C521" s="2">
        <v>200</v>
      </c>
      <c r="E521" s="40" t="s">
        <v>911</v>
      </c>
      <c r="F521" s="103">
        <v>60000</v>
      </c>
      <c r="G521" s="103" t="s">
        <v>1236</v>
      </c>
    </row>
    <row r="522" spans="1:9" x14ac:dyDescent="0.25">
      <c r="E522" s="40"/>
      <c r="F522" s="103"/>
      <c r="G522" s="103"/>
    </row>
    <row r="523" spans="1:9" x14ac:dyDescent="0.25">
      <c r="A523" s="274" t="s">
        <v>133</v>
      </c>
      <c r="B523" s="275"/>
      <c r="C523" s="263">
        <f>VLOOKUP(A523,'FY24 Service Agreements'!$A:$AF,31,FALSE)</f>
        <v>45231</v>
      </c>
      <c r="D523" s="262"/>
      <c r="E523" s="262" t="s">
        <v>769</v>
      </c>
      <c r="F523" s="262"/>
      <c r="G523" s="264"/>
      <c r="H523" s="265">
        <v>44958</v>
      </c>
      <c r="I523" s="265">
        <v>45322</v>
      </c>
    </row>
    <row r="524" spans="1:9" x14ac:dyDescent="0.25">
      <c r="A524" t="s">
        <v>1237</v>
      </c>
      <c r="E524" s="40"/>
      <c r="F524" s="103"/>
      <c r="G524" s="103"/>
    </row>
    <row r="525" spans="1:9" x14ac:dyDescent="0.25">
      <c r="A525"/>
      <c r="E525" s="40"/>
      <c r="F525" s="103"/>
      <c r="G525" s="103"/>
    </row>
    <row r="527" spans="1:9" x14ac:dyDescent="0.25">
      <c r="A527" s="269" t="s">
        <v>135</v>
      </c>
      <c r="B527" s="269"/>
      <c r="C527" s="270" t="e">
        <f>VLOOKUP(A527,'FY24 Service Agreements'!$A:$AF,31,FALSE)</f>
        <v>#N/A</v>
      </c>
      <c r="D527" s="271"/>
      <c r="E527" s="271" t="s">
        <v>769</v>
      </c>
      <c r="F527" s="271"/>
      <c r="G527" s="272"/>
      <c r="H527" s="273">
        <v>44743</v>
      </c>
      <c r="I527" s="273">
        <v>45107</v>
      </c>
    </row>
    <row r="528" spans="1:9" x14ac:dyDescent="0.25">
      <c r="B528" t="s">
        <v>1238</v>
      </c>
      <c r="E528" s="2" t="s">
        <v>192</v>
      </c>
      <c r="F528" s="2">
        <v>27575</v>
      </c>
      <c r="G528" s="141"/>
    </row>
    <row r="529" spans="1:9" x14ac:dyDescent="0.25">
      <c r="B529" t="s">
        <v>1239</v>
      </c>
    </row>
    <row r="531" spans="1:9" x14ac:dyDescent="0.25">
      <c r="A531" s="101" t="s">
        <v>137</v>
      </c>
      <c r="B531" s="101"/>
      <c r="C531" s="266">
        <f>VLOOKUP(A531,'FY24 Service Agreements'!$A:$AF,31,FALSE)</f>
        <v>45444</v>
      </c>
      <c r="D531" s="267"/>
      <c r="E531" s="267" t="s">
        <v>769</v>
      </c>
      <c r="F531" s="267"/>
      <c r="G531" s="102"/>
      <c r="H531" s="268">
        <v>44378</v>
      </c>
      <c r="I531" s="268">
        <v>44742</v>
      </c>
    </row>
    <row r="532" spans="1:9" x14ac:dyDescent="0.25">
      <c r="B532" s="191" t="s">
        <v>1240</v>
      </c>
      <c r="C532" s="2">
        <v>10000</v>
      </c>
    </row>
    <row r="533" spans="1:9" x14ac:dyDescent="0.25">
      <c r="B533" t="s">
        <v>1241</v>
      </c>
    </row>
    <row r="535" spans="1:9" x14ac:dyDescent="0.25">
      <c r="A535" s="262" t="s">
        <v>139</v>
      </c>
      <c r="B535" s="262"/>
      <c r="C535" s="263">
        <f>VLOOKUP(A535,'FY24 Service Agreements'!$A:$AF,31,FALSE)</f>
        <v>45444</v>
      </c>
      <c r="D535" s="262"/>
      <c r="E535" s="262" t="s">
        <v>769</v>
      </c>
      <c r="F535" s="262"/>
      <c r="G535" s="264"/>
      <c r="H535" s="265">
        <v>44743</v>
      </c>
      <c r="I535" s="265">
        <v>45107</v>
      </c>
    </row>
    <row r="536" spans="1:9" x14ac:dyDescent="0.25">
      <c r="B536" s="2" t="s">
        <v>192</v>
      </c>
      <c r="C536" s="2">
        <v>581875</v>
      </c>
      <c r="E536" s="2"/>
    </row>
    <row r="538" spans="1:9" x14ac:dyDescent="0.25">
      <c r="A538" s="262" t="s">
        <v>1242</v>
      </c>
      <c r="B538" s="262"/>
      <c r="C538" s="263" t="e">
        <f>VLOOKUP(A538,'FY24 Service Agreements'!$A:$AF,31,FALSE)</f>
        <v>#N/A</v>
      </c>
      <c r="D538" s="262"/>
      <c r="E538" s="262" t="s">
        <v>769</v>
      </c>
      <c r="F538" s="262"/>
      <c r="G538" s="264"/>
      <c r="H538" s="265">
        <v>0</v>
      </c>
      <c r="I538" s="265">
        <v>0</v>
      </c>
    </row>
    <row r="539" spans="1:9" x14ac:dyDescent="0.25">
      <c r="B539" s="190" t="s">
        <v>1243</v>
      </c>
      <c r="C539" s="2">
        <v>98000</v>
      </c>
    </row>
    <row r="541" spans="1:9" x14ac:dyDescent="0.25">
      <c r="A541" s="107" t="s">
        <v>311</v>
      </c>
      <c r="B541" s="107"/>
      <c r="C541" s="253" t="e">
        <f>VLOOKUP(A541,'FY24 Service Agreements'!$A:$AF,31,FALSE)</f>
        <v>#N/A</v>
      </c>
      <c r="D541" s="254"/>
      <c r="E541" s="254" t="s">
        <v>769</v>
      </c>
      <c r="F541" s="254"/>
      <c r="G541" s="255"/>
      <c r="H541" s="256">
        <v>0</v>
      </c>
      <c r="I541" s="256">
        <v>0</v>
      </c>
    </row>
    <row r="542" spans="1:9" x14ac:dyDescent="0.25">
      <c r="B542" t="s">
        <v>1244</v>
      </c>
      <c r="C542" s="2">
        <v>83000.67</v>
      </c>
      <c r="G542" s="2" t="s">
        <v>1245</v>
      </c>
      <c r="H542" s="139">
        <f>C542*12</f>
        <v>996008.04</v>
      </c>
    </row>
    <row r="543" spans="1:9" x14ac:dyDescent="0.25">
      <c r="B543" s="40" t="s">
        <v>1246</v>
      </c>
    </row>
    <row r="546" spans="1:9" x14ac:dyDescent="0.25">
      <c r="A546" s="248" t="s">
        <v>1247</v>
      </c>
      <c r="B546" s="248"/>
      <c r="C546" s="249" t="e">
        <f>VLOOKUP(A546,'FY24 Service Agreements'!$A:$AF,31,FALSE)</f>
        <v>#N/A</v>
      </c>
      <c r="D546" s="250"/>
      <c r="E546" s="250" t="s">
        <v>769</v>
      </c>
      <c r="F546" s="250"/>
      <c r="G546" s="251"/>
      <c r="H546" s="252">
        <v>0</v>
      </c>
      <c r="I546" s="252">
        <v>0</v>
      </c>
    </row>
    <row r="547" spans="1:9" x14ac:dyDescent="0.25">
      <c r="B547" t="s">
        <v>1248</v>
      </c>
      <c r="C547" s="2">
        <v>560</v>
      </c>
    </row>
    <row r="550" spans="1:9" x14ac:dyDescent="0.25">
      <c r="A550" s="257" t="s">
        <v>141</v>
      </c>
      <c r="B550" s="257"/>
      <c r="C550" s="258">
        <f>VLOOKUP(A550,'FY24 Service Agreements'!$A:$AF,31,FALSE)</f>
        <v>45444</v>
      </c>
      <c r="D550" s="259"/>
      <c r="E550" s="259" t="s">
        <v>769</v>
      </c>
      <c r="F550" s="259"/>
      <c r="G550" s="260"/>
      <c r="H550" s="261">
        <v>44743</v>
      </c>
      <c r="I550" s="261">
        <v>45107</v>
      </c>
    </row>
    <row r="551" spans="1:9" x14ac:dyDescent="0.25">
      <c r="B551" t="s">
        <v>1249</v>
      </c>
      <c r="C551" s="2" t="s">
        <v>784</v>
      </c>
      <c r="D551" t="s">
        <v>1250</v>
      </c>
      <c r="E551" t="s">
        <v>1251</v>
      </c>
    </row>
    <row r="552" spans="1:9" x14ac:dyDescent="0.25">
      <c r="B552" s="29"/>
      <c r="C552" s="285"/>
    </row>
    <row r="553" spans="1:9" x14ac:dyDescent="0.25">
      <c r="B553" s="29"/>
      <c r="C553" s="285"/>
    </row>
    <row r="554" spans="1:9" x14ac:dyDescent="0.25">
      <c r="B554" s="29"/>
      <c r="C554" s="285"/>
    </row>
    <row r="555" spans="1:9" x14ac:dyDescent="0.25">
      <c r="B555" s="29"/>
      <c r="C555" s="285"/>
    </row>
    <row r="556" spans="1:9" x14ac:dyDescent="0.25">
      <c r="B556" s="29"/>
      <c r="C556" s="285"/>
    </row>
    <row r="557" spans="1:9" x14ac:dyDescent="0.25">
      <c r="B557" s="29"/>
      <c r="C557" s="285"/>
    </row>
    <row r="558" spans="1:9" x14ac:dyDescent="0.25">
      <c r="B558" s="29"/>
      <c r="C558" s="285"/>
    </row>
    <row r="559" spans="1:9" x14ac:dyDescent="0.25">
      <c r="B559" s="29"/>
      <c r="C559" s="285"/>
    </row>
    <row r="560" spans="1:9" x14ac:dyDescent="0.25">
      <c r="B560" s="29"/>
      <c r="C560" s="285"/>
    </row>
    <row r="561" spans="2:3" x14ac:dyDescent="0.25">
      <c r="B561" s="29"/>
      <c r="C561" s="285"/>
    </row>
    <row r="562" spans="2:3" x14ac:dyDescent="0.25">
      <c r="B562" s="29"/>
      <c r="C562" s="285"/>
    </row>
    <row r="563" spans="2:3" x14ac:dyDescent="0.25">
      <c r="B563" s="29"/>
      <c r="C563" s="285"/>
    </row>
    <row r="564" spans="2:3" x14ac:dyDescent="0.25">
      <c r="B564" s="29"/>
      <c r="C564" s="285"/>
    </row>
    <row r="565" spans="2:3" x14ac:dyDescent="0.25">
      <c r="B565" s="29"/>
      <c r="C565" s="285"/>
    </row>
    <row r="566" spans="2:3" x14ac:dyDescent="0.25">
      <c r="B566" s="29"/>
      <c r="C566" s="285"/>
    </row>
  </sheetData>
  <mergeCells count="5">
    <mergeCell ref="F36:I37"/>
    <mergeCell ref="F38:I39"/>
    <mergeCell ref="F40:I41"/>
    <mergeCell ref="C399:E399"/>
    <mergeCell ref="G399:I399"/>
  </mergeCells>
  <hyperlinks>
    <hyperlink ref="B159" r:id="rId1" xr:uid="{AA961B46-5848-4AC9-A2EC-3D5013311992}"/>
    <hyperlink ref="B270" r:id="rId2" xr:uid="{05745C3A-75A2-4323-9C1B-DDCECEEBEF12}"/>
  </hyperlinks>
  <pageMargins left="0.7" right="0.7" top="0.75" bottom="0.75" header="0.3" footer="0.3"/>
  <pageSetup orientation="portrait" r:id="rId3"/>
  <drawing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43CEEE1E871E4C9A37BEA4CF65359F" ma:contentTypeVersion="6" ma:contentTypeDescription="Create a new document." ma:contentTypeScope="" ma:versionID="f12c6aaae245b50cb425c1bc2e339659">
  <xsd:schema xmlns:xsd="http://www.w3.org/2001/XMLSchema" xmlns:xs="http://www.w3.org/2001/XMLSchema" xmlns:p="http://schemas.microsoft.com/office/2006/metadata/properties" xmlns:ns2="1b60b98d-025d-413c-90b1-262a0ef31082" xmlns:ns3="f1478e6b-71cb-4bec-bbeb-bf7a6c94acc0" targetNamespace="http://schemas.microsoft.com/office/2006/metadata/properties" ma:root="true" ma:fieldsID="0f785fc2a7b0ea3c3dfad7deda181d1c" ns2:_="" ns3:_="">
    <xsd:import namespace="1b60b98d-025d-413c-90b1-262a0ef31082"/>
    <xsd:import namespace="f1478e6b-71cb-4bec-bbeb-bf7a6c94ac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60b98d-025d-413c-90b1-262a0ef310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478e6b-71cb-4bec-bbeb-bf7a6c94acc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1478e6b-71cb-4bec-bbeb-bf7a6c94acc0">
      <UserInfo>
        <DisplayName>Huffman, Donna F</DisplayName>
        <AccountId>20</AccountId>
        <AccountType/>
      </UserInfo>
      <UserInfo>
        <DisplayName>Dickerson, Ryan</DisplayName>
        <AccountId>15</AccountId>
        <AccountType/>
      </UserInfo>
      <UserInfo>
        <DisplayName>Fowler, Cameron</DisplayName>
        <AccountId>16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1EC187-2EE9-4337-939D-105A81FA24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60b98d-025d-413c-90b1-262a0ef31082"/>
    <ds:schemaRef ds:uri="f1478e6b-71cb-4bec-bbeb-bf7a6c94ac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7929D3-7975-48EF-A640-2A94D6421791}">
  <ds:schemaRefs>
    <ds:schemaRef ds:uri="http://schemas.microsoft.com/office/2006/metadata/properties"/>
    <ds:schemaRef ds:uri="http://schemas.microsoft.com/office/infopath/2007/PartnerControls"/>
    <ds:schemaRef ds:uri="f1478e6b-71cb-4bec-bbeb-bf7a6c94acc0"/>
  </ds:schemaRefs>
</ds:datastoreItem>
</file>

<file path=customXml/itemProps3.xml><?xml version="1.0" encoding="utf-8"?>
<ds:datastoreItem xmlns:ds="http://schemas.openxmlformats.org/officeDocument/2006/customXml" ds:itemID="{6CBAC726-8F88-44A3-9F62-A0B624819A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4</vt:i4>
      </vt:variant>
    </vt:vector>
  </HeadingPairs>
  <TitlesOfParts>
    <vt:vector size="36" baseType="lpstr">
      <vt:lpstr>Plant Ops - Servce Agreements</vt:lpstr>
      <vt:lpstr>FY23 SA Status</vt:lpstr>
      <vt:lpstr>FY21 Service Agreement Summary</vt:lpstr>
      <vt:lpstr>Service Agreements - MP</vt:lpstr>
      <vt:lpstr>Inclement Weather</vt:lpstr>
      <vt:lpstr>Summer Maintenance</vt:lpstr>
      <vt:lpstr>Summer Maintenanace</vt:lpstr>
      <vt:lpstr>FY24 Service Agreements</vt:lpstr>
      <vt:lpstr>Vendors Rates FY23</vt:lpstr>
      <vt:lpstr>Procurement</vt:lpstr>
      <vt:lpstr>Enterprise</vt:lpstr>
      <vt:lpstr>37560 Rev Costs</vt:lpstr>
      <vt:lpstr>Contract Service Review</vt:lpstr>
      <vt:lpstr>Enterprise (Mtc Only)</vt:lpstr>
      <vt:lpstr>37510</vt:lpstr>
      <vt:lpstr>37520</vt:lpstr>
      <vt:lpstr>37530</vt:lpstr>
      <vt:lpstr>37540</vt:lpstr>
      <vt:lpstr>37550</vt:lpstr>
      <vt:lpstr>37560</vt:lpstr>
      <vt:lpstr>Service Agreement Bud v. Act</vt:lpstr>
      <vt:lpstr>Lookup</vt:lpstr>
      <vt:lpstr>Debbie</vt:lpstr>
      <vt:lpstr>Service Agreements_Validation</vt:lpstr>
      <vt:lpstr>Service Agreements</vt:lpstr>
      <vt:lpstr>Storeroom Blankets</vt:lpstr>
      <vt:lpstr>Vendors Rates</vt:lpstr>
      <vt:lpstr>Exterior Maintenance</vt:lpstr>
      <vt:lpstr>Vendor Contacts</vt:lpstr>
      <vt:lpstr>Vendor Contacts (Updating)</vt:lpstr>
      <vt:lpstr>Service Agreements Removed</vt:lpstr>
      <vt:lpstr>Lookups</vt:lpstr>
      <vt:lpstr>Debbie!Print_Area</vt:lpstr>
      <vt:lpstr>'FY24 Service Agreements'!Print_Area</vt:lpstr>
      <vt:lpstr>'Service Agreements'!Print_Area</vt:lpstr>
      <vt:lpstr>'Service Agreements_Validation'!Print_Area</vt:lpstr>
    </vt:vector>
  </TitlesOfParts>
  <Manager/>
  <Company>Vanderbilt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Fogg, Christine M</dc:creator>
  <cp:keywords/>
  <dc:description/>
  <cp:lastModifiedBy>Fogg, Christine M</cp:lastModifiedBy>
  <cp:revision/>
  <dcterms:created xsi:type="dcterms:W3CDTF">2019-02-07T14:17:55Z</dcterms:created>
  <dcterms:modified xsi:type="dcterms:W3CDTF">2025-10-16T19:42:18Z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0x010100F843CEEE1E871E4C9A37BEA4CF65359F</vt:lpwstr>
  </property>
</Properties>
</file>