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0A0C82C4-C900-4EE4-B834-F2767643652D}" xr6:coauthVersionLast="47" xr6:coauthVersionMax="47" xr10:uidLastSave="{00000000-0000-0000-0000-000000000000}"/>
  <bookViews>
    <workbookView xWindow="-120" yWindow="-120" windowWidth="29040" windowHeight="15840" tabRatio="813" firstSheet="6" activeTab="12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 Outcomes - US vs GB" sheetId="3" r:id="rId7"/>
    <sheet name="Outcomes Based on Goals - GB" sheetId="24" r:id="rId8"/>
    <sheet name="Outcomes Based on Goals - US" sheetId="26" r:id="rId9"/>
    <sheet name="Chart1" sheetId="22" state="hidden" r:id="rId10"/>
    <sheet name="Play Monthly Outcome - US vs GB" sheetId="16" r:id="rId11"/>
    <sheet name="Play Monthly Backers - US vs GB" sheetId="15" r:id="rId12"/>
    <sheet name="Staff_Pick Outcomes - US vs GB" sheetId="17" r:id="rId13"/>
  </sheets>
  <definedNames>
    <definedName name="_xlnm._FilterDatabase" localSheetId="0" hidden="1">Kickstarter!$P$1:$P$4115</definedName>
    <definedName name="_xlchart.v2.0" hidden="1">'Play Monthly Backers - US vs GB'!$E$7:$E$19</definedName>
    <definedName name="_xlchart.v2.1" hidden="1">'Play Monthly Backers - US vs GB'!$F$7:$F$19</definedName>
    <definedName name="_xlchart.v2.2" hidden="1">'Play Monthly Backers - US vs GB'!$O$7:$O$19</definedName>
    <definedName name="_xlchart.v2.3" hidden="1">'Play Monthly Backers - US vs GB'!$P$7:$P$19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3" l="1"/>
  <c r="M8" i="3"/>
  <c r="P8" i="16"/>
  <c r="P9" i="16"/>
  <c r="P10" i="16"/>
  <c r="P11" i="16"/>
  <c r="P12" i="16"/>
  <c r="P13" i="16"/>
  <c r="P14" i="16"/>
  <c r="P15" i="16"/>
  <c r="P16" i="16"/>
  <c r="P17" i="16"/>
  <c r="P18" i="16"/>
  <c r="P19" i="16"/>
  <c r="P7" i="16"/>
  <c r="G8" i="16"/>
  <c r="G9" i="16"/>
  <c r="G10" i="16"/>
  <c r="G11" i="16"/>
  <c r="G12" i="16"/>
  <c r="G13" i="16"/>
  <c r="G3" i="16" s="1"/>
  <c r="G14" i="16"/>
  <c r="G15" i="16"/>
  <c r="G16" i="16"/>
  <c r="G17" i="16"/>
  <c r="G18" i="16"/>
  <c r="G19" i="16"/>
  <c r="G7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F14" i="26"/>
  <c r="E14" i="26"/>
  <c r="D14" i="26"/>
  <c r="F13" i="26"/>
  <c r="E13" i="26"/>
  <c r="D13" i="26"/>
  <c r="F12" i="26"/>
  <c r="E12" i="26"/>
  <c r="D12" i="26"/>
  <c r="F11" i="26"/>
  <c r="E11" i="26"/>
  <c r="D11" i="26"/>
  <c r="F10" i="26"/>
  <c r="E10" i="26"/>
  <c r="D10" i="26"/>
  <c r="F9" i="26"/>
  <c r="E9" i="26"/>
  <c r="D9" i="26"/>
  <c r="F8" i="26"/>
  <c r="E8" i="26"/>
  <c r="D8" i="26"/>
  <c r="F7" i="26"/>
  <c r="E7" i="26"/>
  <c r="D7" i="26"/>
  <c r="F6" i="26"/>
  <c r="E6" i="26"/>
  <c r="D6" i="26"/>
  <c r="F5" i="26"/>
  <c r="E5" i="26"/>
  <c r="D5" i="26"/>
  <c r="F4" i="26"/>
  <c r="E4" i="26"/>
  <c r="D4" i="26"/>
  <c r="F3" i="26"/>
  <c r="E3" i="26"/>
  <c r="D3" i="26"/>
  <c r="D14" i="24"/>
  <c r="D13" i="24"/>
  <c r="D12" i="24"/>
  <c r="D11" i="24"/>
  <c r="D10" i="24"/>
  <c r="D9" i="24"/>
  <c r="D8" i="24"/>
  <c r="D7" i="24"/>
  <c r="D6" i="24"/>
  <c r="D5" i="24"/>
  <c r="D4" i="24"/>
  <c r="D3" i="24"/>
  <c r="E3" i="24"/>
  <c r="J8" i="11"/>
  <c r="J4" i="11"/>
  <c r="J5" i="11"/>
  <c r="J6" i="11"/>
  <c r="J7" i="11"/>
  <c r="J9" i="11"/>
  <c r="J10" i="11"/>
  <c r="J11" i="11"/>
  <c r="J12" i="11"/>
  <c r="J13" i="11"/>
  <c r="J14" i="11"/>
  <c r="J3" i="11"/>
  <c r="E13" i="24"/>
  <c r="E14" i="24"/>
  <c r="E12" i="24"/>
  <c r="E11" i="24"/>
  <c r="E10" i="24"/>
  <c r="E9" i="24"/>
  <c r="E8" i="24"/>
  <c r="E7" i="24"/>
  <c r="E6" i="24"/>
  <c r="E5" i="24"/>
  <c r="E4" i="24"/>
  <c r="F14" i="24"/>
  <c r="F13" i="24"/>
  <c r="F12" i="24"/>
  <c r="F11" i="24"/>
  <c r="F10" i="24"/>
  <c r="F9" i="24"/>
  <c r="F8" i="24"/>
  <c r="F7" i="24"/>
  <c r="F6" i="24"/>
  <c r="F5" i="24"/>
  <c r="F4" i="24"/>
  <c r="F3" i="24"/>
  <c r="D4" i="10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E7" i="10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1"/>
  <c r="E3" i="11"/>
  <c r="D3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G6" i="26" l="1"/>
  <c r="G3" i="26"/>
  <c r="I3" i="26" s="1"/>
  <c r="I6" i="26"/>
  <c r="J6" i="26"/>
  <c r="J3" i="26"/>
  <c r="H3" i="26"/>
  <c r="G10" i="26"/>
  <c r="H10" i="26" s="1"/>
  <c r="G8" i="26"/>
  <c r="I8" i="26" s="1"/>
  <c r="H6" i="26"/>
  <c r="G13" i="26"/>
  <c r="H13" i="26" s="1"/>
  <c r="G4" i="26"/>
  <c r="I4" i="26" s="1"/>
  <c r="G11" i="26"/>
  <c r="J11" i="26" s="1"/>
  <c r="G9" i="26"/>
  <c r="I9" i="26" s="1"/>
  <c r="G7" i="26"/>
  <c r="J7" i="26" s="1"/>
  <c r="G14" i="26"/>
  <c r="H14" i="26" s="1"/>
  <c r="G5" i="26"/>
  <c r="H5" i="26" s="1"/>
  <c r="G12" i="26"/>
  <c r="I12" i="26" s="1"/>
  <c r="G11" i="24"/>
  <c r="G10" i="24"/>
  <c r="G3" i="24"/>
  <c r="G8" i="24"/>
  <c r="G6" i="24"/>
  <c r="G13" i="24"/>
  <c r="G4" i="24"/>
  <c r="G9" i="24"/>
  <c r="G7" i="24"/>
  <c r="G14" i="24"/>
  <c r="G5" i="24"/>
  <c r="G12" i="24"/>
  <c r="G14" i="11"/>
  <c r="G11" i="11"/>
  <c r="G12" i="11"/>
  <c r="H12" i="11" s="1"/>
  <c r="G10" i="11"/>
  <c r="G13" i="11"/>
  <c r="G8" i="11"/>
  <c r="G9" i="11"/>
  <c r="G4" i="11"/>
  <c r="G6" i="1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9" i="26" l="1"/>
  <c r="J13" i="26"/>
  <c r="I13" i="26"/>
  <c r="H7" i="26"/>
  <c r="H12" i="26"/>
  <c r="J12" i="26"/>
  <c r="I7" i="26"/>
  <c r="J14" i="26"/>
  <c r="H11" i="26"/>
  <c r="I11" i="26"/>
  <c r="H4" i="26"/>
  <c r="I14" i="26"/>
  <c r="H9" i="26"/>
  <c r="J5" i="26"/>
  <c r="I5" i="26"/>
  <c r="I10" i="26"/>
  <c r="J10" i="26"/>
  <c r="J8" i="26"/>
  <c r="H8" i="26"/>
  <c r="J4" i="26"/>
  <c r="J5" i="24"/>
  <c r="H5" i="24"/>
  <c r="I5" i="24"/>
  <c r="J14" i="24"/>
  <c r="I14" i="24"/>
  <c r="J6" i="24"/>
  <c r="I6" i="24"/>
  <c r="I12" i="24"/>
  <c r="H12" i="24"/>
  <c r="J12" i="24"/>
  <c r="J8" i="24"/>
  <c r="I8" i="24"/>
  <c r="H7" i="24"/>
  <c r="J7" i="24"/>
  <c r="I7" i="24"/>
  <c r="I9" i="24"/>
  <c r="H9" i="24"/>
  <c r="J9" i="24"/>
  <c r="I13" i="24"/>
  <c r="J13" i="24"/>
  <c r="J10" i="24"/>
  <c r="I10" i="24"/>
  <c r="H6" i="24"/>
  <c r="H13" i="24"/>
  <c r="H4" i="24"/>
  <c r="J4" i="24"/>
  <c r="I4" i="24"/>
  <c r="I11" i="24"/>
  <c r="H11" i="24"/>
  <c r="J11" i="24"/>
  <c r="H8" i="24"/>
  <c r="H10" i="24"/>
  <c r="H14" i="24"/>
  <c r="J3" i="24"/>
  <c r="H3" i="24"/>
  <c r="I3" i="24"/>
  <c r="I13" i="11"/>
  <c r="I9" i="11"/>
  <c r="H9" i="11"/>
  <c r="I10" i="11"/>
  <c r="I11" i="11"/>
  <c r="I12" i="11"/>
  <c r="I6" i="11"/>
  <c r="I4" i="11"/>
  <c r="H4" i="11"/>
  <c r="H6" i="11"/>
  <c r="H7" i="11"/>
  <c r="H5" i="11"/>
  <c r="I3" i="11"/>
</calcChain>
</file>

<file path=xl/sharedStrings.xml><?xml version="1.0" encoding="utf-8"?>
<sst xmlns="http://schemas.openxmlformats.org/spreadsheetml/2006/main" count="33245" uniqueCount="8431">
  <si>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</si>
  <si>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</si>
  <si>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</si>
  <si>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</si>
  <si>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</si>
  <si>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</si>
  <si>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</si>
  <si>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</si>
  <si>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</si>
  <si>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</si>
  <si>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</si>
  <si>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</si>
  <si>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</si>
  <si>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</si>
  <si>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</si>
  <si>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</si>
  <si>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</si>
  <si>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</si>
  <si>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</si>
  <si>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</si>
  <si>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</si>
  <si>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</si>
  <si>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</si>
  <si>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</si>
  <si>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</si>
  <si>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</si>
  <si>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</si>
  <si>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</si>
  <si>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</si>
  <si>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</si>
  <si>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</si>
  <si>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</si>
  <si>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</si>
  <si>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</si>
  <si>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</si>
  <si>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</si>
  <si>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</si>
  <si>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</si>
  <si>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</si>
  <si>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</si>
  <si>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</si>
  <si>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</si>
  <si>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</si>
  <si>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</si>
  <si>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</si>
  <si>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</si>
  <si>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</si>
  <si>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</si>
  <si>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</si>
  <si>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</si>
  <si>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</si>
  <si>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</si>
  <si>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</si>
  <si>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</si>
  <si>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</si>
  <si>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</si>
  <si>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</si>
  <si>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</si>
  <si>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</si>
  <si>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</si>
  <si>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</si>
  <si>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</si>
  <si>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</si>
  <si>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</si>
  <si>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</si>
  <si>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</si>
  <si>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</si>
  <si>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</si>
  <si>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</si>
  <si>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</si>
  <si>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</si>
  <si>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</si>
  <si>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</si>
  <si>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</si>
  <si>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</si>
  <si>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</si>
  <si>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</si>
  <si>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</si>
  <si>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</si>
  <si>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</si>
  <si>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</si>
  <si>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</si>
  <si>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</si>
  <si>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</si>
  <si>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</si>
  <si>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</si>
  <si>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</si>
  <si>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</si>
  <si>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</si>
  <si>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</si>
  <si>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</si>
  <si>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</si>
  <si>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</si>
  <si>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</si>
  <si>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</si>
  <si>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</si>
  <si>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</si>
  <si>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</si>
  <si>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</si>
  <si>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</si>
  <si>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</si>
  <si>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</si>
  <si>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</si>
  <si>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</si>
  <si>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</si>
  <si>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</si>
  <si>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</si>
  <si>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</si>
  <si>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</si>
  <si>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</si>
  <si>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</si>
  <si>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</si>
  <si>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</si>
  <si>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</si>
  <si>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</si>
  <si>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</si>
  <si>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</si>
  <si>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</si>
  <si>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</si>
  <si>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</si>
  <si>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</si>
  <si>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</si>
  <si>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</si>
  <si>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</si>
  <si>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</si>
  <si>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</si>
  <si>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</si>
  <si>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</si>
  <si>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</si>
  <si>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</si>
  <si>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</si>
  <si>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</si>
  <si>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</si>
  <si>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</si>
  <si>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</si>
  <si>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</si>
  <si>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</si>
  <si>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</si>
  <si>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</si>
  <si>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</si>
  <si>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</si>
  <si>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</si>
  <si>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</si>
  <si>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</si>
  <si>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</si>
  <si>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</si>
  <si>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</si>
  <si>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</si>
  <si>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</si>
  <si>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</si>
  <si>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</si>
  <si>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</si>
  <si>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</si>
  <si>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</si>
  <si>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</si>
  <si>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</si>
  <si>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</si>
  <si>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</si>
  <si>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</si>
  <si>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</si>
  <si>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</si>
  <si>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</si>
  <si>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</si>
  <si>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</si>
  <si>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</si>
  <si>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</si>
  <si>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</si>
  <si>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</si>
  <si>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</si>
  <si>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</si>
  <si>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</si>
  <si>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</si>
  <si>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</si>
  <si>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</si>
  <si>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</si>
  <si>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</si>
  <si>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</si>
  <si>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</si>
  <si>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</si>
  <si>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</si>
  <si>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</si>
  <si>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</si>
  <si>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</si>
  <si>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</si>
  <si>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</si>
  <si>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</si>
  <si>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</si>
  <si>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</si>
  <si>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</si>
  <si>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</si>
  <si>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</si>
  <si>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</si>
  <si>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</si>
  <si>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</si>
  <si>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</si>
  <si>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</si>
  <si>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</si>
  <si>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</si>
  <si>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</si>
  <si>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</si>
  <si>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</si>
  <si>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</si>
  <si>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</si>
  <si>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</si>
  <si>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</si>
  <si>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</si>
  <si>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</si>
  <si>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</si>
  <si>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</si>
  <si>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</si>
  <si>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</si>
  <si>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</si>
  <si>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</si>
  <si>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</si>
  <si>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</si>
  <si>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</si>
  <si>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</si>
  <si>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</si>
  <si>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</si>
  <si>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</si>
  <si>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</si>
  <si>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</si>
  <si>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</si>
  <si>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</si>
  <si>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</si>
  <si>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</si>
  <si>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</si>
  <si>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</si>
  <si>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</si>
  <si>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</si>
  <si>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</si>
  <si>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</si>
  <si>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</si>
  <si>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</si>
  <si>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</si>
  <si>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</si>
  <si>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</si>
  <si>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</si>
  <si>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</si>
  <si>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</si>
  <si>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</si>
  <si>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</si>
  <si>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</si>
  <si>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</si>
  <si>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</si>
  <si>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</si>
  <si>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</si>
  <si>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</si>
  <si>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</si>
  <si>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</si>
  <si>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</si>
  <si>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</si>
  <si>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</si>
  <si>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</si>
  <si>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</si>
  <si>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</si>
  <si>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</si>
  <si>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</si>
  <si>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</si>
  <si>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</si>
  <si>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</si>
  <si>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</si>
  <si>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</si>
  <si>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</si>
  <si>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</si>
  <si>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</si>
  <si>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</si>
  <si>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</si>
  <si>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</si>
  <si>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</si>
  <si>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</si>
  <si>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</si>
  <si>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</si>
  <si>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</si>
  <si>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</si>
  <si>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</si>
  <si>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</si>
  <si>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</si>
  <si>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</si>
  <si>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</si>
  <si>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</si>
  <si>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</si>
  <si>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</si>
  <si>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</si>
  <si>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</si>
  <si>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</si>
  <si>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</si>
  <si>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</si>
  <si>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</si>
  <si>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</si>
  <si>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</si>
  <si>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</si>
  <si>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</si>
  <si>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</si>
  <si>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</si>
  <si>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</si>
  <si>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</si>
  <si>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</si>
  <si>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</si>
  <si>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</si>
  <si>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</si>
  <si>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</si>
  <si>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</si>
  <si>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</si>
  <si>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</si>
  <si>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</si>
  <si>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</si>
  <si>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</si>
  <si>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</si>
  <si>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</si>
  <si>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</si>
  <si>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</si>
  <si>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</si>
  <si>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</si>
  <si>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</si>
  <si>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</si>
  <si>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</si>
  <si>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</si>
  <si>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</si>
  <si>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</si>
  <si>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</si>
  <si>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</si>
  <si>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</si>
  <si>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</si>
  <si>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</si>
  <si>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</si>
  <si>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</si>
  <si>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</si>
  <si>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</si>
  <si>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</si>
  <si>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</si>
  <si>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</si>
  <si>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</si>
  <si>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</si>
  <si>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</si>
  <si>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</si>
  <si>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</si>
  <si>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</si>
  <si>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</si>
  <si>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</si>
  <si>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</si>
  <si>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</si>
  <si>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</si>
  <si>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</si>
  <si>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</si>
  <si>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</si>
  <si>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</si>
  <si>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</si>
  <si>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</si>
  <si>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</si>
  <si>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</si>
  <si>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</si>
  <si>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</si>
  <si>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</si>
  <si>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</si>
  <si>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</si>
  <si>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</si>
  <si>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</si>
  <si>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</si>
  <si>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</si>
  <si>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</si>
  <si>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</si>
  <si>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</si>
  <si>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</si>
  <si>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</si>
  <si>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</si>
  <si>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</si>
  <si>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</si>
  <si>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</si>
  <si>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</si>
  <si>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</si>
  <si>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</si>
  <si>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</si>
  <si>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</si>
  <si>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</si>
  <si>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</si>
  <si>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</si>
  <si>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</si>
  <si>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</si>
  <si>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</si>
  <si>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</si>
  <si>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</si>
  <si>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</si>
  <si>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</si>
  <si>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</si>
  <si>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</si>
  <si>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</si>
  <si>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</si>
  <si>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</si>
  <si>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</si>
  <si>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</si>
  <si>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</si>
  <si>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</si>
  <si>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</si>
  <si>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</si>
  <si>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</si>
  <si>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</si>
  <si>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</si>
  <si>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</si>
  <si>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</si>
  <si>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</si>
  <si>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</si>
  <si>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</si>
  <si>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</si>
  <si>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</si>
  <si>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</si>
  <si>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</si>
  <si>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</si>
  <si>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</si>
  <si>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</si>
  <si>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</si>
  <si>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</si>
  <si>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</si>
  <si>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</si>
  <si>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</si>
  <si>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</si>
  <si>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</si>
  <si>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</si>
  <si>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</si>
  <si>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</si>
  <si>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</si>
  <si>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</si>
  <si>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</si>
  <si>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</si>
  <si>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</si>
  <si>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</si>
  <si>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</si>
  <si>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</si>
  <si>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</si>
  <si>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</si>
  <si>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</si>
  <si>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</si>
  <si>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</si>
  <si>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</si>
  <si>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</si>
  <si>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</si>
  <si>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</si>
  <si>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</si>
  <si>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</si>
  <si>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</si>
  <si>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</si>
  <si>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</si>
  <si>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</si>
  <si>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</si>
  <si>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</si>
  <si>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</si>
  <si>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</si>
  <si>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</si>
  <si>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</si>
  <si>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</si>
  <si>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</si>
  <si>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</si>
  <si>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</si>
  <si>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</si>
  <si>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</si>
  <si>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</si>
  <si>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</si>
  <si>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</si>
  <si>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</si>
  <si>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</si>
  <si>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</si>
  <si>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</si>
  <si>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</si>
  <si>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</si>
  <si>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</si>
  <si>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</si>
  <si>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</si>
  <si>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</si>
  <si>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</si>
  <si>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</si>
  <si>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</si>
  <si>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</si>
  <si>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</si>
  <si>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</si>
  <si>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</si>
  <si>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</si>
  <si>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</si>
  <si>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</si>
  <si>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</si>
  <si>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</si>
  <si>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</si>
  <si>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</si>
  <si>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</si>
  <si>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</si>
  <si>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</si>
  <si>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</si>
  <si>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</si>
  <si>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</si>
  <si>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</si>
  <si>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</si>
  <si>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</si>
  <si>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</si>
  <si>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</si>
  <si>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</si>
  <si>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</si>
  <si>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</si>
  <si>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</si>
  <si>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</si>
  <si>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</si>
  <si>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</si>
  <si>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</si>
  <si>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</si>
  <si>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</si>
  <si>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</si>
  <si>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</si>
  <si>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</si>
  <si>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</si>
  <si>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</si>
  <si>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</si>
  <si>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</si>
  <si>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</si>
  <si>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</si>
  <si>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</si>
  <si>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</si>
  <si>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</si>
  <si>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</si>
  <si>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</si>
  <si>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</si>
  <si>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</si>
  <si>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</si>
  <si>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</si>
  <si>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</si>
  <si>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</si>
  <si>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</si>
  <si>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</si>
  <si>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</si>
  <si>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</si>
  <si>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</si>
  <si>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</si>
  <si>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</si>
  <si>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</si>
  <si>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</si>
  <si>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</si>
  <si>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</si>
  <si>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</si>
  <si>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</si>
  <si>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</si>
  <si>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</si>
  <si>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</si>
  <si>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</si>
  <si>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</si>
  <si>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</si>
  <si>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</si>
  <si>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</si>
  <si>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</si>
  <si>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</si>
  <si>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</si>
  <si>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</si>
  <si>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</si>
  <si>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</si>
  <si>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</si>
  <si>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</si>
  <si>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</si>
  <si>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</si>
  <si>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</si>
  <si>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</si>
  <si>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</si>
  <si>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</si>
  <si>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</si>
  <si>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</si>
  <si>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</si>
  <si>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</si>
  <si>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</si>
  <si>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</si>
  <si>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</si>
  <si>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</si>
  <si>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</si>
  <si>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</si>
  <si>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</si>
  <si>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</si>
  <si>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</si>
  <si>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</si>
  <si>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</si>
  <si>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</si>
  <si>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</si>
  <si>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</si>
  <si>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</si>
  <si>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</si>
  <si>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</si>
  <si>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</si>
  <si>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</si>
  <si>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</si>
  <si>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</si>
  <si>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</si>
  <si>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</si>
  <si>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</si>
  <si>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</si>
  <si>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</si>
  <si>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</si>
  <si>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</si>
  <si>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</si>
  <si>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</si>
  <si>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</si>
  <si>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</si>
  <si>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</si>
  <si>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</si>
  <si>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</si>
  <si>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</si>
  <si>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</si>
  <si>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</si>
  <si>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</si>
  <si>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</si>
  <si>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</si>
  <si>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</si>
  <si>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</si>
  <si>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</si>
  <si>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</si>
  <si>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</si>
  <si>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</si>
  <si>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</si>
  <si>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</si>
  <si>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</si>
  <si>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</si>
  <si>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</si>
  <si>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</si>
  <si>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</si>
  <si>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</si>
  <si>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</si>
  <si>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</si>
  <si>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</si>
  <si>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</si>
  <si>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</si>
  <si>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</si>
  <si>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</si>
  <si>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</si>
  <si>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</si>
  <si>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</si>
  <si>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</si>
  <si>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</si>
  <si>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</si>
  <si>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</si>
  <si>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</si>
  <si>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</si>
  <si>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</si>
  <si>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</si>
  <si>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</si>
  <si>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</si>
  <si>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</si>
  <si>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</si>
  <si>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</si>
  <si>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</si>
  <si>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</si>
  <si>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</si>
  <si>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</si>
  <si>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</si>
  <si>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</si>
  <si>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</si>
  <si>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</si>
  <si>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</si>
  <si>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</si>
  <si>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</si>
  <si>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</si>
  <si>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</si>
  <si>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</si>
  <si>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</si>
  <si>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</si>
  <si>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</si>
  <si>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</si>
  <si>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</si>
  <si>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</si>
  <si>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</si>
  <si>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</si>
  <si>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</si>
  <si>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</si>
  <si>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</si>
  <si>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</si>
  <si>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</si>
  <si>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</si>
  <si>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</si>
  <si>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</si>
  <si>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</si>
  <si>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</si>
  <si>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</si>
  <si>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</si>
  <si>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</si>
  <si>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</si>
  <si>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</si>
  <si>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</si>
  <si>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</si>
  <si>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</si>
  <si>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</si>
  <si>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</si>
  <si>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</si>
  <si>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</si>
  <si>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</si>
  <si>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</si>
  <si>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</si>
  <si>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</si>
  <si>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</si>
  <si>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</si>
  <si>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</si>
  <si>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</si>
  <si>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</si>
  <si>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</si>
  <si>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</si>
  <si>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</si>
  <si>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</si>
  <si>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</si>
  <si>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</si>
  <si>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</si>
  <si>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</si>
  <si>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</si>
  <si>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</si>
  <si>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</si>
  <si>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</si>
  <si>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</si>
  <si>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</si>
  <si>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</si>
  <si>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</si>
  <si>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</si>
  <si>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</si>
  <si>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</si>
  <si>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</si>
  <si>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</si>
  <si>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</si>
  <si>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</si>
  <si>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</si>
  <si>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</si>
  <si>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</si>
  <si>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</si>
  <si>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</si>
  <si>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</si>
  <si>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</si>
  <si>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</si>
  <si>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</si>
  <si>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</si>
  <si>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</si>
  <si>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</si>
  <si>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</si>
  <si>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</si>
  <si>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</si>
  <si>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</si>
  <si>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</si>
  <si>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</si>
  <si>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</si>
  <si>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</si>
  <si>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</si>
  <si>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</si>
  <si>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</si>
  <si>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</si>
  <si>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</si>
  <si>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</si>
  <si>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</si>
  <si>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</si>
  <si>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</si>
  <si>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</si>
  <si>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</si>
  <si>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</si>
  <si>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</si>
  <si>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</si>
  <si>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</si>
  <si>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</si>
  <si>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</si>
  <si>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</si>
  <si>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</si>
  <si>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</si>
  <si>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</si>
  <si>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</si>
  <si>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</si>
  <si>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</si>
  <si>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</si>
  <si>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</si>
  <si>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</si>
  <si>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</si>
  <si>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</si>
  <si>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</si>
  <si>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</si>
  <si>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</si>
  <si>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</si>
  <si>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</si>
  <si>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</si>
  <si>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</si>
  <si>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</si>
  <si>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</si>
  <si>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</si>
  <si>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</si>
  <si>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</si>
  <si>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</si>
  <si>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</si>
  <si>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</si>
  <si>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</si>
  <si>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</si>
  <si>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</si>
  <si>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</si>
  <si>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</si>
  <si>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</si>
  <si>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</si>
  <si>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</si>
  <si>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</si>
  <si>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</si>
  <si>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</si>
  <si>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</si>
  <si>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</si>
  <si>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</si>
  <si>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</si>
  <si>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</si>
  <si>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</si>
  <si>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</si>
  <si>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</si>
  <si>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</si>
  <si>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</si>
  <si>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</si>
  <si>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</si>
  <si>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</si>
  <si>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</si>
  <si>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</si>
  <si>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</si>
  <si>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</si>
  <si>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</si>
  <si>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</si>
  <si>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</si>
  <si>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</si>
  <si>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</si>
  <si>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</si>
  <si>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</si>
  <si>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</si>
  <si>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</si>
  <si>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</si>
  <si>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</si>
  <si>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</si>
  <si>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</si>
  <si>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</si>
  <si>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</si>
  <si>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</si>
  <si>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</si>
  <si>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</si>
  <si>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</si>
  <si>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</si>
  <si>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</si>
  <si>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</si>
  <si>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</si>
  <si>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</si>
  <si>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</si>
  <si>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</si>
  <si>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</si>
  <si>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</si>
  <si>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</si>
  <si>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</si>
  <si>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</si>
  <si>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</si>
  <si>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</si>
  <si>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</si>
  <si>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</si>
  <si>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</si>
  <si>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</si>
  <si>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</si>
  <si>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</si>
  <si>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</si>
  <si>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</si>
  <si>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</si>
  <si>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</si>
  <si>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</si>
  <si>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</si>
  <si>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</si>
  <si>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</si>
  <si>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</si>
  <si>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</si>
  <si>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</si>
  <si>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</si>
  <si>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</si>
  <si>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</si>
  <si>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</si>
  <si>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</si>
  <si>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</si>
  <si>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</si>
  <si>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</si>
  <si>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</si>
  <si>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</si>
  <si>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</si>
  <si>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</si>
  <si>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</si>
  <si>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</si>
  <si>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</si>
  <si>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</si>
  <si>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</si>
  <si>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</si>
  <si>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</si>
  <si>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</si>
  <si>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</si>
  <si>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</si>
  <si>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</si>
  <si>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</si>
  <si>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</si>
  <si>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</si>
  <si>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</si>
  <si>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</si>
  <si>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</si>
  <si>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</si>
  <si>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</si>
  <si>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</si>
  <si>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</si>
  <si>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</si>
  <si>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</si>
  <si>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</si>
  <si>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</si>
  <si>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</si>
  <si>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</si>
  <si>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</si>
  <si>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</si>
  <si>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</si>
  <si>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</si>
  <si>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</si>
  <si>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</si>
  <si>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</si>
  <si>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</si>
  <si>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</si>
  <si>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</si>
  <si>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</si>
  <si>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</si>
  <si>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</si>
  <si>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</si>
  <si>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</si>
  <si>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</si>
  <si>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</si>
  <si>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</si>
  <si>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</si>
  <si>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</si>
  <si>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</si>
  <si>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</si>
  <si>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</si>
  <si>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</si>
  <si>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</si>
  <si>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</si>
  <si>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</si>
  <si>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</si>
  <si>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</si>
  <si>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</si>
  <si>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</si>
  <si>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</si>
  <si>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</si>
  <si>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</si>
  <si>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</si>
  <si>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</si>
  <si>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</si>
  <si>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</si>
  <si>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</si>
  <si>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</si>
  <si>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</si>
  <si>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</si>
  <si>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</si>
  <si>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</si>
  <si>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</si>
  <si>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</si>
  <si>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</si>
  <si>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</si>
  <si>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</si>
  <si>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</si>
  <si>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</si>
  <si>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</si>
  <si>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</si>
  <si>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</si>
  <si>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</si>
  <si>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</si>
  <si>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</si>
  <si>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</si>
  <si>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</si>
  <si>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</si>
  <si>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</si>
  <si>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</si>
  <si>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</si>
  <si>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</si>
  <si>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</si>
  <si>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</si>
  <si>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</si>
  <si>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</si>
  <si>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</si>
  <si>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</si>
  <si>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</si>
  <si>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</si>
  <si>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</si>
  <si>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</si>
  <si>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</si>
  <si>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</si>
  <si>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</si>
  <si>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</si>
  <si>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</si>
  <si>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</si>
  <si>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</si>
  <si>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</si>
  <si>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</si>
  <si>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</si>
  <si>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</si>
  <si>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</si>
  <si>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</si>
  <si>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</si>
  <si>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</si>
  <si>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</si>
  <si>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</si>
  <si>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</si>
  <si>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</si>
  <si>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</si>
  <si>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</si>
  <si>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</si>
  <si>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</si>
  <si>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</si>
  <si>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</si>
  <si>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</si>
  <si>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</si>
  <si>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</si>
  <si>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</si>
  <si>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</si>
  <si>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</si>
  <si>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</si>
  <si>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</si>
  <si>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</si>
  <si>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</si>
  <si>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</si>
  <si>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</si>
  <si>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</si>
  <si>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</si>
  <si>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</si>
  <si>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</si>
  <si>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</si>
  <si>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</si>
  <si>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</si>
  <si>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</si>
  <si>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</si>
  <si>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</si>
  <si>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</si>
  <si>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</si>
  <si>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</si>
  <si>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</si>
  <si>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</si>
  <si>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</si>
  <si>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</si>
  <si>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</si>
  <si>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</si>
  <si>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</si>
  <si>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</si>
  <si>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</si>
  <si>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</si>
  <si>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</si>
  <si>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</si>
  <si>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</si>
  <si>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</si>
  <si>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</si>
  <si>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</si>
  <si>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</si>
  <si>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</si>
  <si>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</si>
  <si>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</si>
  <si>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</si>
  <si>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</si>
  <si>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</si>
  <si>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</si>
  <si>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</si>
  <si>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</si>
  <si>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</si>
  <si>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</si>
  <si>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</si>
  <si>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</si>
  <si>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</si>
  <si>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</si>
  <si>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</si>
  <si>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</si>
  <si>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</si>
  <si>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</si>
  <si>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</si>
  <si>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</si>
  <si>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</si>
  <si>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</si>
  <si>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</si>
  <si>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</si>
  <si>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</si>
  <si>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</si>
  <si>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</si>
  <si>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</si>
  <si>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</si>
  <si>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</si>
  <si>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</si>
  <si>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</si>
  <si>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</si>
  <si>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</si>
  <si>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</si>
  <si>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</si>
  <si>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</si>
  <si>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</si>
  <si>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</si>
  <si>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</si>
  <si>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</si>
  <si>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</si>
  <si>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</si>
  <si>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</si>
  <si>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</si>
  <si>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</si>
  <si>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</si>
  <si>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</si>
  <si>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</si>
  <si>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</si>
  <si>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</si>
  <si>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</si>
  <si>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</si>
  <si>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</si>
  <si>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</si>
  <si>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</si>
  <si>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</si>
  <si>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</si>
  <si>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</si>
  <si>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</si>
  <si>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</si>
  <si>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</si>
  <si>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</si>
  <si>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</si>
  <si>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</si>
  <si>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</si>
  <si>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</si>
  <si>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</si>
  <si>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</si>
  <si>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</si>
  <si>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</si>
  <si>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</si>
  <si>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</si>
  <si>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</si>
  <si>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</si>
  <si>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</si>
  <si>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</si>
  <si>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</si>
  <si>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</si>
  <si>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</si>
  <si>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</si>
  <si>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</si>
  <si>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</si>
  <si>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</si>
  <si>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</si>
  <si>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</si>
  <si>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</si>
  <si>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</si>
  <si>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</si>
  <si>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</si>
  <si>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</si>
  <si>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</si>
  <si>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</si>
  <si>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</si>
  <si>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</si>
  <si>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</si>
  <si>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</si>
  <si>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</si>
  <si>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</si>
  <si>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</si>
  <si>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</si>
  <si>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</si>
  <si>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</si>
  <si>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</si>
  <si>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</si>
  <si>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</si>
  <si>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</si>
  <si>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</si>
  <si>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</si>
  <si>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</si>
  <si>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</si>
  <si>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</si>
  <si>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</si>
  <si>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</si>
  <si>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</si>
  <si>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</si>
  <si>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</si>
  <si>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</si>
  <si>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</si>
  <si>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</si>
  <si>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</si>
  <si>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</si>
  <si>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</si>
  <si>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</si>
  <si>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</si>
  <si>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</si>
  <si>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</si>
  <si>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</si>
  <si>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</si>
  <si>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</si>
  <si>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</si>
  <si>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</si>
  <si>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</si>
  <si>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</si>
  <si>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</si>
  <si>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</si>
  <si>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</si>
  <si>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</si>
  <si>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</si>
  <si>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</si>
  <si>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</si>
  <si>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</si>
  <si>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</si>
  <si>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</si>
  <si>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</si>
  <si>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</si>
  <si>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</si>
  <si>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</si>
  <si>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</si>
  <si>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</si>
  <si>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</si>
  <si>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</si>
  <si>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</si>
  <si>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</si>
  <si>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</si>
  <si>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</si>
  <si>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</si>
  <si>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</si>
  <si>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</si>
  <si>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</si>
  <si>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</si>
  <si>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</si>
  <si>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</si>
  <si>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</si>
  <si>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</si>
  <si>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</si>
  <si>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</si>
  <si>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</si>
  <si>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</si>
  <si>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</si>
  <si>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</si>
  <si>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</si>
  <si>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</si>
  <si>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</si>
  <si>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</si>
  <si>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</si>
  <si>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</si>
  <si>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</si>
  <si>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</si>
  <si>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</si>
  <si>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</si>
  <si>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</si>
  <si>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</si>
  <si>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</si>
  <si>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</si>
  <si>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</si>
  <si>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</si>
  <si>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</si>
  <si>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</si>
  <si>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</si>
  <si>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</si>
  <si>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</si>
  <si>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</si>
  <si>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</si>
  <si>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</si>
  <si>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</si>
  <si>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</si>
  <si>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</si>
  <si>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</si>
  <si>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</si>
  <si>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</si>
  <si>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</si>
  <si>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</si>
  <si>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</si>
  <si>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</si>
  <si>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</si>
  <si>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</si>
  <si>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</si>
  <si>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</si>
  <si>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</si>
  <si>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</si>
  <si>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</si>
  <si>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</si>
  <si>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</si>
  <si>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</si>
  <si>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</si>
  <si>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</si>
  <si>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</si>
  <si>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</si>
  <si>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</si>
  <si>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</si>
  <si>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</si>
  <si>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</si>
  <si>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</si>
  <si>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</si>
  <si>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</si>
  <si>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</si>
  <si>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</si>
  <si>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</si>
  <si>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</si>
  <si>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</si>
  <si>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</si>
  <si>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</si>
  <si>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</si>
  <si>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</si>
  <si>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</si>
  <si>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</si>
  <si>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</si>
  <si>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</si>
  <si>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</si>
  <si>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</si>
  <si>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</si>
  <si>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</si>
  <si>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</si>
  <si>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</si>
  <si>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</si>
  <si>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</si>
  <si>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</si>
  <si>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</si>
  <si>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</si>
  <si>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</si>
  <si>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</si>
  <si>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</si>
  <si>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</si>
  <si>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</si>
  <si>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</si>
  <si>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</si>
  <si>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</si>
  <si>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</si>
  <si>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</si>
  <si>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</si>
  <si>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</si>
  <si>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</si>
  <si>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</si>
  <si>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</si>
  <si>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</si>
  <si>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</si>
  <si>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</si>
  <si>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</si>
  <si>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</si>
  <si>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</si>
  <si>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</si>
  <si>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</si>
  <si>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</si>
  <si>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</si>
  <si>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</si>
  <si>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</si>
  <si>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</si>
  <si>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</si>
  <si>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</si>
  <si>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</si>
  <si>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</si>
  <si>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</si>
  <si>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</si>
  <si>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</si>
  <si>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</si>
  <si>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</si>
  <si>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</si>
  <si>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</si>
  <si>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</si>
  <si>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</si>
  <si>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</si>
  <si>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</si>
  <si>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</si>
  <si>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</si>
  <si>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</si>
  <si>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</si>
  <si>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</si>
  <si>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</si>
  <si>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</si>
  <si>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</si>
  <si>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</si>
  <si>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</si>
  <si>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</si>
  <si>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</si>
  <si>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</si>
  <si>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</si>
  <si>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</si>
  <si>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</si>
  <si>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</si>
  <si>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</si>
  <si>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</si>
  <si>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</si>
  <si>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</si>
  <si>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</si>
  <si>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</si>
  <si>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</si>
  <si>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</si>
  <si>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</si>
  <si>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</si>
  <si>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</si>
  <si>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</si>
  <si>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</si>
  <si>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</si>
  <si>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</si>
  <si>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</si>
  <si>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</si>
  <si>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</si>
  <si>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</si>
  <si>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</si>
  <si>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</si>
  <si>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</si>
  <si>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</si>
  <si>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</si>
  <si>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</si>
  <si>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</si>
  <si>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</si>
  <si>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</si>
  <si>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</si>
  <si>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</si>
  <si>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</si>
  <si>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</si>
  <si>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</si>
  <si>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</si>
  <si>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</si>
  <si>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</si>
  <si>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</si>
  <si>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</si>
  <si>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</si>
  <si>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</si>
  <si>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</si>
  <si>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</si>
  <si>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</si>
  <si>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</si>
  <si>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</si>
  <si>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</si>
  <si>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</si>
  <si>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</si>
  <si>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</si>
  <si>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</si>
  <si>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</si>
  <si>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</si>
  <si>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</si>
  <si>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</si>
  <si>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</si>
  <si>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</si>
  <si>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</si>
  <si>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</si>
  <si>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</si>
  <si>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</si>
  <si>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</si>
  <si>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</si>
  <si>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</si>
  <si>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</si>
  <si>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</si>
  <si>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</si>
  <si>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</si>
  <si>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</si>
  <si>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</si>
  <si>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</si>
  <si>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</si>
  <si>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</si>
  <si>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</si>
  <si>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</si>
  <si>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</si>
  <si>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</si>
  <si>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</si>
  <si>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</si>
  <si>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</si>
  <si>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</si>
  <si>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</si>
  <si>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</si>
  <si>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</si>
  <si>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</si>
  <si>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</si>
  <si>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</si>
  <si>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</si>
  <si>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</si>
  <si>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</si>
  <si>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</si>
  <si>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</si>
  <si>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</si>
  <si>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</si>
  <si>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</si>
  <si>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</si>
  <si>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</si>
  <si>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</si>
  <si>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</si>
  <si>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</si>
  <si>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</si>
  <si>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</si>
  <si>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</si>
  <si>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</si>
  <si>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</si>
  <si>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</si>
  <si>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</si>
  <si>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</si>
  <si>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</si>
  <si>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</si>
  <si>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</si>
  <si>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</si>
  <si>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</si>
  <si>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</si>
  <si>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</si>
  <si>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</si>
  <si>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</si>
  <si>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</si>
  <si>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</si>
  <si>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</si>
  <si>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</si>
  <si>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</si>
  <si>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</si>
  <si>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</si>
  <si>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</si>
  <si>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</si>
  <si>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</si>
  <si>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</si>
  <si>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</si>
  <si>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</si>
  <si>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</si>
  <si>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</si>
  <si>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</si>
  <si>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</si>
  <si>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</si>
  <si>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</si>
  <si>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</si>
  <si>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</si>
  <si>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</si>
  <si>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</si>
  <si>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</si>
  <si>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</si>
  <si>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</si>
  <si>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</si>
  <si>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</si>
  <si>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</si>
  <si>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</si>
  <si>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</si>
  <si>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</si>
  <si>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</si>
  <si>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</si>
  <si>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</si>
  <si>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</si>
  <si>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</si>
  <si>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</si>
  <si>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</si>
  <si>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</si>
  <si>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</si>
  <si>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</si>
  <si>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</si>
  <si>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</si>
  <si>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</si>
  <si>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</si>
  <si>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</si>
  <si>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</si>
  <si>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</si>
  <si>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</si>
  <si>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</si>
  <si>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</si>
  <si>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</si>
  <si>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</si>
  <si>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</si>
  <si>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</si>
  <si>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</si>
  <si>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</si>
  <si>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</si>
  <si>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</si>
  <si>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</si>
  <si>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</si>
  <si>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</si>
  <si>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</si>
  <si>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</si>
  <si>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</si>
  <si>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</si>
  <si>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</si>
  <si>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</si>
  <si>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</si>
  <si>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</si>
  <si>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</si>
  <si>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</si>
  <si>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</si>
  <si>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</si>
  <si>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</si>
  <si>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</si>
  <si>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</si>
  <si>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</si>
  <si>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</si>
  <si>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</si>
  <si>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</si>
  <si>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</si>
  <si>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</si>
  <si>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</si>
  <si>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</si>
  <si>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</si>
  <si>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</si>
  <si>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</si>
  <si>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</si>
  <si>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</si>
  <si>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</si>
  <si>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</si>
  <si>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</si>
  <si>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</si>
  <si>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</si>
  <si>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</si>
  <si>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</si>
  <si>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</si>
  <si>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</si>
  <si>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</si>
  <si>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</si>
  <si>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</si>
  <si>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</si>
  <si>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</si>
  <si>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</si>
  <si>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</si>
  <si>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</si>
  <si>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</si>
  <si>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</si>
  <si>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</si>
  <si>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</si>
  <si>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</si>
  <si>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</si>
  <si>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</si>
  <si>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</si>
  <si>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</si>
  <si>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</si>
  <si>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</si>
  <si>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</si>
  <si>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</si>
  <si>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</si>
  <si>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</si>
  <si>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</si>
  <si>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</si>
  <si>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</si>
  <si>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</si>
  <si>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</si>
  <si>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</si>
  <si>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</si>
  <si>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</si>
  <si>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</si>
  <si>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</si>
  <si>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</si>
  <si>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</si>
  <si>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</si>
  <si>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</si>
  <si>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</si>
  <si>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</si>
  <si>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</si>
  <si>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</si>
  <si>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</si>
  <si>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</si>
  <si>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</si>
  <si>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</si>
  <si>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</si>
  <si>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</si>
  <si>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</si>
  <si>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</si>
  <si>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</si>
  <si>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</si>
  <si>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</si>
  <si>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</si>
  <si>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</si>
  <si>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</si>
  <si>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</si>
  <si>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</si>
  <si>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</si>
  <si>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</si>
  <si>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</si>
  <si>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</si>
  <si>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</si>
  <si>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</si>
  <si>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</si>
  <si>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</si>
  <si>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</si>
  <si>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</si>
  <si>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</si>
  <si>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</si>
  <si>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</si>
  <si>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</si>
  <si>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</si>
  <si>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</si>
  <si>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</si>
  <si>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</si>
  <si>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</si>
  <si>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</si>
  <si>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</si>
  <si>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</si>
  <si>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</si>
  <si>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</si>
  <si>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</si>
  <si>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</si>
  <si>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</si>
  <si>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</si>
  <si>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</si>
  <si>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</si>
  <si>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</si>
  <si>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</si>
  <si>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</si>
  <si>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</si>
  <si>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</si>
  <si>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</si>
  <si>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</si>
  <si>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</si>
  <si>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</si>
  <si>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</si>
  <si>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</si>
  <si>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</si>
  <si>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</si>
  <si>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</si>
  <si>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</si>
  <si>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</si>
  <si>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</si>
  <si>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</si>
  <si>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</si>
  <si>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</si>
  <si>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</si>
  <si>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</si>
  <si>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</si>
  <si>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</si>
  <si>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</si>
  <si>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</si>
  <si>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</si>
  <si>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</si>
  <si>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</si>
  <si>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</si>
  <si>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</si>
  <si>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</si>
  <si>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</si>
  <si>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</si>
  <si>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</si>
  <si>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</si>
  <si>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</si>
  <si>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</si>
  <si>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</si>
  <si>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</si>
  <si>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</si>
  <si>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</si>
  <si>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</si>
  <si>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</si>
  <si>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</si>
  <si>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</si>
  <si>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</si>
  <si>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</si>
  <si>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</si>
  <si>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</si>
  <si>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</si>
  <si>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</si>
  <si>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</si>
  <si>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</si>
  <si>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</si>
  <si>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</si>
  <si>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</si>
  <si>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</si>
  <si>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</si>
  <si>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</si>
  <si>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</si>
  <si>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</si>
  <si>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</si>
  <si>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</si>
  <si>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</si>
  <si>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</si>
  <si>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</si>
  <si>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</si>
  <si>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</si>
  <si>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</si>
  <si>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</si>
  <si>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</si>
  <si>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</si>
  <si>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</si>
  <si>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</si>
  <si>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</si>
  <si>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</si>
  <si>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</si>
  <si>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</si>
  <si>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</si>
  <si>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</si>
  <si>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</si>
  <si>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</si>
  <si>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</si>
  <si>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</si>
  <si>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</si>
  <si>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</si>
  <si>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</si>
  <si>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</si>
  <si>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</si>
  <si>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</si>
  <si>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</si>
  <si>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</si>
  <si>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</si>
  <si>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</si>
  <si>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</si>
  <si>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</si>
  <si>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</si>
  <si>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</si>
  <si>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</si>
  <si>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</si>
  <si>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</si>
  <si>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</si>
  <si>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</si>
  <si>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</si>
  <si>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</si>
  <si>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</si>
  <si>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</si>
  <si>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</si>
  <si>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</si>
  <si>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</si>
  <si>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</si>
  <si>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</si>
  <si>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</si>
  <si>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</si>
  <si>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</si>
  <si>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</si>
  <si>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</si>
  <si>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</si>
  <si>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</si>
  <si>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</si>
  <si>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</si>
  <si>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</si>
  <si>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</si>
  <si>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</si>
  <si>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</si>
  <si>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</si>
  <si>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</si>
  <si>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</si>
  <si>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</si>
  <si>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</si>
  <si>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</si>
  <si>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</si>
  <si>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</si>
  <si>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</si>
  <si>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</si>
  <si>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</si>
  <si>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</si>
  <si>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</si>
  <si>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</si>
  <si>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</si>
  <si>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</si>
  <si>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</si>
  <si>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</si>
  <si>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</si>
  <si>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</si>
  <si>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</si>
  <si>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</si>
  <si>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</si>
  <si>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</si>
  <si>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</si>
  <si>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</si>
  <si>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</si>
  <si>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</si>
  <si>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</si>
  <si>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</si>
  <si>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</si>
  <si>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</si>
  <si>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</si>
  <si>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</si>
  <si>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</si>
  <si>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</si>
  <si>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</si>
  <si>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</si>
  <si>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</si>
  <si>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</si>
  <si>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</si>
  <si>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</si>
  <si>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</si>
  <si>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</si>
  <si>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</si>
  <si>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</si>
  <si>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</si>
  <si>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</si>
  <si>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</si>
  <si>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</si>
  <si>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</si>
  <si>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</si>
  <si>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</si>
  <si>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</si>
  <si>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</si>
  <si>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</si>
  <si>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</si>
  <si>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</si>
  <si>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</si>
  <si>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</si>
  <si>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</si>
  <si>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</si>
  <si>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</si>
  <si>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</si>
  <si>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</si>
  <si>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</si>
  <si>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</si>
  <si>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</si>
  <si>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</si>
  <si>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</si>
  <si>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</si>
  <si>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</si>
  <si>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</si>
  <si>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</si>
  <si>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</si>
  <si>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</si>
  <si>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</si>
  <si>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</si>
  <si>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</si>
  <si>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</si>
  <si>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</si>
  <si>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</si>
  <si>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</si>
  <si>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</si>
  <si>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</si>
  <si>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</si>
  <si>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</si>
  <si>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</si>
  <si>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</si>
  <si>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</si>
  <si>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</si>
  <si>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</si>
  <si>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</si>
  <si>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</si>
  <si>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</si>
  <si>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</si>
  <si>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</si>
  <si>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</si>
  <si>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</si>
  <si>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</si>
  <si>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</si>
  <si>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</si>
  <si>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</si>
  <si>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</si>
  <si>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</si>
  <si>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</si>
  <si>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</si>
  <si>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</si>
  <si>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</si>
  <si>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</si>
  <si>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</si>
  <si>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</si>
  <si>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</si>
  <si>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</si>
  <si>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</si>
  <si>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</si>
  <si>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</si>
  <si>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</si>
  <si>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</si>
  <si>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</si>
  <si>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</si>
  <si>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</si>
  <si>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</si>
  <si>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</si>
  <si>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</si>
  <si>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</si>
  <si>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</si>
  <si>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</si>
  <si>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</si>
  <si>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</si>
  <si>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</si>
  <si>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</si>
  <si>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</si>
  <si>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</si>
  <si>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</si>
  <si>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</si>
  <si>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</si>
  <si>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</si>
  <si>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</si>
  <si>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</si>
  <si>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</si>
  <si>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</si>
  <si>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</si>
  <si>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</si>
  <si>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</si>
  <si>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</si>
  <si>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</si>
  <si>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</si>
  <si>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</si>
  <si>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</si>
  <si>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</si>
  <si>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</si>
  <si>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</si>
  <si>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</si>
  <si>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</si>
  <si>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</si>
  <si>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</si>
  <si>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</si>
  <si>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</si>
  <si>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</si>
  <si>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</si>
  <si>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</si>
  <si>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</si>
  <si>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</si>
  <si>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</si>
  <si>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</si>
  <si>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</si>
  <si>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</si>
  <si>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</si>
  <si>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</si>
  <si>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</si>
  <si>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</si>
  <si>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</si>
  <si>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</si>
  <si>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</si>
  <si>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</si>
  <si>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</si>
  <si>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</si>
  <si>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</si>
  <si>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</si>
  <si>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</si>
  <si>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</si>
  <si>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</si>
  <si>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</si>
  <si>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</si>
  <si>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</si>
  <si>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</si>
  <si>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</si>
  <si>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</si>
  <si>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</si>
  <si>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</si>
  <si>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</si>
  <si>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</si>
  <si>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</si>
  <si>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</si>
  <si>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</si>
  <si>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</si>
  <si>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</si>
  <si>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</si>
  <si>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</si>
  <si>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</si>
  <si>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</si>
  <si>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</si>
  <si>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</si>
  <si>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</si>
  <si>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</si>
  <si>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</si>
  <si>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</si>
  <si>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</si>
  <si>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</si>
  <si>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</si>
  <si>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</si>
  <si>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</si>
  <si>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</si>
  <si>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</si>
  <si>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</si>
  <si>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</si>
  <si>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</si>
  <si>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</si>
  <si>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</si>
  <si>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</si>
  <si>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</si>
  <si>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</si>
  <si>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</si>
  <si>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</si>
  <si>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</si>
  <si>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</si>
  <si>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</si>
  <si>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</si>
  <si>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</si>
  <si>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</si>
  <si>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</si>
  <si>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</si>
  <si>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</si>
  <si>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</si>
  <si>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</si>
  <si>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</si>
  <si>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</si>
  <si>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</si>
  <si>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</si>
  <si>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</si>
  <si>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</si>
  <si>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</si>
  <si>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</si>
  <si>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</si>
  <si>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</si>
  <si>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</si>
  <si>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</si>
  <si>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</si>
  <si>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</si>
  <si>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</si>
  <si>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</si>
  <si>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</si>
  <si>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</si>
  <si>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</si>
  <si>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</si>
  <si>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</si>
  <si>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</si>
  <si>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</si>
  <si>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</si>
  <si>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</si>
  <si>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</si>
  <si>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</si>
  <si>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</si>
  <si>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</si>
  <si>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</si>
  <si>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</si>
  <si>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</si>
  <si>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</si>
  <si>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</si>
  <si>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</si>
  <si>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</si>
  <si>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</si>
  <si>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</si>
  <si>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</si>
  <si>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</si>
  <si>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</si>
  <si>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</si>
  <si>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</si>
  <si>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</si>
  <si>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</si>
  <si>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</si>
  <si>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</si>
  <si>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</si>
  <si>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</si>
  <si>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</si>
  <si>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</si>
  <si>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</si>
  <si>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</si>
  <si>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</si>
  <si>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</si>
  <si>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</si>
  <si>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</si>
  <si>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</si>
  <si>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</si>
  <si>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</si>
  <si>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</si>
  <si>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</si>
  <si>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</si>
  <si>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</si>
  <si>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</si>
  <si>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</si>
  <si>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</si>
  <si>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</si>
  <si>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</si>
  <si>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</si>
  <si>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</si>
  <si>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</si>
  <si>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</si>
  <si>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</si>
  <si>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</si>
  <si>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</si>
  <si>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</si>
  <si>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</si>
  <si>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</si>
  <si>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</si>
  <si>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</si>
  <si>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</si>
  <si>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</si>
  <si>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</si>
  <si>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</si>
  <si>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</si>
  <si>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</si>
  <si>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</si>
  <si>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</si>
  <si>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</si>
  <si>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</si>
  <si>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</si>
  <si>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</si>
  <si>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</si>
  <si>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</si>
  <si>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</si>
  <si>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</si>
  <si>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</si>
  <si>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</si>
  <si>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</si>
  <si>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</si>
  <si>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</si>
  <si>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</si>
  <si>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</si>
  <si>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</si>
  <si>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</si>
  <si>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</si>
  <si>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</si>
  <si>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</si>
  <si>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</si>
  <si>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</si>
  <si>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</si>
  <si>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</si>
  <si>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</si>
  <si>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</si>
  <si>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</si>
  <si>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</si>
  <si>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</si>
  <si>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</si>
  <si>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</si>
  <si>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</si>
  <si>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</si>
  <si>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</si>
  <si>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</si>
  <si>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</si>
  <si>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</si>
  <si>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</si>
  <si>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</si>
  <si>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</si>
  <si>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</si>
  <si>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</si>
  <si>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</si>
  <si>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</si>
  <si>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</si>
  <si>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</si>
  <si>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</si>
  <si>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</si>
  <si>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</si>
  <si>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</si>
  <si>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</si>
  <si>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</si>
  <si>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</si>
  <si>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</si>
  <si>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</si>
  <si>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</si>
  <si>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</si>
  <si>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</si>
  <si>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</si>
  <si>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</si>
  <si>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</si>
  <si>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</si>
  <si>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</si>
  <si>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</si>
  <si>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</si>
  <si>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</si>
  <si>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</si>
  <si>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</si>
  <si>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</si>
  <si>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</si>
  <si>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</si>
  <si>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</si>
  <si>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</si>
  <si>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</si>
  <si>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</si>
  <si>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</si>
  <si>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</si>
  <si>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</si>
  <si>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</si>
  <si>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</si>
  <si>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</si>
  <si>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</si>
  <si>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</si>
  <si>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</si>
  <si>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</si>
  <si>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</si>
  <si>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</si>
  <si>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</si>
  <si>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</si>
  <si>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</si>
  <si>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</si>
  <si>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</si>
  <si>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</si>
  <si>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</si>
  <si>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</si>
  <si>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</si>
  <si>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</si>
  <si>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</si>
  <si>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</si>
  <si>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</si>
  <si>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</si>
  <si>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</si>
  <si>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</si>
  <si>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</si>
  <si>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</si>
  <si>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</si>
  <si>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</si>
  <si>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</si>
  <si>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</si>
  <si>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</si>
  <si>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</si>
  <si>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</si>
  <si>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</si>
  <si>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</si>
  <si>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</si>
  <si>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</si>
  <si>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</si>
  <si>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</si>
  <si>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</si>
  <si>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</si>
  <si>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</si>
  <si>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</si>
  <si>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</si>
  <si>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</si>
  <si>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</si>
  <si>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</si>
  <si>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</si>
  <si>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</si>
  <si>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</si>
  <si>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</si>
  <si>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</si>
  <si>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</si>
  <si>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</si>
  <si>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</si>
  <si>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</si>
  <si>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</si>
  <si>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</si>
  <si>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</si>
  <si>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</si>
  <si>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</si>
  <si>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</si>
  <si>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</si>
  <si>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</si>
  <si>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</si>
  <si>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</si>
  <si>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</si>
  <si>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</si>
  <si>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</si>
  <si>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</si>
  <si>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</si>
  <si>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</si>
  <si>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</si>
  <si>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</si>
  <si>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</si>
  <si>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</si>
  <si>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</si>
  <si>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</si>
  <si>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</si>
  <si>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</si>
  <si>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</si>
  <si>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</si>
  <si>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</si>
  <si>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</si>
  <si>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</si>
  <si>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</si>
  <si>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</si>
  <si>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</si>
  <si>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</si>
  <si>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</si>
  <si>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</si>
  <si>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</si>
  <si>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</si>
  <si>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</si>
  <si>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</si>
  <si>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</si>
  <si>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</si>
  <si>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</si>
  <si>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</si>
  <si>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</si>
  <si>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</si>
  <si>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</si>
  <si>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</si>
  <si>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</si>
  <si>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</si>
  <si>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</si>
  <si>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</si>
  <si>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</si>
  <si>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</si>
  <si>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</si>
  <si>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</si>
  <si>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</si>
  <si>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</si>
  <si>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</si>
  <si>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</si>
  <si>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</si>
  <si>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</si>
  <si>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</si>
  <si>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</si>
  <si>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</si>
  <si>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</si>
  <si>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</si>
  <si>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</si>
  <si>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</si>
  <si>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</si>
  <si>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</si>
  <si>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</si>
  <si>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</si>
  <si>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</si>
  <si>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</si>
  <si>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</si>
  <si>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</si>
  <si>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</si>
  <si>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</si>
  <si>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</si>
  <si>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</si>
  <si>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</si>
  <si>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</si>
  <si>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</si>
  <si>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</si>
  <si>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</si>
  <si>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</si>
  <si>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</si>
  <si>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</si>
  <si>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</si>
  <si>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</si>
  <si>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</si>
  <si>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</si>
  <si>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</si>
  <si>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</si>
  <si>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</si>
  <si>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</si>
  <si>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</si>
  <si>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</si>
  <si>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</si>
  <si>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</si>
  <si>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</si>
  <si>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</si>
  <si>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</si>
  <si>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</si>
  <si>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</si>
  <si>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</si>
  <si>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</si>
  <si>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</si>
  <si>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</si>
  <si>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</si>
  <si>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</si>
  <si>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</si>
  <si>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</si>
  <si>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</si>
  <si>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</si>
  <si>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</si>
  <si>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</si>
  <si>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</si>
  <si>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</si>
  <si>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</si>
  <si>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</si>
  <si>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</si>
  <si>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</si>
  <si>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</si>
  <si>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</si>
  <si>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</si>
  <si>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</si>
  <si>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</si>
  <si>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</si>
  <si>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</si>
  <si>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</si>
  <si>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</si>
  <si>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</si>
  <si>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</si>
  <si>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</si>
  <si>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</si>
  <si>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</si>
  <si>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</si>
  <si>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</si>
  <si>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</si>
  <si>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</si>
  <si>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</si>
  <si>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</si>
  <si>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</si>
  <si>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</si>
  <si>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</si>
  <si>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</si>
  <si>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</si>
  <si>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</si>
  <si>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</si>
  <si>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</si>
  <si>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</si>
  <si>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</si>
  <si>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</si>
  <si>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</si>
  <si>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</si>
  <si>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</si>
  <si>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</si>
  <si>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</si>
  <si>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</si>
  <si>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</si>
  <si>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</si>
  <si>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</si>
  <si>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</si>
  <si>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</si>
  <si>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</si>
  <si>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</si>
  <si>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</si>
  <si>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</si>
  <si>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</si>
  <si>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</si>
  <si>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</si>
  <si>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</si>
  <si>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</si>
  <si>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</si>
  <si>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</si>
  <si>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</si>
  <si>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</si>
  <si>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</si>
  <si>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</si>
  <si>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</si>
  <si>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</si>
  <si>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</si>
  <si>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</si>
  <si>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</si>
  <si>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</si>
  <si>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</si>
  <si>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</si>
  <si>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</si>
  <si>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</si>
  <si>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</si>
  <si>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</si>
  <si>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</si>
  <si>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</si>
  <si>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</si>
  <si>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</si>
  <si>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</si>
  <si>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</si>
  <si>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</si>
  <si>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</si>
  <si>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</si>
  <si>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</si>
  <si>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</si>
  <si>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</si>
  <si>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</si>
  <si>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</si>
  <si>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</si>
  <si>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</si>
  <si>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</si>
  <si>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</si>
  <si>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</si>
  <si>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</si>
  <si>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</si>
  <si>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</si>
  <si>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</si>
  <si>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</si>
  <si>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</si>
  <si>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</si>
  <si>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</si>
  <si>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</si>
  <si>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</si>
  <si>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</si>
  <si>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</si>
  <si>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</si>
  <si>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</si>
  <si>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</si>
  <si>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</si>
  <si>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</si>
  <si>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</si>
  <si>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</si>
  <si>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</si>
  <si>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</si>
  <si>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</si>
  <si>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</si>
  <si>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</si>
  <si>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</si>
  <si>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</si>
  <si>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</si>
  <si>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</si>
  <si>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</si>
  <si>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</si>
  <si>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</si>
  <si>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</si>
  <si>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</si>
  <si>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</si>
  <si>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</si>
  <si>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</si>
  <si>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</si>
  <si>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</si>
  <si>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</si>
  <si>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</si>
  <si>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</si>
  <si>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</si>
  <si>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</si>
  <si>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</si>
  <si>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</si>
  <si>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</si>
  <si>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</si>
  <si>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</si>
  <si>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</si>
  <si>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</si>
  <si>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</si>
  <si>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</si>
  <si>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</si>
  <si>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</si>
  <si>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</si>
  <si>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</si>
  <si>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</si>
  <si>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</si>
  <si>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</si>
  <si>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</si>
  <si>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</si>
  <si>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</si>
  <si>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</si>
  <si>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</si>
  <si>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</si>
  <si>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</si>
  <si>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</si>
  <si>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</si>
  <si>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</si>
  <si>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</si>
  <si>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</si>
  <si>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</si>
  <si>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</si>
  <si>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</si>
  <si>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</si>
  <si>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</si>
  <si>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</si>
  <si>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</si>
  <si>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</si>
  <si>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</si>
  <si>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</si>
  <si>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</si>
  <si>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</si>
  <si>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</si>
  <si>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</si>
  <si>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</si>
  <si>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</si>
  <si>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</si>
  <si>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</si>
  <si>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</si>
  <si>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</si>
  <si>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</si>
  <si>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</si>
  <si>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</si>
  <si>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</si>
  <si>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</si>
  <si>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</si>
  <si>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</si>
  <si>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</si>
  <si>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</si>
  <si>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</si>
  <si>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</si>
  <si>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</si>
  <si>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</si>
  <si>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</si>
  <si>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</si>
  <si>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</si>
  <si>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</si>
  <si>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</si>
  <si>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</si>
  <si>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</si>
  <si>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</si>
  <si>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</si>
  <si>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</si>
  <si>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</si>
  <si>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</si>
  <si>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</si>
  <si>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</si>
  <si>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</si>
  <si>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</si>
  <si>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</si>
  <si>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</si>
  <si>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</si>
  <si>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</si>
  <si>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</si>
  <si>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</si>
  <si>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</si>
  <si>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</si>
  <si>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</si>
  <si>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</si>
  <si>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</si>
  <si>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</si>
  <si>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</si>
  <si>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</si>
  <si>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</si>
  <si>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</si>
  <si>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</si>
  <si>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</si>
  <si>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</si>
  <si>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</si>
  <si>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</si>
  <si>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</si>
  <si>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</si>
  <si>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</si>
  <si>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</si>
  <si>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</si>
  <si>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</si>
  <si>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</si>
  <si>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</si>
  <si>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</si>
  <si>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</si>
  <si>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</si>
  <si>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</si>
  <si>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</si>
  <si>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</si>
  <si>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</si>
  <si>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</si>
  <si>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</si>
  <si>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</si>
  <si>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</si>
  <si>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</si>
  <si>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</si>
  <si>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</si>
  <si>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</si>
  <si>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</si>
  <si>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</si>
  <si>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</si>
  <si>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</si>
  <si>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</si>
  <si>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</si>
  <si>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</si>
  <si>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</si>
  <si>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</si>
  <si>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</si>
  <si>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</si>
  <si>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</si>
  <si>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</si>
  <si>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</si>
  <si>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</si>
  <si>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</si>
  <si>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</si>
  <si>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</si>
  <si>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</si>
  <si>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</si>
  <si>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</si>
  <si>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</si>
  <si>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</si>
  <si>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</si>
  <si>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</si>
  <si>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</si>
  <si>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</si>
  <si>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</si>
  <si>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</si>
  <si>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</si>
  <si>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</si>
  <si>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</si>
  <si>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</si>
  <si>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</si>
  <si>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</si>
  <si>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</si>
  <si>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</si>
  <si>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</si>
  <si>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</si>
  <si>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</si>
  <si>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</si>
  <si>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</si>
  <si>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</si>
  <si>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</si>
  <si>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</si>
  <si>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</si>
  <si>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</si>
  <si>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</si>
  <si>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</si>
  <si>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</si>
  <si>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</si>
  <si>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</si>
  <si>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</si>
  <si>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</si>
  <si>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</si>
  <si>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</si>
  <si>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</si>
  <si>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</si>
  <si>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</si>
  <si>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</si>
  <si>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</si>
  <si>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</si>
  <si>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</si>
  <si>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</si>
  <si>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</si>
  <si>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</si>
  <si>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</si>
  <si>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</si>
  <si>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</si>
  <si>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</si>
  <si>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</si>
  <si>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</si>
  <si>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</si>
  <si>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</si>
  <si>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</si>
  <si>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</si>
  <si>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</si>
  <si>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</si>
  <si>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</si>
  <si>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</si>
  <si>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</si>
  <si>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</si>
  <si>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</si>
  <si>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</si>
  <si>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</si>
  <si>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</si>
  <si>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</si>
  <si>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</si>
  <si>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</si>
  <si>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</si>
  <si>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</si>
  <si>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</si>
  <si>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</si>
  <si>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</si>
  <si>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</si>
  <si>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</si>
  <si>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</si>
  <si>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</si>
  <si>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</si>
  <si>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</si>
  <si>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</si>
  <si>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</si>
  <si>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</si>
  <si>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</si>
  <si>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</si>
  <si>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</si>
  <si>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</si>
  <si>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</si>
  <si>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</si>
  <si>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</si>
  <si>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</si>
  <si>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</si>
  <si>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</si>
  <si>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</si>
  <si>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</si>
  <si>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</si>
  <si>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</si>
  <si>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</si>
  <si>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</si>
  <si>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</si>
  <si>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</si>
  <si>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</si>
  <si>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</si>
  <si>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</si>
  <si>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</si>
  <si>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</si>
  <si>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</si>
  <si>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</si>
  <si>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</si>
  <si>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</si>
  <si>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</si>
  <si>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</si>
  <si>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</si>
  <si>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</si>
  <si>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</si>
  <si>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</si>
  <si>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</si>
  <si>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</si>
  <si>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</si>
  <si>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</si>
  <si>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</si>
  <si>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</si>
  <si>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</si>
  <si>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</si>
  <si>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</si>
  <si>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</si>
  <si>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</si>
  <si>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</si>
  <si>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</si>
  <si>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</si>
  <si>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</si>
  <si>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</si>
  <si>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</si>
  <si>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</si>
  <si>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</si>
  <si>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</si>
  <si>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</si>
  <si>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</si>
  <si>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</si>
  <si>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</si>
  <si>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</si>
  <si>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</si>
  <si>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</si>
  <si>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</si>
  <si>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</si>
  <si>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</si>
  <si>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</si>
  <si>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</si>
  <si>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</si>
  <si>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</si>
  <si>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</si>
  <si>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</si>
  <si>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</si>
  <si>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</si>
  <si>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</si>
  <si>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</si>
  <si>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</si>
  <si>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</si>
  <si>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</si>
  <si>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</si>
  <si>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</si>
  <si>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</si>
  <si>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</si>
  <si>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</si>
  <si>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</si>
  <si>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</si>
  <si>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</si>
  <si>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</si>
  <si>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</si>
  <si>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</si>
  <si>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</si>
  <si>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</si>
  <si>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</si>
  <si>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</si>
  <si>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</si>
  <si>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</si>
  <si>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</si>
  <si>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</si>
  <si>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</si>
  <si>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</si>
  <si>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</si>
  <si>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</si>
  <si>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</si>
  <si>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</si>
  <si>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</si>
  <si>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</si>
  <si>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</si>
  <si>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</si>
  <si>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</si>
  <si>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</si>
  <si>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</si>
  <si>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</si>
  <si>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</si>
  <si>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</si>
  <si>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</si>
  <si>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</si>
  <si>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</si>
  <si>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</si>
  <si>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</si>
  <si>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</si>
  <si>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</si>
  <si>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</si>
  <si>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</si>
  <si>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</si>
  <si>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</si>
  <si>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</si>
  <si>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</si>
  <si>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</si>
  <si>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</si>
  <si>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</si>
  <si>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</si>
  <si>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</si>
  <si>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</si>
  <si>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</si>
  <si>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</si>
  <si>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</si>
  <si>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</si>
  <si>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</si>
  <si>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</si>
  <si>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</si>
  <si>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</si>
  <si>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</si>
  <si>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</si>
  <si>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</si>
  <si>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</si>
  <si>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</si>
  <si>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</si>
  <si>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</si>
  <si>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</si>
  <si>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</si>
  <si>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</si>
  <si>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</si>
  <si>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</si>
  <si>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</si>
  <si>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</si>
  <si>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</si>
  <si>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</si>
  <si>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</si>
  <si>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</si>
  <si>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</si>
  <si>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</si>
  <si>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</si>
  <si>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</si>
  <si>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</si>
  <si>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</si>
  <si>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</si>
  <si>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</si>
  <si>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</si>
  <si>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</si>
  <si>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</si>
  <si>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</si>
  <si>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</si>
  <si>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</si>
  <si>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</si>
  <si>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</si>
  <si>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</si>
  <si>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</si>
  <si>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</si>
  <si>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</si>
  <si>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</si>
  <si>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</si>
  <si>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</si>
  <si>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</si>
  <si>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</si>
  <si>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</si>
  <si>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</si>
  <si>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</si>
  <si>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</si>
  <si>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</si>
  <si>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</si>
  <si>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</si>
  <si>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</si>
  <si>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</si>
  <si>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</si>
  <si>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</si>
  <si>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</si>
  <si>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</si>
  <si>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</si>
  <si>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</si>
  <si>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</si>
  <si>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</si>
  <si>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</si>
  <si>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</si>
  <si>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</si>
  <si>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</si>
  <si>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</si>
  <si>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</si>
  <si>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</si>
  <si>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</si>
  <si>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</si>
  <si>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</si>
  <si>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</si>
  <si>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</si>
  <si>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</si>
  <si>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</si>
  <si>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</si>
  <si>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</si>
  <si>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</si>
  <si>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</si>
  <si>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</si>
  <si>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</si>
  <si>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</si>
  <si>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</si>
  <si>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</si>
  <si>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</si>
  <si>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</si>
  <si>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</si>
  <si>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</si>
  <si>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</si>
  <si>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</si>
  <si>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</si>
  <si>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</si>
  <si>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</si>
  <si>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</si>
  <si>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</si>
  <si>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</si>
  <si>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</si>
  <si>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</si>
  <si>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</si>
  <si>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</si>
  <si>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</si>
  <si>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</si>
  <si>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</si>
  <si>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</si>
  <si>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</si>
  <si>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</si>
  <si>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</si>
  <si>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</si>
  <si>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</si>
  <si>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</si>
  <si>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</si>
  <si>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</si>
  <si>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</si>
  <si>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</si>
  <si>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</si>
  <si>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</si>
  <si>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</si>
  <si>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</si>
  <si>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</si>
  <si>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</si>
  <si>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</si>
  <si>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</si>
  <si>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</si>
  <si>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</si>
  <si>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</si>
  <si>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</si>
  <si>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</si>
  <si>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</si>
  <si>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</si>
  <si>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</si>
  <si>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</si>
  <si>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</si>
  <si>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</si>
  <si>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</si>
  <si>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</si>
  <si>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</si>
  <si>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</si>
  <si>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</si>
  <si>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</si>
  <si>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</si>
  <si>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</si>
  <si>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</si>
  <si>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</si>
  <si>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</si>
  <si>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</si>
  <si>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</si>
  <si>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</si>
  <si>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</si>
  <si>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</si>
  <si>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</si>
  <si>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</si>
  <si>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</si>
  <si>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</si>
  <si>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</si>
  <si>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</si>
  <si>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</si>
  <si>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</si>
  <si>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</si>
  <si>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</si>
  <si>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</si>
  <si>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</si>
  <si>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</si>
  <si>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</si>
  <si>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</si>
  <si>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</si>
  <si>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</si>
  <si>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</si>
  <si>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</si>
  <si>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</si>
  <si>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</si>
  <si>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</si>
  <si>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</si>
  <si>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</si>
  <si>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</si>
  <si>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</si>
  <si>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</si>
  <si>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</si>
  <si>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</si>
  <si>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</si>
  <si>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</si>
  <si>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</si>
  <si>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</si>
  <si>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</si>
  <si>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</si>
  <si>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</si>
  <si>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</si>
  <si>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</si>
  <si>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</si>
  <si>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</si>
  <si>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</si>
  <si>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</si>
  <si>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</si>
  <si>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</si>
  <si>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</si>
  <si>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</si>
  <si>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</si>
  <si>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</si>
  <si>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</si>
  <si>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</si>
  <si>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</si>
  <si>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</si>
  <si>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</si>
  <si>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</si>
  <si>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</si>
  <si>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</si>
  <si>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</si>
  <si>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</si>
  <si>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</si>
  <si>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</si>
  <si>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</si>
  <si>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</si>
  <si>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</si>
  <si>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</si>
  <si>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</si>
  <si>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</si>
  <si>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</si>
  <si>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</si>
  <si>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</si>
  <si>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</si>
  <si>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</si>
  <si>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</si>
  <si>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</si>
  <si>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</si>
  <si>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</si>
  <si>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</si>
  <si>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</si>
  <si>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</si>
  <si>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</si>
  <si>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</si>
  <si>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</si>
  <si>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</si>
  <si>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</si>
  <si>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</si>
  <si>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</si>
  <si>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</si>
  <si>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</si>
  <si>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</si>
  <si>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</si>
  <si>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</si>
  <si>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</si>
  <si>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</si>
  <si>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</si>
  <si>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</si>
  <si>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</si>
  <si>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</si>
  <si>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</si>
  <si>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</si>
  <si>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</si>
  <si>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</si>
  <si>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</si>
  <si>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</si>
  <si>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</si>
  <si>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</si>
  <si>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</si>
  <si>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</si>
  <si>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</si>
  <si>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</si>
  <si>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</si>
  <si>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</si>
  <si>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</si>
  <si>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</si>
  <si>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</si>
  <si>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</si>
  <si>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</si>
  <si>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</si>
  <si>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</si>
  <si>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</si>
  <si>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</si>
  <si>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</si>
  <si>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</si>
  <si>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</si>
  <si>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</si>
  <si>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</si>
  <si>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</si>
  <si>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</si>
  <si>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</si>
  <si>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</si>
  <si>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</si>
  <si>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</si>
  <si>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</si>
  <si>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</si>
  <si>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</si>
  <si>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</si>
  <si>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</si>
  <si>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</si>
  <si>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</si>
  <si>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</si>
  <si>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</si>
  <si>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</si>
  <si>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</si>
  <si>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</si>
  <si>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</si>
  <si>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</si>
  <si>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</si>
  <si>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</si>
  <si>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</si>
  <si>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</si>
  <si>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</si>
  <si>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</si>
  <si>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</si>
  <si>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</si>
  <si>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</si>
  <si>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</si>
  <si>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</si>
  <si>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</si>
  <si>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</si>
  <si>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</si>
  <si>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</si>
  <si>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</si>
  <si>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</si>
  <si>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</si>
  <si>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</si>
  <si>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</si>
  <si>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</si>
  <si>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</si>
  <si>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</si>
  <si>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</si>
  <si>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</si>
  <si>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</si>
  <si>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</si>
  <si>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</si>
  <si>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</si>
  <si>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</si>
  <si>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</si>
  <si>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</si>
  <si>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</si>
  <si>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</si>
  <si>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</si>
  <si>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</si>
  <si>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</si>
  <si>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</si>
  <si>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</si>
  <si>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</si>
  <si>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</si>
  <si>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</si>
  <si>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</si>
  <si>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</si>
  <si>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</si>
  <si>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</si>
  <si>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</si>
  <si>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</si>
  <si>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</si>
  <si>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</si>
  <si>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</si>
  <si>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</si>
  <si>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</si>
  <si>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</si>
  <si>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</si>
  <si>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</si>
  <si>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</si>
  <si>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</si>
  <si>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</si>
  <si>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</si>
  <si>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</si>
  <si>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</si>
  <si>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</si>
  <si>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</si>
  <si>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</si>
  <si>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</si>
  <si>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</si>
  <si>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</si>
  <si>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</si>
  <si>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</si>
  <si>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</si>
  <si>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</si>
  <si>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</si>
  <si>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</si>
  <si>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</si>
  <si>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</si>
  <si>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</si>
  <si>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</si>
  <si>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</si>
  <si>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</si>
  <si>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</si>
  <si>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</si>
  <si>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</si>
  <si>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</si>
  <si>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</si>
  <si>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</si>
  <si>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</si>
  <si>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</si>
  <si>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</si>
  <si>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</si>
  <si>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</si>
  <si>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</si>
  <si>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</si>
  <si>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</si>
  <si>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</si>
  <si>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</si>
  <si>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</si>
  <si>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</si>
  <si>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</si>
  <si>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</si>
  <si>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</si>
  <si>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</si>
  <si>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</si>
  <si>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</si>
  <si>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</si>
  <si>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</si>
  <si>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</si>
  <si>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</si>
  <si>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</si>
  <si>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</si>
  <si>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</si>
  <si>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</si>
  <si>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</si>
  <si>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</si>
  <si>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</si>
  <si>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</si>
  <si>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</si>
  <si>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</si>
  <si>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</si>
  <si>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</si>
  <si>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</si>
  <si>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</si>
  <si>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</si>
  <si>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</si>
  <si>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</si>
  <si>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</si>
  <si>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</si>
  <si>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</si>
  <si>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</si>
  <si>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</si>
  <si>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</si>
  <si>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</si>
  <si>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</si>
  <si>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</si>
  <si>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</si>
  <si>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</si>
  <si>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</si>
  <si>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</si>
  <si>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</si>
  <si>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</si>
  <si>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</si>
  <si>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</si>
  <si>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</si>
  <si>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</si>
  <si>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</si>
  <si>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</si>
  <si>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</si>
  <si>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</si>
  <si>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</si>
  <si>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</si>
  <si>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</si>
  <si>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</si>
  <si>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</si>
  <si>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</si>
  <si>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</si>
  <si>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</si>
  <si>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</si>
  <si>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</si>
  <si>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</si>
  <si>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</si>
  <si>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</si>
  <si>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</si>
  <si>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</si>
  <si>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</si>
  <si>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</si>
  <si>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</si>
  <si>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</si>
  <si>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</si>
  <si>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</si>
  <si>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</si>
  <si>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</si>
  <si>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</si>
  <si>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</si>
  <si>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</si>
  <si>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</si>
  <si>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</si>
  <si>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</si>
  <si>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</si>
  <si>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</si>
  <si>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</si>
  <si>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</si>
  <si>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</si>
  <si>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</si>
  <si>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</si>
  <si>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</si>
  <si>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</si>
  <si>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</si>
  <si>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</si>
  <si>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</si>
  <si>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</si>
  <si>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</si>
  <si>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</si>
  <si>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</si>
  <si>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</si>
  <si>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</si>
  <si>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</si>
  <si>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</si>
  <si>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</si>
  <si>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</si>
  <si>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</si>
  <si>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</si>
  <si>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</si>
  <si>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</si>
  <si>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</si>
  <si>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</si>
  <si>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</si>
  <si>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</si>
  <si>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</si>
  <si>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</si>
  <si>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</si>
  <si>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</si>
  <si>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</si>
  <si>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</si>
  <si>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</si>
  <si>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</si>
  <si>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</si>
  <si>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</si>
  <si>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</si>
  <si>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</si>
  <si>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</si>
  <si>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</si>
  <si>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</si>
  <si>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</si>
  <si>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</si>
  <si>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</si>
  <si>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</si>
  <si>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</si>
  <si>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</si>
  <si>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</si>
  <si>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</si>
  <si>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</si>
  <si>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</si>
  <si>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</si>
  <si>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</si>
  <si>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</si>
  <si>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</si>
  <si>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</si>
  <si>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</si>
  <si>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</si>
  <si>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</si>
  <si>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</si>
  <si>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</si>
  <si>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</si>
  <si>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</si>
  <si>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</si>
  <si>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</si>
  <si>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</si>
  <si>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</si>
  <si>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</si>
  <si>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</si>
  <si>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</si>
  <si>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</si>
  <si>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</si>
  <si>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</si>
  <si>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</si>
  <si>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</si>
  <si>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</si>
  <si>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</si>
  <si>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</si>
  <si>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</si>
  <si>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</si>
  <si>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</si>
  <si>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</si>
  <si>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</si>
  <si>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</si>
  <si>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</si>
  <si>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</si>
  <si>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</si>
  <si>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</si>
  <si>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</si>
  <si>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</si>
  <si>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</si>
  <si>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</si>
  <si>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</si>
  <si>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</si>
  <si>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</si>
  <si>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</si>
  <si>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</si>
  <si>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</si>
  <si>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</si>
  <si>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</si>
  <si>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</si>
  <si>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</si>
  <si>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</si>
  <si>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</si>
  <si>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</si>
  <si>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</si>
  <si>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</si>
  <si>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</si>
  <si>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</si>
  <si>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</si>
  <si>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</si>
  <si>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</si>
  <si>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</si>
  <si>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</si>
  <si>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</si>
  <si>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</si>
  <si>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</si>
  <si>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</si>
  <si>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</si>
  <si>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</si>
  <si>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</si>
  <si>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</si>
  <si>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</si>
  <si>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</si>
  <si>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</si>
  <si>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</si>
  <si>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</si>
  <si>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</si>
  <si>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</si>
  <si>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</si>
  <si>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</si>
  <si>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</si>
  <si>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</si>
  <si>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</si>
  <si>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</si>
  <si>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</si>
  <si>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</si>
  <si>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</si>
  <si>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</si>
  <si>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</si>
  <si>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</si>
  <si>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</si>
  <si>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</si>
  <si>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</si>
  <si>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</si>
  <si>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</si>
  <si>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</si>
  <si>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</si>
  <si>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</si>
  <si>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</si>
  <si>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</si>
  <si>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</si>
  <si>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</si>
  <si>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</si>
  <si>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</si>
  <si>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</si>
  <si>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</si>
  <si>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</si>
  <si>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</si>
  <si>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</si>
  <si>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</si>
  <si>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</si>
  <si>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</si>
  <si>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</si>
  <si>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</si>
  <si>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</si>
  <si>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</si>
  <si>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</si>
  <si>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</si>
  <si>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</si>
  <si>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</si>
  <si>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</si>
  <si>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</si>
  <si>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</si>
  <si>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</si>
  <si>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</si>
  <si>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</si>
  <si>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</si>
  <si>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</si>
  <si>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</si>
  <si>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</si>
  <si>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</si>
  <si>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</si>
  <si>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</si>
  <si>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</si>
  <si>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</si>
  <si>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</si>
  <si>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</si>
  <si>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</si>
  <si>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</si>
  <si>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</si>
  <si>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</si>
  <si>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</si>
  <si>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</si>
  <si>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</si>
  <si>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</si>
  <si>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</si>
  <si>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</si>
  <si>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</si>
  <si>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</si>
  <si>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</si>
  <si>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</si>
  <si>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</si>
  <si>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</si>
  <si>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</si>
  <si>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</si>
  <si>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</si>
  <si>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</si>
  <si>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</si>
  <si>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</si>
  <si>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</si>
  <si>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</si>
  <si>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</si>
  <si>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</si>
  <si>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</si>
  <si>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</si>
  <si>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</si>
  <si>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</si>
  <si>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</si>
  <si>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</si>
  <si>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</si>
  <si>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</si>
  <si>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</si>
  <si>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</si>
  <si>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</si>
  <si>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</si>
  <si>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</si>
  <si>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</si>
  <si>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</si>
  <si>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</si>
  <si>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</si>
  <si>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</si>
  <si>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</si>
  <si>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</si>
  <si>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</si>
  <si>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</si>
  <si>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</si>
  <si>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</si>
  <si>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</si>
  <si>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</si>
  <si>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</si>
  <si>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</si>
  <si>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</si>
  <si>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</si>
  <si>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</si>
  <si>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</si>
  <si>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</si>
  <si>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</si>
  <si>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</si>
  <si>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</si>
  <si>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</si>
  <si>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</si>
  <si>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</si>
  <si>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</si>
  <si>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</si>
  <si>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</si>
  <si>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</si>
  <si>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</si>
  <si>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</si>
  <si>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</si>
  <si>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</si>
  <si>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</si>
  <si>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</si>
  <si>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</si>
  <si>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</si>
  <si>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</si>
  <si>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</si>
  <si>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</si>
  <si>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</si>
  <si>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</si>
  <si>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</si>
  <si>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</si>
  <si>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</si>
  <si>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</si>
  <si>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</si>
  <si>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</si>
  <si>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</si>
  <si>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</si>
  <si>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</si>
  <si>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</si>
  <si>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</si>
  <si>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</si>
  <si>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</si>
  <si>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</si>
  <si>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</si>
  <si>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</si>
  <si>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</si>
  <si>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</si>
  <si>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</si>
  <si>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</si>
  <si>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</si>
  <si>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</si>
  <si>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</si>
  <si>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</si>
  <si>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</si>
  <si>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</si>
  <si>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</si>
  <si>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</si>
  <si>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</si>
  <si>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</si>
  <si>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</si>
  <si>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</si>
  <si>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</si>
  <si>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</si>
  <si>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</si>
  <si>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</si>
  <si>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</si>
  <si>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</si>
  <si>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</si>
  <si>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</si>
  <si>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</si>
  <si>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</si>
  <si>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</si>
  <si>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</si>
  <si>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</si>
  <si>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</si>
  <si>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</si>
  <si>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</si>
  <si>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</si>
  <si>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</si>
  <si>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</si>
  <si>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</si>
  <si>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</si>
  <si>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</si>
  <si>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</si>
  <si>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</si>
  <si>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</si>
  <si>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</si>
  <si>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</si>
  <si>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</si>
  <si>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</si>
  <si>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</si>
  <si>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</si>
  <si>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</si>
  <si>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</si>
  <si>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</si>
  <si>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</si>
  <si>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</si>
  <si>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</si>
  <si>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</si>
  <si>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</si>
  <si>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</si>
  <si>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</si>
  <si>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</si>
  <si>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</si>
  <si>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</si>
  <si>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</si>
  <si>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</si>
  <si>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</si>
  <si>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</si>
  <si>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</si>
  <si>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</si>
  <si>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</si>
  <si>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</si>
  <si>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</si>
  <si>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</si>
  <si>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</si>
  <si>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</si>
  <si>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</si>
  <si>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</si>
  <si>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</si>
  <si>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</si>
  <si>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</si>
  <si>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</si>
  <si>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</si>
  <si>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</si>
  <si>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</si>
  <si>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</si>
  <si>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</si>
  <si>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</si>
  <si>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</si>
  <si>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</si>
  <si>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</si>
  <si>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</si>
  <si>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</si>
  <si>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</si>
  <si>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</si>
  <si>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</si>
  <si>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</si>
  <si>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</si>
  <si>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</si>
  <si>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</si>
  <si>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</si>
  <si>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</si>
  <si>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</si>
  <si>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</si>
  <si>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</si>
  <si>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</si>
  <si>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</si>
  <si>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</si>
  <si>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</si>
  <si>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</si>
  <si>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</si>
  <si>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</si>
  <si>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</si>
  <si>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</si>
  <si>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</si>
  <si>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</si>
  <si>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</si>
  <si>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</si>
  <si>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</si>
  <si>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</si>
  <si>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</si>
  <si>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</si>
  <si>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</si>
  <si>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</si>
  <si>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</si>
  <si>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</si>
  <si>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</si>
  <si>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</si>
  <si>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</si>
  <si>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</si>
  <si>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</si>
  <si>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</si>
  <si>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</si>
  <si>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</si>
  <si>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</si>
  <si>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</si>
  <si>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</si>
  <si>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</si>
  <si>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</si>
  <si>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</si>
  <si>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</si>
  <si>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</si>
  <si>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</si>
  <si>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</si>
  <si>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</si>
  <si>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</si>
  <si>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</si>
  <si>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</si>
  <si>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</si>
  <si>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</si>
  <si>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</si>
  <si>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</si>
  <si>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</si>
  <si>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</si>
  <si>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</si>
  <si>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</si>
  <si>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</si>
  <si>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</si>
  <si>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</si>
  <si>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</si>
  <si>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</si>
  <si>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</si>
  <si>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</si>
  <si>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</si>
  <si>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</si>
  <si>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</si>
  <si>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</si>
  <si>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</si>
  <si>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</si>
  <si>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</si>
  <si>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</si>
  <si>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</si>
  <si>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</si>
  <si>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</si>
  <si>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</si>
  <si>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</si>
  <si>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</si>
  <si>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</si>
  <si>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</si>
  <si>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</si>
  <si>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</si>
  <si>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</si>
  <si>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</si>
  <si>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</si>
  <si>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</si>
  <si>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</si>
  <si>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</si>
  <si>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</si>
  <si>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</si>
  <si>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</si>
  <si>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</si>
  <si>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</si>
  <si>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</si>
  <si>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</si>
  <si>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</si>
  <si>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</si>
  <si>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</si>
  <si>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</si>
  <si>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</si>
  <si>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</si>
  <si>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</si>
  <si>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</si>
  <si>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</si>
  <si>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</si>
  <si>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</si>
  <si>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</si>
  <si>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</si>
  <si>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</si>
  <si>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</si>
  <si>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</si>
  <si>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</si>
  <si>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</si>
  <si>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</si>
  <si>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</si>
  <si>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</si>
  <si>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</si>
  <si>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</si>
  <si>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</si>
  <si>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</si>
  <si>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</si>
  <si>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</si>
  <si>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</si>
  <si>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</si>
  <si>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</si>
  <si>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</si>
  <si>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</si>
  <si>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</si>
  <si>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</si>
  <si>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</si>
  <si>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</si>
  <si>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</si>
  <si>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</si>
  <si>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</si>
  <si>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</si>
  <si>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</si>
  <si>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</si>
  <si>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</si>
  <si>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</si>
  <si>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</si>
  <si>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</si>
  <si>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</si>
  <si>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</si>
  <si>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</si>
  <si>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</si>
  <si>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</si>
  <si>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</si>
  <si>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</si>
  <si>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</si>
  <si>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</si>
  <si>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</si>
  <si>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</si>
  <si>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</si>
  <si>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</si>
  <si>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</si>
  <si>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</si>
  <si>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</si>
  <si>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</si>
  <si>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</si>
  <si>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</si>
  <si>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</si>
  <si>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</si>
  <si>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</si>
  <si>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</si>
  <si>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</si>
  <si>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</si>
  <si>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</si>
  <si>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</si>
  <si>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</si>
  <si>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</si>
  <si>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</si>
  <si>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</si>
  <si>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</si>
  <si>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</si>
  <si>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</si>
  <si>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</si>
  <si>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</si>
  <si>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</si>
  <si>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</si>
  <si>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</si>
  <si>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</si>
  <si>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</si>
  <si>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</si>
  <si>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</si>
  <si>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</si>
  <si>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</si>
  <si>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</si>
  <si>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</si>
  <si>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</si>
  <si>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</si>
  <si>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</si>
  <si>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</si>
  <si>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</si>
  <si>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</si>
  <si>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</si>
  <si>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</si>
  <si>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</si>
  <si>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</si>
  <si>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</si>
  <si>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</si>
  <si>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</si>
  <si>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</si>
  <si>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</si>
  <si>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</si>
  <si>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</si>
  <si>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</si>
  <si>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</si>
  <si>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</si>
  <si>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</si>
  <si>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</si>
  <si>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</si>
  <si>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</si>
  <si>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</si>
  <si>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</si>
  <si>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</si>
  <si>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</si>
  <si>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</si>
  <si>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</si>
  <si>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</si>
  <si>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</si>
  <si>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</si>
  <si>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</si>
  <si>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</si>
  <si>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</si>
  <si>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</si>
  <si>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</si>
  <si>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</si>
  <si>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</si>
  <si>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</si>
  <si>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</si>
  <si>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</si>
  <si>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</si>
  <si>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</si>
  <si>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</si>
  <si>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</si>
  <si>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</si>
  <si>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</si>
  <si>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</si>
  <si>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</si>
  <si>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</si>
  <si>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</si>
  <si>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</si>
  <si>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</si>
  <si>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</si>
  <si>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</si>
  <si>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</si>
  <si>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</si>
  <si>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</si>
  <si>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</si>
  <si>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</si>
  <si>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</si>
  <si>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</si>
  <si>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</si>
  <si>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</si>
  <si>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</si>
  <si>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</si>
  <si>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</si>
  <si>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</si>
  <si>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</si>
  <si>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</si>
  <si>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</si>
  <si>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</si>
  <si>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</si>
  <si>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</si>
  <si>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</si>
  <si>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</si>
  <si>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</si>
  <si>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</si>
  <si>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</si>
  <si>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</si>
  <si>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</si>
  <si>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</si>
  <si>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</si>
  <si>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</si>
  <si>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</si>
  <si>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</si>
  <si>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</si>
  <si>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</si>
  <si>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</si>
  <si>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</si>
  <si>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</si>
  <si>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</si>
  <si>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</si>
  <si>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</si>
  <si>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</si>
  <si>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</si>
  <si>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</si>
  <si>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</si>
  <si>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</si>
  <si>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</si>
  <si>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</si>
  <si>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</si>
  <si>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</si>
  <si>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</si>
  <si>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</si>
  <si>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</si>
  <si>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</si>
  <si>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</si>
  <si>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</si>
  <si>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</si>
  <si>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</si>
  <si>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</si>
  <si>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</si>
  <si>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</si>
  <si>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</si>
  <si>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</si>
  <si>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</si>
  <si>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</si>
  <si>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</si>
  <si>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</si>
  <si>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</si>
  <si>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</si>
  <si>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</si>
  <si>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</si>
  <si>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</si>
  <si>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</si>
  <si>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</si>
  <si>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</si>
  <si>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</si>
  <si>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</si>
  <si>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</si>
  <si>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</si>
  <si>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</si>
  <si>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</si>
  <si>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</si>
  <si>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</si>
  <si>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</si>
  <si>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</si>
  <si>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</si>
  <si>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</si>
  <si>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</si>
  <si>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</si>
  <si>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</si>
  <si>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</si>
  <si>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</si>
  <si>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</si>
  <si>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</si>
  <si>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</si>
  <si>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</si>
  <si>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</si>
  <si>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</si>
  <si>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</si>
  <si>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</si>
  <si>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</si>
  <si>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</si>
  <si>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</si>
  <si>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</si>
  <si>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</si>
  <si>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</si>
  <si>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</si>
  <si>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</si>
  <si>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</si>
  <si>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</si>
  <si>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</si>
  <si>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</si>
  <si>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</si>
  <si>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</si>
  <si>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</si>
  <si>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</si>
  <si>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</si>
  <si>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</si>
  <si>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</si>
  <si>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</si>
  <si>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</si>
  <si>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</si>
  <si>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</si>
  <si>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</si>
  <si>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</si>
  <si>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</si>
  <si>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</si>
  <si>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</si>
  <si>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</si>
  <si>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</si>
  <si>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</si>
  <si>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</si>
  <si>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</si>
  <si>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</si>
  <si>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</si>
  <si>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</si>
  <si>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</si>
  <si>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</si>
  <si>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</si>
  <si>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</si>
  <si>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</si>
  <si>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</si>
  <si>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</si>
  <si>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</si>
  <si>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</si>
  <si>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</si>
  <si>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</si>
  <si>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</si>
  <si>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</si>
  <si>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</si>
  <si>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</si>
  <si>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</si>
  <si>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</si>
  <si>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</si>
  <si>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</si>
  <si>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</si>
  <si>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</si>
  <si>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</si>
  <si>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</si>
  <si>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</si>
  <si>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</si>
  <si>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</si>
  <si>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</si>
  <si>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</si>
  <si>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</si>
  <si>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</si>
  <si>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</si>
  <si>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</si>
  <si>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</si>
  <si>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</si>
  <si>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</si>
  <si>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</si>
  <si>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</si>
  <si>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</si>
  <si>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</si>
  <si>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</si>
  <si>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</si>
  <si>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</si>
  <si>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</si>
  <si>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</si>
  <si>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</si>
  <si>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</si>
  <si>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</si>
  <si>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</si>
  <si>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</si>
  <si>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</si>
  <si>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</si>
  <si>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</si>
  <si>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</si>
  <si>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</si>
  <si>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</si>
  <si>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</si>
  <si>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</si>
  <si>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</si>
  <si>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</si>
  <si>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</si>
  <si>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</si>
  <si>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</si>
  <si>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</si>
  <si>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</si>
  <si>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</si>
  <si>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</si>
  <si>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</si>
  <si>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</si>
  <si>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</si>
  <si>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</si>
  <si>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</si>
  <si>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</si>
  <si>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</si>
  <si>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</si>
  <si>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</si>
  <si>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</si>
  <si>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</si>
  <si>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</si>
  <si>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</si>
  <si>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</si>
  <si>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</si>
  <si>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</si>
  <si>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</si>
  <si>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</si>
  <si>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</si>
  <si>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</si>
  <si>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</si>
  <si>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</si>
  <si>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</si>
  <si>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</si>
  <si>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</si>
  <si>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</si>
  <si>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</si>
  <si>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</si>
  <si>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</si>
  <si>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</si>
  <si>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</si>
  <si>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</si>
  <si>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</si>
  <si>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</si>
  <si>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</si>
  <si>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</si>
  <si>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</si>
  <si>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</si>
  <si>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</si>
  <si>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</si>
  <si>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</si>
  <si>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</si>
  <si>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</si>
  <si>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</si>
  <si>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</si>
  <si>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</si>
  <si>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</si>
  <si>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</si>
  <si>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</si>
  <si>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</si>
  <si>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</si>
  <si>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</si>
  <si>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</si>
  <si>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</si>
  <si>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</si>
  <si>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</si>
  <si>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</si>
  <si>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</si>
  <si>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</si>
  <si>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</si>
  <si>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</si>
  <si>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</si>
  <si>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</si>
  <si>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</si>
  <si>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</si>
  <si>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</si>
  <si>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</si>
  <si>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</si>
  <si>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</si>
  <si>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</si>
  <si>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</si>
  <si>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</si>
  <si>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</si>
  <si>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</si>
  <si>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</si>
  <si>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</si>
  <si>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</si>
  <si>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</si>
  <si>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</si>
  <si>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</si>
  <si>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</si>
  <si>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</si>
  <si>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</si>
  <si>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</si>
  <si>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</si>
  <si>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</si>
  <si>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</si>
  <si>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</si>
  <si>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</si>
  <si>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</si>
  <si>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</si>
  <si>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</si>
  <si>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</si>
  <si>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</si>
  <si>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</si>
  <si>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</si>
  <si>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</si>
  <si>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</si>
  <si>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</si>
  <si>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</si>
  <si>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</si>
  <si>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</si>
  <si>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</si>
  <si>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</si>
  <si>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</si>
  <si>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</si>
  <si>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</si>
  <si>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</si>
  <si>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</si>
  <si>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</si>
  <si>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</si>
  <si>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</si>
  <si>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</si>
  <si>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</si>
  <si>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</si>
  <si>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</si>
  <si>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</si>
  <si>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</si>
  <si>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</si>
  <si>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</si>
  <si>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</si>
  <si>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</si>
  <si>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</si>
  <si>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</si>
  <si>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</si>
  <si>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</si>
  <si>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</si>
  <si>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</si>
  <si>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</si>
  <si>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</si>
  <si>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</si>
  <si>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</si>
  <si>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</si>
  <si>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</si>
  <si>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</si>
  <si>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</si>
  <si>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</si>
  <si>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</si>
  <si>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</si>
  <si>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</si>
  <si>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</si>
  <si>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</si>
  <si>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</si>
  <si>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</si>
  <si>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</si>
  <si>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</si>
  <si>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</si>
  <si>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</si>
  <si>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</si>
  <si>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</si>
  <si>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</si>
  <si>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</si>
  <si>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</si>
  <si>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</si>
  <si>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</si>
  <si>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</si>
  <si>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</si>
  <si>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</si>
  <si>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</si>
  <si>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</si>
  <si>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</si>
  <si>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</si>
  <si>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</si>
  <si>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</si>
  <si>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</si>
  <si>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</si>
  <si>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</si>
  <si>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</si>
  <si>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</si>
  <si>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</si>
  <si>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</si>
  <si>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</si>
  <si>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</si>
  <si>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</si>
  <si>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</si>
  <si>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</si>
  <si>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</si>
  <si>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</si>
  <si>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</si>
  <si>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</si>
  <si>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</si>
  <si>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</si>
  <si>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</si>
  <si>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</si>
  <si>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</si>
  <si>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</si>
  <si>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</si>
  <si>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</si>
  <si>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</si>
  <si>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</si>
  <si>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</si>
  <si>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</si>
  <si>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</si>
  <si>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</si>
  <si>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</si>
  <si>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</si>
  <si>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</si>
  <si>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</si>
  <si>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</si>
  <si>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</si>
  <si>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</si>
  <si>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</si>
  <si>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</si>
  <si>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</si>
  <si>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</si>
  <si>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</si>
  <si>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</si>
  <si>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</si>
  <si>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</si>
  <si>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</si>
  <si>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</si>
  <si>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</si>
  <si>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</si>
  <si>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</si>
  <si>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</si>
  <si>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</si>
  <si>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</si>
  <si>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</si>
  <si>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</si>
  <si>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</si>
  <si>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</si>
  <si>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</si>
  <si>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</si>
  <si>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</si>
  <si>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</si>
  <si>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</si>
  <si>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</si>
  <si>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</si>
  <si>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</si>
  <si>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</si>
  <si>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</si>
  <si>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</si>
  <si>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</si>
  <si>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</si>
  <si>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</si>
  <si>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</si>
  <si>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</si>
  <si>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</si>
  <si>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</si>
  <si>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</si>
  <si>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</si>
  <si>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</si>
  <si>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</si>
  <si>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</si>
  <si>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</si>
  <si>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</si>
  <si>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</si>
  <si>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</si>
  <si>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</si>
  <si>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</si>
  <si>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</si>
  <si>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</si>
  <si>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</si>
  <si>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</si>
  <si>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</si>
  <si>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</si>
  <si>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</si>
  <si>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</si>
  <si>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</si>
  <si>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</si>
  <si>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</si>
  <si>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</si>
  <si>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</si>
  <si>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</si>
  <si>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</si>
  <si>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</si>
  <si>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</si>
  <si>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</si>
  <si>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</si>
  <si>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</si>
  <si>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</si>
  <si>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</si>
  <si>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</si>
  <si>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</si>
  <si>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</si>
  <si>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</si>
  <si>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</si>
  <si>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</si>
  <si>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</si>
  <si>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</si>
  <si>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</si>
  <si>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</si>
  <si>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</si>
  <si>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</si>
  <si>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</si>
  <si>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</si>
  <si>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</si>
  <si>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</si>
  <si>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</si>
  <si>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</si>
  <si>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</si>
  <si>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</si>
  <si>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</si>
  <si>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</si>
  <si>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</si>
  <si>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</si>
  <si>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</si>
  <si>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</si>
  <si>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</si>
  <si>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</si>
  <si>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</si>
  <si>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</si>
  <si>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</si>
  <si>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</si>
  <si>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</si>
  <si>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</si>
  <si>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</si>
  <si>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</si>
  <si>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</si>
  <si>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</si>
  <si>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</si>
  <si>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</si>
  <si>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</si>
  <si>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</si>
  <si>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</si>
  <si>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</si>
  <si>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</si>
  <si>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</si>
  <si>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</si>
  <si>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</si>
  <si>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</si>
  <si>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</si>
  <si>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</si>
  <si>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</si>
  <si>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</si>
  <si>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</si>
  <si>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</si>
  <si>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</si>
  <si>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</si>
  <si>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</si>
  <si>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</si>
  <si>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</si>
  <si>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</si>
  <si>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</si>
  <si>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</si>
  <si>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</si>
  <si>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</si>
  <si>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</si>
  <si>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</si>
  <si>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</si>
  <si>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</si>
  <si>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</si>
  <si>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</si>
  <si>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</si>
  <si>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</si>
  <si>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</si>
  <si>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</si>
  <si>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</si>
  <si>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</si>
  <si>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</si>
  <si>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</si>
  <si>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</si>
  <si>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</si>
  <si>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</si>
  <si>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</si>
  <si>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</si>
  <si>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</si>
  <si>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</si>
  <si>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</si>
  <si>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</si>
  <si>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</si>
  <si>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</si>
  <si>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</si>
  <si>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</si>
  <si>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</si>
  <si>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</si>
  <si>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</si>
  <si>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</si>
  <si>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</si>
  <si>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</si>
  <si>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</si>
  <si>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</si>
  <si>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</si>
  <si>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</si>
  <si>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</si>
  <si>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</si>
  <si>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</si>
  <si>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</si>
  <si>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</si>
  <si>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</si>
  <si>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</si>
  <si>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</si>
  <si>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</si>
  <si>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</si>
  <si>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</si>
  <si>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</si>
  <si>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</si>
  <si>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</si>
  <si>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</si>
  <si>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</si>
  <si>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</si>
  <si>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</si>
  <si>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</si>
  <si>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</si>
  <si>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</si>
  <si>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</si>
  <si>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</si>
  <si>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</si>
  <si>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</si>
  <si>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</si>
  <si>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</si>
  <si>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</si>
  <si>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</si>
  <si>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</si>
  <si>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</si>
  <si>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</si>
  <si>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</si>
  <si>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</si>
  <si>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</si>
  <si>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</si>
  <si>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</si>
  <si>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</si>
  <si>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</si>
  <si>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</si>
  <si>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</si>
  <si>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</si>
  <si>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</si>
  <si>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</si>
  <si>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</si>
  <si>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</si>
  <si>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</si>
  <si>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</si>
  <si>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</si>
  <si>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</si>
  <si>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</si>
  <si>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</si>
  <si>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</si>
  <si>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</si>
  <si>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</si>
  <si>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</si>
  <si>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</si>
  <si>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</si>
  <si>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</si>
  <si>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</si>
  <si>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</si>
  <si>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</si>
  <si>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</si>
  <si>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</si>
  <si>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</si>
  <si>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</si>
  <si>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</si>
  <si>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</si>
  <si>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</si>
  <si>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</si>
  <si>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</si>
  <si>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</si>
  <si>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</si>
  <si>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</si>
  <si>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</si>
  <si>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</si>
  <si>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</si>
  <si>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</si>
  <si>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</si>
  <si>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</si>
  <si>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</si>
  <si>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</si>
  <si>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</si>
  <si>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</si>
  <si>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</si>
  <si>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</si>
  <si>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</si>
  <si>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</si>
  <si>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</si>
  <si>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</si>
  <si>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</si>
  <si>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</si>
  <si>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</si>
  <si>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</si>
  <si>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</si>
  <si>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</si>
  <si>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</si>
  <si>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</si>
  <si>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</si>
  <si>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</si>
  <si>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</si>
  <si>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</si>
  <si>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</si>
  <si>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</si>
  <si>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</si>
  <si>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</si>
  <si>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</si>
  <si>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</si>
  <si>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</si>
  <si>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</si>
  <si>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</si>
  <si>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</si>
  <si>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</si>
  <si>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</si>
  <si>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</si>
  <si>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</si>
  <si>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</si>
  <si>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</si>
  <si>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</si>
  <si>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</si>
  <si>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</si>
  <si>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</si>
  <si>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</si>
  <si>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</si>
  <si>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</si>
  <si>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</si>
  <si>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</si>
  <si>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</si>
  <si>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</si>
  <si>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</si>
  <si>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</si>
  <si>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</si>
  <si>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</si>
  <si>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</si>
  <si>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</si>
  <si>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</si>
  <si>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</si>
  <si>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</si>
  <si>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</si>
  <si>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</si>
  <si>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</si>
  <si>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</si>
  <si>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</si>
  <si>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</si>
  <si>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</si>
  <si>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</si>
  <si>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</si>
  <si>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</si>
  <si>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</si>
  <si>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</si>
  <si>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</si>
  <si>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</si>
  <si>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</si>
  <si>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</si>
  <si>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</si>
  <si>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</si>
  <si>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</si>
  <si>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</si>
  <si>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</si>
  <si>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</si>
  <si>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</si>
  <si>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</si>
  <si>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</si>
  <si>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</si>
  <si>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</si>
  <si>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</si>
  <si>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</si>
  <si>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</si>
  <si>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</si>
  <si>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</si>
  <si>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</si>
  <si>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</si>
  <si>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</si>
  <si>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</si>
  <si>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</si>
  <si>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</si>
  <si>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</si>
  <si>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</si>
  <si>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</si>
  <si>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</si>
  <si>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</si>
  <si>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</si>
  <si>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</si>
  <si>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</si>
  <si>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</si>
  <si>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</si>
  <si>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</si>
  <si>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</si>
  <si>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</si>
  <si>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</si>
  <si>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</si>
  <si>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</si>
  <si>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</si>
  <si>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</si>
  <si>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</si>
  <si>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</si>
  <si>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</si>
  <si>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</si>
  <si>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</si>
  <si>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</si>
  <si>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</si>
  <si>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</si>
  <si>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</si>
  <si>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</si>
  <si>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</si>
  <si>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</si>
  <si>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</si>
  <si>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</si>
  <si>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</si>
  <si>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</si>
  <si>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</si>
  <si>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</si>
  <si>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</si>
  <si>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</si>
  <si>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</si>
  <si>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</si>
  <si>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</si>
  <si>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</si>
  <si>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</si>
  <si>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</si>
  <si>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</si>
  <si>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</si>
  <si>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</si>
  <si>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</si>
  <si>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</si>
  <si>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</si>
  <si>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</si>
  <si>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</si>
  <si>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</si>
  <si>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</si>
  <si>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</si>
  <si>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</si>
  <si>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</si>
  <si>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</si>
  <si>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</si>
  <si>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</si>
  <si>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</si>
  <si>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</si>
  <si>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</si>
  <si>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</si>
  <si>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</si>
  <si>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</si>
  <si>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</si>
  <si>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</si>
  <si>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</si>
  <si>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</si>
  <si>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</si>
  <si>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</si>
  <si>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</si>
  <si>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</si>
  <si>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</si>
  <si>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</si>
  <si>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</si>
  <si>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</si>
  <si>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</si>
  <si>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</si>
  <si>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</si>
  <si>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</si>
  <si>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</si>
  <si>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</si>
  <si>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</si>
  <si>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</si>
  <si>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</si>
  <si>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</si>
  <si>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</si>
  <si>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</si>
  <si>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</si>
  <si>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</si>
  <si>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</si>
  <si>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</si>
  <si>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</si>
  <si>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</si>
  <si>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</si>
  <si>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</si>
  <si>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</si>
  <si>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</si>
  <si>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</si>
  <si>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</si>
  <si>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</si>
  <si>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</si>
  <si>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</si>
  <si>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</si>
  <si>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</si>
  <si>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</si>
  <si>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</si>
  <si>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</si>
  <si>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</si>
  <si>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</si>
  <si>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</si>
  <si>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</si>
  <si>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</si>
  <si>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</si>
  <si>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</si>
  <si>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</si>
  <si>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</si>
  <si>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</si>
  <si>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</si>
  <si>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</si>
  <si>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</si>
  <si>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</si>
  <si>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</si>
  <si>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</si>
  <si>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</si>
  <si>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</si>
  <si>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</si>
  <si>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</si>
  <si>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</si>
  <si>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</si>
  <si>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</si>
  <si>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</si>
  <si>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</si>
  <si>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</si>
  <si>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</si>
  <si>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</si>
  <si>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</si>
  <si>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</si>
  <si>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</si>
  <si>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</si>
  <si>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</si>
  <si>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</si>
  <si>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</si>
  <si>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</si>
  <si>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</si>
  <si>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</si>
  <si>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</si>
  <si>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</si>
  <si>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</si>
  <si>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</si>
  <si>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</si>
  <si>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</si>
  <si>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</si>
  <si>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</si>
  <si>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</si>
  <si>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</si>
  <si>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</si>
  <si>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</si>
  <si>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</si>
  <si>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</si>
  <si>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</si>
  <si>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</si>
  <si>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</si>
  <si>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</si>
  <si>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</si>
  <si>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</si>
  <si>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</si>
  <si>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</si>
  <si>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</si>
  <si>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</si>
  <si>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</si>
  <si>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</si>
  <si>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</si>
  <si>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</si>
  <si>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</si>
  <si>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</si>
  <si>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</si>
  <si>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</si>
  <si>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</si>
  <si>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</si>
  <si>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</si>
  <si>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</si>
  <si>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</si>
  <si>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</si>
  <si>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</si>
  <si>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</si>
  <si>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</si>
  <si>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</si>
  <si>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</si>
  <si>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</si>
  <si>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</si>
  <si>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</si>
  <si>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</si>
  <si>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</si>
  <si>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</si>
  <si>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</si>
  <si>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</si>
  <si>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</si>
  <si>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</si>
  <si>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</si>
  <si>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</si>
  <si>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</si>
  <si>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</si>
  <si>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</si>
  <si>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</si>
  <si>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</si>
  <si>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</si>
  <si>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</si>
  <si>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</si>
  <si>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</si>
  <si>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</si>
  <si>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</si>
  <si>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</si>
  <si>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</si>
  <si>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</si>
  <si>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</si>
  <si>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</si>
  <si>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</si>
  <si>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</si>
  <si>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</si>
  <si>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</si>
  <si>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</si>
  <si>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</si>
  <si>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</si>
  <si>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</si>
  <si>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</si>
  <si>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</si>
  <si>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</si>
  <si>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</si>
  <si>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</si>
  <si>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</si>
  <si>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</si>
  <si>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</si>
  <si>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</si>
  <si>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</si>
  <si>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</si>
  <si>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</si>
  <si>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</si>
  <si>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</si>
  <si>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</si>
  <si>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</si>
  <si>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</si>
  <si>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</si>
  <si>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</si>
  <si>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</si>
  <si>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</si>
  <si>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</si>
  <si>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</si>
  <si>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</si>
  <si>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</si>
  <si>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</si>
  <si>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</si>
  <si>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</si>
  <si>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</si>
  <si>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</si>
  <si>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</si>
  <si>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</si>
  <si>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</si>
  <si>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</si>
  <si>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</si>
  <si>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</si>
  <si>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</si>
  <si>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</si>
  <si>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</si>
  <si>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</si>
  <si>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</si>
  <si>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</si>
  <si>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</si>
  <si>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</si>
  <si>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</si>
  <si>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</si>
  <si>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</si>
  <si>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</si>
  <si>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</si>
  <si>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</si>
  <si>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</si>
  <si>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</si>
  <si>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</si>
  <si>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</si>
  <si>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</si>
  <si>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</si>
  <si>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</si>
  <si>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</si>
  <si>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</si>
  <si>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</si>
  <si>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</si>
  <si>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</si>
  <si>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</si>
  <si>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</si>
  <si>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</si>
  <si>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</si>
  <si>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</si>
  <si>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</si>
  <si>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</si>
  <si>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</si>
  <si>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</si>
  <si>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</si>
  <si>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</si>
  <si>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</si>
  <si>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</si>
  <si>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</si>
  <si>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</si>
  <si>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</si>
  <si>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</si>
  <si>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</si>
  <si>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</si>
  <si>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</si>
  <si>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</si>
  <si>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</si>
  <si>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</si>
  <si>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</si>
  <si>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</si>
  <si>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</si>
  <si>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</si>
  <si>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</si>
  <si>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</si>
  <si>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</si>
  <si>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</si>
  <si>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</si>
  <si>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</si>
  <si>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</si>
  <si>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</si>
  <si>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</si>
  <si>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</si>
  <si>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</si>
  <si>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</si>
  <si>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</si>
  <si>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</si>
  <si>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</si>
  <si>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</si>
  <si>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</si>
  <si>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</si>
  <si>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</si>
  <si>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</si>
  <si>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</si>
  <si>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</si>
  <si>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</si>
  <si>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</si>
  <si>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</si>
  <si>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</si>
  <si>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</si>
  <si>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</si>
  <si>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</si>
  <si>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</si>
  <si>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</si>
  <si>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</si>
  <si>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</si>
  <si>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</si>
  <si>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</si>
  <si>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</si>
  <si>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</si>
  <si>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</si>
  <si>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</si>
  <si>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</si>
  <si>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</si>
  <si>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</si>
  <si>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</si>
  <si>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</si>
  <si>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</si>
  <si>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</si>
  <si>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</si>
  <si>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</si>
  <si>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</si>
  <si>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</si>
  <si>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</si>
  <si>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</si>
  <si>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</si>
  <si>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</si>
  <si>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</si>
  <si>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</si>
  <si>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</si>
  <si>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</si>
  <si>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</si>
  <si>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</si>
  <si>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</si>
  <si>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</si>
  <si>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</si>
  <si>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</si>
  <si>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</si>
  <si>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</si>
  <si>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</si>
  <si>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</si>
  <si>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</si>
  <si>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</si>
  <si>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</si>
  <si>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</si>
  <si>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</si>
  <si>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</si>
  <si>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</si>
  <si>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</si>
  <si>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</si>
  <si>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</si>
  <si>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</si>
  <si>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</si>
  <si>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</si>
  <si>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</si>
  <si>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</si>
  <si>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</si>
  <si>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</si>
  <si>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</si>
  <si>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</si>
  <si>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</si>
  <si>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</si>
  <si>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</si>
  <si>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</si>
  <si>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</si>
  <si>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</si>
  <si>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</si>
  <si>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</si>
  <si>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</si>
  <si>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</si>
  <si>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</si>
  <si>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</si>
  <si>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</si>
  <si>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</si>
  <si>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</si>
  <si>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</si>
  <si>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</si>
  <si>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</si>
  <si>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</si>
  <si>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</si>
  <si>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</si>
  <si>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</si>
  <si>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</si>
  <si>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</si>
  <si>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</si>
  <si>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</si>
  <si>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</si>
  <si>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</si>
  <si>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</si>
  <si>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</si>
  <si>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</si>
  <si>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</si>
  <si>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</si>
  <si>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</si>
  <si>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</si>
  <si>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</si>
  <si>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</si>
  <si>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</si>
  <si>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</si>
  <si>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</si>
  <si>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</si>
  <si>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</si>
  <si>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</si>
  <si>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</si>
  <si>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</si>
  <si>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</si>
  <si>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</si>
  <si>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</si>
  <si>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</si>
  <si>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</si>
  <si>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</si>
  <si>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</si>
  <si>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</si>
  <si>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</si>
  <si>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</si>
  <si>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</si>
  <si>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</si>
  <si>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</si>
  <si>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</si>
  <si>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</si>
  <si>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</si>
  <si>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</si>
  <si>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</si>
  <si>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</si>
  <si>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</si>
  <si>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</si>
  <si>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</si>
  <si>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</si>
  <si>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</si>
  <si>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</si>
  <si>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</si>
  <si>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</si>
  <si>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</si>
  <si>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</si>
  <si>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</si>
  <si>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</si>
  <si>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</si>
  <si>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</si>
  <si>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</si>
  <si>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</si>
  <si>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</si>
  <si>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</si>
  <si>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</si>
  <si>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</si>
  <si>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</si>
  <si>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</si>
  <si>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</si>
  <si>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</si>
  <si>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</si>
  <si>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</si>
  <si>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</si>
  <si>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</si>
  <si>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</si>
  <si>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</si>
  <si>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</si>
  <si>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</si>
  <si>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</si>
  <si>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</si>
  <si>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</si>
  <si>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</si>
  <si>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</si>
  <si>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</si>
  <si>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</si>
  <si>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</si>
  <si>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</si>
  <si>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</si>
  <si>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</si>
  <si>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</si>
  <si>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</si>
  <si>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</si>
  <si>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</si>
  <si>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</si>
  <si>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</si>
  <si>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</si>
  <si>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</si>
  <si>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</si>
  <si>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</si>
  <si>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</si>
  <si>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</si>
  <si>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</si>
  <si>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</si>
  <si>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</si>
  <si>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</si>
  <si>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</si>
  <si>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</si>
  <si>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</si>
  <si>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</si>
  <si>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</si>
  <si>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</si>
  <si>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</si>
  <si>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</si>
  <si>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</si>
  <si>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</si>
  <si>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</si>
  <si>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</si>
  <si>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</si>
  <si>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</si>
  <si>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</si>
  <si>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</si>
  <si>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</si>
  <si>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</si>
  <si>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</si>
  <si>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</si>
  <si>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</si>
  <si>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</si>
  <si>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</si>
  <si>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</si>
  <si>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</si>
  <si>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</si>
  <si>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</si>
  <si>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</si>
  <si>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</si>
  <si>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</si>
  <si>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</si>
  <si>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</si>
  <si>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</si>
  <si>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</si>
  <si>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</si>
  <si>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</si>
  <si>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</si>
  <si>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</si>
  <si>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</si>
  <si>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</si>
  <si>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</si>
  <si>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</si>
  <si>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</si>
  <si>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</si>
  <si>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</si>
  <si>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</si>
  <si>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</si>
  <si>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</si>
  <si>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</si>
  <si>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</si>
  <si>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</si>
  <si>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</si>
  <si>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</si>
  <si>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</si>
  <si>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</si>
  <si>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</si>
  <si>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</si>
  <si>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</si>
  <si>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</si>
  <si>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</si>
  <si>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</si>
  <si>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</si>
  <si>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</si>
  <si>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</si>
  <si>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</si>
  <si>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</si>
  <si>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</si>
  <si>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</si>
  <si>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</si>
  <si>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</si>
  <si>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</si>
  <si>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</si>
  <si>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</si>
  <si>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</si>
  <si>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</si>
  <si>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</si>
  <si>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</si>
  <si>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</si>
  <si>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</si>
  <si>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</si>
  <si>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</si>
  <si>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</si>
  <si>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</si>
  <si>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</si>
  <si>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</si>
  <si>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</si>
  <si>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</si>
  <si>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</si>
  <si>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</si>
  <si>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</si>
  <si>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</si>
  <si>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</si>
  <si>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</si>
  <si>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</si>
  <si>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</si>
  <si>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</si>
  <si>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</si>
  <si>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</si>
  <si>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</si>
  <si>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</si>
  <si>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</si>
  <si>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</si>
  <si>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</si>
  <si>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</si>
  <si>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</si>
  <si>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</si>
  <si>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</si>
  <si>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</si>
  <si>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</si>
  <si>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</si>
  <si>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</si>
  <si>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</si>
  <si>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</si>
  <si>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</si>
  <si>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</si>
  <si>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</si>
  <si>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</si>
  <si>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</si>
  <si>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</si>
  <si>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</si>
  <si>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</si>
  <si>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</si>
  <si>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</si>
  <si>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</si>
  <si>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</si>
  <si>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</si>
  <si>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</si>
  <si>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</si>
  <si>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</si>
  <si>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</si>
  <si>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</si>
  <si>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</si>
  <si>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</si>
  <si>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</si>
  <si>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</si>
  <si>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</si>
  <si>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</si>
  <si>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</si>
  <si>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</si>
  <si>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</si>
  <si>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</si>
  <si>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</si>
  <si>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</si>
  <si>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</si>
  <si>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</si>
  <si>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</si>
  <si>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</si>
  <si>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</si>
  <si>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</si>
  <si>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</si>
  <si>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</si>
  <si>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</si>
  <si>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</si>
  <si>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</si>
  <si>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</si>
  <si>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</si>
  <si>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</si>
  <si>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</si>
  <si>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</si>
  <si>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</si>
  <si>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</si>
  <si>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</si>
  <si>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</si>
  <si>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</si>
  <si>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</si>
  <si>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</si>
  <si>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</si>
  <si>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</si>
  <si>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</si>
  <si>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</si>
  <si>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</si>
  <si>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</si>
  <si>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</si>
  <si>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</si>
  <si>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</si>
  <si>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</si>
  <si>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</si>
  <si>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</si>
  <si>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</si>
  <si>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</si>
  <si>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</si>
  <si>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</si>
  <si>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</si>
  <si>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</si>
  <si>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</si>
  <si>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</si>
  <si>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</si>
  <si>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</si>
  <si>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</si>
  <si>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</si>
  <si>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</si>
  <si>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</si>
  <si>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</si>
  <si>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</si>
  <si>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</si>
  <si>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</si>
  <si>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</si>
  <si>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</si>
  <si>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</si>
  <si>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</si>
  <si>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</si>
  <si>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</si>
  <si>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</si>
  <si>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</si>
  <si>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</si>
  <si>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</si>
  <si>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</si>
  <si>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</si>
  <si>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</si>
  <si>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</si>
  <si>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</si>
  <si>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</si>
  <si>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</si>
  <si>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</si>
  <si>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</si>
  <si>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</si>
  <si>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</si>
  <si>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</si>
  <si>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</si>
  <si>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</si>
  <si>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</si>
  <si>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</si>
  <si>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</si>
  <si>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</si>
  <si>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</si>
  <si>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</si>
  <si>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</si>
  <si>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</si>
  <si>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</si>
  <si>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</si>
  <si>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</si>
  <si>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</si>
  <si>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</si>
  <si>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</si>
  <si>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</si>
  <si>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</si>
  <si>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</si>
  <si>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</si>
  <si>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</si>
  <si>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</si>
  <si>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</si>
  <si>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</si>
  <si>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</si>
  <si>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</si>
  <si>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</si>
  <si>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</si>
  <si>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</si>
  <si>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</si>
  <si>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</si>
  <si>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</si>
  <si>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</si>
  <si>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</si>
  <si>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</si>
  <si>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</si>
  <si>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</si>
  <si>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</si>
  <si>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</si>
  <si>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</si>
  <si>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</si>
  <si>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</si>
  <si>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</si>
  <si>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</si>
  <si>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</si>
  <si>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</si>
  <si>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</si>
  <si>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</si>
  <si>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</si>
  <si>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</si>
  <si>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</si>
  <si>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</si>
  <si>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</si>
  <si>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</si>
  <si>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</si>
  <si>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</si>
  <si>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</si>
  <si>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</si>
  <si>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</si>
  <si>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</si>
  <si>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</si>
  <si>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</si>
  <si>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</si>
  <si>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</si>
  <si>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</si>
  <si>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</si>
  <si>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</si>
  <si>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</si>
  <si>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</si>
  <si>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</si>
  <si>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</si>
  <si>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</si>
  <si>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</si>
  <si>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</si>
  <si>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</si>
  <si>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</si>
  <si>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</si>
  <si>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</si>
  <si>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</si>
  <si>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</si>
  <si>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</si>
  <si>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</si>
  <si>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</si>
  <si>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</si>
  <si>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</si>
  <si>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</si>
  <si>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</si>
  <si>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</si>
  <si>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</si>
  <si>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</si>
  <si>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</si>
  <si>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</si>
  <si>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</si>
  <si>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</si>
  <si>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</si>
  <si>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</si>
  <si>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</si>
  <si>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</si>
  <si>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</si>
  <si>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</si>
  <si>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</si>
  <si>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</si>
  <si>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</si>
  <si>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</si>
  <si>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</si>
  <si>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</si>
  <si>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</si>
  <si>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</si>
  <si>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</si>
  <si>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</si>
  <si>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</si>
  <si>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</si>
  <si>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</si>
  <si>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</si>
  <si>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</si>
  <si>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</si>
  <si>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</si>
  <si>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</si>
  <si>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</si>
  <si>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</si>
  <si>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</si>
  <si>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</si>
  <si>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</si>
  <si>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</si>
  <si>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</si>
  <si>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</si>
  <si>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</si>
  <si>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</si>
  <si>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</si>
  <si>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</si>
  <si>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</si>
  <si>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</si>
  <si>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</si>
  <si>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</si>
  <si>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</si>
  <si>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</si>
  <si>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</si>
  <si>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</si>
  <si>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</si>
  <si>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</si>
  <si>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</si>
  <si>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</si>
  <si>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</si>
  <si>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</si>
  <si>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</si>
  <si>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</si>
  <si>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</si>
  <si>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</si>
  <si>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</si>
  <si>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</si>
  <si>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</si>
  <si>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</si>
  <si>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</si>
  <si>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</si>
  <si>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</si>
  <si>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</si>
  <si>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</si>
  <si>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</si>
  <si>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</si>
  <si>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</si>
  <si>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</si>
  <si>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</si>
  <si>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</si>
  <si>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</si>
  <si>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</si>
  <si>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</si>
  <si>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</si>
  <si>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</si>
  <si>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</si>
  <si>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</si>
  <si>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</si>
  <si>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</si>
  <si>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</si>
  <si>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</si>
  <si>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</si>
  <si>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</si>
  <si>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</si>
  <si>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</si>
  <si>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</si>
  <si>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</si>
  <si>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</si>
  <si>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</si>
  <si>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</si>
  <si>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</si>
  <si>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</si>
  <si>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</si>
  <si>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</si>
  <si>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</si>
  <si>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</si>
  <si>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</si>
  <si>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</si>
  <si>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</si>
  <si>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</si>
  <si>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</si>
  <si>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</si>
  <si>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</si>
  <si>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</si>
  <si>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</si>
  <si>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</si>
  <si>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</si>
  <si>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</si>
  <si>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</si>
  <si>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</si>
  <si>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</si>
  <si>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</si>
  <si>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</si>
  <si>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</si>
  <si>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</si>
  <si>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</si>
  <si>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</si>
  <si>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</si>
  <si>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</si>
  <si>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</si>
  <si>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</si>
  <si>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</si>
  <si>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</si>
  <si>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</si>
  <si>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</si>
  <si>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</si>
  <si>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</si>
  <si>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</si>
  <si>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</si>
  <si>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</si>
  <si>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</si>
  <si>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</si>
  <si>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</si>
  <si>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</si>
  <si>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</si>
  <si>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</si>
  <si>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</si>
  <si>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</si>
  <si>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</si>
  <si>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</si>
  <si>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</si>
  <si>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</si>
  <si>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</si>
  <si>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</si>
  <si>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</si>
  <si>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</si>
  <si>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</si>
  <si>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</si>
  <si>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</si>
  <si>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</si>
  <si>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</si>
  <si>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</si>
  <si>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</si>
  <si>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</si>
  <si>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</si>
  <si>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</si>
  <si>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</si>
  <si>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</si>
  <si>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</si>
  <si>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</si>
  <si>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</si>
  <si>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</si>
  <si>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</si>
  <si>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</si>
  <si>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</si>
  <si>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</si>
  <si>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</si>
  <si>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</si>
  <si>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</si>
  <si>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</si>
  <si>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</si>
  <si>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</si>
  <si>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</si>
  <si>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</si>
  <si>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</si>
  <si>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</si>
  <si>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</si>
  <si>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</si>
  <si>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</si>
  <si>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</si>
  <si>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</si>
  <si>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</si>
  <si>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</si>
  <si>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</si>
  <si>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</si>
  <si>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</si>
  <si>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</si>
  <si>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</si>
  <si>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</si>
  <si>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</si>
  <si>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</si>
  <si>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</si>
  <si>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</si>
  <si>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</si>
  <si>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</si>
  <si>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</si>
  <si>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</si>
  <si>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</si>
  <si>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</si>
  <si>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</si>
  <si>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</si>
  <si>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</si>
  <si>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</si>
  <si>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</si>
  <si>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</si>
  <si>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</si>
  <si>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</si>
  <si>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</si>
  <si>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</si>
  <si>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</si>
  <si>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</si>
  <si>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</si>
  <si>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</si>
  <si>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</si>
  <si>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</si>
  <si>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</si>
  <si>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</si>
  <si>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</si>
  <si>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</si>
  <si>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</si>
  <si>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</si>
  <si>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</si>
  <si>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</si>
  <si>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</si>
  <si>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</si>
  <si>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</si>
  <si>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</si>
  <si>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</si>
  <si>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</si>
  <si>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</si>
  <si>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</si>
  <si>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</si>
  <si>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</si>
  <si>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</si>
  <si>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</si>
  <si>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</si>
  <si>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</si>
  <si>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</si>
  <si>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</si>
  <si>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</si>
  <si>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</si>
  <si>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</si>
  <si>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</si>
  <si>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</si>
  <si>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</si>
  <si>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</si>
  <si>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</si>
  <si>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</si>
  <si>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</si>
  <si>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</si>
  <si>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</si>
  <si>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</si>
  <si>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</si>
  <si>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</si>
  <si>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</si>
  <si>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</si>
  <si>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</si>
  <si>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</si>
  <si>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</si>
  <si>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</si>
  <si>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</si>
  <si>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</si>
  <si>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</si>
  <si>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</si>
  <si>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</si>
  <si>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</si>
  <si>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</si>
  <si>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</si>
  <si>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</si>
  <si>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</si>
  <si>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</si>
  <si>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</si>
  <si>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</si>
  <si>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</si>
  <si>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</si>
  <si>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</si>
  <si>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</si>
  <si>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</si>
  <si>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</si>
  <si>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</si>
  <si>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</si>
  <si>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</si>
  <si>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</si>
  <si>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</si>
  <si>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</si>
  <si>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</si>
  <si>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</si>
  <si>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</si>
  <si>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</si>
  <si>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</si>
  <si>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</si>
  <si>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</si>
  <si>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</si>
  <si>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</si>
  <si>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</si>
  <si>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</si>
  <si>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</si>
  <si>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</si>
  <si>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</si>
  <si>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</si>
  <si>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</si>
  <si>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</si>
  <si>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</si>
  <si>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</si>
  <si>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</si>
  <si>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</si>
  <si>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</si>
  <si>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</si>
  <si>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</si>
  <si>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</si>
  <si>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</si>
  <si>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</si>
  <si>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</si>
  <si>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</si>
  <si>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</si>
  <si>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</si>
  <si>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</si>
  <si>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</si>
  <si>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</si>
  <si>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</si>
  <si>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</si>
  <si>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</si>
  <si>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</si>
  <si>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</si>
  <si>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</si>
  <si>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</si>
  <si>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</si>
  <si>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</si>
  <si>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</si>
  <si>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</si>
  <si>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</si>
  <si>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</si>
  <si>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</si>
  <si>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</si>
  <si>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</si>
  <si>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</si>
  <si>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</si>
  <si>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</si>
  <si>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</si>
  <si>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</si>
  <si>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</si>
  <si>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</si>
  <si>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</si>
  <si>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</si>
  <si>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</si>
  <si>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</si>
  <si>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</si>
  <si>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</si>
  <si>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</si>
  <si>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</si>
  <si>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</si>
  <si>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</si>
  <si>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</si>
  <si>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</si>
  <si>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</si>
  <si>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</si>
  <si>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</si>
  <si>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</si>
  <si>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</si>
  <si>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</si>
  <si>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</si>
  <si>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</si>
  <si>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</si>
  <si>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</si>
  <si>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</si>
  <si>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</si>
  <si>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</si>
  <si>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</si>
  <si>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</si>
  <si>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</si>
  <si>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</si>
  <si>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</si>
  <si>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</si>
  <si>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</si>
  <si>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</si>
  <si>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</si>
  <si>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</si>
  <si>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</si>
  <si>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</si>
  <si>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</si>
  <si>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</si>
  <si>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</si>
  <si>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</si>
  <si>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</si>
  <si>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</si>
  <si>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</si>
  <si>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</si>
  <si>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</si>
  <si>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</si>
  <si>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</si>
  <si>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</si>
  <si>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</si>
  <si>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</si>
  <si>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</si>
  <si>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</si>
  <si>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</si>
  <si>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</si>
  <si>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</si>
  <si>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</si>
  <si>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</si>
  <si>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</si>
  <si>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</si>
  <si>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</si>
  <si>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</si>
  <si>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</si>
  <si>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</si>
  <si>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</si>
  <si>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</si>
  <si>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</si>
  <si>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</si>
  <si>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</si>
  <si>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</si>
  <si>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</si>
  <si>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</si>
  <si>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</si>
  <si>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</si>
  <si>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</si>
  <si>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</si>
  <si>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</si>
  <si>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</si>
  <si>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</si>
  <si>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</si>
  <si>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</si>
  <si>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</si>
  <si>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</si>
  <si>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</si>
  <si>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</si>
  <si>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</si>
  <si>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</si>
  <si>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</si>
  <si>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</si>
  <si>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</si>
  <si>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</si>
  <si>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</si>
  <si>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</si>
  <si>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</si>
  <si>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</si>
  <si>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</si>
  <si>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</si>
  <si>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</si>
  <si>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</si>
  <si>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</si>
  <si>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</si>
  <si>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</si>
  <si>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</si>
  <si>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</si>
  <si>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</si>
  <si>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</si>
  <si>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</si>
  <si>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</si>
  <si>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</si>
  <si>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</si>
  <si>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</si>
  <si>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</si>
  <si>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</si>
  <si>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</si>
  <si>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</si>
  <si>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</si>
  <si>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</si>
  <si>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</si>
  <si>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</si>
  <si>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</si>
  <si>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</si>
  <si>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</si>
  <si>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</si>
  <si>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</si>
  <si>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</si>
  <si>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</si>
  <si>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</si>
  <si>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</si>
  <si>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</si>
  <si>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</si>
  <si>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</si>
  <si>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</si>
  <si>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</si>
  <si>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</si>
  <si>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</si>
  <si>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</si>
  <si>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</si>
  <si>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</si>
  <si>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</si>
  <si>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</si>
  <si>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</si>
  <si>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</si>
  <si>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</si>
  <si>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</si>
  <si>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</si>
  <si>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</si>
  <si>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</si>
  <si>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</si>
  <si>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</si>
  <si>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</si>
  <si>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</si>
  <si>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</si>
  <si>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</si>
  <si>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</si>
  <si>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</si>
  <si>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</si>
  <si>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</si>
  <si>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</si>
  <si>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</si>
  <si>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</si>
  <si>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</si>
  <si>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</si>
  <si>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</si>
  <si>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</si>
  <si>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</si>
  <si>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</si>
  <si>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</si>
  <si>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</si>
  <si>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</si>
  <si>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</si>
  <si>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</si>
  <si>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</si>
  <si>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</si>
  <si>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</si>
  <si>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</si>
  <si>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</si>
  <si>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</si>
  <si>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</si>
  <si>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</si>
  <si>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</si>
  <si>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</si>
  <si>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</si>
  <si>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</si>
  <si>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</si>
  <si>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</si>
  <si>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</si>
  <si>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</si>
  <si>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</si>
  <si>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</si>
  <si>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</si>
  <si>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</si>
  <si>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</si>
  <si>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</si>
  <si>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</si>
  <si>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</si>
  <si>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</si>
  <si>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</si>
  <si>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</si>
  <si>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</si>
  <si>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</si>
  <si>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</si>
  <si>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</si>
  <si>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</si>
  <si>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</si>
  <si>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</si>
  <si>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</si>
  <si>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</si>
  <si>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</si>
  <si>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</si>
  <si>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</si>
  <si>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</si>
  <si>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</si>
  <si>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</si>
  <si>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</si>
  <si>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</si>
  <si>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</si>
  <si>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</si>
  <si>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</si>
  <si>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</si>
  <si>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</si>
  <si>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</si>
  <si>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</si>
  <si>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</si>
  <si>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</si>
  <si>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</si>
  <si>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</si>
  <si>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</si>
  <si>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</si>
  <si>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</si>
  <si>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</si>
  <si>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</si>
  <si>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</si>
  <si>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</si>
  <si>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</si>
  <si>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</si>
  <si>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</si>
  <si>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</si>
  <si>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</si>
  <si>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</si>
  <si>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</si>
  <si>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</si>
  <si>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</si>
  <si>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</si>
  <si>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</si>
  <si>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</si>
  <si>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</si>
  <si>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</si>
  <si>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</si>
  <si>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</si>
  <si>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</si>
  <si>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</si>
  <si>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</si>
  <si>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</si>
  <si>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</si>
  <si>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</si>
  <si>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</si>
  <si>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</si>
  <si>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</si>
  <si>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</si>
  <si>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</si>
  <si>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</si>
  <si>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</si>
  <si>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</si>
  <si>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</si>
  <si>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</si>
  <si>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</si>
  <si>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</si>
  <si>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</si>
  <si>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</si>
  <si>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</si>
  <si>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</si>
  <si>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</si>
  <si>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</si>
  <si>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</si>
  <si>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</si>
  <si>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</si>
  <si>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</si>
  <si>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</si>
  <si>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</si>
  <si>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</si>
  <si>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</si>
  <si>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</si>
  <si>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</si>
  <si>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</si>
  <si>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</si>
  <si>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</si>
  <si>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</si>
  <si>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</si>
  <si>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</si>
  <si>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</si>
  <si>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</si>
  <si>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</si>
  <si>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</si>
  <si>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</si>
  <si>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</si>
  <si>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</si>
  <si>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</si>
  <si>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</si>
  <si>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</si>
  <si>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</si>
  <si>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</si>
  <si>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</si>
  <si>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</si>
  <si>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</si>
  <si>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</si>
  <si>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</si>
  <si>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</si>
  <si>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</si>
  <si>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</si>
  <si>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</si>
  <si>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</si>
  <si>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</si>
  <si>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</si>
  <si>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</si>
  <si>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</si>
  <si>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</si>
  <si>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</si>
  <si>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</si>
  <si>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</si>
  <si>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</si>
  <si>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</si>
  <si>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</si>
  <si>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</si>
  <si>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</si>
  <si>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</si>
  <si>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</si>
  <si>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</si>
  <si>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</si>
  <si>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</si>
  <si>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</si>
  <si>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</si>
  <si>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</si>
  <si>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</si>
  <si>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</si>
  <si>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</si>
  <si>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</si>
  <si>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</si>
  <si>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</si>
  <si>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</si>
  <si>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</si>
  <si>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</si>
  <si>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</si>
  <si>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</si>
  <si>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</si>
  <si>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</si>
  <si>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</si>
  <si>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</si>
  <si>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</si>
  <si>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</si>
  <si>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</si>
  <si>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</si>
  <si>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</si>
  <si>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</si>
  <si>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</si>
  <si>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</si>
  <si>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</si>
  <si>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</si>
  <si>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</si>
  <si>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</si>
  <si>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</si>
  <si>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</si>
  <si>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</si>
  <si>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</si>
  <si>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</si>
  <si>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</si>
  <si>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</si>
  <si>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</si>
  <si>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</si>
  <si>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</si>
  <si>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</si>
  <si>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</si>
  <si>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</si>
  <si>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</si>
  <si>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</si>
  <si>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</si>
  <si>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</si>
  <si>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</si>
  <si>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</si>
  <si>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</si>
  <si>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</si>
  <si>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</si>
  <si>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</si>
  <si>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</si>
  <si>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</si>
  <si>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</si>
  <si>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</si>
  <si>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</si>
  <si>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</si>
  <si>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</si>
  <si>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</si>
  <si>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</si>
  <si>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</si>
  <si>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</si>
  <si>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</si>
  <si>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</si>
  <si>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</si>
  <si>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</si>
  <si>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</si>
  <si>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</si>
  <si>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</si>
  <si>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</si>
  <si>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</si>
  <si>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</si>
  <si>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</si>
  <si>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</si>
  <si>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</si>
  <si>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</si>
  <si>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</si>
  <si>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</si>
  <si>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</si>
  <si>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</si>
  <si>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</si>
  <si>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</si>
  <si>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</si>
  <si>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</si>
  <si>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</si>
  <si>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</si>
  <si>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</si>
  <si>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</si>
  <si>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</si>
  <si>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</si>
  <si>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</si>
  <si>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</si>
  <si>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</si>
  <si>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</si>
  <si>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</si>
  <si>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</si>
  <si>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</si>
  <si>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</si>
  <si>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</si>
  <si>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</si>
  <si>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</si>
  <si>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</si>
  <si>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</si>
  <si>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</si>
  <si>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</si>
  <si>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</si>
  <si>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</si>
  <si>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</si>
  <si>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</si>
  <si>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</si>
  <si>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</si>
  <si>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</si>
  <si>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</si>
  <si>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</si>
  <si>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</si>
  <si>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</si>
  <si>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</si>
  <si>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</si>
  <si>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</si>
  <si>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</si>
  <si>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</si>
  <si>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</si>
  <si>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</si>
  <si>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</si>
  <si>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</si>
  <si>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</si>
  <si>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</si>
  <si>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</si>
  <si>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</si>
  <si>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</si>
  <si>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</si>
  <si>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</si>
  <si>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</si>
  <si>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</si>
  <si>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</si>
  <si>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</si>
  <si>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</si>
  <si>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</si>
  <si>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</si>
  <si>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</si>
  <si>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</si>
  <si>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</si>
  <si>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</si>
  <si>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</si>
  <si>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</si>
  <si>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</si>
  <si>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</si>
  <si>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</si>
  <si>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</si>
  <si>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</si>
  <si>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</si>
  <si>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</si>
  <si>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</si>
  <si>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</si>
  <si>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</si>
  <si>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</si>
  <si>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</si>
  <si>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</si>
  <si>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</si>
  <si>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</si>
  <si>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</si>
  <si>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</si>
  <si>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</si>
  <si>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</si>
  <si>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</si>
  <si>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</si>
  <si>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</si>
  <si>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</si>
  <si>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</si>
  <si>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</si>
  <si>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</si>
  <si>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</si>
  <si>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</si>
  <si>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</si>
  <si>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</si>
  <si>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</si>
  <si>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</si>
  <si>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</si>
  <si>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</si>
  <si>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</si>
  <si>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</si>
  <si>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</si>
  <si>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</si>
  <si>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</si>
  <si>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</si>
  <si>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</si>
  <si>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</si>
  <si>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</si>
  <si>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</si>
  <si>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</si>
  <si>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</si>
  <si>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</si>
  <si>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</si>
  <si>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</si>
  <si>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</si>
  <si>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</si>
  <si>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</si>
  <si>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</si>
  <si>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</si>
  <si>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</si>
  <si>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</si>
  <si>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</si>
  <si>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</si>
  <si>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</si>
  <si>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</si>
  <si>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</si>
  <si>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</si>
  <si>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</si>
  <si>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</si>
  <si>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</si>
  <si>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</si>
  <si>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</si>
  <si>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</si>
  <si>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</si>
  <si>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</si>
  <si>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</si>
  <si>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</si>
  <si>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</si>
  <si>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</si>
  <si>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</si>
  <si>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</si>
  <si>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</si>
  <si>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</si>
  <si>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</si>
  <si>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</si>
  <si>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</si>
  <si>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</si>
  <si>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</si>
  <si>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</si>
  <si>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</si>
  <si>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</si>
  <si>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</si>
  <si>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</si>
  <si>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</si>
  <si>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</si>
  <si>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</si>
  <si>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</si>
  <si>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</si>
  <si>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</si>
  <si>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</si>
  <si>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</si>
  <si>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</si>
  <si>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</si>
  <si>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</si>
  <si>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</si>
  <si>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</si>
  <si>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</si>
  <si>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</si>
  <si>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</si>
  <si>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</si>
  <si>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</si>
  <si>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</si>
  <si>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</si>
  <si>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</si>
  <si>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</si>
  <si>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</si>
  <si>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</si>
  <si>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</si>
  <si>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</si>
  <si>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</si>
  <si>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</si>
  <si>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</si>
  <si>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</si>
  <si>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</si>
  <si>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</si>
  <si>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</si>
  <si>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</si>
  <si>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</si>
  <si>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</si>
  <si>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</si>
  <si>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</si>
  <si>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</si>
  <si>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</si>
  <si>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</si>
  <si>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</si>
  <si>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</si>
  <si>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</si>
  <si>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</si>
  <si>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</si>
  <si>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</si>
  <si>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</si>
  <si>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</si>
  <si>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</si>
  <si>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</si>
  <si>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</si>
  <si>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</si>
  <si>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</si>
  <si>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</si>
  <si>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</si>
  <si>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</si>
  <si>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</si>
  <si>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</si>
  <si>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</si>
  <si>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</si>
  <si>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</si>
  <si>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</si>
  <si>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</si>
  <si>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</si>
  <si>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</si>
  <si>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</si>
  <si>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</si>
  <si>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</si>
  <si>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</si>
  <si>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</si>
  <si>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</si>
  <si>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</si>
  <si>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</si>
  <si>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</si>
  <si>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</si>
  <si>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</si>
  <si>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</si>
  <si>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</si>
  <si>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</si>
  <si>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</si>
  <si>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</si>
  <si>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</si>
  <si>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</si>
  <si>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</si>
  <si>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</si>
  <si>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</si>
  <si>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</si>
  <si>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</si>
  <si>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</si>
  <si>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</si>
  <si>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</si>
  <si>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</si>
  <si>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</si>
  <si>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</si>
  <si>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</si>
  <si>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</si>
  <si>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</si>
  <si>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</si>
  <si>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</si>
  <si>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</si>
  <si>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</si>
  <si>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</si>
  <si>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</si>
  <si>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</si>
  <si>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</si>
  <si>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</si>
  <si>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</si>
  <si>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</si>
  <si>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</si>
  <si>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</si>
  <si>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</si>
  <si>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</si>
  <si>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</si>
  <si>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</si>
  <si>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</si>
  <si>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</si>
  <si>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</si>
  <si>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</si>
  <si>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</si>
  <si>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</si>
  <si>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</si>
  <si>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</si>
  <si>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</si>
  <si>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</si>
  <si>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</si>
  <si>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</si>
  <si>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</si>
  <si>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</si>
  <si>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</si>
  <si>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</si>
  <si>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</si>
  <si>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</si>
  <si>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</si>
  <si>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</si>
  <si>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</si>
  <si>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</si>
  <si>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</si>
  <si>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</si>
  <si>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</si>
  <si>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</si>
  <si>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</si>
  <si>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</si>
  <si>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</si>
  <si>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</si>
  <si>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</si>
  <si>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</si>
  <si>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</si>
  <si>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</si>
  <si>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</si>
  <si>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</si>
  <si>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</si>
  <si>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</si>
  <si>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</si>
  <si>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</si>
  <si>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</si>
  <si>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</si>
  <si>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</si>
  <si>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</si>
  <si>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</si>
  <si>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</si>
  <si>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</si>
  <si>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</si>
  <si>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</si>
  <si>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</si>
  <si>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</si>
  <si>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</si>
  <si>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</si>
  <si>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</si>
  <si>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</si>
  <si>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</si>
  <si>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</si>
  <si>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</si>
  <si>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</si>
  <si>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</si>
  <si>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</si>
  <si>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</si>
  <si>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</si>
  <si>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</si>
  <si>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</si>
  <si>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</si>
  <si>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</si>
  <si>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</si>
  <si>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</si>
  <si>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</si>
  <si>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</si>
  <si>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</si>
  <si>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</si>
  <si>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</si>
  <si>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</si>
  <si>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</si>
  <si>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</si>
  <si>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</si>
  <si>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</si>
  <si>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</si>
  <si>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</si>
  <si>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</si>
  <si>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</si>
  <si>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</si>
  <si>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</si>
  <si>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</si>
  <si>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</si>
  <si>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</si>
  <si>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</si>
  <si>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</si>
  <si>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</si>
  <si>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</si>
  <si>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</si>
  <si>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</si>
  <si>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</si>
  <si>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</si>
  <si>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</si>
  <si>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</si>
  <si>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</si>
  <si>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</si>
  <si>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</si>
  <si>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</si>
  <si>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</si>
  <si>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</si>
  <si>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</si>
  <si>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</si>
  <si>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</si>
  <si>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</si>
  <si>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</si>
  <si>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</si>
  <si>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</si>
  <si>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</si>
  <si>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</si>
  <si>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</si>
  <si>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</si>
  <si>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</si>
  <si>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</si>
  <si>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</si>
  <si>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</si>
  <si>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</si>
  <si>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</si>
  <si>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</si>
  <si>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</si>
  <si>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</si>
  <si>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</si>
  <si>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</si>
  <si>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</si>
  <si>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</si>
  <si>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</si>
  <si>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</si>
  <si>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</si>
  <si>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</si>
  <si>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</si>
  <si>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</si>
  <si>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</si>
  <si>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</si>
  <si>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</si>
  <si>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</si>
  <si>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</si>
  <si>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</si>
  <si>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</si>
  <si>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</si>
  <si>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</si>
  <si>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</si>
  <si>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</si>
  <si>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</si>
  <si>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</si>
  <si>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</si>
  <si>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</si>
  <si>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</si>
  <si>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</si>
  <si>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</si>
  <si>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</si>
  <si>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</si>
  <si>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</si>
  <si>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</si>
  <si>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</si>
  <si>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</si>
  <si>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</si>
  <si>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</si>
  <si>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</si>
  <si>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</si>
  <si>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</si>
  <si>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</si>
  <si>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</si>
  <si>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</si>
  <si>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</si>
  <si>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</si>
  <si>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</si>
  <si>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</si>
  <si>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</si>
  <si>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</si>
  <si>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</si>
  <si>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</si>
  <si>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</si>
  <si>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</si>
  <si>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</si>
  <si>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</si>
  <si>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</si>
  <si>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</si>
  <si>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</si>
  <si>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</si>
  <si>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</si>
  <si>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</si>
  <si>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</si>
  <si>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</si>
  <si>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</si>
  <si>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</si>
  <si>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</si>
  <si>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</si>
  <si>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</si>
  <si>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</si>
  <si>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</si>
  <si>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</si>
  <si>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</si>
  <si>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</si>
  <si>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</si>
  <si>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</si>
  <si>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</si>
  <si>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</si>
  <si>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</si>
  <si>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</si>
  <si>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</si>
  <si>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</si>
  <si>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</si>
  <si>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</si>
  <si>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</si>
  <si>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</si>
  <si>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</si>
  <si>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</si>
  <si>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</si>
  <si>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</si>
  <si>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</si>
  <si>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</si>
  <si>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</si>
  <si>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</si>
  <si>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</si>
  <si>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</si>
  <si>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</si>
  <si>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</si>
  <si>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</si>
  <si>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</si>
  <si>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</si>
  <si>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</si>
  <si>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</si>
  <si>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</si>
  <si>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</si>
  <si>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</si>
  <si>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</si>
  <si>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</si>
  <si>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</si>
  <si>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</si>
  <si>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</si>
  <si>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</si>
  <si>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</si>
  <si>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</si>
  <si>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</si>
  <si>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</si>
  <si>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</si>
  <si>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</si>
  <si>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</si>
  <si>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</si>
  <si>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</si>
  <si>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</si>
  <si>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</si>
  <si>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</si>
  <si>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</si>
  <si>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</si>
  <si>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</si>
  <si>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</si>
  <si>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</si>
  <si>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</si>
  <si>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</si>
  <si>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</si>
  <si>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</si>
  <si>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</si>
  <si>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</si>
  <si>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</si>
  <si>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</si>
  <si>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</si>
  <si>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</si>
  <si>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</si>
  <si>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</si>
  <si>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</si>
  <si>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</si>
  <si>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</si>
  <si>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</si>
  <si>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</si>
  <si>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</si>
  <si>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</si>
  <si>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</si>
  <si>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</si>
  <si>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</si>
  <si>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</si>
  <si>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</si>
  <si>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</si>
  <si>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</si>
  <si>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</si>
  <si>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</si>
  <si>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</si>
  <si>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</si>
  <si>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</si>
  <si>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</si>
  <si>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</si>
  <si>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</si>
  <si>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</si>
  <si>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</si>
  <si>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</si>
  <si>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</si>
  <si>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</si>
  <si>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</si>
  <si>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</si>
  <si>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</si>
  <si>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</si>
  <si>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</si>
  <si>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</si>
  <si>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</si>
  <si>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</si>
  <si>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</si>
  <si>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</si>
  <si>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</si>
  <si>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</si>
  <si>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</si>
  <si>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</si>
  <si>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</si>
  <si>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</si>
  <si>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</si>
  <si>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</si>
  <si>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</si>
  <si>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</si>
  <si>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</si>
  <si>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</si>
  <si>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</si>
  <si>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</si>
  <si>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</si>
  <si>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</si>
  <si>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</si>
  <si>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</si>
  <si>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</si>
  <si>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</si>
  <si>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</si>
  <si>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</si>
  <si>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</si>
  <si>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</si>
  <si>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</si>
  <si>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</si>
  <si>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</si>
  <si>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</si>
  <si>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</si>
  <si>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</si>
  <si>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</si>
  <si>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</si>
  <si>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</si>
  <si>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</si>
  <si>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</si>
  <si>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</si>
  <si>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</si>
  <si>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</si>
  <si>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</si>
  <si>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</si>
  <si>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</si>
  <si>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</si>
  <si>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</si>
  <si>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</si>
  <si>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</si>
  <si>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</si>
  <si>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</si>
  <si>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</si>
  <si>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</si>
  <si>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</si>
  <si>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</si>
  <si>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</si>
  <si>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</si>
  <si>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</si>
  <si>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</si>
  <si>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</si>
  <si>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</si>
  <si>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</si>
  <si>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</si>
  <si>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</si>
  <si>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</si>
  <si>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</si>
  <si>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</si>
  <si>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</si>
  <si>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</si>
  <si>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</si>
  <si>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</si>
  <si>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</si>
  <si>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</si>
  <si>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</si>
  <si>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</si>
  <si>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</si>
  <si>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</si>
  <si>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</si>
  <si>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</si>
  <si>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</si>
  <si>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</si>
  <si>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</si>
  <si>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</si>
  <si>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</si>
  <si>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</si>
  <si>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</si>
  <si>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</si>
  <si>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</si>
  <si>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</si>
  <si>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</si>
  <si>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</si>
  <si>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</si>
  <si>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</si>
  <si>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</si>
  <si>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</si>
  <si>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</si>
  <si>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</si>
  <si>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</si>
  <si>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</si>
  <si>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</si>
  <si>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</si>
  <si>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</si>
  <si>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</si>
  <si>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</si>
  <si>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</si>
  <si>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</si>
  <si>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</si>
  <si>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</si>
  <si>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</si>
  <si>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</si>
  <si>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</si>
  <si>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</si>
  <si>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</si>
  <si>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</si>
  <si>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</si>
  <si>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</si>
  <si>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</si>
  <si>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</si>
  <si>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</si>
  <si>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</si>
  <si>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</si>
  <si>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</si>
  <si>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</si>
  <si>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</si>
  <si>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</si>
  <si>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</si>
  <si>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</si>
  <si>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</si>
  <si>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</si>
  <si>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</si>
  <si>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</si>
  <si>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</si>
  <si>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</si>
  <si>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</si>
  <si>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</si>
  <si>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</si>
  <si>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</si>
  <si>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</si>
  <si>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</si>
  <si>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</si>
  <si>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</si>
  <si>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</si>
  <si>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</si>
  <si>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</si>
  <si>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</si>
  <si>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</si>
  <si>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</si>
  <si>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</si>
  <si>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</si>
  <si>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</si>
  <si>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</si>
  <si>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</si>
  <si>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</si>
  <si>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</si>
  <si>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</si>
  <si>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</si>
  <si>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</si>
  <si>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</si>
  <si>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</si>
  <si>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</si>
  <si>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</si>
  <si>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</si>
  <si>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</si>
  <si>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</si>
  <si>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</si>
  <si>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</si>
  <si>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</si>
  <si>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</si>
  <si>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</si>
  <si>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</si>
  <si>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</si>
  <si>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</si>
  <si>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</si>
  <si>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</si>
  <si>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</si>
  <si>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</si>
  <si>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</si>
  <si>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</si>
  <si>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</si>
  <si>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</si>
  <si>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</si>
  <si>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</si>
  <si>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</si>
  <si>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</si>
  <si>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</si>
  <si>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</si>
  <si>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</si>
  <si>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</si>
  <si>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</si>
  <si>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</si>
  <si>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</si>
  <si>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</si>
  <si>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</si>
  <si>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</si>
  <si>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</si>
  <si>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</si>
  <si>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</si>
  <si>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</si>
  <si>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</si>
  <si>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</si>
  <si>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</si>
  <si>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</si>
  <si>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</si>
  <si>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</si>
  <si>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</si>
  <si>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</si>
  <si>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</si>
  <si>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</si>
  <si>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</si>
  <si>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</si>
  <si>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</si>
  <si>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</si>
  <si>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</si>
  <si>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</si>
  <si>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</si>
  <si>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</si>
  <si>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</si>
  <si>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</si>
  <si>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</si>
  <si>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</si>
  <si>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</si>
  <si>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</si>
  <si>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</si>
  <si>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</si>
  <si>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</si>
  <si>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</si>
  <si>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</si>
  <si>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</si>
  <si>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</si>
  <si>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</si>
  <si>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</si>
  <si>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</si>
  <si>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</si>
  <si>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</si>
  <si>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</si>
  <si>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</si>
  <si>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</si>
  <si>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</si>
  <si>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</si>
  <si>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</si>
  <si>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</si>
  <si>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</si>
  <si>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</si>
  <si>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</si>
  <si>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</si>
  <si>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</si>
  <si>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</si>
  <si>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</si>
  <si>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</si>
  <si>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</si>
  <si>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</si>
  <si>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</si>
  <si>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</si>
  <si>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</si>
  <si>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</si>
  <si>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</si>
  <si>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</si>
  <si>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</si>
  <si>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</si>
  <si>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</si>
  <si>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</si>
  <si>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</si>
  <si>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</si>
  <si>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</si>
  <si>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</si>
  <si>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</si>
  <si>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</si>
  <si>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</si>
  <si>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</si>
  <si>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</si>
  <si>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</si>
  <si>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</si>
  <si>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</si>
  <si>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</si>
  <si>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</si>
  <si>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</si>
  <si>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</si>
  <si>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</si>
  <si>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</si>
  <si>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</si>
  <si>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</si>
  <si>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</si>
  <si>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</si>
  <si>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</si>
  <si>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</si>
  <si>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</si>
  <si>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</si>
  <si>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</si>
  <si>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</si>
  <si>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</si>
  <si>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</si>
  <si>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</si>
  <si>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</si>
  <si>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</si>
  <si>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</si>
  <si>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</si>
  <si>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</si>
  <si>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</si>
  <si>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</si>
  <si>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</si>
  <si>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</si>
  <si>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</si>
  <si>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</si>
  <si>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</si>
  <si>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</si>
  <si>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</si>
  <si>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</si>
  <si>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</si>
  <si>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</si>
  <si>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</si>
  <si>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</si>
  <si>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</si>
  <si>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</si>
  <si>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</si>
  <si>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</si>
  <si>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</si>
  <si>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</si>
  <si>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</si>
  <si>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</si>
  <si>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</si>
  <si>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</si>
  <si>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</si>
  <si>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</si>
  <si>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</si>
  <si>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</si>
  <si>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</si>
  <si>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</si>
  <si>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</si>
  <si>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</si>
  <si>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</si>
  <si>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</si>
  <si>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</si>
  <si>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</si>
  <si>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</si>
  <si>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</si>
  <si>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</si>
  <si>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</si>
  <si>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</si>
  <si>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</si>
  <si>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</si>
  <si>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</si>
  <si>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</si>
  <si>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</si>
  <si>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</si>
  <si>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</si>
  <si>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</si>
  <si>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</si>
  <si>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</si>
  <si>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</si>
  <si>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</si>
  <si>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</si>
  <si>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</si>
  <si>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</si>
  <si>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</si>
  <si>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</si>
  <si>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</si>
  <si>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</si>
  <si>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</si>
  <si>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</si>
  <si>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</si>
  <si>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</si>
  <si>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</si>
  <si>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</si>
  <si>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</si>
  <si>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</si>
  <si>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</si>
  <si>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</si>
  <si>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</si>
  <si>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</si>
  <si>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</si>
  <si>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</si>
  <si>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</si>
  <si>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</si>
  <si>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</si>
  <si>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</si>
  <si>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</si>
  <si>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</si>
  <si>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</si>
  <si>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</si>
  <si>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</si>
  <si>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</si>
  <si>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</si>
  <si>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</si>
  <si>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</si>
  <si>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</si>
  <si>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</si>
  <si>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</si>
  <si>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</si>
  <si>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</si>
  <si>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</si>
  <si>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</si>
  <si>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</si>
  <si>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</si>
  <si>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</si>
  <si>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</si>
  <si>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</si>
  <si>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</si>
  <si>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</si>
  <si>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</si>
  <si>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</si>
  <si>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</si>
  <si>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</si>
  <si>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</si>
  <si>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</si>
  <si>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</si>
  <si>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</si>
  <si>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</si>
  <si>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</si>
  <si>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</si>
  <si>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</si>
  <si>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</si>
  <si>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</si>
  <si>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</si>
  <si>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</si>
  <si>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</si>
  <si>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</si>
  <si>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</si>
  <si>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</si>
  <si>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</si>
  <si>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</si>
  <si>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</si>
  <si>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</si>
  <si>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</si>
  <si>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</si>
  <si>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</si>
  <si>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</si>
  <si>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</si>
  <si>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</si>
  <si>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</si>
  <si>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</si>
  <si>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</si>
  <si>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</si>
  <si>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</si>
  <si>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</si>
  <si>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</si>
  <si>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</si>
  <si>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</si>
  <si>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</si>
  <si>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</si>
  <si>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</si>
  <si>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</si>
  <si>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</si>
  <si>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</si>
  <si>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</si>
  <si>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</si>
  <si>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</si>
  <si>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</si>
  <si>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</si>
  <si>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</si>
  <si>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</si>
  <si>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</si>
  <si>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</si>
  <si>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</si>
  <si>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</si>
  <si>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</si>
  <si>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</si>
  <si>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</si>
  <si>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</si>
  <si>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</si>
  <si>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</si>
  <si>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</si>
  <si>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</si>
  <si>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</si>
  <si>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</si>
  <si>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</si>
  <si>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</si>
  <si>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</si>
  <si>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</si>
  <si>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</si>
  <si>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</si>
  <si>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</si>
  <si>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</si>
  <si>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</si>
  <si>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</si>
  <si>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</si>
  <si>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</si>
  <si>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</si>
  <si>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</si>
  <si>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</si>
  <si>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</si>
  <si>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</si>
  <si>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</si>
  <si>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</si>
  <si>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</si>
  <si>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</si>
  <si>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</si>
  <si>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</si>
  <si>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</si>
  <si>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</si>
  <si>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</si>
  <si>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</si>
  <si>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</si>
  <si>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</si>
  <si>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</si>
  <si>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</si>
  <si>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</si>
  <si>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</si>
  <si>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</si>
  <si>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</si>
  <si>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</si>
  <si>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</si>
  <si>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</si>
  <si>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</si>
  <si>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</si>
  <si>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</si>
  <si>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</si>
  <si>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</si>
  <si>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</si>
  <si>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</si>
  <si>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</si>
  <si>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</si>
  <si>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</si>
  <si>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</si>
  <si>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</si>
  <si>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</si>
  <si>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</si>
  <si>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</si>
  <si>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</si>
  <si>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</si>
  <si>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</si>
  <si>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</si>
  <si>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</si>
  <si>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</si>
  <si>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</si>
  <si>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</si>
  <si>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</si>
  <si>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</si>
  <si>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</si>
  <si>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</si>
  <si>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</si>
  <si>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</si>
  <si>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</si>
  <si>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</si>
  <si>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</si>
  <si>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</si>
  <si>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</si>
  <si>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</si>
  <si>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</si>
  <si>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</si>
  <si>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</si>
  <si>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</si>
  <si>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</si>
  <si>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</si>
  <si>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</si>
  <si>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</si>
  <si>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</si>
  <si>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</si>
  <si>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</si>
  <si>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</si>
  <si>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</si>
  <si>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</si>
  <si>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</si>
  <si>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</si>
  <si>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</si>
  <si>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</si>
  <si>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</si>
  <si>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</si>
  <si>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</si>
  <si>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</si>
  <si>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</si>
  <si>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</si>
  <si>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</si>
  <si>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</si>
  <si>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</si>
  <si>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</si>
  <si>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</si>
  <si>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</si>
  <si>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</si>
  <si>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</si>
  <si>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</si>
  <si>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</si>
  <si>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</si>
  <si>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</si>
  <si>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</si>
  <si>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</si>
  <si>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</si>
  <si>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</si>
  <si>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</si>
  <si>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</si>
  <si>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</si>
  <si>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</si>
  <si>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</si>
  <si>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</si>
  <si>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</si>
  <si>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</si>
  <si>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</si>
  <si>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</si>
  <si>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</si>
  <si>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</si>
  <si>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</si>
  <si>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</si>
  <si>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</si>
  <si>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</si>
  <si>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</si>
  <si>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</si>
  <si>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</si>
  <si>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</si>
  <si>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</si>
  <si>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</si>
  <si>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</si>
  <si>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</si>
  <si>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</si>
  <si>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</si>
  <si>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</si>
  <si>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</si>
  <si>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</si>
  <si>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</si>
  <si>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</si>
  <si>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</si>
  <si>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</si>
  <si>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</si>
  <si>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</si>
  <si>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</si>
  <si>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</si>
  <si>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</si>
  <si>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</si>
  <si>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</si>
  <si>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</si>
  <si>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</si>
  <si>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</si>
  <si>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</si>
  <si>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</si>
  <si>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</si>
  <si>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</si>
  <si>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</si>
  <si>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</si>
  <si>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</si>
  <si>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</si>
  <si>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</si>
  <si>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</si>
  <si>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</si>
  <si>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</si>
  <si>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</si>
  <si>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</si>
  <si>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</si>
  <si>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</si>
  <si>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</si>
  <si>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</si>
  <si>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</si>
  <si>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</si>
  <si>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</si>
  <si>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</si>
  <si>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</si>
  <si>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</si>
  <si>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</si>
  <si>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</si>
  <si>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</si>
  <si>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</si>
  <si>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</si>
  <si>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</si>
  <si>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</si>
  <si>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</si>
  <si>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</si>
  <si>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</si>
  <si>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</si>
  <si>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</si>
  <si>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</si>
  <si>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</si>
  <si>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</si>
  <si>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</si>
  <si>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</si>
  <si>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</si>
  <si>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</si>
  <si>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</si>
  <si>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</si>
  <si>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</si>
  <si>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</si>
  <si>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</si>
  <si>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</si>
  <si>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</si>
  <si>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</si>
  <si>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</si>
  <si>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</si>
  <si>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</si>
  <si>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</si>
  <si>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</si>
  <si>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</si>
  <si>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</si>
  <si>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</si>
  <si>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</si>
  <si>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</si>
  <si>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</si>
  <si>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</si>
  <si>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</si>
  <si>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</si>
  <si>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</si>
  <si>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</si>
  <si>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</si>
  <si>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</si>
  <si>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</si>
  <si>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</si>
  <si>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</si>
  <si>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</si>
  <si>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</si>
  <si>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</si>
  <si>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</si>
  <si>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</si>
  <si>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</si>
  <si>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</si>
  <si>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</si>
  <si>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</si>
  <si>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</si>
  <si>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</si>
  <si>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</si>
  <si>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</si>
  <si>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</si>
  <si>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</si>
  <si>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</si>
  <si>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</si>
  <si>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</si>
  <si>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</si>
  <si>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</si>
  <si>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</si>
  <si>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</si>
  <si>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</si>
  <si>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</si>
  <si>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</si>
  <si>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</si>
  <si>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</si>
  <si>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</si>
  <si>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</si>
  <si>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</si>
  <si>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</si>
  <si>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</si>
  <si>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</si>
  <si>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</si>
  <si>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</si>
  <si>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</si>
  <si>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</si>
  <si>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</si>
  <si>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</si>
  <si>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</si>
  <si>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</si>
  <si>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</si>
  <si>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</si>
  <si>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</si>
  <si>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</si>
  <si>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</si>
  <si>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</si>
  <si>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</si>
  <si>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</si>
  <si>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</si>
  <si>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</si>
  <si>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</si>
  <si>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</si>
  <si>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</si>
  <si>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</si>
  <si>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</si>
  <si>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</si>
  <si>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</si>
  <si>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</si>
  <si>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</si>
  <si>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</si>
  <si>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</si>
  <si>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</si>
  <si>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</si>
  <si>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</si>
  <si>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</si>
  <si>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</si>
  <si>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</si>
  <si>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</si>
  <si>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</si>
  <si>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</si>
  <si>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</si>
  <si>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</si>
  <si>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</si>
  <si>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</si>
  <si>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</si>
  <si>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</si>
  <si>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</si>
  <si>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</si>
  <si>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</si>
  <si>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</si>
  <si>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</si>
  <si>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</si>
  <si>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</si>
  <si>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</si>
  <si>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</si>
  <si>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</si>
  <si>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</si>
  <si>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</si>
  <si>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</si>
  <si>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</si>
  <si>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</si>
  <si>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</si>
  <si>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</si>
  <si>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</si>
  <si>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</si>
  <si>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</si>
  <si>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</si>
  <si>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</si>
  <si>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</si>
  <si>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</si>
  <si>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</si>
  <si>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</si>
  <si>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</si>
  <si>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</si>
  <si>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</si>
  <si>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</si>
  <si>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</si>
  <si>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</si>
  <si>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</si>
  <si>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</si>
  <si>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</si>
  <si>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</si>
  <si>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</si>
  <si>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</si>
  <si>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</si>
  <si>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</si>
  <si>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</si>
  <si>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</si>
  <si>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</si>
  <si>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</si>
  <si>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</si>
  <si>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</si>
  <si>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</si>
  <si>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</si>
  <si>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</si>
  <si>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</si>
  <si>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</si>
  <si>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</si>
  <si>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</si>
  <si>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</si>
  <si>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</si>
  <si>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</si>
  <si>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</si>
  <si>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</si>
  <si>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</si>
  <si>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</si>
  <si>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</si>
  <si>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</si>
  <si>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</si>
  <si>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</si>
  <si>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</si>
  <si>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</si>
  <si>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</si>
  <si>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</si>
  <si>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</si>
  <si>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</si>
  <si>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</si>
  <si>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</si>
  <si>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</si>
  <si>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</si>
  <si>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</si>
  <si>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</si>
  <si>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</si>
  <si>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</si>
  <si>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</si>
  <si>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</si>
  <si>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</si>
  <si>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</si>
  <si>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</si>
  <si>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</si>
  <si>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</si>
  <si>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</si>
  <si>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</si>
  <si>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</si>
  <si>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</si>
  <si>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</si>
  <si>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</si>
  <si>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</si>
  <si>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</si>
  <si>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</si>
  <si>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</si>
  <si>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</si>
  <si>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</si>
  <si>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</si>
  <si>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</si>
  <si>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</si>
  <si>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</si>
  <si>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</si>
  <si>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</si>
  <si>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</si>
  <si>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</si>
  <si>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</si>
  <si>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</si>
  <si>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</si>
  <si>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</si>
  <si>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</si>
  <si>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</si>
  <si>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</si>
  <si>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</si>
  <si>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</si>
  <si>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</si>
  <si>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</si>
  <si>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</si>
  <si>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</si>
  <si>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</si>
  <si>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</si>
  <si>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</si>
  <si>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</si>
  <si>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</si>
  <si>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</si>
  <si>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</si>
  <si>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</si>
  <si>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</si>
  <si>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</si>
  <si>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</si>
  <si>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</si>
  <si>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</si>
  <si>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</si>
  <si>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</si>
  <si>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</si>
  <si>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</si>
  <si>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</si>
  <si>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</si>
  <si>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</si>
  <si>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</si>
  <si>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</si>
  <si>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</si>
  <si>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</si>
  <si>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</si>
  <si>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</si>
  <si>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</si>
  <si>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</si>
  <si>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</si>
  <si>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</si>
  <si>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</si>
  <si>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</si>
  <si>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</si>
  <si>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</si>
  <si>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</si>
  <si>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</si>
  <si>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</si>
  <si>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</si>
  <si>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</si>
  <si>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</si>
  <si>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</si>
  <si>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</si>
  <si>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</si>
  <si>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</si>
  <si>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</si>
  <si>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</si>
  <si>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</si>
  <si>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</si>
  <si>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</si>
  <si>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</si>
  <si>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</si>
  <si>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</si>
  <si>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</si>
  <si>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</si>
  <si>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</si>
  <si>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</si>
  <si>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</si>
  <si>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</si>
  <si>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</si>
  <si>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</si>
  <si>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</si>
  <si>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</si>
  <si>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</si>
  <si>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</si>
  <si>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</si>
  <si>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</si>
  <si>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</si>
  <si>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</si>
  <si>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</si>
  <si>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</si>
  <si>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</si>
  <si>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</si>
  <si>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</si>
  <si>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</si>
  <si>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</si>
  <si>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</si>
  <si>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</si>
  <si>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</si>
  <si>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</si>
  <si>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</si>
  <si>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</si>
  <si>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</si>
  <si>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</si>
  <si>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</si>
  <si>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</si>
  <si>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</si>
  <si>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</si>
  <si>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</si>
  <si>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</si>
  <si>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</si>
  <si>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</si>
  <si>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</si>
  <si>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</si>
  <si>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</si>
  <si>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</si>
  <si>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</si>
  <si>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</si>
  <si>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</si>
  <si>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</si>
  <si>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</si>
  <si>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</si>
  <si>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</si>
  <si>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</si>
  <si>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</si>
  <si>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</si>
  <si>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</si>
  <si>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</si>
  <si>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</si>
  <si>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</si>
  <si>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</si>
  <si>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</si>
  <si>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</si>
  <si>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</si>
  <si>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</si>
  <si>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</si>
  <si>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</si>
  <si>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</si>
  <si>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</si>
  <si>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</si>
  <si>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</si>
  <si>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</si>
  <si>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</si>
  <si>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</si>
  <si>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</si>
  <si>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</si>
  <si>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</si>
  <si>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</si>
  <si>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</si>
  <si>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</si>
  <si>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</si>
  <si>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</si>
  <si>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</si>
  <si>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</si>
  <si>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</si>
  <si>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</si>
  <si>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</si>
  <si>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</si>
  <si>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</si>
  <si>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</si>
  <si>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</si>
  <si>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</si>
  <si>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</si>
  <si>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</si>
  <si>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</si>
  <si>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</si>
  <si>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</si>
  <si>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</si>
  <si>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</si>
  <si>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</si>
  <si>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</si>
  <si>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</si>
  <si>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</si>
  <si>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</si>
  <si>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</si>
  <si>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</si>
  <si>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</si>
  <si>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</si>
  <si>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</si>
  <si>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</si>
  <si>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</si>
  <si>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</si>
  <si>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</si>
  <si>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</si>
  <si>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</si>
  <si>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</si>
  <si>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</si>
  <si>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</si>
  <si>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</si>
  <si>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</si>
  <si>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</si>
  <si>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</si>
  <si>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</si>
  <si>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</si>
  <si>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</si>
  <si>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</si>
  <si>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</si>
  <si>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</si>
  <si>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</si>
  <si>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</si>
  <si>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</si>
  <si>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</si>
  <si>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</si>
  <si>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</si>
  <si>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</si>
  <si>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</si>
  <si>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</si>
  <si>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</si>
  <si>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</si>
  <si>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</si>
  <si>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</si>
  <si>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</si>
  <si>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</si>
  <si>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</si>
  <si>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</si>
  <si>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</si>
  <si>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</si>
  <si>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</si>
  <si>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</si>
  <si>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</si>
  <si>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</si>
  <si>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</si>
  <si>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</si>
  <si>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</si>
  <si>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</si>
  <si>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</si>
  <si>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</si>
  <si>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</si>
  <si>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</si>
  <si>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</si>
  <si>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</si>
  <si>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</si>
  <si>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</si>
  <si>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</si>
  <si>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</si>
  <si>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</si>
  <si>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</si>
  <si>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</si>
  <si>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</si>
  <si>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</si>
  <si>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</si>
  <si>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</si>
  <si>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</si>
  <si>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</si>
  <si>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</si>
  <si>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</si>
  <si>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</si>
  <si>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</si>
  <si>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</si>
  <si>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</si>
  <si>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</si>
  <si>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</si>
  <si>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</si>
  <si>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</si>
  <si>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</si>
  <si>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</si>
  <si>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</si>
  <si>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</si>
  <si>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</si>
  <si>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</si>
  <si>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</si>
  <si>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</si>
  <si>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</si>
  <si>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</si>
  <si>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</si>
  <si>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</si>
  <si>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</si>
  <si>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</si>
  <si>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</si>
  <si>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</si>
  <si>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</si>
  <si>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</si>
  <si>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</si>
  <si>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</si>
  <si>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</si>
  <si>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</si>
  <si>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</si>
  <si>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</si>
  <si>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</si>
  <si>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</si>
  <si>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</si>
  <si>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</si>
  <si>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</si>
  <si>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</si>
  <si>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</si>
  <si>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</si>
  <si>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</si>
  <si>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</si>
  <si>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</si>
  <si>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</si>
  <si>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</si>
  <si>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</si>
  <si>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</si>
  <si>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</si>
  <si>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</si>
  <si>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</si>
  <si>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</si>
  <si>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</si>
  <si>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</si>
  <si>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</si>
  <si>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</si>
  <si>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</si>
  <si>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</si>
  <si>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</si>
  <si>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</si>
  <si>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</si>
  <si>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</si>
  <si>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</si>
  <si>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</si>
  <si>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</si>
  <si>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</si>
  <si>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</si>
  <si>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</si>
  <si>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</si>
  <si>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</si>
  <si>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</si>
  <si>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</si>
  <si>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</si>
  <si>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</si>
  <si>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</si>
  <si>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</si>
  <si>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</si>
  <si>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</si>
  <si>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</si>
  <si>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</si>
  <si>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</si>
  <si>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</si>
  <si>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</si>
  <si>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</si>
  <si>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</si>
  <si>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</si>
  <si>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</si>
  <si>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</si>
  <si>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</si>
  <si>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</si>
  <si>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</si>
  <si>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</si>
  <si>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</si>
  <si>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</si>
  <si>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</si>
  <si>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</si>
  <si>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</si>
  <si>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</si>
  <si>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</si>
  <si>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</si>
  <si>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</si>
  <si>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</si>
  <si>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</si>
  <si>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</si>
  <si>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</si>
  <si>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</si>
  <si>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</si>
  <si>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</si>
  <si>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</si>
  <si>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</si>
  <si>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</si>
  <si>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</si>
  <si>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</si>
  <si>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</si>
  <si>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</si>
  <si>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</si>
  <si>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</si>
  <si>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</si>
  <si>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</si>
  <si>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</si>
  <si>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</si>
  <si>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</si>
  <si>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</si>
  <si>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</si>
  <si>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</si>
  <si>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</si>
  <si>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</si>
  <si>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</si>
  <si>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</si>
  <si>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</si>
  <si>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</si>
  <si>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</si>
  <si>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</si>
  <si>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</si>
  <si>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</si>
  <si>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</si>
  <si>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</si>
  <si>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</si>
  <si>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</si>
  <si>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</si>
  <si>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</si>
  <si>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</si>
  <si>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</si>
  <si>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</si>
  <si>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</si>
  <si>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</si>
  <si>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</si>
  <si>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</si>
  <si>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</si>
  <si>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</si>
  <si>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</si>
  <si>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</si>
  <si>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</si>
  <si>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</si>
  <si>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</si>
  <si>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</si>
  <si>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</si>
  <si>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</si>
  <si>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</si>
  <si>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</si>
  <si>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</si>
  <si>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</si>
  <si>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</si>
  <si>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</si>
  <si>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</si>
  <si>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</si>
  <si>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</si>
  <si>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</si>
  <si>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</si>
  <si>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</si>
  <si>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</si>
  <si>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</si>
  <si>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</si>
  <si>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</si>
  <si>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</si>
  <si>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</si>
  <si>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</si>
  <si>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</si>
  <si>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</si>
  <si>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</si>
  <si>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</si>
  <si>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</si>
  <si>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</si>
  <si>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</si>
  <si>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</si>
  <si>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</si>
  <si>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</si>
  <si>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</si>
  <si>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</si>
  <si>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</si>
  <si>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</si>
  <si>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</si>
  <si>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</si>
  <si>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</si>
  <si>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</si>
  <si>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</si>
  <si>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</si>
  <si>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</si>
  <si>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</si>
  <si>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</si>
  <si>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</si>
  <si>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</si>
  <si>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</si>
  <si>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</si>
  <si>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</si>
  <si>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</si>
  <si>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</si>
  <si>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</si>
  <si>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</si>
  <si>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</si>
  <si>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</si>
  <si>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</si>
  <si>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</si>
  <si>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</si>
  <si>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</si>
  <si>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</si>
  <si>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</si>
  <si>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</si>
  <si>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</si>
  <si>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</si>
  <si>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</si>
  <si>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</si>
  <si>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</si>
  <si>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</si>
  <si>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</si>
  <si>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</si>
  <si>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</si>
  <si>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</si>
  <si>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</si>
  <si>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</si>
  <si>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</si>
  <si>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</si>
  <si>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</si>
  <si>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</si>
  <si>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</si>
  <si>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</si>
  <si>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</si>
  <si>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</si>
  <si>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</si>
  <si>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</si>
  <si>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</si>
  <si>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</si>
  <si>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</si>
  <si>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</si>
  <si>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</si>
  <si>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</si>
  <si>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</si>
  <si>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</si>
  <si>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</si>
  <si>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</si>
  <si>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</si>
  <si>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</si>
  <si>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</si>
  <si>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</si>
  <si>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</si>
  <si>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</si>
  <si>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</si>
  <si>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</si>
  <si>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</si>
  <si>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</si>
  <si>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</si>
  <si>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</si>
  <si>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</si>
  <si>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</si>
  <si>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</si>
  <si>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</si>
  <si>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</si>
  <si>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</si>
  <si>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</si>
  <si>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</si>
  <si>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</si>
  <si>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</si>
  <si>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</si>
  <si>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</si>
  <si>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</si>
  <si>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</si>
  <si>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</si>
  <si>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</si>
  <si>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</si>
  <si>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</si>
  <si>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</si>
  <si>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</si>
  <si>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</si>
  <si>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</si>
  <si>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</si>
  <si>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</si>
  <si>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</si>
  <si>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</si>
  <si>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</si>
  <si>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</si>
  <si>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</si>
  <si>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</si>
  <si>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</si>
  <si>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</si>
  <si>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</si>
  <si>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</si>
  <si>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</si>
  <si>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</si>
  <si>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</si>
  <si>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</si>
  <si>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</si>
  <si>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</si>
  <si>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</si>
  <si>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</si>
  <si>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</si>
  <si>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</si>
  <si>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</si>
  <si>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</si>
  <si>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</si>
  <si>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</si>
  <si>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</si>
  <si>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</si>
  <si>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</si>
  <si>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</si>
  <si>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</si>
  <si>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</si>
  <si>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</si>
  <si>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</si>
  <si>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</si>
  <si>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</si>
  <si>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</si>
  <si>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</si>
  <si>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</si>
  <si>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</si>
  <si>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</si>
  <si>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</si>
  <si>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</si>
  <si>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</si>
  <si>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</si>
  <si>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</si>
  <si>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</si>
  <si>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</si>
  <si>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</si>
  <si>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</si>
  <si>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</si>
  <si>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</si>
  <si>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</si>
  <si>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</si>
  <si>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</si>
  <si>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</si>
  <si>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</si>
  <si>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</si>
  <si>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</si>
  <si>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</si>
  <si>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</si>
  <si>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</si>
  <si>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</si>
  <si>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</si>
  <si>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</si>
  <si>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</si>
  <si>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</si>
  <si>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</si>
  <si>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</si>
  <si>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</si>
  <si>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</si>
  <si>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</si>
  <si>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</si>
  <si>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</si>
  <si>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</si>
  <si>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</si>
  <si>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</si>
  <si>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</si>
  <si>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</si>
  <si>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</si>
  <si>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</si>
  <si>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</si>
  <si>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</si>
  <si>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</si>
  <si>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</si>
  <si>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</si>
  <si>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</si>
  <si>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</si>
  <si>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</si>
  <si>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</si>
  <si>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</si>
  <si>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</si>
  <si>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</si>
  <si>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</si>
  <si>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</si>
  <si>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</si>
  <si>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</si>
  <si>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</si>
  <si>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</si>
  <si>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</si>
  <si>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</si>
  <si>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</si>
  <si>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</si>
  <si>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</si>
  <si>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</si>
  <si>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</si>
  <si>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</si>
  <si>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</si>
  <si>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</si>
  <si>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</si>
  <si>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</si>
  <si>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</si>
  <si>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</si>
  <si>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</si>
  <si>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</si>
  <si>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</si>
  <si>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</si>
  <si>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</si>
  <si>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</si>
  <si>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</si>
  <si>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</si>
  <si>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</si>
  <si>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</si>
  <si>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</si>
  <si>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</si>
  <si>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</si>
  <si>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</si>
  <si>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</si>
  <si>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</si>
  <si>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</si>
  <si>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</si>
  <si>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</si>
  <si>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</si>
  <si>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</si>
  <si>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</si>
  <si>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</si>
  <si>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</si>
  <si>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</si>
  <si>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</si>
  <si>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</si>
  <si>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</si>
  <si>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</si>
  <si>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</si>
  <si>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</si>
  <si>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</si>
  <si>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</si>
  <si>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</si>
  <si>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</si>
  <si>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</si>
  <si>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</si>
  <si>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</si>
  <si>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FALSE</t>
  </si>
  <si>
    <t>TRUE</t>
  </si>
  <si>
    <t>Sum of backers_count</t>
  </si>
  <si>
    <t>Count of staff_pick</t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</si>
  <si>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</si>
  <si>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</si>
  <si>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</si>
  <si>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</si>
  <si>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</si>
  <si>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</si>
  <si>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</si>
  <si>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</si>
  <si>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</si>
  <si>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</si>
  <si>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</si>
  <si>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</si>
  <si>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</si>
  <si>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</si>
  <si>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</si>
  <si>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</si>
  <si>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</si>
  <si>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</t>
    </r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</si>
  <si>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</si>
  <si>
    <t>Average Successful %</t>
  </si>
  <si>
    <r>
      <rPr>
        <b/>
        <sz val="18"/>
        <color theme="0"/>
        <rFont val="Calibri"/>
        <family val="2"/>
        <scheme val="minor"/>
      </rPr>
      <t>Great Britian Outcomes Based on Goals: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</si>
  <si>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r>
      <t xml:space="preserve">United States Outcomes Based on Goals: </t>
    </r>
    <r>
      <rPr>
        <b/>
        <sz val="18"/>
        <color theme="7"/>
        <rFont val="Calibri"/>
        <family val="2"/>
        <scheme val="minor"/>
      </rPr>
      <t>Plays</t>
    </r>
  </si>
  <si>
    <r>
      <t xml:space="preserve">Campaign Pledge Distribution by Country: </t>
    </r>
    <r>
      <rPr>
        <b/>
        <sz val="14"/>
        <color theme="7"/>
        <rFont val="Calibri"/>
        <family val="2"/>
        <scheme val="minor"/>
      </rPr>
      <t>Plays</t>
    </r>
  </si>
  <si>
    <r>
      <rPr>
        <b/>
        <i/>
        <sz val="14"/>
        <color theme="0"/>
        <rFont val="Calibri"/>
        <family val="2"/>
        <scheme val="minor"/>
      </rP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</si>
</sst>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u/>
      <sz val="20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sz val="14"/>
      <color theme="7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</fills>
  <borders count="1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4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10" fontId="26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10" fontId="6" fillId="15" borderId="12" xfId="0" applyNumberFormat="1" applyFont="1" applyFill="1" applyBorder="1"/>
    <xf numFmtId="10" fontId="21" fillId="2" borderId="12" xfId="0" applyNumberFormat="1" applyFont="1" applyFill="1" applyBorder="1"/>
    <xf numFmtId="10" fontId="7" fillId="15" borderId="15" xfId="0" applyNumberFormat="1" applyFont="1" applyFill="1" applyBorder="1"/>
    <xf numFmtId="0" fontId="9" fillId="14" borderId="12" xfId="0" applyFont="1" applyFill="1" applyBorder="1"/>
    <xf numFmtId="0" fontId="4" fillId="0" borderId="0" xfId="0" applyFont="1" applyFill="1" applyBorder="1" applyAlignment="1">
      <alignment horizontal="center" vertical="center"/>
    </xf>
    <xf numFmtId="10" fontId="4" fillId="0" borderId="0" xfId="0" applyNumberFormat="1" applyFont="1" applyFill="1" applyBorder="1" applyAlignment="1">
      <alignment horizontal="center" vertical="center"/>
    </xf>
    <xf numFmtId="10" fontId="6" fillId="0" borderId="0" xfId="0" applyNumberFormat="1" applyFont="1" applyFill="1" applyBorder="1"/>
    <xf numFmtId="0" fontId="30" fillId="3" borderId="0" xfId="0" applyFont="1" applyFill="1" applyAlignment="1">
      <alignment horizontal="center" vertical="center"/>
    </xf>
    <xf numFmtId="10" fontId="9" fillId="14" borderId="15" xfId="0" applyNumberFormat="1" applyFont="1" applyFill="1" applyBorder="1"/>
    <xf numFmtId="0" fontId="10" fillId="14" borderId="0" xfId="0" applyFont="1" applyFill="1" applyAlignment="1">
      <alignment horizontal="center"/>
    </xf>
    <xf numFmtId="0" fontId="31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15" fillId="14" borderId="0" xfId="0" applyFont="1" applyFill="1" applyAlignment="1">
      <alignment horizontal="center"/>
    </xf>
    <xf numFmtId="0" fontId="17" fillId="14" borderId="0" xfId="0" applyFont="1" applyFill="1" applyBorder="1" applyAlignment="1">
      <alignment horizontal="center" vertical="center"/>
    </xf>
    <xf numFmtId="0" fontId="28" fillId="3" borderId="0" xfId="0" applyFont="1" applyFill="1" applyAlignment="1">
      <alignment horizontal="center"/>
    </xf>
    <xf numFmtId="10" fontId="27" fillId="3" borderId="0" xfId="0" applyNumberFormat="1" applyFont="1" applyFill="1" applyAlignment="1">
      <alignment horizontal="center"/>
    </xf>
    <xf numFmtId="0" fontId="27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0" fontId="26" fillId="3" borderId="0" xfId="0" applyNumberFormat="1" applyFont="1" applyFill="1" applyAlignment="1">
      <alignment horizontal="center" vertical="top"/>
    </xf>
  </cellXfs>
  <cellStyles count="2">
    <cellStyle name="Normal" xfId="0" builtinId="0"/>
    <cellStyle name="Percent" xfId="1" builtinId="5"/>
  </cellStyles>
  <dxfs count="186"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1F4E78"/>
      <color rgb="FF4472C4"/>
      <color rgb="FF8DA9DB"/>
      <color rgb="FFBDD7EE"/>
      <color rgb="FF59ABE3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MX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MX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706291410725185"/>
          <c:y val="8.965517241379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3201924372"/>
          <c:y val="7.3757644672546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live</c:v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0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1"/>
                    <c:pt idx="0">
                      <c:v>plays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1-C1ED-4DD4-A567-528D567578DB}"/>
                  </c:ext>
                </c:extLst>
              </c15:ser>
            </c15:filteredBarSeries>
          </c:ext>
        </c:extLst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0.76795580110497241</c:v>
              </c:pt>
              <c:pt idx="1">
                <c:v>0.7142857142857143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0.70370370370370372</c:v>
              </c:pt>
              <c:pt idx="10">
                <c:v>0</c:v>
              </c:pt>
              <c:pt idx="11">
                <c:v>0.85227272727272729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14A4-4E87-8BF5-1E0C608F6737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0.23204419889502761</c:v>
              </c:pt>
              <c:pt idx="1">
                <c:v>0.2857142857142857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0.29629629629629628</c:v>
              </c:pt>
              <c:pt idx="10">
                <c:v>1</c:v>
              </c:pt>
              <c:pt idx="11">
                <c:v>0.14772727272727273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14A4-4E87-8BF5-1E0C608F6737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4A4-4E87-8BF5-1E0C608F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6096"/>
        <c:axId val="794634432"/>
      </c:lineChart>
      <c:catAx>
        <c:axId val="7946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4432"/>
        <c:crosses val="autoZero"/>
        <c:auto val="1"/>
        <c:lblAlgn val="ctr"/>
        <c:lblOffset val="100"/>
        <c:noMultiLvlLbl val="0"/>
      </c:catAx>
      <c:valAx>
        <c:axId val="794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</a:t>
            </a:r>
            <a:r>
              <a:rPr lang="en-US" baseline="0"/>
              <a:t> States </a:t>
            </a:r>
            <a:r>
              <a:rPr lang="en-US"/>
              <a:t>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0.70937499999999998</c:v>
              </c:pt>
              <c:pt idx="1">
                <c:v>0.54385964912280704</c:v>
              </c:pt>
              <c:pt idx="2">
                <c:v>0.5</c:v>
              </c:pt>
              <c:pt idx="3">
                <c:v>0.5</c:v>
              </c:pt>
              <c:pt idx="4">
                <c:v>0.33333333333333331</c:v>
              </c:pt>
              <c:pt idx="5">
                <c:v>0.5</c:v>
              </c:pt>
              <c:pt idx="6">
                <c:v>0.8</c:v>
              </c:pt>
              <c:pt idx="7">
                <c:v>0.66666666666666663</c:v>
              </c:pt>
              <c:pt idx="8">
                <c:v>0</c:v>
              </c:pt>
              <c:pt idx="9">
                <c:v>0.5078125</c:v>
              </c:pt>
              <c:pt idx="10">
                <c:v>7.6923076923076927E-2</c:v>
              </c:pt>
              <c:pt idx="11">
                <c:v>0.67441860465116277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60-45CB-8F2C-1AF956264581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0.29062500000000002</c:v>
              </c:pt>
              <c:pt idx="1">
                <c:v>0.45614035087719296</c:v>
              </c:pt>
              <c:pt idx="2">
                <c:v>0.5</c:v>
              </c:pt>
              <c:pt idx="3">
                <c:v>0.5</c:v>
              </c:pt>
              <c:pt idx="4">
                <c:v>0.66666666666666663</c:v>
              </c:pt>
              <c:pt idx="5">
                <c:v>0.5</c:v>
              </c:pt>
              <c:pt idx="6">
                <c:v>0.2</c:v>
              </c:pt>
              <c:pt idx="7">
                <c:v>0.33333333333333331</c:v>
              </c:pt>
              <c:pt idx="8">
                <c:v>1</c:v>
              </c:pt>
              <c:pt idx="9">
                <c:v>0.4921875</c:v>
              </c:pt>
              <c:pt idx="10">
                <c:v>0.92307692307692313</c:v>
              </c:pt>
              <c:pt idx="11">
                <c:v>0.32558139534883723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60-45CB-8F2C-1AF956264581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60-45CB-8F2C-1AF95626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22896"/>
        <c:axId val="879019568"/>
      </c:lineChart>
      <c:catAx>
        <c:axId val="87902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  <a:r>
                  <a:rPr lang="en-US" sz="1200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9568"/>
        <c:crosses val="autoZero"/>
        <c:auto val="1"/>
        <c:lblAlgn val="ctr"/>
        <c:lblOffset val="100"/>
        <c:noMultiLvlLbl val="0"/>
      </c:catAx>
      <c:valAx>
        <c:axId val="879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Percentage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GB'!$M$5:$M$6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GB'!$M$7:$M$19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3-48D0-ADAA-29DA650E93F1}"/>
            </c:ext>
          </c:extLst>
        </c:ser>
        <c:ser>
          <c:idx val="1"/>
          <c:order val="1"/>
          <c:tx>
            <c:strRef>
              <c:f>'Play Monthly Outcome - US vs GB'!$N$5:$N$6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GB'!$N$7:$N$19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23-48D0-ADAA-29DA650E93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count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Great Britain Staff Pick Outcome Counts: 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5DA-4D0B-8C8C-32082FC534F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5DA-4D0B-8C8C-32082FC534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5DA-4D0B-8C8C-32082FC534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DA-4D0B-8C8C-32082FC5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185</xdr:rowOff>
    </xdr:from>
    <xdr:to>
      <xdr:col>10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295563</xdr:colOff>
      <xdr:row>0</xdr:row>
      <xdr:rowOff>0</xdr:rowOff>
    </xdr:from>
    <xdr:to>
      <xdr:col>18</xdr:col>
      <xdr:colOff>153865</xdr:colOff>
      <xdr:row>25</xdr:row>
      <xdr:rowOff>7326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0.03861</cdr:x>
      <cdr:y>0.80808</cdr:y>
    </cdr:from>
    <cdr:to>
      <cdr:x>0.43771</cdr:x>
      <cdr:y>0.83718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34566" y="4108992"/>
          <a:ext cx="3458294" cy="147949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0.03777</cdr:x>
      <cdr:y>0.84993</cdr:y>
    </cdr:from>
    <cdr:to>
      <cdr:x>0.84696</cdr:x>
      <cdr:y>0.87896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27287" y="4321795"/>
          <a:ext cx="7011804" cy="147628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10</xdr:col>
      <xdr:colOff>2116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71D9-07AB-B44A-F286-9BFFBA17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523875</xdr:colOff>
      <xdr:row>0</xdr:row>
      <xdr:rowOff>66675</xdr:rowOff>
    </xdr:from>
    <xdr:to>
      <xdr:col>4</xdr:col>
      <xdr:colOff>723900</xdr:colOff>
      <xdr:row>0</xdr:row>
      <xdr:rowOff>276384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5AC6B0-DC86-3126-C255-25DDA9CC1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66675"/>
          <a:ext cx="200025" cy="209709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0.94158</cdr:x>
      <cdr:y>0.04568</cdr:y>
    </cdr:from>
    <cdr:to>
      <cdr:x>0.98514</cdr:x>
      <cdr:y>0.16491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AAA8FEAE-CC69-4E79-BD84-D2009E81B8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461750" y="203200"/>
          <a:ext cx="530352" cy="530352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14</xdr:row>
      <xdr:rowOff>14286</xdr:rowOff>
    </xdr:from>
    <xdr:to>
      <xdr:col>10</xdr:col>
      <xdr:colOff>0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1003-2740-CBA5-3E21-BE945675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504825</xdr:colOff>
      <xdr:row>0</xdr:row>
      <xdr:rowOff>57150</xdr:rowOff>
    </xdr:from>
    <xdr:to>
      <xdr:col>4</xdr:col>
      <xdr:colOff>708197</xdr:colOff>
      <xdr:row>0</xdr:row>
      <xdr:rowOff>276225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564E0-F9F2-5186-C4D1-5C3707EB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57150"/>
          <a:ext cx="203372" cy="219075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0.93964</cdr:x>
      <cdr:y>0.05525</cdr:y>
    </cdr:from>
    <cdr:to>
      <cdr:x>0.98234</cdr:x>
      <cdr:y>0.17739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3DA5769-6AB5-D9BB-730D-BC72B5D851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737975" y="241300"/>
          <a:ext cx="533400" cy="533400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4057650"/>
              <a:ext cx="8753475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3203" y="4079501"/>
              <a:ext cx="8138272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7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85">
      <pivotArea field="18" type="button" dataOnly="0" labelOnly="1" outline="0" axis="axisRow" fieldPosition="0"/>
    </format>
    <format dxfId="184">
      <pivotArea dataOnly="0" labelOnly="1" fieldPosition="0">
        <references count="1">
          <reference field="5" count="0"/>
        </references>
      </pivotArea>
    </format>
    <format dxfId="183">
      <pivotArea dataOnly="0" labelOnly="1" grandCol="1" outline="0" fieldPosition="0"/>
    </format>
    <format dxfId="182">
      <pivotArea outline="0" collapsedLevelsAreSubtotals="1" fieldPosition="0"/>
    </format>
    <format dxfId="18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0">
      <pivotArea dataOnly="0" labelOnly="1" grandRow="1" outline="0" fieldPosition="0"/>
    </format>
    <format dxfId="179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D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5"/>
    </i>
    <i>
      <x v="14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66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67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78">
      <pivotArea field="14" type="button" dataOnly="0" labelOnly="1" outline="0" axis="axisRow" fieldPosition="0"/>
    </format>
    <format dxfId="177">
      <pivotArea dataOnly="0" labelOnly="1" fieldPosition="0">
        <references count="1">
          <reference field="5" count="0"/>
        </references>
      </pivotArea>
    </format>
    <format dxfId="176">
      <pivotArea dataOnly="0" labelOnly="1" grandCol="1" outline="0" fieldPosition="0"/>
    </format>
    <format dxfId="175">
      <pivotArea outline="0" collapsedLevelsAreSubtotals="1" fieldPosition="0"/>
    </format>
    <format dxfId="174">
      <pivotArea dataOnly="0" labelOnly="1" fieldPosition="0">
        <references count="1">
          <reference field="14" count="0"/>
        </references>
      </pivotArea>
    </format>
    <format dxfId="173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72">
      <pivotArea outline="0" collapsedLevelsAreSubtotals="1" fieldPosition="0"/>
    </format>
    <format dxfId="171">
      <pivotArea collapsedLevelsAreSubtotals="1" fieldPosition="0">
        <references count="1">
          <reference field="9" count="1">
            <x v="20"/>
          </reference>
        </references>
      </pivotArea>
    </format>
    <format dxfId="170">
      <pivotArea collapsedLevelsAreSubtotals="1" fieldPosition="0">
        <references count="1">
          <reference field="9" count="1">
            <x v="9"/>
          </reference>
        </references>
      </pivotArea>
    </format>
    <format dxfId="169">
      <pivotArea dataOnly="0" labelOnly="1" fieldPosition="0">
        <references count="1">
          <reference field="9" count="1">
            <x v="9"/>
          </reference>
        </references>
      </pivotArea>
    </format>
    <format dxfId="168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L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157">
      <pivotArea type="all" dataOnly="0" outline="0" fieldPosition="0"/>
    </format>
    <format dxfId="156">
      <pivotArea outline="0" collapsedLevelsAreSubtotals="1" fieldPosition="0"/>
    </format>
    <format dxfId="155">
      <pivotArea type="origin" dataOnly="0" labelOnly="1" outline="0" fieldPosition="0"/>
    </format>
    <format dxfId="154">
      <pivotArea field="5" type="button" dataOnly="0" labelOnly="1" outline="0" axis="axisCol" fieldPosition="0"/>
    </format>
    <format dxfId="153">
      <pivotArea type="topRight" dataOnly="0" labelOnly="1" outline="0" fieldPosition="0"/>
    </format>
    <format dxfId="152">
      <pivotArea field="15" type="button" dataOnly="0" labelOnly="1" outline="0" axis="axisRow" fieldPosition="0"/>
    </format>
    <format dxfId="151">
      <pivotArea dataOnly="0" labelOnly="1" fieldPosition="0">
        <references count="1">
          <reference field="15" count="0"/>
        </references>
      </pivotArea>
    </format>
    <format dxfId="150">
      <pivotArea dataOnly="0" labelOnly="1" grandRow="1" outline="0" fieldPosition="0"/>
    </format>
    <format dxfId="14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48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E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167">
      <pivotArea type="all" dataOnly="0" outline="0" fieldPosition="0"/>
    </format>
    <format dxfId="166">
      <pivotArea outline="0" collapsedLevelsAreSubtotals="1" fieldPosition="0"/>
    </format>
    <format dxfId="165">
      <pivotArea type="origin" dataOnly="0" labelOnly="1" outline="0" fieldPosition="0"/>
    </format>
    <format dxfId="164">
      <pivotArea field="5" type="button" dataOnly="0" labelOnly="1" outline="0" axis="axisCol" fieldPosition="0"/>
    </format>
    <format dxfId="163">
      <pivotArea type="topRight" dataOnly="0" labelOnly="1" outline="0" fieldPosition="0"/>
    </format>
    <format dxfId="162">
      <pivotArea field="15" type="button" dataOnly="0" labelOnly="1" outline="0" axis="axisRow" fieldPosition="0"/>
    </format>
    <format dxfId="161">
      <pivotArea dataOnly="0" labelOnly="1" fieldPosition="0">
        <references count="1">
          <reference field="15" count="0"/>
        </references>
      </pivotArea>
    </format>
    <format dxfId="160">
      <pivotArea dataOnly="0" labelOnly="1" grandRow="1" outline="0" fieldPosition="0"/>
    </format>
    <format dxfId="15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58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L5:O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5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16" type="button" dataOnly="0" labelOnly="1" outline="0" axis="axisRow" fieldPosition="0"/>
    </format>
    <format dxfId="12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20">
      <pivotArea dataOnly="0" labelOnly="1" grandCol="1" outline="0" fieldPosition="0"/>
    </format>
    <format dxfId="11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18">
      <pivotArea dataOnly="0" labelOnly="1" grandCol="1" outline="0" fieldPosition="0"/>
    </format>
    <format dxfId="117">
      <pivotArea collapsedLevelsAreSubtotals="1" fieldPosition="0">
        <references count="1">
          <reference field="16" count="1">
            <x v="11"/>
          </reference>
        </references>
      </pivotArea>
    </format>
    <format dxfId="116">
      <pivotArea dataOnly="0" labelOnly="1" fieldPosition="0">
        <references count="1">
          <reference field="16" count="1">
            <x v="11"/>
          </reference>
        </references>
      </pivotArea>
    </format>
    <format dxfId="115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114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11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112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147">
      <pivotArea type="all" dataOnly="0" outline="0" fieldPosition="0"/>
    </format>
    <format dxfId="146">
      <pivotArea outline="0" collapsedLevelsAreSubtotals="1" fieldPosition="0"/>
    </format>
    <format dxfId="145">
      <pivotArea type="origin" dataOnly="0" labelOnly="1" outline="0" fieldPosition="0"/>
    </format>
    <format dxfId="144">
      <pivotArea field="5" type="button" dataOnly="0" labelOnly="1" outline="0" axis="axisCol" fieldPosition="0"/>
    </format>
    <format dxfId="143">
      <pivotArea type="topRight" dataOnly="0" labelOnly="1" outline="0" fieldPosition="0"/>
    </format>
    <format dxfId="142">
      <pivotArea field="16" type="button" dataOnly="0" labelOnly="1" outline="0" axis="axisRow" fieldPosition="0"/>
    </format>
    <format dxfId="141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0">
      <pivotArea dataOnly="0" labelOnly="1" grandRow="1" outline="0" fieldPosition="0"/>
    </format>
    <format dxfId="13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38">
      <pivotArea dataOnly="0" labelOnly="1" grandCol="1" outline="0" fieldPosition="0"/>
    </format>
    <format dxfId="137">
      <pivotArea collapsedLevelsAreSubtotals="1" fieldPosition="0">
        <references count="1">
          <reference field="16" count="1">
            <x v="1"/>
          </reference>
        </references>
      </pivotArea>
    </format>
    <format dxfId="136">
      <pivotArea dataOnly="0" labelOnly="1" fieldPosition="0">
        <references count="1">
          <reference field="16" count="1">
            <x v="1"/>
          </reference>
        </references>
      </pivotArea>
    </format>
    <format dxfId="135">
      <pivotArea collapsedLevelsAreSubtotals="1" fieldPosition="0">
        <references count="1">
          <reference field="16" count="1">
            <x v="5"/>
          </reference>
        </references>
      </pivotArea>
    </format>
    <format dxfId="134">
      <pivotArea dataOnly="0" labelOnly="1" fieldPosition="0">
        <references count="1">
          <reference field="16" count="1">
            <x v="5"/>
          </reference>
        </references>
      </pivotArea>
    </format>
    <format dxfId="133">
      <pivotArea collapsedLevelsAreSubtotals="1" fieldPosition="0">
        <references count="1">
          <reference field="16" count="1">
            <x v="11"/>
          </reference>
        </references>
      </pivotArea>
    </format>
    <format dxfId="132">
      <pivotArea dataOnly="0" labelOnly="1" fieldPosition="0">
        <references count="1">
          <reference field="16" count="1">
            <x v="11"/>
          </reference>
        </references>
      </pivotArea>
    </format>
    <format dxfId="13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3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16" type="button" dataOnly="0" labelOnly="1" outline="0" axis="axisRow" fieldPosition="0"/>
    </format>
    <format dxfId="94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field="16" type="button" dataOnly="0" labelOnly="1" outline="0" axis="axisRow" fieldPosition="0"/>
    </format>
    <format dxfId="90">
      <pivotArea dataOnly="0" labelOnly="1" outline="0" axis="axisValues" fieldPosition="0"/>
    </format>
    <format dxfId="89">
      <pivotArea collapsedLevelsAreSubtotals="1" fieldPosition="0">
        <references count="1">
          <reference field="16" count="1">
            <x v="11"/>
          </reference>
        </references>
      </pivotArea>
    </format>
    <format dxfId="88">
      <pivotArea dataOnly="0" labelOnly="1" fieldPosition="0">
        <references count="1">
          <reference field="16" count="1">
            <x v="11"/>
          </reference>
        </references>
      </pivotArea>
    </format>
    <format dxfId="87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86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16" type="button" dataOnly="0" labelOnly="1" outline="0" axis="axisRow" fieldPosition="0"/>
    </format>
    <format dxfId="108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7">
      <pivotArea dataOnly="0" labelOnly="1" grandRow="1" outline="0" fieldPosition="0"/>
    </format>
    <format dxfId="106">
      <pivotArea dataOnly="0" labelOnly="1" outline="0" axis="axisValues" fieldPosition="0"/>
    </format>
    <format dxfId="105">
      <pivotArea dataOnly="0" labelOnly="1" outline="0" axis="axisValues" fieldPosition="0"/>
    </format>
    <format dxfId="104">
      <pivotArea field="16" type="button" dataOnly="0" labelOnly="1" outline="0" axis="axisRow" fieldPosition="0"/>
    </format>
    <format dxfId="103">
      <pivotArea collapsedLevelsAreSubtotals="1" fieldPosition="0">
        <references count="1">
          <reference field="16" count="1">
            <x v="5"/>
          </reference>
        </references>
      </pivotArea>
    </format>
    <format dxfId="102">
      <pivotArea dataOnly="0" labelOnly="1" fieldPosition="0">
        <references count="1">
          <reference field="16" count="1">
            <x v="5"/>
          </reference>
        </references>
      </pivotArea>
    </format>
    <format dxfId="101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100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99">
      <pivotArea collapsedLevelsAreSubtotals="1" fieldPosition="0">
        <references count="1">
          <reference field="16" count="1">
            <x v="10"/>
          </reference>
        </references>
      </pivotArea>
    </format>
    <format dxfId="98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77">
      <pivotArea grandRow="1" outline="0" collapsedLevelsAreSubtotals="1" fieldPosition="0"/>
    </format>
    <format dxfId="76">
      <pivotArea dataOnly="0" labelOnly="1" grandRow="1" outline="0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11" type="button" dataOnly="0" labelOnly="1" outline="0" axis="axisRow" fieldPosition="0"/>
    </format>
    <format dxfId="72">
      <pivotArea dataOnly="0" labelOnly="1" fieldPosition="0">
        <references count="1">
          <reference field="11" count="0"/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6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68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11" type="button" dataOnly="0" labelOnly="1" outline="0" axis="axisRow" fieldPosition="0"/>
    </format>
    <format dxfId="82">
      <pivotArea dataOnly="0" labelOnly="1" fieldPosition="0">
        <references count="1">
          <reference field="11" count="0"/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7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78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4" sqref="G4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7" priority="10" operator="equal">
      <formula>"live"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L1:L4115">
    <cfRule type="cellIs" dxfId="1" priority="2" operator="equal">
      <formula>FALSE</formula>
    </cfRule>
    <cfRule type="cellIs" dxfId="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Normal="100" workbookViewId="0">
      <selection activeCell="A11" sqref="A11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38"/>
      <c r="C1" s="132" t="s">
        <v>8408</v>
      </c>
      <c r="D1" s="132"/>
      <c r="E1" s="132"/>
      <c r="F1" s="132"/>
      <c r="G1" s="132"/>
      <c r="H1" s="132"/>
      <c r="I1" s="132"/>
      <c r="J1" s="132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COUNTIFS(Kickstarter!$D:$D,"&lt;1000",Kickstarter!$F:$F,"successful",Kickstarter!$P:$P,"plays")</f>
        <v>141</v>
      </c>
      <c r="E3" s="40">
        <f>COUNTIFS(Kickstarter!$D:$D,"&lt;1000",Kickstarter!$F:$F,"failed",Kickstarter!$P:$P,"plays")</f>
        <v>45</v>
      </c>
      <c r="F3" s="41">
        <f>COUNTIFS(Kickstarter!$D:$D,"&lt;1000",Kickstarter!$F:$F,"canceled",Kickstarter!$P:$P,"plays")</f>
        <v>0</v>
      </c>
      <c r="G3" s="42">
        <f>SUM(D3:F3)</f>
        <v>186</v>
      </c>
      <c r="H3" s="43">
        <f t="shared" ref="H3:H14" si="0">$D3/$G3</f>
        <v>0.75806451612903225</v>
      </c>
      <c r="I3" s="43">
        <f t="shared" ref="I3:I14" si="1">$E3/$G3</f>
        <v>0.24193548387096775</v>
      </c>
      <c r="J3" s="43">
        <f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"&lt;=4999",Kickstarter!$P:$P,"plays")</f>
        <v>388</v>
      </c>
      <c r="E4" s="40">
        <f>COUNTIFS(Kickstarter!$D:$D,"&gt;=1000",Kickstarter!$F:$F,"failed",Kickstarter!$D:$D, "&lt;=4999",Kickstarter!$P:$P,"plays")</f>
        <v>146</v>
      </c>
      <c r="F4" s="41">
        <f>COUNTIFS(Kickstarter!$D:$D,"&gt;=1000",Kickstarter!$F:$F,"canceled",Kickstarter!$D:$D, "&lt;=4999",Kickstarter!$P:$P,"plays")</f>
        <v>0</v>
      </c>
      <c r="G4" s="42">
        <f t="shared" ref="G4:G14" si="2">SUM(D4:F4)</f>
        <v>534</v>
      </c>
      <c r="H4" s="43">
        <f t="shared" si="0"/>
        <v>0.72659176029962547</v>
      </c>
      <c r="I4" s="43">
        <f t="shared" si="1"/>
        <v>0.27340823970037453</v>
      </c>
      <c r="J4" s="43">
        <f>IFERROR($F4/$G4,0)</f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"&lt;=9999",Kickstarter!$P:$P,"plays")</f>
        <v>93</v>
      </c>
      <c r="E5" s="40">
        <f>COUNTIFS(Kickstarter!$D:$D,"&gt;=5000",Kickstarter!$F:$F,"failed",Kickstarter!$D:$D, "&lt;=9999",Kickstarter!$P:$P,"plays")</f>
        <v>76</v>
      </c>
      <c r="F5" s="41">
        <f>COUNTIFS(Kickstarter!$D:$D,"&gt;=5000",Kickstarter!$F:$F,"canceled",Kickstarter!$D:$D, "&lt;=9999",Kickstarter!$P:$P,"plays")</f>
        <v>0</v>
      </c>
      <c r="G5" s="42">
        <f t="shared" si="2"/>
        <v>169</v>
      </c>
      <c r="H5" s="43">
        <f t="shared" si="0"/>
        <v>0.55029585798816572</v>
      </c>
      <c r="I5" s="43">
        <f t="shared" si="1"/>
        <v>0.44970414201183434</v>
      </c>
      <c r="J5" s="43">
        <f t="shared" ref="J5:J14" si="3">IFERROR($F5/$G5,0)</f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"&lt;=14999",Kickstarter!$P:$P,"plays")</f>
        <v>39</v>
      </c>
      <c r="E6" s="40">
        <f>COUNTIFS(Kickstarter!$D:$D,"&gt;=10000",Kickstarter!$F:$F,"failed",Kickstarter!$D:$D, "&lt;=14999",Kickstarter!$P:$P,"plays")</f>
        <v>33</v>
      </c>
      <c r="F6" s="41">
        <f>COUNTIFS(Kickstarter!$D:$D,"&gt;=10000",Kickstarter!$F:$F,"canceled",Kickstarter!$D:$D, "&lt;=14999",Kickstarter!$P:$P,"plays")</f>
        <v>0</v>
      </c>
      <c r="G6" s="42">
        <f t="shared" si="2"/>
        <v>72</v>
      </c>
      <c r="H6" s="43">
        <f t="shared" si="0"/>
        <v>0.54166666666666663</v>
      </c>
      <c r="I6" s="43">
        <f t="shared" si="1"/>
        <v>0.45833333333333331</v>
      </c>
      <c r="J6" s="43">
        <f t="shared" si="3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"&lt;=19999",Kickstarter!$P:$P,"plays")</f>
        <v>12</v>
      </c>
      <c r="E7" s="40">
        <f>COUNTIFS(Kickstarter!$D:$D,"&gt;=15000",Kickstarter!$F:$F,"failed",Kickstarter!$D:$D, "&lt;=19999",Kickstarter!$P:$P,"plays")</f>
        <v>12</v>
      </c>
      <c r="F7" s="41">
        <f>COUNTIFS(Kickstarter!$D:$D,"&gt;=15000",Kickstarter!$F:$F,"canceled",Kickstarter!$D:$D, "&lt;=19999",Kickstarter!$P:$P,"plays")</f>
        <v>0</v>
      </c>
      <c r="G7" s="42">
        <f t="shared" si="2"/>
        <v>24</v>
      </c>
      <c r="H7" s="43">
        <f t="shared" si="0"/>
        <v>0.5</v>
      </c>
      <c r="I7" s="43">
        <f t="shared" si="1"/>
        <v>0.5</v>
      </c>
      <c r="J7" s="43">
        <f t="shared" si="3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"&lt;=24999",Kickstarter!$P:$P,"plays")</f>
        <v>9</v>
      </c>
      <c r="E8" s="40">
        <f>COUNTIFS(Kickstarter!$D:$D,"&gt;=20000",Kickstarter!$F:$F,"failed",Kickstarter!$D:$D, "&lt;=24999",Kickstarter!$P:$P,"plays")</f>
        <v>11</v>
      </c>
      <c r="F8" s="41">
        <f>COUNTIFS(Kickstarter!$D:$D,"&gt;=20000",Kickstarter!$F:$F,"canceled",Kickstarter!$D:$D, "&lt;=24999",Kickstarter!$P:$P,"plays")</f>
        <v>0</v>
      </c>
      <c r="G8" s="42">
        <f t="shared" si="2"/>
        <v>20</v>
      </c>
      <c r="H8" s="43">
        <f t="shared" si="0"/>
        <v>0.45</v>
      </c>
      <c r="I8" s="43">
        <f t="shared" si="1"/>
        <v>0.55000000000000004</v>
      </c>
      <c r="J8" s="43">
        <f>IFERROR($F8/$G8,0)</f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"&lt;=29999",Kickstarter!$P:$P,"plays")</f>
        <v>1</v>
      </c>
      <c r="E9" s="40">
        <f>COUNTIFS(Kickstarter!$D:$D,"&gt;=25000",Kickstarter!$F:$F,"failed",Kickstarter!$D:$D, "&lt;=29999",Kickstarter!$P:$P,"plays")</f>
        <v>4</v>
      </c>
      <c r="F9" s="41">
        <f>COUNTIFS(Kickstarter!$D:$D,"&gt;=25000",Kickstarter!$F:$F,"canceled",Kickstarter!$D:$D, "&lt;=29999",Kickstarter!$P:$P,"plays")</f>
        <v>0</v>
      </c>
      <c r="G9" s="42">
        <f t="shared" si="2"/>
        <v>5</v>
      </c>
      <c r="H9" s="43">
        <f t="shared" si="0"/>
        <v>0.2</v>
      </c>
      <c r="I9" s="43">
        <f t="shared" si="1"/>
        <v>0.8</v>
      </c>
      <c r="J9" s="43">
        <f t="shared" si="3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"&lt;=34999",Kickstarter!$P:$P,"plays")</f>
        <v>3</v>
      </c>
      <c r="E10" s="40">
        <f>COUNTIFS(Kickstarter!$D:$D,"&gt;=30000",Kickstarter!$F:$F,"failed",Kickstarter!$D:$D, "&lt;=34999",Kickstarter!$P:$P,"plays")</f>
        <v>8</v>
      </c>
      <c r="F10" s="41">
        <f>COUNTIFS(Kickstarter!$D:$D,"&gt;=30000",Kickstarter!$F:$F,"canceled",Kickstarter!$D:$D, "&lt;=34999",Kickstarter!$P:$P,"plays")</f>
        <v>0</v>
      </c>
      <c r="G10" s="42">
        <f t="shared" si="2"/>
        <v>11</v>
      </c>
      <c r="H10" s="43">
        <f t="shared" si="0"/>
        <v>0.27272727272727271</v>
      </c>
      <c r="I10" s="43">
        <f t="shared" si="1"/>
        <v>0.72727272727272729</v>
      </c>
      <c r="J10" s="43">
        <f t="shared" si="3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"&lt;=39999",Kickstarter!$P:$P,"plays")</f>
        <v>4</v>
      </c>
      <c r="E11" s="40">
        <f>COUNTIFS(Kickstarter!$D:$D,"&gt;=35000",Kickstarter!$F:$F,"failed",Kickstarter!$D:$D, "&lt;=39999",Kickstarter!$P:$P,"plays")</f>
        <v>2</v>
      </c>
      <c r="F11" s="41">
        <f>COUNTIFS(Kickstarter!$D:$D,"&gt;=35000",Kickstarter!$F:$F,"canceled",Kickstarter!$D:$D, "&lt;=39999",Kickstarter!$P:$P,"plays")</f>
        <v>0</v>
      </c>
      <c r="G11" s="42">
        <f t="shared" si="2"/>
        <v>6</v>
      </c>
      <c r="H11" s="43">
        <f t="shared" si="0"/>
        <v>0.66666666666666663</v>
      </c>
      <c r="I11" s="43">
        <f t="shared" si="1"/>
        <v>0.33333333333333331</v>
      </c>
      <c r="J11" s="43">
        <f t="shared" si="3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"&lt;=44999",Kickstarter!$P:$P,"plays")</f>
        <v>2</v>
      </c>
      <c r="E12" s="40">
        <f>COUNTIFS(Kickstarter!$D:$D,"&gt;=40000",Kickstarter!$F:$F,"failed",Kickstarter!$D:$D, "&lt;=44999",Kickstarter!$P:$P,"plays")</f>
        <v>1</v>
      </c>
      <c r="F12" s="41">
        <f>COUNTIFS(Kickstarter!$D:$D,"&gt;=40000",Kickstarter!$F:$F,"canceled",Kickstarter!$D:$D, "&lt;=44999",Kickstarter!$P:$P,"plays")</f>
        <v>0</v>
      </c>
      <c r="G12" s="42">
        <f t="shared" si="2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3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"&lt;=49999",Kickstarter!$P:$P,"plays")</f>
        <v>0</v>
      </c>
      <c r="E13" s="40">
        <f>COUNTIFS(Kickstarter!$D:$D,"&gt;=45000",Kickstarter!$F:$F,"failed",Kickstarter!$D:$D, "&lt;=49999",Kickstarter!$P:$P,"plays")</f>
        <v>1</v>
      </c>
      <c r="F13" s="41">
        <f>COUNTIFS(Kickstarter!$D:$D,"&gt;=45000",Kickstarter!$F:$F,"canceled",Kickstarter!$D:$D, "&lt;=49999",Kickstarter!$P:$P,"plays")</f>
        <v>0</v>
      </c>
      <c r="G13" s="42">
        <f t="shared" si="2"/>
        <v>1</v>
      </c>
      <c r="H13" s="43">
        <f t="shared" si="0"/>
        <v>0</v>
      </c>
      <c r="I13" s="43">
        <f t="shared" si="1"/>
        <v>1</v>
      </c>
      <c r="J13" s="43">
        <f t="shared" si="3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COUNTIFS(Kickstarter!$D:$D,"&gt;=50000",Kickstarter!$F:$F,"successful",Kickstarter!$P:$P,"plays")</f>
        <v>2</v>
      </c>
      <c r="E14" s="40">
        <f>COUNTIFS(Kickstarter!$D:$D,"&gt;=50000",Kickstarter!$F:$F,"failed",Kickstarter!$P:$P,"plays")</f>
        <v>14</v>
      </c>
      <c r="F14" s="41">
        <f>COUNTIFS(Kickstarter!$D:$D,"&gt;=50000",Kickstarter!$F:$F,"canceled",Kickstarter!$P:$P,"plays")</f>
        <v>0</v>
      </c>
      <c r="G14" s="42">
        <f t="shared" si="2"/>
        <v>16</v>
      </c>
      <c r="H14" s="43">
        <f t="shared" si="0"/>
        <v>0.125</v>
      </c>
      <c r="I14" s="43">
        <f t="shared" si="1"/>
        <v>0.875</v>
      </c>
      <c r="J14" s="43">
        <f t="shared" si="3"/>
        <v>0</v>
      </c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J25" sqref="J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4.57031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8409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133" t="s">
        <v>8426</v>
      </c>
      <c r="E3" s="133"/>
    </row>
    <row r="4" spans="1:22" ht="18" customHeight="1" x14ac:dyDescent="0.3">
      <c r="A4" s="72"/>
      <c r="B4" s="72"/>
      <c r="C4" s="72"/>
      <c r="D4" s="134">
        <f>AVERAGE(E7:E18)</f>
        <v>0.65633101058861787</v>
      </c>
      <c r="E4" s="135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26" t="s">
        <v>8412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25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25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25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25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25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25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25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25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25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25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25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25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131">
        <f t="shared" si="0"/>
        <v>0.6628462273161414</v>
      </c>
    </row>
    <row r="20" spans="1:5" x14ac:dyDescent="0.25">
      <c r="A20" s="72"/>
      <c r="B20" s="72"/>
      <c r="C20" s="72"/>
      <c r="D20" s="72"/>
      <c r="E20" s="72"/>
    </row>
  </sheetData>
  <mergeCells count="2">
    <mergeCell ref="D3:E3"/>
    <mergeCell ref="D4:E4"/>
  </mergeCells>
  <pageMargins left="0.7" right="0.7" top="0.75" bottom="0.75" header="0.3" footer="0.3"/>
  <drawing r:id="rId2"/>
  <picture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47ADC5B-DD89-48F7-8A4F-3975278EAE97}">
            <x14:iconSet iconSet="3Triangles">
              <x14:cfvo type="percent">
                <xm:f>0</xm:f>
              </x14:cfvo>
              <x14:cfvo type="formula">
                <xm:f>$D$4</xm:f>
              </x14:cfvo>
              <x14:cfvo type="formula">
                <xm:f>$D$4</xm:f>
              </x14:cfvo>
            </x14:iconSet>
          </x14:cfRule>
          <xm:sqref>E7:E18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19" ht="21" x14ac:dyDescent="0.35">
      <c r="A1" s="82" t="s">
        <v>8407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  <c r="E4" s="72"/>
    </row>
    <row r="5" spans="1:19" x14ac:dyDescent="0.25">
      <c r="A5" s="1" t="s">
        <v>8364</v>
      </c>
      <c r="B5" t="s">
        <v>8220</v>
      </c>
      <c r="C5" t="s">
        <v>8218</v>
      </c>
      <c r="D5" t="s">
        <v>8361</v>
      </c>
      <c r="E5" s="72"/>
    </row>
    <row r="6" spans="1:19" x14ac:dyDescent="0.25">
      <c r="A6" s="104" t="s">
        <v>8223</v>
      </c>
      <c r="B6" s="105">
        <v>250</v>
      </c>
      <c r="C6" s="105">
        <v>412</v>
      </c>
      <c r="D6" s="105">
        <v>662</v>
      </c>
      <c r="E6" s="72"/>
    </row>
    <row r="7" spans="1:19" x14ac:dyDescent="0.25">
      <c r="A7" s="104" t="s">
        <v>8224</v>
      </c>
      <c r="B7" s="105">
        <v>70</v>
      </c>
      <c r="C7" s="105">
        <v>238</v>
      </c>
      <c r="D7" s="105">
        <v>308</v>
      </c>
      <c r="E7" s="72"/>
    </row>
    <row r="8" spans="1:19" x14ac:dyDescent="0.25">
      <c r="A8" s="3" t="s">
        <v>8228</v>
      </c>
      <c r="B8" s="2">
        <v>8</v>
      </c>
      <c r="C8" s="2">
        <v>22</v>
      </c>
      <c r="D8" s="2">
        <v>30</v>
      </c>
      <c r="E8" s="72"/>
    </row>
    <row r="9" spans="1:19" x14ac:dyDescent="0.25">
      <c r="A9" s="3" t="s">
        <v>8225</v>
      </c>
      <c r="B9" s="2">
        <v>10</v>
      </c>
      <c r="C9" s="2">
        <v>5</v>
      </c>
      <c r="D9" s="2">
        <v>15</v>
      </c>
      <c r="E9" s="72"/>
    </row>
    <row r="10" spans="1:19" x14ac:dyDescent="0.25">
      <c r="A10" s="3" t="s">
        <v>8240</v>
      </c>
      <c r="B10" s="2">
        <v>3</v>
      </c>
      <c r="C10" s="2">
        <v>4</v>
      </c>
      <c r="D10" s="2">
        <v>7</v>
      </c>
      <c r="E10" s="72"/>
    </row>
    <row r="11" spans="1:19" x14ac:dyDescent="0.25">
      <c r="A11" s="3" t="s">
        <v>8235</v>
      </c>
      <c r="B11" s="2">
        <v>1</v>
      </c>
      <c r="C11" s="2">
        <v>3</v>
      </c>
      <c r="D11" s="2">
        <v>4</v>
      </c>
      <c r="E11" s="72"/>
    </row>
    <row r="12" spans="1:19" x14ac:dyDescent="0.25">
      <c r="A12" s="3" t="s">
        <v>8237</v>
      </c>
      <c r="B12" s="2">
        <v>4</v>
      </c>
      <c r="C12" s="2"/>
      <c r="D12" s="2">
        <v>4</v>
      </c>
      <c r="E12" s="72"/>
    </row>
    <row r="13" spans="1:19" x14ac:dyDescent="0.25">
      <c r="A13" s="3" t="s">
        <v>8232</v>
      </c>
      <c r="B13" s="2">
        <v>2</v>
      </c>
      <c r="C13" s="2"/>
      <c r="D13" s="2">
        <v>2</v>
      </c>
      <c r="E13" s="72"/>
    </row>
    <row r="14" spans="1:19" x14ac:dyDescent="0.25">
      <c r="A14" s="3" t="s">
        <v>8229</v>
      </c>
      <c r="B14" s="2">
        <v>1</v>
      </c>
      <c r="C14" s="2">
        <v>1</v>
      </c>
      <c r="D14" s="2">
        <v>2</v>
      </c>
      <c r="E14" s="72"/>
    </row>
    <row r="15" spans="1:19" x14ac:dyDescent="0.25">
      <c r="A15" s="3" t="s">
        <v>8227</v>
      </c>
      <c r="B15" s="2">
        <v>1</v>
      </c>
      <c r="C15" s="2">
        <v>1</v>
      </c>
      <c r="D15" s="2">
        <v>2</v>
      </c>
      <c r="E15" s="72"/>
    </row>
    <row r="16" spans="1:19" x14ac:dyDescent="0.25">
      <c r="A16" s="3" t="s">
        <v>8236</v>
      </c>
      <c r="B16" s="2">
        <v>1</v>
      </c>
      <c r="C16" s="2">
        <v>1</v>
      </c>
      <c r="D16" s="2">
        <v>2</v>
      </c>
      <c r="E16" s="72"/>
    </row>
    <row r="17" spans="1:5" x14ac:dyDescent="0.25">
      <c r="A17" s="3" t="s">
        <v>8231</v>
      </c>
      <c r="B17" s="2">
        <v>1</v>
      </c>
      <c r="C17" s="2">
        <v>1</v>
      </c>
      <c r="D17" s="2">
        <v>2</v>
      </c>
      <c r="E17" s="72"/>
    </row>
    <row r="18" spans="1:5" x14ac:dyDescent="0.25">
      <c r="A18" s="3" t="s">
        <v>8239</v>
      </c>
      <c r="B18" s="2"/>
      <c r="C18" s="2">
        <v>1</v>
      </c>
      <c r="D18" s="2">
        <v>1</v>
      </c>
      <c r="E18" s="72"/>
    </row>
    <row r="19" spans="1:5" x14ac:dyDescent="0.25">
      <c r="A19" s="3" t="s">
        <v>8243</v>
      </c>
      <c r="B19" s="2"/>
      <c r="C19" s="2">
        <v>1</v>
      </c>
      <c r="D19" s="2">
        <v>1</v>
      </c>
      <c r="E19" s="72"/>
    </row>
    <row r="20" spans="1:5" x14ac:dyDescent="0.25">
      <c r="A20" s="3" t="s">
        <v>8234</v>
      </c>
      <c r="B20" s="2"/>
      <c r="C20" s="2">
        <v>1</v>
      </c>
      <c r="D20" s="2">
        <v>1</v>
      </c>
      <c r="E20" s="72"/>
    </row>
    <row r="21" spans="1:5" x14ac:dyDescent="0.25">
      <c r="A21" s="3" t="s">
        <v>8226</v>
      </c>
      <c r="B21" s="2"/>
      <c r="C21" s="2">
        <v>1</v>
      </c>
      <c r="D21" s="2">
        <v>1</v>
      </c>
      <c r="E21" s="72"/>
    </row>
    <row r="22" spans="1:5" x14ac:dyDescent="0.25">
      <c r="A22" s="3" t="s">
        <v>8238</v>
      </c>
      <c r="B22" s="2">
        <v>1</v>
      </c>
      <c r="C22" s="2"/>
      <c r="D22" s="2">
        <v>1</v>
      </c>
      <c r="E22" s="72"/>
    </row>
    <row r="23" spans="1:5" x14ac:dyDescent="0.25">
      <c r="A23" s="3" t="s">
        <v>8233</v>
      </c>
      <c r="B23" s="2"/>
      <c r="C23" s="2">
        <v>1</v>
      </c>
      <c r="D23" s="2">
        <v>1</v>
      </c>
      <c r="E23" s="72"/>
    </row>
    <row r="24" spans="1:5" x14ac:dyDescent="0.25">
      <c r="A24" s="3" t="s">
        <v>8242</v>
      </c>
      <c r="B24" s="2"/>
      <c r="C24" s="2">
        <v>1</v>
      </c>
      <c r="D24" s="2">
        <v>1</v>
      </c>
      <c r="E24" s="72"/>
    </row>
    <row r="25" spans="1:5" x14ac:dyDescent="0.25">
      <c r="A25" s="3" t="s">
        <v>8361</v>
      </c>
      <c r="B25" s="2">
        <v>353</v>
      </c>
      <c r="C25" s="2">
        <v>694</v>
      </c>
      <c r="D25" s="2">
        <v>1047</v>
      </c>
      <c r="E25" s="72"/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36" t="s">
        <v>8401</v>
      </c>
      <c r="I1" s="137"/>
      <c r="J1" s="137"/>
      <c r="K1" s="137"/>
      <c r="L1" s="137"/>
      <c r="M1" s="138"/>
      <c r="N1" s="60"/>
      <c r="O1" s="60"/>
      <c r="P1" s="60"/>
      <c r="Q1" s="60"/>
      <c r="R1" s="60"/>
    </row>
    <row r="2" spans="3:18" ht="15.75" thickBot="1" x14ac:dyDescent="0.3">
      <c r="H2" s="139"/>
      <c r="I2" s="140"/>
      <c r="J2" s="140"/>
      <c r="K2" s="140"/>
      <c r="L2" s="140"/>
      <c r="M2" s="141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A26" sqref="A26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8429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4" t="s">
        <v>8224</v>
      </c>
      <c r="B13" s="103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4" t="s">
        <v>8223</v>
      </c>
      <c r="B23" s="103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A11" sqref="A11"/>
    </sheetView>
  </sheetViews>
  <sheetFormatPr defaultRowHeight="15" x14ac:dyDescent="0.25"/>
  <cols>
    <col min="1" max="1" width="10.28515625" customWidth="1"/>
    <col min="2" max="2" width="19.85546875" bestFit="1" customWidth="1"/>
    <col min="3" max="3" width="17.42578125" customWidth="1"/>
    <col min="4" max="4" width="10.5703125" bestFit="1" customWidth="1"/>
    <col min="5" max="5" width="12.5703125" bestFit="1" customWidth="1"/>
    <col min="6" max="6" width="22" customWidth="1"/>
    <col min="7" max="7" width="29" customWidth="1"/>
    <col min="8" max="8" width="25.28515625" customWidth="1"/>
    <col min="9" max="9" width="19.85546875" bestFit="1" customWidth="1"/>
    <col min="10" max="10" width="17.42578125" bestFit="1" customWidth="1"/>
    <col min="11" max="11" width="10.5703125" bestFit="1" customWidth="1"/>
    <col min="12" max="12" width="12.5703125" bestFit="1" customWidth="1"/>
    <col min="13" max="13" width="22" customWidth="1"/>
    <col min="14" max="14" width="30.710937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8411</v>
      </c>
      <c r="C1" s="72"/>
      <c r="D1" s="75"/>
      <c r="E1" s="73"/>
      <c r="F1" s="72"/>
      <c r="G1" s="72"/>
      <c r="H1" s="76"/>
      <c r="I1" s="88" t="s">
        <v>8410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2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72"/>
      <c r="G5" s="72"/>
      <c r="H5" s="77"/>
      <c r="I5" s="61" t="s">
        <v>8362</v>
      </c>
      <c r="J5" s="61" t="s">
        <v>8360</v>
      </c>
      <c r="K5" s="62"/>
      <c r="L5" s="62"/>
      <c r="M5" s="7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8218</v>
      </c>
      <c r="E6" s="62" t="s">
        <v>8361</v>
      </c>
      <c r="F6" s="72"/>
      <c r="G6" s="72"/>
      <c r="H6" s="77"/>
      <c r="I6" s="61" t="s">
        <v>8364</v>
      </c>
      <c r="J6" s="62" t="s">
        <v>8220</v>
      </c>
      <c r="K6" s="62" t="s">
        <v>8218</v>
      </c>
      <c r="L6" s="62" t="s">
        <v>8361</v>
      </c>
      <c r="M6" s="72"/>
      <c r="N6" s="72"/>
      <c r="O6" s="77"/>
      <c r="P6" s="77"/>
      <c r="Q6" s="77"/>
    </row>
    <row r="7" spans="2:17" ht="18.75" x14ac:dyDescent="0.25">
      <c r="B7" s="63" t="s">
        <v>8318</v>
      </c>
      <c r="C7" s="64">
        <v>250</v>
      </c>
      <c r="D7" s="64">
        <v>412</v>
      </c>
      <c r="E7" s="64">
        <v>662</v>
      </c>
      <c r="F7" s="102" t="s">
        <v>8430</v>
      </c>
      <c r="G7" s="72"/>
      <c r="H7" s="77"/>
      <c r="I7" s="63" t="s">
        <v>8318</v>
      </c>
      <c r="J7" s="64">
        <v>70</v>
      </c>
      <c r="K7" s="64">
        <v>238</v>
      </c>
      <c r="L7" s="64">
        <v>308</v>
      </c>
      <c r="M7" s="102" t="s">
        <v>8413</v>
      </c>
      <c r="N7" s="72"/>
      <c r="O7" s="77"/>
      <c r="P7" s="77"/>
      <c r="Q7" s="77"/>
    </row>
    <row r="8" spans="2:17" ht="18.75" x14ac:dyDescent="0.25">
      <c r="B8" s="63" t="s">
        <v>8361</v>
      </c>
      <c r="C8" s="64">
        <v>250</v>
      </c>
      <c r="D8" s="64">
        <v>412</v>
      </c>
      <c r="E8" s="64">
        <v>662</v>
      </c>
      <c r="F8" s="93">
        <f xml:space="preserve"> D7/E7</f>
        <v>0.62235649546827798</v>
      </c>
      <c r="G8" s="72"/>
      <c r="H8" s="77"/>
      <c r="I8" s="63" t="s">
        <v>8361</v>
      </c>
      <c r="J8" s="64">
        <v>70</v>
      </c>
      <c r="K8" s="64">
        <v>238</v>
      </c>
      <c r="L8" s="64">
        <v>308</v>
      </c>
      <c r="M8" s="93">
        <f>K7/L7</f>
        <v>0.77272727272727271</v>
      </c>
      <c r="N8" s="72"/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C11C-D1DF-4AB6-8FB6-D406FB3FC34F}">
  <dimension ref="A1:L29"/>
  <sheetViews>
    <sheetView showGridLines="0" zoomScaleNormal="100" workbookViewId="0">
      <selection activeCell="A20" sqref="A20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  <col min="11" max="11" width="15.28515625" customWidth="1"/>
  </cols>
  <sheetData>
    <row r="1" spans="1:12" ht="26.25" x14ac:dyDescent="0.4">
      <c r="A1" s="38"/>
      <c r="C1" s="142" t="s">
        <v>8427</v>
      </c>
      <c r="D1" s="142"/>
      <c r="E1" s="142"/>
      <c r="F1" s="142"/>
      <c r="G1" s="142"/>
      <c r="H1" s="142"/>
      <c r="I1" s="142"/>
      <c r="J1" s="142"/>
    </row>
    <row r="2" spans="1:12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  <c r="L2" s="4"/>
    </row>
    <row r="3" spans="1:12" ht="15.75" x14ac:dyDescent="0.25">
      <c r="C3" s="39" t="s">
        <v>8388</v>
      </c>
      <c r="D3" s="44">
        <f>COUNTIFS(Kickstarter!$D:$D,"&lt;1000",Kickstarter!$F:$F,"successful",Kickstarter!$P:$P,"plays",Kickstarter!$J:$J, "GB")</f>
        <v>75</v>
      </c>
      <c r="E3" s="40">
        <f>COUNTIFS(Kickstarter!$D:$D,"&lt;1000",Kickstarter!$F:$F,"failed",Kickstarter!$P:$P,"plays",Kickstarter!$J:$J, "GB")</f>
        <v>13</v>
      </c>
      <c r="F3" s="41">
        <f>COUNTIFS(Kickstarter!$D:$D,"&lt;1000",Kickstarter!$F:$F,"canceled",Kickstarter!$P:$P,"plays",Kickstarter!$J:$J, "GB")</f>
        <v>0</v>
      </c>
      <c r="G3" s="42">
        <f>SUM(D3:F3)</f>
        <v>88</v>
      </c>
      <c r="H3" s="43">
        <f t="shared" ref="H3:H14" si="0">IFERROR($D3/$G3,0)</f>
        <v>0.85227272727272729</v>
      </c>
      <c r="I3" s="43">
        <f t="shared" ref="I3:I14" si="1">IFERROR($E3/$G3,0)</f>
        <v>0.14772727272727273</v>
      </c>
      <c r="J3" s="43">
        <f t="shared" ref="J3:J14" si="2">IFERROR($F3/$G3,0)</f>
        <v>0</v>
      </c>
    </row>
    <row r="4" spans="1:12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"GB")</f>
        <v>139</v>
      </c>
      <c r="E4" s="40">
        <f>COUNTIFS(Kickstarter!$D:$D,"&gt;=1000",Kickstarter!$F:$F,"failed",Kickstarter!$D:$D, "&lt;=4999",Kickstarter!$P:$P,"plays",Kickstarter!$J:$J, "GB")</f>
        <v>42</v>
      </c>
      <c r="F4" s="41">
        <f>COUNTIFS(Kickstarter!$D:$D,"&gt;=1000",Kickstarter!$F:$F,"canceled",Kickstarter!$D:$D, "&lt;=4999",Kickstarter!$P:$P,"plays",Kickstarter!$J:$J, "GB")</f>
        <v>0</v>
      </c>
      <c r="G4" s="42">
        <f t="shared" ref="G4:G14" si="3">SUM(D4:F4)</f>
        <v>181</v>
      </c>
      <c r="H4" s="43">
        <f t="shared" si="0"/>
        <v>0.76795580110497241</v>
      </c>
      <c r="I4" s="43">
        <f t="shared" si="1"/>
        <v>0.23204419889502761</v>
      </c>
      <c r="J4" s="43">
        <f t="shared" si="2"/>
        <v>0</v>
      </c>
    </row>
    <row r="5" spans="1:12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"GB")</f>
        <v>19</v>
      </c>
      <c r="E5" s="40">
        <f>COUNTIFS(Kickstarter!$D:$D,"&gt;=5000",Kickstarter!$F:$F,"failed",Kickstarter!$D:$D, "&lt;=9999",Kickstarter!$P:$P,"plays",Kickstarter!$J:$J, "GB")</f>
        <v>8</v>
      </c>
      <c r="F5" s="41">
        <f>COUNTIFS(Kickstarter!$D:$D,"&gt;=5000",Kickstarter!$F:$F,"canceled",Kickstarter!$D:$D, "&lt;=9999",Kickstarter!$P:$P,"plays",Kickstarter!$J:$J, "GB")</f>
        <v>0</v>
      </c>
      <c r="G5" s="42">
        <f t="shared" si="3"/>
        <v>27</v>
      </c>
      <c r="H5" s="43">
        <f t="shared" si="0"/>
        <v>0.70370370370370372</v>
      </c>
      <c r="I5" s="43">
        <f t="shared" si="1"/>
        <v>0.29629629629629628</v>
      </c>
      <c r="J5" s="43">
        <f t="shared" si="2"/>
        <v>0</v>
      </c>
    </row>
    <row r="6" spans="1:12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"GB")</f>
        <v>5</v>
      </c>
      <c r="E6" s="40">
        <f>COUNTIFS(Kickstarter!$D:$D,"&gt;=10000",Kickstarter!$F:$F,"failed",Kickstarter!$D:$D, "&lt;=14999",Kickstarter!$P:$P,"plays",Kickstarter!$J:$J, "GB")</f>
        <v>2</v>
      </c>
      <c r="F6" s="41">
        <f>COUNTIFS(Kickstarter!$D:$D,"&gt;=10000",Kickstarter!$F:$F,"canceled",Kickstarter!$D:$D, "&lt;=14999",Kickstarter!$P:$P,"plays",Kickstarter!$J:$J, "GB")</f>
        <v>0</v>
      </c>
      <c r="G6" s="42">
        <f t="shared" si="3"/>
        <v>7</v>
      </c>
      <c r="H6" s="43">
        <f t="shared" si="0"/>
        <v>0.7142857142857143</v>
      </c>
      <c r="I6" s="43">
        <f t="shared" si="1"/>
        <v>0.2857142857142857</v>
      </c>
      <c r="J6" s="43">
        <f t="shared" si="2"/>
        <v>0</v>
      </c>
    </row>
    <row r="7" spans="1:12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"GB")</f>
        <v>0</v>
      </c>
      <c r="E7" s="40">
        <f>COUNTIFS(Kickstarter!$D:$D,"&gt;=15000",Kickstarter!$F:$F,"failed",Kickstarter!$D:$D, "&lt;=19999",Kickstarter!$P:$P,"plays",Kickstarter!$J:$J, "GB")</f>
        <v>1</v>
      </c>
      <c r="F7" s="41">
        <f>COUNTIFS(Kickstarter!$D:$D,"&gt;=15000",Kickstarter!$F:$F,"canceled",Kickstarter!$D:$D, "&lt;=19999",Kickstarter!$P:$P,"plays",Kickstarter!$J:$J, "GB")</f>
        <v>0</v>
      </c>
      <c r="G7" s="42">
        <f t="shared" si="3"/>
        <v>1</v>
      </c>
      <c r="H7" s="43">
        <f t="shared" si="0"/>
        <v>0</v>
      </c>
      <c r="I7" s="43">
        <f t="shared" si="1"/>
        <v>1</v>
      </c>
      <c r="J7" s="43">
        <f t="shared" si="2"/>
        <v>0</v>
      </c>
    </row>
    <row r="8" spans="1:12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"GB")</f>
        <v>0</v>
      </c>
      <c r="E8" s="40">
        <f>COUNTIFS(Kickstarter!$D:$D,"&gt;=20000",Kickstarter!$F:$F,"failed",Kickstarter!$D:$D, "&lt;=24999",Kickstarter!$P:$P,"plays",Kickstarter!$J:$J, "GB")</f>
        <v>1</v>
      </c>
      <c r="F8" s="41">
        <f>COUNTIFS(Kickstarter!$D:$D,"&gt;=20000",Kickstarter!$F:$F,"canceled",Kickstarter!$D:$D, "&lt;=24999",Kickstarter!$P:$P,"plays",Kickstarter!$J:$J, "GB")</f>
        <v>0</v>
      </c>
      <c r="G8" s="42">
        <f t="shared" si="3"/>
        <v>1</v>
      </c>
      <c r="H8" s="43">
        <f t="shared" si="0"/>
        <v>0</v>
      </c>
      <c r="I8" s="43">
        <f t="shared" si="1"/>
        <v>1</v>
      </c>
      <c r="J8" s="43">
        <f t="shared" si="2"/>
        <v>0</v>
      </c>
    </row>
    <row r="9" spans="1:12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"GB")</f>
        <v>0</v>
      </c>
      <c r="E9" s="40">
        <f>COUNTIFS(Kickstarter!$D:$D,"&gt;=25000",Kickstarter!$F:$F,"failed",Kickstarter!$D:$D, "&lt;=29999",Kickstarter!$P:$P,"plays",Kickstarter!$J:$J, "GB")</f>
        <v>1</v>
      </c>
      <c r="F9" s="41">
        <f>COUNTIFS(Kickstarter!$D:$D,"&gt;=25000",Kickstarter!$F:$F,"canceled",Kickstarter!$D:$D, "&lt;=29999",Kickstarter!$P:$P,"plays",Kickstarter!$J:$J, "GB")</f>
        <v>0</v>
      </c>
      <c r="G9" s="42">
        <f t="shared" si="3"/>
        <v>1</v>
      </c>
      <c r="H9" s="43">
        <f t="shared" si="0"/>
        <v>0</v>
      </c>
      <c r="I9" s="43">
        <f t="shared" si="1"/>
        <v>1</v>
      </c>
      <c r="J9" s="43">
        <f t="shared" si="2"/>
        <v>0</v>
      </c>
    </row>
    <row r="10" spans="1:12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"GB")</f>
        <v>0</v>
      </c>
      <c r="E10" s="40">
        <f>COUNTIFS(Kickstarter!$D:$D,"&gt;=30000",Kickstarter!$F:$F,"failed",Kickstarter!$D:$D, "&lt;=34999",Kickstarter!$P:$P,"plays",Kickstarter!$J:$J, "GB")</f>
        <v>1</v>
      </c>
      <c r="F10" s="41">
        <f>COUNTIFS(Kickstarter!$D:$D,"&gt;=30000",Kickstarter!$F:$F,"canceled",Kickstarter!$D:$D, "&lt;=34999",Kickstarter!$P:$P,"plays",Kickstarter!$J:$J, "GB")</f>
        <v>0</v>
      </c>
      <c r="G10" s="42">
        <f t="shared" si="3"/>
        <v>1</v>
      </c>
      <c r="H10" s="43">
        <f t="shared" si="0"/>
        <v>0</v>
      </c>
      <c r="I10" s="43">
        <f t="shared" si="1"/>
        <v>1</v>
      </c>
      <c r="J10" s="43">
        <f t="shared" si="2"/>
        <v>0</v>
      </c>
    </row>
    <row r="11" spans="1:12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"GB")</f>
        <v>0</v>
      </c>
      <c r="E11" s="40">
        <f>COUNTIFS(Kickstarter!$D:$D,"&gt;=35000",Kickstarter!$F:$F,"failed",Kickstarter!$D:$D, "&lt;=39999",Kickstarter!$P:$P,"plays",Kickstarter!$J:$J, "GB")</f>
        <v>0</v>
      </c>
      <c r="F11" s="41">
        <f>COUNTIFS(Kickstarter!$D:$D,"&gt;=35000",Kickstarter!$F:$F,"canceled",Kickstarter!$D:$D, "&lt;=39999",Kickstarter!$P:$P,"plays",Kickstarter!$J:$J, "GB")</f>
        <v>0</v>
      </c>
      <c r="G11" s="42">
        <f t="shared" si="3"/>
        <v>0</v>
      </c>
      <c r="H11" s="43">
        <f t="shared" si="0"/>
        <v>0</v>
      </c>
      <c r="I11" s="43">
        <f t="shared" si="1"/>
        <v>0</v>
      </c>
      <c r="J11" s="43">
        <f t="shared" si="2"/>
        <v>0</v>
      </c>
    </row>
    <row r="12" spans="1:12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"GB")</f>
        <v>0</v>
      </c>
      <c r="E12" s="40">
        <f>COUNTIFS(Kickstarter!$D:$D,"&gt;=40000",Kickstarter!$F:$F,"failed",Kickstarter!$D:$D, "&lt;=44999",Kickstarter!$P:$P,"plays",Kickstarter!$J:$J, "GB")</f>
        <v>0</v>
      </c>
      <c r="F12" s="41">
        <f>COUNTIFS(Kickstarter!$D:$D,"&gt;=40000",Kickstarter!$F:$F,"canceled",Kickstarter!$D:$D, "&lt;=44999",Kickstarter!$P:$P,"plays",Kickstarter!$J:$J, "GB")</f>
        <v>0</v>
      </c>
      <c r="G12" s="42">
        <f t="shared" si="3"/>
        <v>0</v>
      </c>
      <c r="H12" s="43">
        <f t="shared" si="0"/>
        <v>0</v>
      </c>
      <c r="I12" s="43">
        <f t="shared" si="1"/>
        <v>0</v>
      </c>
      <c r="J12" s="43">
        <f t="shared" si="2"/>
        <v>0</v>
      </c>
    </row>
    <row r="13" spans="1:12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"GB")</f>
        <v>0</v>
      </c>
      <c r="E13" s="40">
        <f>COUNTIFS(Kickstarter!$D:$D,"&gt;=45000",Kickstarter!$F:$F,"failed",Kickstarter!$D:$D, "&lt;=49999",Kickstarter!$P:$P,"plays",Kickstarter!$J:$J, "GB")</f>
        <v>0</v>
      </c>
      <c r="F13" s="41">
        <f>COUNTIFS(Kickstarter!$D:$D,"&gt;=45000",Kickstarter!$F:$F,"canceled",Kickstarter!$D:$D, "&lt;=49999",Kickstarter!$P:$P,"plays",Kickstarter!$J:$J, "GB")</f>
        <v>0</v>
      </c>
      <c r="G13" s="42">
        <f t="shared" si="3"/>
        <v>0</v>
      </c>
      <c r="H13" s="43">
        <f t="shared" si="0"/>
        <v>0</v>
      </c>
      <c r="I13" s="43">
        <f t="shared" si="1"/>
        <v>0</v>
      </c>
      <c r="J13" s="43">
        <f t="shared" si="2"/>
        <v>0</v>
      </c>
    </row>
    <row r="14" spans="1:12" ht="15.75" x14ac:dyDescent="0.25">
      <c r="C14" s="39" t="s">
        <v>8399</v>
      </c>
      <c r="D14" s="44">
        <f>COUNTIFS(Kickstarter!$D:$D,"&gt;=50000",Kickstarter!$F:$F,"successful",Kickstarter!$P:$P,"plays",Kickstarter!$J:$J, "GB")</f>
        <v>0</v>
      </c>
      <c r="E14" s="40">
        <f>COUNTIFS(Kickstarter!$D:$D,"&gt;=50000",Kickstarter!$F:$F,"failed",Kickstarter!$P:$P,"plays",Kickstarter!$J:$J, "GB")</f>
        <v>1</v>
      </c>
      <c r="F14" s="41">
        <f>COUNTIFS(Kickstarter!$D:$D,"&gt;=50000",Kickstarter!$F:$F,"canceled",Kickstarter!$P:$P,"plays",Kickstarter!$J:$J, "GB")</f>
        <v>0</v>
      </c>
      <c r="G14" s="42">
        <f t="shared" si="3"/>
        <v>1</v>
      </c>
      <c r="H14" s="43">
        <f t="shared" si="0"/>
        <v>0</v>
      </c>
      <c r="I14" s="43">
        <f t="shared" si="1"/>
        <v>1</v>
      </c>
      <c r="J14" s="43">
        <f t="shared" si="2"/>
        <v>0</v>
      </c>
    </row>
    <row r="17" spans="3:9" ht="18.75" x14ac:dyDescent="0.25">
      <c r="C17" s="127"/>
      <c r="G17" s="128"/>
      <c r="H17" s="128"/>
      <c r="I17" s="128"/>
    </row>
    <row r="18" spans="3:9" ht="15.75" x14ac:dyDescent="0.25">
      <c r="G18" s="129"/>
      <c r="H18" s="129"/>
      <c r="I18" s="129"/>
    </row>
    <row r="19" spans="3:9" ht="15.75" x14ac:dyDescent="0.25">
      <c r="G19" s="129"/>
      <c r="H19" s="129"/>
      <c r="I19" s="129"/>
    </row>
    <row r="20" spans="3:9" ht="15.75" x14ac:dyDescent="0.25">
      <c r="G20" s="129"/>
      <c r="H20" s="129"/>
      <c r="I20" s="129"/>
    </row>
    <row r="21" spans="3:9" ht="15.75" x14ac:dyDescent="0.25">
      <c r="G21" s="129"/>
      <c r="H21" s="129"/>
      <c r="I21" s="129"/>
    </row>
    <row r="22" spans="3:9" ht="15.75" x14ac:dyDescent="0.25">
      <c r="G22" s="129"/>
      <c r="H22" s="129"/>
      <c r="I22" s="129"/>
    </row>
    <row r="23" spans="3:9" ht="15.75" x14ac:dyDescent="0.25">
      <c r="G23" s="129"/>
      <c r="H23" s="129"/>
      <c r="I23" s="129"/>
    </row>
    <row r="24" spans="3:9" ht="15.75" x14ac:dyDescent="0.25">
      <c r="G24" s="129"/>
      <c r="H24" s="129"/>
      <c r="I24" s="129"/>
    </row>
    <row r="25" spans="3:9" ht="15.75" x14ac:dyDescent="0.25">
      <c r="G25" s="129"/>
      <c r="H25" s="129"/>
      <c r="I25" s="129"/>
    </row>
    <row r="26" spans="3:9" ht="15.75" x14ac:dyDescent="0.25">
      <c r="G26" s="129"/>
      <c r="H26" s="129"/>
      <c r="I26" s="129"/>
    </row>
    <row r="27" spans="3:9" ht="15.75" x14ac:dyDescent="0.25">
      <c r="G27" s="129"/>
      <c r="H27" s="129"/>
      <c r="I27" s="129"/>
    </row>
    <row r="28" spans="3:9" ht="15.75" x14ac:dyDescent="0.25">
      <c r="G28" s="129"/>
      <c r="H28" s="129"/>
      <c r="I28" s="129"/>
    </row>
    <row r="29" spans="3:9" ht="15.75" x14ac:dyDescent="0.25">
      <c r="G29" s="129"/>
      <c r="H29" s="129"/>
      <c r="I29" s="129"/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FB90-4F14-42E4-A399-4CE88F035AE4}">
  <dimension ref="A1:J14"/>
  <sheetViews>
    <sheetView showGridLines="0" workbookViewId="0">
      <selection activeCell="A18" sqref="A18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</cols>
  <sheetData>
    <row r="1" spans="1:10" ht="26.25" x14ac:dyDescent="0.4">
      <c r="A1" s="38"/>
      <c r="C1" s="143" t="s">
        <v>8428</v>
      </c>
      <c r="D1" s="143"/>
      <c r="E1" s="143"/>
      <c r="F1" s="143"/>
      <c r="G1" s="143"/>
      <c r="H1" s="143"/>
      <c r="I1" s="143"/>
      <c r="J1" s="143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COUNTIFS(Kickstarter!$D:$D,"&lt;1000",Kickstarter!$F:$F,"successful",Kickstarter!$P:$P,"plays",Kickstarter!$J:$J, "US")</f>
        <v>58</v>
      </c>
      <c r="E3" s="40">
        <f>COUNTIFS(Kickstarter!$D:$D,"&lt;1000",Kickstarter!$F:$F,"failed",Kickstarter!$P:$P,"plays",Kickstarter!$J:$J, "US")</f>
        <v>28</v>
      </c>
      <c r="F3" s="41">
        <f>COUNTIFS(Kickstarter!$D:$D,"&lt;1000",Kickstarter!$F:$F,"canceled",Kickstarter!$P:$P,"plays",Kickstarter!$J:$J, "US")</f>
        <v>0</v>
      </c>
      <c r="G3" s="42">
        <f>SUM(D3:F3)</f>
        <v>86</v>
      </c>
      <c r="H3" s="43">
        <f t="shared" ref="H3:H14" si="0">IFERROR($D3/$G3,0)</f>
        <v>0.67441860465116277</v>
      </c>
      <c r="I3" s="43">
        <f t="shared" ref="I3:I14" si="1">IFERROR($E3/$G3,0)</f>
        <v>0.32558139534883723</v>
      </c>
      <c r="J3" s="43">
        <f t="shared" ref="J3:J14" si="2"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"US")</f>
        <v>227</v>
      </c>
      <c r="E4" s="40">
        <f>COUNTIFS(Kickstarter!$D:$D,"&gt;=1000",Kickstarter!$F:$F,"failed",Kickstarter!$D:$D, "&lt;=4999",Kickstarter!$P:$P,"plays",Kickstarter!$J:$J, "US")</f>
        <v>93</v>
      </c>
      <c r="F4" s="41">
        <f>COUNTIFS(Kickstarter!$D:$D,"&gt;=1000",Kickstarter!$F:$F,"canceled",Kickstarter!$D:$D, "&lt;=4999",Kickstarter!$P:$P,"plays",Kickstarter!$J:$J, "US")</f>
        <v>0</v>
      </c>
      <c r="G4" s="42">
        <f t="shared" ref="G4:G14" si="3">SUM(D4:F4)</f>
        <v>320</v>
      </c>
      <c r="H4" s="43">
        <f t="shared" si="0"/>
        <v>0.70937499999999998</v>
      </c>
      <c r="I4" s="43">
        <f t="shared" si="1"/>
        <v>0.29062500000000002</v>
      </c>
      <c r="J4" s="43">
        <f t="shared" si="2"/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"US")</f>
        <v>65</v>
      </c>
      <c r="E5" s="40">
        <f>COUNTIFS(Kickstarter!$D:$D,"&gt;=5000",Kickstarter!$F:$F,"failed",Kickstarter!$D:$D, "&lt;=9999",Kickstarter!$P:$P,"plays",Kickstarter!$J:$J, "US")</f>
        <v>63</v>
      </c>
      <c r="F5" s="41">
        <f>COUNTIFS(Kickstarter!$D:$D,"&gt;=5000",Kickstarter!$F:$F,"canceled",Kickstarter!$D:$D, "&lt;=9999",Kickstarter!$P:$P,"plays",Kickstarter!$J:$J, "US")</f>
        <v>0</v>
      </c>
      <c r="G5" s="42">
        <f t="shared" si="3"/>
        <v>128</v>
      </c>
      <c r="H5" s="43">
        <f t="shared" si="0"/>
        <v>0.5078125</v>
      </c>
      <c r="I5" s="43">
        <f t="shared" si="1"/>
        <v>0.4921875</v>
      </c>
      <c r="J5" s="43">
        <f t="shared" si="2"/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"US")</f>
        <v>31</v>
      </c>
      <c r="E6" s="40">
        <f>COUNTIFS(Kickstarter!$D:$D,"&gt;=10000",Kickstarter!$F:$F,"failed",Kickstarter!$D:$D, "&lt;=14999",Kickstarter!$P:$P,"plays",Kickstarter!$J:$J, "US")</f>
        <v>26</v>
      </c>
      <c r="F6" s="41">
        <f>COUNTIFS(Kickstarter!$D:$D,"&gt;=10000",Kickstarter!$F:$F,"canceled",Kickstarter!$D:$D, "&lt;=14999",Kickstarter!$P:$P,"plays",Kickstarter!$J:$J, "US")</f>
        <v>0</v>
      </c>
      <c r="G6" s="42">
        <f t="shared" si="3"/>
        <v>57</v>
      </c>
      <c r="H6" s="43">
        <f t="shared" si="0"/>
        <v>0.54385964912280704</v>
      </c>
      <c r="I6" s="43">
        <f t="shared" si="1"/>
        <v>0.45614035087719296</v>
      </c>
      <c r="J6" s="43">
        <f t="shared" si="2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"US")</f>
        <v>11</v>
      </c>
      <c r="E7" s="40">
        <f>COUNTIFS(Kickstarter!$D:$D,"&gt;=15000",Kickstarter!$F:$F,"failed",Kickstarter!$D:$D, "&lt;=19999",Kickstarter!$P:$P,"plays",Kickstarter!$J:$J, "US")</f>
        <v>11</v>
      </c>
      <c r="F7" s="41">
        <f>COUNTIFS(Kickstarter!$D:$D,"&gt;=15000",Kickstarter!$F:$F,"canceled",Kickstarter!$D:$D, "&lt;=19999",Kickstarter!$P:$P,"plays",Kickstarter!$J:$J, "US")</f>
        <v>0</v>
      </c>
      <c r="G7" s="42">
        <f t="shared" si="3"/>
        <v>22</v>
      </c>
      <c r="H7" s="43">
        <f t="shared" si="0"/>
        <v>0.5</v>
      </c>
      <c r="I7" s="43">
        <f t="shared" si="1"/>
        <v>0.5</v>
      </c>
      <c r="J7" s="43">
        <f t="shared" si="2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"US")</f>
        <v>9</v>
      </c>
      <c r="E8" s="40">
        <f>COUNTIFS(Kickstarter!$D:$D,"&gt;=20000",Kickstarter!$F:$F,"failed",Kickstarter!$D:$D, "&lt;=24999",Kickstarter!$P:$P,"plays",Kickstarter!$J:$J, "US")</f>
        <v>9</v>
      </c>
      <c r="F8" s="41">
        <f>COUNTIFS(Kickstarter!$D:$D,"&gt;=20000",Kickstarter!$F:$F,"canceled",Kickstarter!$D:$D, "&lt;=24999",Kickstarter!$P:$P,"plays",Kickstarter!$J:$J, "US")</f>
        <v>0</v>
      </c>
      <c r="G8" s="42">
        <f t="shared" si="3"/>
        <v>18</v>
      </c>
      <c r="H8" s="43">
        <f t="shared" si="0"/>
        <v>0.5</v>
      </c>
      <c r="I8" s="43">
        <f t="shared" si="1"/>
        <v>0.5</v>
      </c>
      <c r="J8" s="43">
        <f t="shared" si="2"/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"US")</f>
        <v>1</v>
      </c>
      <c r="E9" s="40">
        <f>COUNTIFS(Kickstarter!$D:$D,"&gt;=25000",Kickstarter!$F:$F,"failed",Kickstarter!$D:$D, "&lt;=29999",Kickstarter!$P:$P,"plays",Kickstarter!$J:$J, "US")</f>
        <v>2</v>
      </c>
      <c r="F9" s="41">
        <f>COUNTIFS(Kickstarter!$D:$D,"&gt;=25000",Kickstarter!$F:$F,"canceled",Kickstarter!$D:$D, "&lt;=29999",Kickstarter!$P:$P,"plays",Kickstarter!$J:$J, "US")</f>
        <v>0</v>
      </c>
      <c r="G9" s="42">
        <f t="shared" si="3"/>
        <v>3</v>
      </c>
      <c r="H9" s="43">
        <f t="shared" si="0"/>
        <v>0.33333333333333331</v>
      </c>
      <c r="I9" s="43">
        <f t="shared" si="1"/>
        <v>0.66666666666666663</v>
      </c>
      <c r="J9" s="43">
        <f t="shared" si="2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"US")</f>
        <v>3</v>
      </c>
      <c r="E10" s="40">
        <f>COUNTIFS(Kickstarter!$D:$D,"&gt;=30000",Kickstarter!$F:$F,"failed",Kickstarter!$D:$D, "&lt;=34999",Kickstarter!$P:$P,"plays",Kickstarter!$J:$J, "US")</f>
        <v>3</v>
      </c>
      <c r="F10" s="41">
        <f>COUNTIFS(Kickstarter!$D:$D,"&gt;=30000",Kickstarter!$F:$F,"canceled",Kickstarter!$D:$D, "&lt;=34999",Kickstarter!$P:$P,"plays",Kickstarter!$J:$J, "US")</f>
        <v>0</v>
      </c>
      <c r="G10" s="42">
        <f t="shared" si="3"/>
        <v>6</v>
      </c>
      <c r="H10" s="43">
        <f t="shared" si="0"/>
        <v>0.5</v>
      </c>
      <c r="I10" s="43">
        <f t="shared" si="1"/>
        <v>0.5</v>
      </c>
      <c r="J10" s="43">
        <f t="shared" si="2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"US")</f>
        <v>4</v>
      </c>
      <c r="E11" s="40">
        <f>COUNTIFS(Kickstarter!$D:$D,"&gt;=35000",Kickstarter!$F:$F,"failed",Kickstarter!$D:$D, "&lt;=39999",Kickstarter!$P:$P,"plays",Kickstarter!$J:$J, "US")</f>
        <v>1</v>
      </c>
      <c r="F11" s="41">
        <f>COUNTIFS(Kickstarter!$D:$D,"&gt;=35000",Kickstarter!$F:$F,"canceled",Kickstarter!$D:$D, "&lt;=39999",Kickstarter!$P:$P,"plays",Kickstarter!$J:$J, "US")</f>
        <v>0</v>
      </c>
      <c r="G11" s="42">
        <f t="shared" si="3"/>
        <v>5</v>
      </c>
      <c r="H11" s="43">
        <f t="shared" si="0"/>
        <v>0.8</v>
      </c>
      <c r="I11" s="43">
        <f t="shared" si="1"/>
        <v>0.2</v>
      </c>
      <c r="J11" s="43">
        <f t="shared" si="2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"US")</f>
        <v>2</v>
      </c>
      <c r="E12" s="40">
        <f>COUNTIFS(Kickstarter!$D:$D,"&gt;=40000",Kickstarter!$F:$F,"failed",Kickstarter!$D:$D, "&lt;=44999",Kickstarter!$P:$P,"plays",Kickstarter!$J:$J, "US")</f>
        <v>1</v>
      </c>
      <c r="F12" s="41">
        <f>COUNTIFS(Kickstarter!$D:$D,"&gt;=40000",Kickstarter!$F:$F,"canceled",Kickstarter!$D:$D, "&lt;=44999",Kickstarter!$P:$P,"plays",Kickstarter!$J:$J, "US")</f>
        <v>0</v>
      </c>
      <c r="G12" s="42">
        <f t="shared" si="3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2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"US")</f>
        <v>0</v>
      </c>
      <c r="E13" s="40">
        <f>COUNTIFS(Kickstarter!$D:$D,"&gt;=45000",Kickstarter!$F:$F,"failed",Kickstarter!$D:$D, "&lt;=49999",Kickstarter!$P:$P,"plays",Kickstarter!$J:$J, "US")</f>
        <v>1</v>
      </c>
      <c r="F13" s="41">
        <f>COUNTIFS(Kickstarter!$D:$D,"&gt;=45000",Kickstarter!$F:$F,"canceled",Kickstarter!$D:$D, "&lt;=49999",Kickstarter!$P:$P,"plays",Kickstarter!$J:$J, "US")</f>
        <v>0</v>
      </c>
      <c r="G13" s="42">
        <f t="shared" si="3"/>
        <v>1</v>
      </c>
      <c r="H13" s="43">
        <f t="shared" si="0"/>
        <v>0</v>
      </c>
      <c r="I13" s="43">
        <f t="shared" si="1"/>
        <v>1</v>
      </c>
      <c r="J13" s="43">
        <f t="shared" si="2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COUNTIFS(Kickstarter!$D:$D,"&gt;=50000",Kickstarter!$F:$F,"successful",Kickstarter!$P:$P,"plays",Kickstarter!$J:$J, "US")</f>
        <v>1</v>
      </c>
      <c r="E14" s="40">
        <f>COUNTIFS(Kickstarter!$D:$D,"&gt;=50000",Kickstarter!$F:$F,"failed",Kickstarter!$P:$P,"plays",Kickstarter!$J:$J, "US")</f>
        <v>12</v>
      </c>
      <c r="F14" s="41">
        <f>COUNTIFS(Kickstarter!$D:$D,"&gt;=50000",Kickstarter!$F:$F,"canceled",Kickstarter!$P:$P,"plays",Kickstarter!$J:$J, "US")</f>
        <v>0</v>
      </c>
      <c r="G14" s="42">
        <f t="shared" si="3"/>
        <v>13</v>
      </c>
      <c r="H14" s="43">
        <f t="shared" si="0"/>
        <v>7.6923076923076927E-2</v>
      </c>
      <c r="I14" s="43">
        <f t="shared" si="1"/>
        <v>0.92307692307692313</v>
      </c>
      <c r="J14" s="43">
        <f t="shared" si="2"/>
        <v>0</v>
      </c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T9" sqref="T9"/>
    </sheetView>
  </sheetViews>
  <sheetFormatPr defaultRowHeight="15" x14ac:dyDescent="0.25"/>
  <cols>
    <col min="1" max="1" width="15.42578125" customWidth="1"/>
    <col min="2" max="2" width="9.140625" customWidth="1"/>
    <col min="3" max="3" width="19.85546875" bestFit="1" customWidth="1"/>
    <col min="4" max="4" width="17.42578125" bestFit="1" customWidth="1"/>
    <col min="5" max="5" width="10.5703125" bestFit="1" customWidth="1"/>
    <col min="6" max="6" width="12.5703125" bestFit="1" customWidth="1"/>
    <col min="7" max="7" width="12.85546875" bestFit="1" customWidth="1"/>
    <col min="8" max="8" width="15" customWidth="1"/>
    <col min="10" max="10" width="18.28515625" customWidth="1"/>
    <col min="11" max="11" width="9.140625" customWidth="1"/>
    <col min="12" max="12" width="19.85546875" bestFit="1" customWidth="1"/>
    <col min="13" max="13" width="17.42578125" bestFit="1" customWidth="1"/>
    <col min="14" max="14" width="10.5703125" bestFit="1" customWidth="1"/>
    <col min="15" max="15" width="12.5703125" bestFit="1" customWidth="1"/>
    <col min="16" max="16" width="12.5703125" customWidth="1"/>
    <col min="17" max="17" width="15.42578125" customWidth="1"/>
  </cols>
  <sheetData>
    <row r="1" spans="2:18" ht="21.75" customHeight="1" x14ac:dyDescent="0.4">
      <c r="B1" s="72"/>
      <c r="C1" s="89" t="s">
        <v>8425</v>
      </c>
      <c r="D1" s="92"/>
      <c r="E1" s="86"/>
      <c r="F1" s="72"/>
      <c r="G1" s="72"/>
      <c r="H1" s="72"/>
      <c r="I1" s="72"/>
      <c r="J1" s="77"/>
      <c r="K1" s="72"/>
      <c r="L1" s="96" t="s">
        <v>8424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44" t="s">
        <v>8423</v>
      </c>
      <c r="H2" s="144"/>
      <c r="I2" s="144"/>
      <c r="J2" s="77"/>
      <c r="K2" s="72"/>
      <c r="L2" s="61" t="s">
        <v>8222</v>
      </c>
      <c r="M2" s="62" t="s">
        <v>8224</v>
      </c>
      <c r="N2" s="90"/>
      <c r="O2" s="90"/>
      <c r="P2" s="144" t="s">
        <v>8423</v>
      </c>
      <c r="Q2" s="144"/>
      <c r="R2" s="144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45">
        <f>AVERAGE(G7:G18)</f>
        <v>0.61993597929186273</v>
      </c>
      <c r="H3" s="146"/>
      <c r="I3" s="146"/>
      <c r="J3" s="77"/>
      <c r="K3" s="72"/>
      <c r="L3" s="61" t="s">
        <v>8309</v>
      </c>
      <c r="M3" s="62" t="s">
        <v>8318</v>
      </c>
      <c r="N3" s="90"/>
      <c r="O3" s="90"/>
      <c r="P3" s="145">
        <f>AVERAGE(P7:P18)</f>
        <v>0.7715760479406325</v>
      </c>
      <c r="Q3" s="146"/>
      <c r="R3" s="146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7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72"/>
      <c r="Q5" s="72"/>
      <c r="R5" s="72"/>
    </row>
    <row r="6" spans="2:18" ht="15.75" x14ac:dyDescent="0.25">
      <c r="B6" s="72"/>
      <c r="C6" s="61" t="s">
        <v>8364</v>
      </c>
      <c r="D6" s="97" t="s">
        <v>8220</v>
      </c>
      <c r="E6" s="97" t="s">
        <v>8218</v>
      </c>
      <c r="F6" s="97" t="s">
        <v>8361</v>
      </c>
      <c r="G6" s="100" t="s">
        <v>8412</v>
      </c>
      <c r="H6" s="72"/>
      <c r="I6" s="72"/>
      <c r="J6" s="77"/>
      <c r="K6" s="72"/>
      <c r="L6" s="61" t="s">
        <v>8364</v>
      </c>
      <c r="M6" s="97" t="s">
        <v>8220</v>
      </c>
      <c r="N6" s="97" t="s">
        <v>8218</v>
      </c>
      <c r="O6" s="97" t="s">
        <v>8361</v>
      </c>
      <c r="P6" s="99" t="s">
        <v>8412</v>
      </c>
      <c r="Q6" s="72"/>
      <c r="R6" s="72"/>
    </row>
    <row r="7" spans="2:18" ht="15.75" x14ac:dyDescent="0.25">
      <c r="B7" s="72"/>
      <c r="C7" s="94" t="s">
        <v>8373</v>
      </c>
      <c r="D7" s="95">
        <v>12</v>
      </c>
      <c r="E7" s="95">
        <v>27</v>
      </c>
      <c r="F7" s="95">
        <v>39</v>
      </c>
      <c r="G7" s="98">
        <f>E7/F7</f>
        <v>0.69230769230769229</v>
      </c>
      <c r="H7" s="72"/>
      <c r="I7" s="72"/>
      <c r="J7" s="77"/>
      <c r="K7" s="72"/>
      <c r="L7" s="91" t="s">
        <v>8373</v>
      </c>
      <c r="M7" s="64">
        <v>5</v>
      </c>
      <c r="N7" s="64">
        <v>14</v>
      </c>
      <c r="O7" s="64">
        <v>19</v>
      </c>
      <c r="P7" s="101">
        <f>N7/O7</f>
        <v>0.73684210526315785</v>
      </c>
      <c r="Q7" s="72"/>
      <c r="R7" s="72"/>
    </row>
    <row r="8" spans="2:18" ht="15.75" x14ac:dyDescent="0.25">
      <c r="B8" s="72"/>
      <c r="C8" s="91" t="s">
        <v>8374</v>
      </c>
      <c r="D8" s="64">
        <v>25</v>
      </c>
      <c r="E8" s="64">
        <v>35</v>
      </c>
      <c r="F8" s="64">
        <v>60</v>
      </c>
      <c r="G8" s="123">
        <f t="shared" ref="G8:G19" si="0">E8/F8</f>
        <v>0.58333333333333337</v>
      </c>
      <c r="H8" s="72"/>
      <c r="I8" s="72"/>
      <c r="J8" s="77"/>
      <c r="K8" s="72"/>
      <c r="L8" s="91" t="s">
        <v>8374</v>
      </c>
      <c r="M8" s="64">
        <v>4</v>
      </c>
      <c r="N8" s="64">
        <v>22</v>
      </c>
      <c r="O8" s="64">
        <v>26</v>
      </c>
      <c r="P8" s="101">
        <f t="shared" ref="P8:P19" si="1">N8/O8</f>
        <v>0.84615384615384615</v>
      </c>
      <c r="Q8" s="72"/>
      <c r="R8" s="72"/>
    </row>
    <row r="9" spans="2:18" ht="15.75" x14ac:dyDescent="0.25">
      <c r="B9" s="72"/>
      <c r="C9" s="91" t="s">
        <v>8375</v>
      </c>
      <c r="D9" s="64">
        <v>13</v>
      </c>
      <c r="E9" s="64">
        <v>26</v>
      </c>
      <c r="F9" s="64">
        <v>39</v>
      </c>
      <c r="G9" s="123">
        <f t="shared" si="0"/>
        <v>0.66666666666666663</v>
      </c>
      <c r="H9" s="72"/>
      <c r="I9" s="72"/>
      <c r="J9" s="77"/>
      <c r="K9" s="72"/>
      <c r="L9" s="91" t="s">
        <v>8375</v>
      </c>
      <c r="M9" s="64">
        <v>5</v>
      </c>
      <c r="N9" s="64">
        <v>16</v>
      </c>
      <c r="O9" s="64">
        <v>21</v>
      </c>
      <c r="P9" s="101">
        <f t="shared" si="1"/>
        <v>0.76190476190476186</v>
      </c>
      <c r="Q9" s="72"/>
      <c r="R9" s="72"/>
    </row>
    <row r="10" spans="2:18" ht="15.75" x14ac:dyDescent="0.25">
      <c r="B10" s="72"/>
      <c r="C10" s="91" t="s">
        <v>8376</v>
      </c>
      <c r="D10" s="64">
        <v>19</v>
      </c>
      <c r="E10" s="64">
        <v>28</v>
      </c>
      <c r="F10" s="64">
        <v>47</v>
      </c>
      <c r="G10" s="123">
        <f t="shared" si="0"/>
        <v>0.5957446808510638</v>
      </c>
      <c r="H10" s="72"/>
      <c r="I10" s="72"/>
      <c r="J10" s="77"/>
      <c r="K10" s="72"/>
      <c r="L10" s="91" t="s">
        <v>8376</v>
      </c>
      <c r="M10" s="64">
        <v>10</v>
      </c>
      <c r="N10" s="64">
        <v>25</v>
      </c>
      <c r="O10" s="64">
        <v>35</v>
      </c>
      <c r="P10" s="101">
        <f t="shared" si="1"/>
        <v>0.7142857142857143</v>
      </c>
      <c r="Q10" s="72"/>
      <c r="R10" s="72"/>
    </row>
    <row r="11" spans="2:18" ht="15.75" x14ac:dyDescent="0.25">
      <c r="B11" s="72"/>
      <c r="C11" s="94" t="s">
        <v>8367</v>
      </c>
      <c r="D11" s="95">
        <v>25</v>
      </c>
      <c r="E11" s="95">
        <v>53</v>
      </c>
      <c r="F11" s="95">
        <v>78</v>
      </c>
      <c r="G11" s="98">
        <f t="shared" si="0"/>
        <v>0.67948717948717952</v>
      </c>
      <c r="H11" s="72"/>
      <c r="I11" s="72"/>
      <c r="J11" s="77"/>
      <c r="K11" s="72"/>
      <c r="L11" s="91" t="s">
        <v>8367</v>
      </c>
      <c r="M11" s="64">
        <v>12</v>
      </c>
      <c r="N11" s="64">
        <v>34</v>
      </c>
      <c r="O11" s="64">
        <v>46</v>
      </c>
      <c r="P11" s="101">
        <f t="shared" si="1"/>
        <v>0.73913043478260865</v>
      </c>
      <c r="Q11" s="72"/>
      <c r="R11" s="72"/>
    </row>
    <row r="12" spans="2:18" ht="15.75" x14ac:dyDescent="0.25">
      <c r="B12" s="72"/>
      <c r="C12" s="91" t="s">
        <v>8377</v>
      </c>
      <c r="D12" s="64">
        <v>27</v>
      </c>
      <c r="E12" s="64">
        <v>48</v>
      </c>
      <c r="F12" s="64">
        <v>75</v>
      </c>
      <c r="G12" s="123">
        <f t="shared" si="0"/>
        <v>0.64</v>
      </c>
      <c r="H12" s="72"/>
      <c r="I12" s="72"/>
      <c r="J12" s="77"/>
      <c r="K12" s="72"/>
      <c r="L12" s="94" t="s">
        <v>8377</v>
      </c>
      <c r="M12" s="95">
        <v>8</v>
      </c>
      <c r="N12" s="95">
        <v>34</v>
      </c>
      <c r="O12" s="95">
        <v>42</v>
      </c>
      <c r="P12" s="124">
        <f t="shared" si="1"/>
        <v>0.80952380952380953</v>
      </c>
      <c r="Q12" s="72"/>
      <c r="R12" s="72"/>
    </row>
    <row r="13" spans="2:18" ht="15.75" x14ac:dyDescent="0.25">
      <c r="B13" s="72"/>
      <c r="C13" s="91" t="s">
        <v>8368</v>
      </c>
      <c r="D13" s="64">
        <v>28</v>
      </c>
      <c r="E13" s="64">
        <v>44</v>
      </c>
      <c r="F13" s="64">
        <v>72</v>
      </c>
      <c r="G13" s="123">
        <f t="shared" si="0"/>
        <v>0.61111111111111116</v>
      </c>
      <c r="H13" s="72"/>
      <c r="I13" s="72"/>
      <c r="J13" s="77"/>
      <c r="K13" s="72"/>
      <c r="L13" s="94" t="s">
        <v>8368</v>
      </c>
      <c r="M13" s="95">
        <v>5</v>
      </c>
      <c r="N13" s="95">
        <v>28</v>
      </c>
      <c r="O13" s="95">
        <v>33</v>
      </c>
      <c r="P13" s="124">
        <f t="shared" si="1"/>
        <v>0.84848484848484851</v>
      </c>
      <c r="Q13" s="72"/>
      <c r="R13" s="72"/>
    </row>
    <row r="14" spans="2:18" ht="15.75" x14ac:dyDescent="0.25">
      <c r="B14" s="72"/>
      <c r="C14" s="91" t="s">
        <v>8369</v>
      </c>
      <c r="D14" s="64">
        <v>25</v>
      </c>
      <c r="E14" s="64">
        <v>42</v>
      </c>
      <c r="F14" s="64">
        <v>67</v>
      </c>
      <c r="G14" s="123">
        <f t="shared" si="0"/>
        <v>0.62686567164179108</v>
      </c>
      <c r="H14" s="72"/>
      <c r="I14" s="72"/>
      <c r="J14" s="77"/>
      <c r="K14" s="72"/>
      <c r="L14" s="94" t="s">
        <v>8369</v>
      </c>
      <c r="M14" s="95">
        <v>3</v>
      </c>
      <c r="N14" s="95">
        <v>17</v>
      </c>
      <c r="O14" s="95">
        <v>20</v>
      </c>
      <c r="P14" s="124">
        <f t="shared" si="1"/>
        <v>0.85</v>
      </c>
      <c r="Q14" s="72"/>
      <c r="R14" s="72"/>
    </row>
    <row r="15" spans="2:18" ht="15.75" x14ac:dyDescent="0.25">
      <c r="B15" s="72"/>
      <c r="C15" s="91" t="s">
        <v>8370</v>
      </c>
      <c r="D15" s="64">
        <v>19</v>
      </c>
      <c r="E15" s="64">
        <v>32</v>
      </c>
      <c r="F15" s="64">
        <v>51</v>
      </c>
      <c r="G15" s="123">
        <f t="shared" si="0"/>
        <v>0.62745098039215685</v>
      </c>
      <c r="H15" s="72"/>
      <c r="I15" s="72"/>
      <c r="J15" s="77"/>
      <c r="K15" s="72"/>
      <c r="L15" s="94" t="s">
        <v>8370</v>
      </c>
      <c r="M15" s="95">
        <v>2</v>
      </c>
      <c r="N15" s="95">
        <v>11</v>
      </c>
      <c r="O15" s="95">
        <v>13</v>
      </c>
      <c r="P15" s="124">
        <f t="shared" si="1"/>
        <v>0.84615384615384615</v>
      </c>
      <c r="Q15" s="72"/>
      <c r="R15" s="72"/>
    </row>
    <row r="16" spans="2:18" ht="15.75" x14ac:dyDescent="0.25">
      <c r="B16" s="72"/>
      <c r="C16" s="91" t="s">
        <v>8371</v>
      </c>
      <c r="D16" s="64">
        <v>24</v>
      </c>
      <c r="E16" s="64">
        <v>35</v>
      </c>
      <c r="F16" s="64">
        <v>59</v>
      </c>
      <c r="G16" s="123">
        <f t="shared" si="0"/>
        <v>0.59322033898305082</v>
      </c>
      <c r="H16" s="72"/>
      <c r="I16" s="72"/>
      <c r="J16" s="77"/>
      <c r="K16" s="72"/>
      <c r="L16" s="91" t="s">
        <v>8371</v>
      </c>
      <c r="M16" s="64">
        <v>9</v>
      </c>
      <c r="N16" s="64">
        <v>14</v>
      </c>
      <c r="O16" s="64">
        <v>23</v>
      </c>
      <c r="P16" s="101">
        <f t="shared" si="1"/>
        <v>0.60869565217391308</v>
      </c>
      <c r="Q16" s="72"/>
      <c r="R16" s="72"/>
    </row>
    <row r="17" spans="1:18" ht="15.75" x14ac:dyDescent="0.25">
      <c r="B17" s="72"/>
      <c r="C17" s="94" t="s">
        <v>8372</v>
      </c>
      <c r="D17" s="95">
        <v>12</v>
      </c>
      <c r="E17" s="95">
        <v>25</v>
      </c>
      <c r="F17" s="95">
        <v>37</v>
      </c>
      <c r="G17" s="98">
        <f t="shared" si="0"/>
        <v>0.67567567567567566</v>
      </c>
      <c r="H17" s="72"/>
      <c r="I17" s="72"/>
      <c r="J17" s="77"/>
      <c r="K17" s="72"/>
      <c r="L17" s="94" t="s">
        <v>8372</v>
      </c>
      <c r="M17" s="95">
        <v>2</v>
      </c>
      <c r="N17" s="95">
        <v>15</v>
      </c>
      <c r="O17" s="95">
        <v>17</v>
      </c>
      <c r="P17" s="124">
        <f t="shared" si="1"/>
        <v>0.88235294117647056</v>
      </c>
      <c r="Q17" s="72"/>
      <c r="R17" s="72"/>
    </row>
    <row r="18" spans="1:18" ht="15.75" x14ac:dyDescent="0.25">
      <c r="B18" s="72"/>
      <c r="C18" s="91" t="s">
        <v>8378</v>
      </c>
      <c r="D18" s="64">
        <v>21</v>
      </c>
      <c r="E18" s="64">
        <v>17</v>
      </c>
      <c r="F18" s="64">
        <v>38</v>
      </c>
      <c r="G18" s="123">
        <f t="shared" si="0"/>
        <v>0.44736842105263158</v>
      </c>
      <c r="H18" s="72"/>
      <c r="I18" s="72"/>
      <c r="J18" s="77"/>
      <c r="K18" s="72"/>
      <c r="L18" s="91" t="s">
        <v>8378</v>
      </c>
      <c r="M18" s="64">
        <v>5</v>
      </c>
      <c r="N18" s="64">
        <v>8</v>
      </c>
      <c r="O18" s="64">
        <v>13</v>
      </c>
      <c r="P18" s="101">
        <f t="shared" si="1"/>
        <v>0.61538461538461542</v>
      </c>
      <c r="Q18" s="72"/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412</v>
      </c>
      <c r="F19" s="64">
        <v>662</v>
      </c>
      <c r="G19" s="111">
        <f t="shared" si="0"/>
        <v>0.62235649546827798</v>
      </c>
      <c r="H19" s="72"/>
      <c r="I19" s="72"/>
      <c r="J19" s="77"/>
      <c r="K19" s="72"/>
      <c r="L19" s="91" t="s">
        <v>8361</v>
      </c>
      <c r="M19" s="64">
        <v>70</v>
      </c>
      <c r="N19" s="64">
        <v>238</v>
      </c>
      <c r="O19" s="64">
        <v>308</v>
      </c>
      <c r="P19" s="111">
        <f t="shared" si="1"/>
        <v>0.77272727272727271</v>
      </c>
      <c r="Q19" s="72"/>
      <c r="R19" s="72"/>
    </row>
    <row r="20" spans="1:18" ht="15.75" x14ac:dyDescent="0.25">
      <c r="A20" s="62"/>
      <c r="B20" s="62"/>
      <c r="C20" s="62"/>
      <c r="D20" s="62"/>
      <c r="E20" s="62"/>
      <c r="Q20" s="7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P7:P19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G7:G19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zoomScale="85" zoomScaleNormal="85" workbookViewId="0">
      <selection activeCell="A20" sqref="A20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8421</v>
      </c>
      <c r="F1" s="72"/>
      <c r="G1" s="72"/>
      <c r="H1" s="72"/>
      <c r="I1" s="72"/>
      <c r="J1" s="72"/>
      <c r="K1" s="72"/>
      <c r="L1" s="72"/>
      <c r="N1" s="72"/>
      <c r="O1" s="87" t="s">
        <v>8418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14" t="s">
        <v>8364</v>
      </c>
      <c r="F6" s="115" t="s">
        <v>8405</v>
      </c>
      <c r="G6" s="113" t="s">
        <v>8419</v>
      </c>
      <c r="H6" s="72"/>
      <c r="I6" s="72"/>
      <c r="J6" s="72"/>
      <c r="K6" s="72"/>
      <c r="L6" s="72"/>
      <c r="N6" s="72"/>
      <c r="O6" s="114" t="s">
        <v>8364</v>
      </c>
      <c r="P6" s="115" t="s">
        <v>8405</v>
      </c>
      <c r="Q6" s="113" t="s">
        <v>8420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16">
        <f>F7/$F$19</f>
        <v>5.9052088943602372E-2</v>
      </c>
      <c r="H7" s="147" t="s">
        <v>8422</v>
      </c>
      <c r="I7" s="147"/>
      <c r="J7" s="147"/>
      <c r="K7" s="147"/>
      <c r="L7" s="147"/>
      <c r="N7" s="72"/>
      <c r="O7" s="91" t="s">
        <v>8373</v>
      </c>
      <c r="P7" s="64">
        <v>547</v>
      </c>
      <c r="Q7" s="112">
        <f>P7/$P$19</f>
        <v>4.9305931133946275E-2</v>
      </c>
      <c r="R7" s="147" t="s">
        <v>8422</v>
      </c>
      <c r="S7" s="147"/>
      <c r="T7" s="147"/>
      <c r="U7" s="147"/>
      <c r="V7" s="147"/>
    </row>
    <row r="8" spans="4:22" ht="15.75" customHeight="1" x14ac:dyDescent="0.25">
      <c r="D8" s="72"/>
      <c r="E8" s="91" t="s">
        <v>8374</v>
      </c>
      <c r="F8" s="64">
        <v>1833</v>
      </c>
      <c r="G8" s="116">
        <f t="shared" ref="G8:G19" si="0">F8/$F$19</f>
        <v>7.0516272986073714E-2</v>
      </c>
      <c r="H8" s="148">
        <f>AVERAGE(G7:G18)</f>
        <v>8.3333333333333329E-2</v>
      </c>
      <c r="I8" s="148"/>
      <c r="J8" s="148"/>
      <c r="K8" s="148"/>
      <c r="L8" s="148"/>
      <c r="N8" s="72"/>
      <c r="O8" s="91" t="s">
        <v>8374</v>
      </c>
      <c r="P8" s="64">
        <v>988</v>
      </c>
      <c r="Q8" s="112">
        <f t="shared" ref="Q8:Q19" si="1">P8/$P$19</f>
        <v>8.9057148007932213E-2</v>
      </c>
      <c r="R8" s="148">
        <f>AVERAGE(Q7:Q18)</f>
        <v>8.3333333333333329E-2</v>
      </c>
      <c r="S8" s="148"/>
      <c r="T8" s="148"/>
      <c r="U8" s="148"/>
      <c r="V8" s="148"/>
    </row>
    <row r="9" spans="4:22" ht="15.75" customHeight="1" x14ac:dyDescent="0.25">
      <c r="D9" s="72"/>
      <c r="E9" s="91" t="s">
        <v>8375</v>
      </c>
      <c r="F9" s="64">
        <v>1583</v>
      </c>
      <c r="G9" s="116">
        <f t="shared" si="0"/>
        <v>6.089866892359775E-2</v>
      </c>
      <c r="H9" s="148"/>
      <c r="I9" s="148"/>
      <c r="J9" s="148"/>
      <c r="K9" s="148"/>
      <c r="L9" s="148"/>
      <c r="N9" s="72"/>
      <c r="O9" s="91" t="s">
        <v>8375</v>
      </c>
      <c r="P9" s="64">
        <v>409</v>
      </c>
      <c r="Q9" s="112">
        <f t="shared" si="1"/>
        <v>3.6866774833243195E-2</v>
      </c>
      <c r="R9" s="148"/>
      <c r="S9" s="148"/>
      <c r="T9" s="148"/>
      <c r="U9" s="148"/>
      <c r="V9" s="148"/>
    </row>
    <row r="10" spans="4:22" ht="15.75" customHeight="1" x14ac:dyDescent="0.25">
      <c r="D10" s="72"/>
      <c r="E10" s="91" t="s">
        <v>8376</v>
      </c>
      <c r="F10" s="64">
        <v>2456</v>
      </c>
      <c r="G10" s="116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12">
        <f t="shared" si="1"/>
        <v>9.2482422931314229E-2</v>
      </c>
      <c r="R10" s="120"/>
      <c r="S10" s="120"/>
      <c r="T10" s="120"/>
      <c r="U10" s="120"/>
      <c r="V10" s="120"/>
    </row>
    <row r="11" spans="4:22" ht="15.75" x14ac:dyDescent="0.25">
      <c r="D11" s="72"/>
      <c r="E11" s="117" t="s">
        <v>8367</v>
      </c>
      <c r="F11" s="118">
        <v>3013</v>
      </c>
      <c r="G11" s="122">
        <f t="shared" si="0"/>
        <v>0.11591136416096022</v>
      </c>
      <c r="H11" s="72"/>
      <c r="I11" s="72"/>
      <c r="J11" s="72"/>
      <c r="K11" s="72"/>
      <c r="L11" s="72"/>
      <c r="N11" s="72"/>
      <c r="O11" s="117" t="s">
        <v>8367</v>
      </c>
      <c r="P11" s="118">
        <v>1646</v>
      </c>
      <c r="Q11" s="119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17" t="s">
        <v>8377</v>
      </c>
      <c r="F12" s="118">
        <v>2906</v>
      </c>
      <c r="G12" s="122">
        <f t="shared" si="0"/>
        <v>0.11179502962222052</v>
      </c>
      <c r="H12" s="72"/>
      <c r="I12" s="72"/>
      <c r="J12" s="72"/>
      <c r="K12" s="72"/>
      <c r="L12" s="72"/>
      <c r="N12" s="72"/>
      <c r="O12" s="117" t="s">
        <v>8377</v>
      </c>
      <c r="P12" s="118">
        <v>1635</v>
      </c>
      <c r="Q12" s="119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17" t="s">
        <v>8368</v>
      </c>
      <c r="F13" s="118">
        <v>2866</v>
      </c>
      <c r="G13" s="122">
        <f t="shared" si="0"/>
        <v>0.11025621297222436</v>
      </c>
      <c r="H13" s="72"/>
      <c r="I13" s="72"/>
      <c r="J13" s="72"/>
      <c r="K13" s="72"/>
      <c r="L13" s="72"/>
      <c r="N13" s="72"/>
      <c r="O13" s="117" t="s">
        <v>8368</v>
      </c>
      <c r="P13" s="118">
        <v>1429</v>
      </c>
      <c r="Q13" s="119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16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12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16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12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17" t="s">
        <v>8371</v>
      </c>
      <c r="F16" s="118">
        <v>3211</v>
      </c>
      <c r="G16" s="122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12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16">
        <f t="shared" si="0"/>
        <v>5.1896591521120257E-2</v>
      </c>
      <c r="H17" s="72"/>
      <c r="I17" s="72"/>
      <c r="J17" s="72"/>
      <c r="K17" s="72"/>
      <c r="L17" s="72"/>
      <c r="N17" s="72"/>
      <c r="O17" s="117" t="s">
        <v>8372</v>
      </c>
      <c r="P17" s="118">
        <v>1117</v>
      </c>
      <c r="Q17" s="119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16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12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21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11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tabSelected="1" zoomScaleNormal="100" workbookViewId="0">
      <selection activeCell="H11" sqref="H11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6" t="s">
        <v>8414</v>
      </c>
      <c r="D1" s="72"/>
      <c r="E1" s="72"/>
      <c r="F1" s="72"/>
      <c r="I1" s="72"/>
      <c r="J1" s="106" t="s">
        <v>8417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8406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8403</v>
      </c>
      <c r="D7" s="64">
        <v>588</v>
      </c>
      <c r="E7" s="72"/>
      <c r="F7" s="72"/>
      <c r="I7" s="72"/>
      <c r="J7" s="63" t="s">
        <v>8403</v>
      </c>
      <c r="K7" s="64">
        <v>286</v>
      </c>
      <c r="L7" s="72"/>
      <c r="M7" s="72"/>
    </row>
    <row r="8" spans="2:13" ht="18" customHeight="1" x14ac:dyDescent="0.25">
      <c r="B8" s="72"/>
      <c r="C8" s="107" t="s">
        <v>8220</v>
      </c>
      <c r="D8" s="64">
        <v>242</v>
      </c>
      <c r="E8" s="130" t="s">
        <v>8416</v>
      </c>
      <c r="F8" s="72"/>
      <c r="I8" s="72"/>
      <c r="J8" s="107" t="s">
        <v>8220</v>
      </c>
      <c r="K8" s="64">
        <v>68</v>
      </c>
      <c r="L8" s="130" t="s">
        <v>8416</v>
      </c>
      <c r="M8" s="72"/>
    </row>
    <row r="9" spans="2:13" ht="18" customHeight="1" x14ac:dyDescent="0.25">
      <c r="B9" s="72"/>
      <c r="C9" s="107" t="s">
        <v>8221</v>
      </c>
      <c r="D9" s="64">
        <v>9</v>
      </c>
      <c r="E9" s="108">
        <f>D10/D7</f>
        <v>0.5731292517006803</v>
      </c>
      <c r="F9" s="72"/>
      <c r="I9" s="72"/>
      <c r="J9" s="107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07" t="s">
        <v>8218</v>
      </c>
      <c r="D10" s="64">
        <v>337</v>
      </c>
      <c r="E10" s="90"/>
      <c r="F10" s="72"/>
      <c r="I10" s="72"/>
      <c r="J10" s="107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8404</v>
      </c>
      <c r="D11" s="64">
        <v>83</v>
      </c>
      <c r="E11" s="72"/>
      <c r="F11" s="72"/>
      <c r="I11" s="72"/>
      <c r="J11" s="63" t="s">
        <v>8404</v>
      </c>
      <c r="K11" s="64">
        <v>28</v>
      </c>
      <c r="L11" s="72"/>
      <c r="M11" s="72"/>
    </row>
    <row r="12" spans="2:13" ht="18" customHeight="1" x14ac:dyDescent="0.25">
      <c r="B12" s="72"/>
      <c r="C12" s="107" t="s">
        <v>8220</v>
      </c>
      <c r="D12" s="64">
        <v>8</v>
      </c>
      <c r="E12" s="130" t="s">
        <v>8415</v>
      </c>
      <c r="F12" s="72"/>
      <c r="I12" s="72"/>
      <c r="J12" s="107" t="s">
        <v>8220</v>
      </c>
      <c r="K12" s="64">
        <v>2</v>
      </c>
      <c r="L12" s="130" t="s">
        <v>8415</v>
      </c>
      <c r="M12" s="72"/>
    </row>
    <row r="13" spans="2:13" ht="18" customHeight="1" x14ac:dyDescent="0.25">
      <c r="B13" s="72"/>
      <c r="C13" s="107" t="s">
        <v>8218</v>
      </c>
      <c r="D13" s="64">
        <v>75</v>
      </c>
      <c r="E13" s="108">
        <f>D13/D11</f>
        <v>0.90361445783132532</v>
      </c>
      <c r="F13" s="72"/>
      <c r="I13" s="72"/>
      <c r="J13" s="107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09" t="s">
        <v>8361</v>
      </c>
      <c r="K14" s="110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 Outcomes - US vs GB</vt:lpstr>
      <vt:lpstr>Outcomes Based on Goals - GB</vt:lpstr>
      <vt:lpstr>Outcomes Based on Goals - US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2022-05-22T03:43:16Z</dcterms:modified>
</cp:coreProperties>
</file>