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19"/>
  <workbookPr filterPrivacy="1"/>
  <xr:revisionPtr revIDLastSave="0" documentId="8_{679C5178-E574-4C44-977C-134A805CDC2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Тёплая мансарда" sheetId="1" r:id="rId1"/>
    <sheet name="Каркасная стена" sheetId="3" r:id="rId2"/>
    <sheet name="Пол и потолок" sheetId="4" r:id="rId3"/>
    <sheet name="База данных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42" i="1"/>
  <c r="F40" i="1"/>
  <c r="F36" i="1"/>
  <c r="C37" i="1"/>
  <c r="F37" i="1" s="1"/>
  <c r="F34" i="1"/>
  <c r="K28" i="1"/>
  <c r="G28" i="1"/>
  <c r="E27" i="1"/>
  <c r="D28" i="1"/>
  <c r="B28" i="1"/>
  <c r="C20" i="1"/>
  <c r="C35" i="1" s="1"/>
  <c r="B17" i="3"/>
  <c r="B17" i="4"/>
  <c r="C28" i="1" l="1"/>
  <c r="B18" i="4"/>
  <c r="J27" i="2"/>
  <c r="B16" i="3"/>
  <c r="C16" i="3" s="1"/>
  <c r="J31" i="2"/>
  <c r="C20" i="4"/>
  <c r="F21" i="3"/>
  <c r="I21" i="3"/>
  <c r="M21" i="3"/>
  <c r="J21" i="3"/>
  <c r="M19" i="3"/>
  <c r="C46" i="1"/>
  <c r="F46" i="1" s="1"/>
  <c r="J46" i="1" l="1"/>
  <c r="M46" i="1" s="1"/>
  <c r="N27" i="4"/>
  <c r="B18" i="3" l="1"/>
  <c r="B24" i="3"/>
  <c r="B22" i="3"/>
  <c r="K18" i="3" l="1"/>
  <c r="G18" i="3"/>
  <c r="D18" i="3"/>
  <c r="G17" i="4"/>
  <c r="F20" i="4"/>
  <c r="F18" i="4"/>
  <c r="J18" i="4" s="1"/>
  <c r="M18" i="4" s="1"/>
  <c r="F16" i="4"/>
  <c r="I16" i="4" s="1"/>
  <c r="E16" i="4"/>
  <c r="K15" i="4"/>
  <c r="F19" i="4"/>
  <c r="C7" i="4"/>
  <c r="C17" i="4" s="1"/>
  <c r="J20" i="4" l="1"/>
  <c r="M20" i="4" s="1"/>
  <c r="I20" i="4"/>
  <c r="F17" i="4"/>
  <c r="J16" i="4"/>
  <c r="M16" i="4" s="1"/>
  <c r="I19" i="4"/>
  <c r="J19" i="4"/>
  <c r="M19" i="4" s="1"/>
  <c r="C15" i="4"/>
  <c r="F15" i="4" s="1"/>
  <c r="E17" i="4"/>
  <c r="I18" i="4"/>
  <c r="D15" i="4"/>
  <c r="E15" i="4"/>
  <c r="F28" i="3"/>
  <c r="F26" i="3"/>
  <c r="F27" i="3"/>
  <c r="F25" i="3"/>
  <c r="F23" i="3"/>
  <c r="I23" i="3" s="1"/>
  <c r="E17" i="3"/>
  <c r="F16" i="3"/>
  <c r="J16" i="3" s="1"/>
  <c r="C7" i="3"/>
  <c r="E18" i="3" s="1"/>
  <c r="E23" i="3"/>
  <c r="F19" i="3"/>
  <c r="J19" i="3" s="1"/>
  <c r="F17" i="3"/>
  <c r="I17" i="3" s="1"/>
  <c r="I15" i="4" l="1"/>
  <c r="J15" i="4"/>
  <c r="I17" i="4"/>
  <c r="J17" i="4"/>
  <c r="C20" i="3"/>
  <c r="F20" i="3" s="1"/>
  <c r="I19" i="3"/>
  <c r="C18" i="3"/>
  <c r="F18" i="3" s="1"/>
  <c r="E16" i="3"/>
  <c r="D16" i="3"/>
  <c r="K16" i="3"/>
  <c r="J17" i="3"/>
  <c r="M17" i="3" s="1"/>
  <c r="J23" i="3"/>
  <c r="M23" i="3" s="1"/>
  <c r="J25" i="3"/>
  <c r="M25" i="3" s="1"/>
  <c r="I25" i="3"/>
  <c r="J26" i="3"/>
  <c r="M26" i="3" s="1"/>
  <c r="I26" i="3"/>
  <c r="J27" i="3"/>
  <c r="M27" i="3" s="1"/>
  <c r="I27" i="3"/>
  <c r="J28" i="3"/>
  <c r="M28" i="3" s="1"/>
  <c r="I28" i="3"/>
  <c r="I16" i="3"/>
  <c r="J20" i="3" l="1"/>
  <c r="M20" i="3" s="1"/>
  <c r="I18" i="3"/>
  <c r="J18" i="3"/>
  <c r="M18" i="3" s="1"/>
  <c r="M16" i="3"/>
  <c r="M15" i="4"/>
  <c r="I20" i="3"/>
  <c r="I38" i="1"/>
  <c r="I39" i="1"/>
  <c r="E34" i="1"/>
  <c r="G35" i="1"/>
  <c r="K35" i="2"/>
  <c r="F28" i="1" s="1"/>
  <c r="I28" i="1" s="1"/>
  <c r="I34" i="1" l="1"/>
  <c r="I42" i="1"/>
  <c r="I43" i="1"/>
  <c r="I44" i="1"/>
  <c r="I45" i="1"/>
  <c r="D35" i="1"/>
  <c r="J35" i="2"/>
  <c r="E28" i="1" s="1"/>
  <c r="M35" i="2" l="1"/>
  <c r="J28" i="1" s="1"/>
  <c r="M28" i="1" s="1"/>
  <c r="M31" i="3" l="1"/>
  <c r="M17" i="4"/>
  <c r="M22" i="4" s="1"/>
  <c r="J45" i="1"/>
  <c r="M45" i="1" s="1"/>
  <c r="J44" i="1"/>
  <c r="M44" i="1" s="1"/>
  <c r="J43" i="1"/>
  <c r="M43" i="1" s="1"/>
  <c r="J42" i="1"/>
  <c r="M42" i="1" s="1"/>
  <c r="J34" i="1"/>
  <c r="M34" i="1" s="1"/>
  <c r="F32" i="1"/>
  <c r="F31" i="1"/>
  <c r="J31" i="1" s="1"/>
  <c r="F27" i="1"/>
  <c r="F30" i="1"/>
  <c r="J30" i="1" s="1"/>
  <c r="M30" i="1" s="1"/>
  <c r="I27" i="1" l="1"/>
  <c r="J27" i="1"/>
  <c r="M27" i="1" s="1"/>
  <c r="N31" i="3"/>
  <c r="N33" i="3" s="1"/>
  <c r="N34" i="3" s="1"/>
  <c r="M33" i="3"/>
  <c r="M34" i="3" s="1"/>
  <c r="M24" i="4"/>
  <c r="M25" i="4" s="1"/>
  <c r="M27" i="4" s="1"/>
  <c r="I46" i="1"/>
  <c r="M31" i="1"/>
  <c r="I31" i="1"/>
  <c r="J32" i="1"/>
  <c r="M32" i="1" s="1"/>
  <c r="I32" i="1"/>
  <c r="I30" i="1"/>
  <c r="J40" i="1"/>
  <c r="M40" i="1" s="1"/>
  <c r="I40" i="1"/>
  <c r="J37" i="1"/>
  <c r="M37" i="1" s="1"/>
  <c r="I37" i="1"/>
  <c r="J36" i="1"/>
  <c r="M36" i="1" s="1"/>
  <c r="I36" i="1"/>
  <c r="F35" i="1"/>
  <c r="J35" i="1" s="1"/>
  <c r="M35" i="1" s="1"/>
  <c r="M48" i="1" l="1"/>
  <c r="M50" i="1" s="1"/>
  <c r="M51" i="1" s="1"/>
  <c r="M53" i="1" s="1"/>
  <c r="I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13" authorId="0" shapeId="0" xr:uid="{2668AB80-2810-4A3D-A717-2E0BEDBD9A59}">
      <text>
        <r>
          <rPr>
            <sz val="11"/>
            <color indexed="81"/>
            <rFont val="Tahoma"/>
            <family val="2"/>
            <charset val="204"/>
          </rPr>
          <t>введите название проекта</t>
        </r>
      </text>
    </comment>
    <comment ref="C18" authorId="0" shapeId="0" xr:uid="{A547005C-FB88-4DC8-A961-F82686CCCACD}">
      <text>
        <r>
          <rPr>
            <sz val="12"/>
            <color indexed="81"/>
            <rFont val="Aptos"/>
            <family val="2"/>
          </rPr>
          <t>введите общую толщину утепления</t>
        </r>
      </text>
    </comment>
    <comment ref="C19" authorId="0" shapeId="0" xr:uid="{4841A9CD-A8D0-48A3-A5A9-0479B9AA0362}">
      <text>
        <r>
          <rPr>
            <sz val="12"/>
            <color indexed="81"/>
            <rFont val="Aptos"/>
            <family val="2"/>
          </rPr>
          <t>выберите из списка высоту стропил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1" authorId="0" shapeId="0" xr:uid="{5AF673D8-F141-4941-B112-B51B64A5A6A9}">
      <text>
        <r>
          <rPr>
            <sz val="12"/>
            <color indexed="81"/>
            <rFont val="Aptos"/>
            <family val="2"/>
          </rPr>
          <t>введите площадь кровли</t>
        </r>
      </text>
    </comment>
    <comment ref="B27" authorId="0" shapeId="0" xr:uid="{9E0C27A3-C6FC-4701-929C-22B08C4AA146}">
      <text>
        <r>
          <rPr>
            <sz val="12"/>
            <color indexed="81"/>
            <rFont val="Aptos"/>
            <family val="2"/>
          </rPr>
          <t>выберите из выпадающего списка</t>
        </r>
      </text>
    </comment>
    <comment ref="B31" authorId="0" shapeId="0" xr:uid="{A04AF6F5-F7C0-4042-84AA-835DEEF43241}">
      <text>
        <r>
          <rPr>
            <sz val="12"/>
            <color indexed="81"/>
            <rFont val="Aptos"/>
            <family val="2"/>
          </rPr>
          <t>выберите из выпадающего списка</t>
        </r>
      </text>
    </comment>
    <comment ref="B32" authorId="0" shapeId="0" xr:uid="{AC58AF94-28D5-4633-A444-1639415BB96C}">
      <text>
        <r>
          <rPr>
            <sz val="12"/>
            <color indexed="81"/>
            <rFont val="Aptos"/>
            <family val="2"/>
          </rPr>
          <t>выберите из выпадающего списка</t>
        </r>
      </text>
    </comment>
    <comment ref="B34" authorId="0" shapeId="0" xr:uid="{7B6CE34A-50A4-49F0-AA70-7093EBFD7F38}">
      <text>
        <r>
          <rPr>
            <sz val="12"/>
            <color indexed="81"/>
            <rFont val="Aptos"/>
            <family val="2"/>
          </rPr>
          <t>выберите из выпадающего списка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52" authorId="0" shapeId="0" xr:uid="{D3A48FB8-1447-4FD0-9191-0F6CB3A08AD3}">
      <text>
        <r>
          <rPr>
            <sz val="12"/>
            <color indexed="81"/>
            <rFont val="Aptos"/>
            <family val="2"/>
          </rPr>
          <t>введите стоимость доставки в руб.</t>
        </r>
      </text>
    </comment>
  </commentList>
</comments>
</file>

<file path=xl/sharedStrings.xml><?xml version="1.0" encoding="utf-8"?>
<sst xmlns="http://schemas.openxmlformats.org/spreadsheetml/2006/main" count="343" uniqueCount="168">
  <si>
    <t>Проект:</t>
  </si>
  <si>
    <t>Тестовый проект №1</t>
  </si>
  <si>
    <t>Пароль</t>
  </si>
  <si>
    <t>Калькулятор расчёта системы "Тёплая Мансарда"</t>
  </si>
  <si>
    <t>Исходные данные проекта</t>
  </si>
  <si>
    <t xml:space="preserve">Толщина утепления, мм </t>
  </si>
  <si>
    <t xml:space="preserve">Высота стропил, мм </t>
  </si>
  <si>
    <t>Толщина доутепления, мм</t>
  </si>
  <si>
    <t xml:space="preserve">Площадь кровли, м2 </t>
  </si>
  <si>
    <t>Спецификация</t>
  </si>
  <si>
    <t>кратно единицам измерения</t>
  </si>
  <si>
    <t>кратно упаковкам</t>
  </si>
  <si>
    <t>Наименование материала</t>
  </si>
  <si>
    <t>Расход</t>
  </si>
  <si>
    <t xml:space="preserve">Ед. изм. </t>
  </si>
  <si>
    <t>Толщина, мм</t>
  </si>
  <si>
    <t>Кол-во</t>
  </si>
  <si>
    <t>Ед. изм.</t>
  </si>
  <si>
    <t>Цена, руб.</t>
  </si>
  <si>
    <t>Стоимость, руб.</t>
  </si>
  <si>
    <t xml:space="preserve">Теплоизоляция (минеральная вата) </t>
  </si>
  <si>
    <t>обязательный слой</t>
  </si>
  <si>
    <t>Vetonit (Isover) Тёплая Крыша Стронг</t>
  </si>
  <si>
    <t>м2/м2</t>
  </si>
  <si>
    <t>м2</t>
  </si>
  <si>
    <t>м3</t>
  </si>
  <si>
    <t>Мембраны и комплектующие к ним</t>
  </si>
  <si>
    <t>Супердиффузионная гидро-ветрозащитная мембрана Vetonit Ветранет АМ</t>
  </si>
  <si>
    <t xml:space="preserve"> - </t>
  </si>
  <si>
    <t>рул. (70 м2)</t>
  </si>
  <si>
    <t>Пароизоляционная мембрана Vetonit Гидранет (D)</t>
  </si>
  <si>
    <t>Клейкая лента для плёнок и мебран Паранет DUO</t>
  </si>
  <si>
    <t>мп/м2</t>
  </si>
  <si>
    <t>мп</t>
  </si>
  <si>
    <t>рул. (20 мп)</t>
  </si>
  <si>
    <t>Внутренняя каркасная обшивка</t>
  </si>
  <si>
    <t>ГСП влагостойкая Vetonit Аква Оптима 2500х1200 мм</t>
  </si>
  <si>
    <t>шт. (3 м2)</t>
  </si>
  <si>
    <t>Кровельный подвес Vetonit</t>
  </si>
  <si>
    <t>уп. (50 шт.)</t>
  </si>
  <si>
    <t>Профиль потолочный Vetonit Ультра ПП 60/27 мм</t>
  </si>
  <si>
    <t>шт. (3 мп)</t>
  </si>
  <si>
    <t>Профиль потолочный направляющий Vetonit Ультра ППН 28/27 мм</t>
  </si>
  <si>
    <t>Соединитель профилей "краб"</t>
  </si>
  <si>
    <t>по расчёту</t>
  </si>
  <si>
    <t>шт./м2</t>
  </si>
  <si>
    <t>шт.</t>
  </si>
  <si>
    <t>Удлинитель профилей</t>
  </si>
  <si>
    <t>Уплотнительная лента Vetonit Акустик Лента 30 мм</t>
  </si>
  <si>
    <t>рул. (30 мп)</t>
  </si>
  <si>
    <t>Заделка стыков и черновая отделка ГСП</t>
  </si>
  <si>
    <t>Грунтовка глубокого проникновения vetonit prim optimus</t>
  </si>
  <si>
    <t>л/м2</t>
  </si>
  <si>
    <t>л</t>
  </si>
  <si>
    <t>кан. (10 л)</t>
  </si>
  <si>
    <t>Гипсовая шпаклёвка vetonit Superflot для заделки стыков ГСП</t>
  </si>
  <si>
    <t>кг/м2</t>
  </si>
  <si>
    <t>кг</t>
  </si>
  <si>
    <t>меш. (20 кг)</t>
  </si>
  <si>
    <t>Бумажная лента для стыков ГСП Vetonit Marco PRO</t>
  </si>
  <si>
    <t>рул. (50 мп)</t>
  </si>
  <si>
    <t>Суперфинишная полимерная шпаклёвка vetonit LR pasta brilliant</t>
  </si>
  <si>
    <t>кг/м2/мм</t>
  </si>
  <si>
    <t>вед. (18 кг)</t>
  </si>
  <si>
    <t xml:space="preserve">Клей-герметик на основе STP-полимера для герметизации примыканий vetonit hybrid universal </t>
  </si>
  <si>
    <t>туба (0.5л)</t>
  </si>
  <si>
    <t>Итого</t>
  </si>
  <si>
    <t>Скидка, %</t>
  </si>
  <si>
    <t>Сумма скидки</t>
  </si>
  <si>
    <t>Итого с учетом скидки</t>
  </si>
  <si>
    <t>Стоимость доставки</t>
  </si>
  <si>
    <t>Итого с доставкой</t>
  </si>
  <si>
    <t>Калькулятор расчета системы "Изовер Каркасная Стена"</t>
  </si>
  <si>
    <t>Базовая Каркасная Стена</t>
  </si>
  <si>
    <r>
      <t>Система</t>
    </r>
    <r>
      <rPr>
        <i/>
        <sz val="11"/>
        <color theme="0"/>
        <rFont val="Calibri Light"/>
        <family val="2"/>
        <charset val="204"/>
        <scheme val="major"/>
      </rPr>
      <t xml:space="preserve"> (выберите из выпадающего списка)</t>
    </r>
  </si>
  <si>
    <t>Оптимальная</t>
  </si>
  <si>
    <t>Исходные данные</t>
  </si>
  <si>
    <r>
      <t xml:space="preserve">Толщина утепления, мм </t>
    </r>
    <r>
      <rPr>
        <i/>
        <sz val="11"/>
        <color theme="0"/>
        <rFont val="Calibri Light"/>
        <family val="2"/>
        <charset val="204"/>
        <scheme val="major"/>
      </rPr>
      <t>(ввести вручную)</t>
    </r>
  </si>
  <si>
    <t>введите общую толщину утепления</t>
  </si>
  <si>
    <r>
      <t xml:space="preserve">Толщина (высота) стоек каркаса, мм </t>
    </r>
    <r>
      <rPr>
        <i/>
        <sz val="11"/>
        <color theme="0"/>
        <rFont val="Calibri Light"/>
        <family val="2"/>
        <charset val="204"/>
        <scheme val="major"/>
      </rPr>
      <t>(выберите из списка)</t>
    </r>
  </si>
  <si>
    <t>выберите из списка высоту стропил</t>
  </si>
  <si>
    <t>доутепление считается автоматически</t>
  </si>
  <si>
    <r>
      <t xml:space="preserve">Площадь стены, м2 </t>
    </r>
    <r>
      <rPr>
        <i/>
        <sz val="11"/>
        <color theme="0"/>
        <rFont val="Calibri Light"/>
        <family val="2"/>
        <charset val="204"/>
        <scheme val="major"/>
      </rPr>
      <t>(ввести вручную)</t>
    </r>
  </si>
  <si>
    <t>введите площадь утепляемой зоны стены</t>
  </si>
  <si>
    <t>Оптимальная Каркасная Стена</t>
  </si>
  <si>
    <t>Цена</t>
  </si>
  <si>
    <t>Стоимость</t>
  </si>
  <si>
    <t>за ед. измерения</t>
  </si>
  <si>
    <t>Каркасная стена</t>
  </si>
  <si>
    <t>(выберите из списка)</t>
  </si>
  <si>
    <t>Паро-Гидроизоляция плленка Vetonit (Isover) Гидранет D рул.=70 м2)</t>
  </si>
  <si>
    <t>рул.</t>
  </si>
  <si>
    <t>Скотч для герметизации стыков Vetonit (Isover) КЛ Паранет (рул.=20мп)</t>
  </si>
  <si>
    <t xml:space="preserve">Клей-герметик для сборки силовых элементов каркаса vetonit hybrid universal </t>
  </si>
  <si>
    <t>уп (0.5л)</t>
  </si>
  <si>
    <t>ГСП повышенной прочности влагостойкая Vetonit (Gyproc) АкваСтронг (3 м2)</t>
  </si>
  <si>
    <t>Грунтовка vetonit prim multi universal (10 л)</t>
  </si>
  <si>
    <t>кан.</t>
  </si>
  <si>
    <t>Шпаклёвка для стыков ГСП Vetonit (Gyproc) Superflot (20 кг)</t>
  </si>
  <si>
    <t>меш.</t>
  </si>
  <si>
    <t>Лента для стыков ГСП Vetonit (Gyproc) Marco PRO (рул.=50 мп)</t>
  </si>
  <si>
    <t>Полимерная финишная шпаклёвка vetonit LR+ (20 кг)</t>
  </si>
  <si>
    <t>вед.</t>
  </si>
  <si>
    <t>без отделки</t>
  </si>
  <si>
    <t>с отделкой</t>
  </si>
  <si>
    <t>Итого (без отделки)</t>
  </si>
  <si>
    <t>Калькулятор расчёта системы "Изовер Полы и перекрытия"</t>
  </si>
  <si>
    <t>Полы и перекрытие</t>
  </si>
  <si>
    <t>Система</t>
  </si>
  <si>
    <r>
      <t xml:space="preserve">Высота лаг, мм </t>
    </r>
    <r>
      <rPr>
        <i/>
        <sz val="11"/>
        <color theme="0"/>
        <rFont val="Calibri Light"/>
        <family val="2"/>
        <charset val="204"/>
        <scheme val="major"/>
      </rPr>
      <t>(выберите из списка)</t>
    </r>
  </si>
  <si>
    <t>выберите из списка высоту лаг</t>
  </si>
  <si>
    <r>
      <t xml:space="preserve">Площадь утепления, м2 </t>
    </r>
    <r>
      <rPr>
        <i/>
        <sz val="11"/>
        <color theme="0"/>
        <rFont val="Calibri Light"/>
        <family val="2"/>
        <charset val="204"/>
        <scheme val="major"/>
      </rPr>
      <t>(ввести вручную)</t>
    </r>
  </si>
  <si>
    <t>введите площадь утепляемой зоны пола/потолка</t>
  </si>
  <si>
    <t>Полы и Перекрытия</t>
  </si>
  <si>
    <t>Гидро-ветрозащитная мембрана Vetonit (Isover) Ветранет АМ (рул.=70 м2)</t>
  </si>
  <si>
    <t>Vetonit (Isover) ПРОФИ</t>
  </si>
  <si>
    <t xml:space="preserve">Клей-герметик для герметизации примыканий пароизоляции к стенам vetonit hybrid universal </t>
  </si>
  <si>
    <t xml:space="preserve">Итого </t>
  </si>
  <si>
    <t>Регион строительства</t>
  </si>
  <si>
    <t>Рекомендованная толщина утепления, мм</t>
  </si>
  <si>
    <t>Округление</t>
  </si>
  <si>
    <t>Высота стропил, мм</t>
  </si>
  <si>
    <t>Отделка ГСП</t>
  </si>
  <si>
    <t>Шпаклевка для стыков</t>
  </si>
  <si>
    <t xml:space="preserve"> </t>
  </si>
  <si>
    <t>ГСП повышенной прочности Vetonit (Gyproc) Стронг (3 м2)</t>
  </si>
  <si>
    <t>Профиль потолочный Vetonit (Gyproc) Ультра ПП 60/27 (3 мп)</t>
  </si>
  <si>
    <t>Профиль потолочный направляющий Vetonit (Gyproc) Ультра ППН 28/27 (3 мп)</t>
  </si>
  <si>
    <t>Уплотнительная лента Vetonit (Gyproc) Акустик Лента 30 мм (рул.= 30 мп)</t>
  </si>
  <si>
    <t>Москва и МО</t>
  </si>
  <si>
    <t>Да</t>
  </si>
  <si>
    <t>Шпаклёвка для стыков ГСП Vetonit (Gyproc) FAST-60 (20 кг)</t>
  </si>
  <si>
    <t>Ленинградская обл.</t>
  </si>
  <si>
    <t>Нет</t>
  </si>
  <si>
    <t>Нижний Новгород</t>
  </si>
  <si>
    <t>Суперфинишная шпаклёвка vetonit LR pasta brilliant (18 кг)</t>
  </si>
  <si>
    <t>ГСП</t>
  </si>
  <si>
    <t>толщина</t>
  </si>
  <si>
    <t>ГСП звукоизоляционная влагостойкая Vetonit Мультикомфорт 2500х1200 мм</t>
  </si>
  <si>
    <t>Доутепление</t>
  </si>
  <si>
    <t>Подвес</t>
  </si>
  <si>
    <t>Минеральная вата</t>
  </si>
  <si>
    <t>Изоляция</t>
  </si>
  <si>
    <t>2 расход</t>
  </si>
  <si>
    <t>3 ед.изм.</t>
  </si>
  <si>
    <t>4 толщина, мм</t>
  </si>
  <si>
    <t>5 упаковка</t>
  </si>
  <si>
    <t>6 ед.изм.</t>
  </si>
  <si>
    <t>7 расход скотча</t>
  </si>
  <si>
    <t>Vetonit (Isover) Подвес Кровельный (уп.=50 шт.)</t>
  </si>
  <si>
    <t>Теплая мансарда</t>
  </si>
  <si>
    <t>Супердиффузионная гидро-ветрозащитная мембрана Vetonit Ветранет АМ (рул.=70 м2)</t>
  </si>
  <si>
    <t>Vetonit Тёплая Крыша Стронг</t>
  </si>
  <si>
    <t>Ветрозащитная плитная обшивка Vetonit (Gyproc) GTS-9 ветрозащитный (3 м2)</t>
  </si>
  <si>
    <t>Vetonit Тёплые Стены Стронг</t>
  </si>
  <si>
    <t>Vetonit Профи</t>
  </si>
  <si>
    <t>Пароизоляционная мембрана Vetonit Паранет (B)</t>
  </si>
  <si>
    <t>Vetonit Каркас П34</t>
  </si>
  <si>
    <t>Базовая</t>
  </si>
  <si>
    <t>Vetonit Каркас М34</t>
  </si>
  <si>
    <t>Клейкая лента</t>
  </si>
  <si>
    <t>Vetonit Каркас П37</t>
  </si>
  <si>
    <t>Vetonit Каркас М37</t>
  </si>
  <si>
    <t>Клейкая лента для плёнок и мебран Паранет</t>
  </si>
  <si>
    <t>Vetonit Каркас П32</t>
  </si>
  <si>
    <t>Vetonit Шумка</t>
  </si>
  <si>
    <t>Vetonit (Isover) Каркас М34</t>
  </si>
  <si>
    <t>Минеральная вата ISOVER Теплая Крыша Стронг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</si>
</sst>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&quot;р.&quot;;\-#,##0.00&quot;р.&quot;"/>
    <numFmt numFmtId="165" formatCode="_-* #,##0.00_-;\-* #,##0.00_-;_-* &quot;-&quot;??_-;_-@_-"/>
    <numFmt numFmtId="166" formatCode="#,##0.00&quot;р.&quot;"/>
    <numFmt numFmtId="167" formatCode="#,##0.000&quot;р.&quot;"/>
  </numFmts>
  <fonts count="34">
    <font>
      <sz val="11"/>
      <color theme="1"/>
      <name val="Calibri"/>
      <family val="2"/>
      <scheme val="minor"/>
    </font>
    <font>
      <sz val="11"/>
      <color theme="1"/>
      <name val="Calibri Light"/>
      <family val="2"/>
      <charset val="204"/>
      <scheme val="major"/>
    </font>
    <font>
      <b/>
      <sz val="11"/>
      <color theme="0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b/>
      <sz val="11"/>
      <color theme="8"/>
      <name val="Calibri Light"/>
      <family val="2"/>
      <charset val="204"/>
      <scheme val="major"/>
    </font>
    <font>
      <b/>
      <sz val="11"/>
      <name val="Calibri Light"/>
      <family val="2"/>
      <charset val="204"/>
      <scheme val="major"/>
    </font>
    <font>
      <sz val="9"/>
      <color theme="1"/>
      <name val="Calibri Light"/>
      <family val="2"/>
      <charset val="204"/>
      <scheme val="major"/>
    </font>
    <font>
      <sz val="10"/>
      <color theme="1"/>
      <name val="Calibri Light"/>
      <family val="2"/>
      <charset val="204"/>
      <scheme val="major"/>
    </font>
    <font>
      <b/>
      <sz val="11"/>
      <color theme="5"/>
      <name val="Calibri Light"/>
      <family val="2"/>
      <charset val="204"/>
      <scheme val="major"/>
    </font>
    <font>
      <sz val="11"/>
      <name val="Calibri Light"/>
      <family val="2"/>
      <charset val="204"/>
      <scheme val="major"/>
    </font>
    <font>
      <b/>
      <sz val="10"/>
      <color theme="0"/>
      <name val="Calibri Light"/>
      <family val="2"/>
      <charset val="204"/>
      <scheme val="major"/>
    </font>
    <font>
      <i/>
      <sz val="11"/>
      <color theme="0"/>
      <name val="Calibri Light"/>
      <family val="2"/>
      <charset val="204"/>
      <scheme val="major"/>
    </font>
    <font>
      <b/>
      <i/>
      <sz val="11"/>
      <color theme="1"/>
      <name val="Calibri Light"/>
      <family val="2"/>
      <charset val="204"/>
      <scheme val="major"/>
    </font>
    <font>
      <b/>
      <sz val="26"/>
      <color theme="1"/>
      <name val="Calibri Light"/>
      <family val="2"/>
      <charset val="204"/>
      <scheme val="major"/>
    </font>
    <font>
      <b/>
      <sz val="28"/>
      <color theme="1"/>
      <name val="Calibri Light"/>
      <family val="2"/>
      <charset val="204"/>
      <scheme val="maj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sz val="11"/>
      <color indexed="81"/>
      <name val="Tahoma"/>
      <family val="2"/>
      <charset val="204"/>
    </font>
    <font>
      <sz val="11"/>
      <color theme="1"/>
      <name val="Aptos"/>
      <family val="2"/>
    </font>
    <font>
      <sz val="14"/>
      <color theme="1"/>
      <name val="Aptos"/>
      <family val="2"/>
    </font>
    <font>
      <b/>
      <sz val="36"/>
      <color theme="1"/>
      <name val="Aptos"/>
      <family val="2"/>
    </font>
    <font>
      <b/>
      <sz val="14"/>
      <color theme="1"/>
      <name val="Aptos"/>
      <family val="2"/>
    </font>
    <font>
      <sz val="12"/>
      <color indexed="81"/>
      <name val="Aptos"/>
      <family val="2"/>
    </font>
    <font>
      <b/>
      <sz val="16"/>
      <color theme="1"/>
      <name val="Aptos"/>
      <family val="2"/>
    </font>
    <font>
      <b/>
      <sz val="11"/>
      <color theme="0"/>
      <name val="Aptos"/>
      <family val="2"/>
    </font>
    <font>
      <sz val="11"/>
      <name val="Aptos"/>
      <family val="2"/>
    </font>
    <font>
      <b/>
      <sz val="11"/>
      <color theme="8"/>
      <name val="Aptos"/>
      <family val="2"/>
    </font>
    <font>
      <b/>
      <sz val="16"/>
      <color theme="0"/>
      <name val="Aptos"/>
      <family val="2"/>
    </font>
    <font>
      <sz val="14"/>
      <name val="Aptos"/>
      <family val="2"/>
    </font>
    <font>
      <sz val="12"/>
      <color theme="1"/>
      <name val="Aptos"/>
      <family val="2"/>
    </font>
    <font>
      <b/>
      <sz val="14"/>
      <name val="Aptos"/>
      <family val="2"/>
    </font>
    <font>
      <sz val="9"/>
      <color indexed="81"/>
      <name val="Tahoma"/>
      <charset val="1"/>
    </font>
    <font>
      <b/>
      <sz val="14"/>
      <color theme="0"/>
      <name val="Aptos"/>
      <family val="2"/>
    </font>
    <font>
      <b/>
      <sz val="18"/>
      <color theme="1"/>
      <name val="Aptos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FFEB00"/>
      </top>
      <bottom/>
      <diagonal/>
    </border>
    <border>
      <left style="thin">
        <color rgb="FFFFEB00"/>
      </left>
      <right/>
      <top/>
      <bottom/>
      <diagonal/>
    </border>
    <border>
      <left/>
      <right style="thin">
        <color rgb="FFFFEB00"/>
      </right>
      <top style="thin">
        <color rgb="FFFFEB00"/>
      </top>
      <bottom style="thin">
        <color rgb="FFFFEB00"/>
      </bottom>
      <diagonal/>
    </border>
    <border>
      <left style="thin">
        <color rgb="FFFFEB00"/>
      </left>
      <right/>
      <top style="thin">
        <color rgb="FFFFEB00"/>
      </top>
      <bottom style="thin">
        <color rgb="FFFFEB0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EB00"/>
      </left>
      <right style="thin">
        <color rgb="FFFFEB00"/>
      </right>
      <top/>
      <bottom/>
      <diagonal/>
    </border>
    <border>
      <left/>
      <right style="thin">
        <color rgb="FFFFEB00"/>
      </right>
      <top/>
      <bottom/>
      <diagonal/>
    </border>
    <border>
      <left/>
      <right style="thin">
        <color rgb="FFFFEB00"/>
      </right>
      <top style="thin">
        <color rgb="FFFFEB00"/>
      </top>
      <bottom/>
      <diagonal/>
    </border>
    <border>
      <left style="thin">
        <color rgb="FFFFEB00"/>
      </left>
      <right style="thin">
        <color rgb="FFFFEB00"/>
      </right>
      <top style="thin">
        <color rgb="FFFFEB00"/>
      </top>
      <bottom/>
      <diagonal/>
    </border>
    <border>
      <left style="thin">
        <color rgb="FFFFEB00"/>
      </left>
      <right/>
      <top style="thin">
        <color rgb="FFFFEB00"/>
      </top>
      <bottom/>
      <diagonal/>
    </border>
    <border>
      <left/>
      <right style="thin">
        <color rgb="FFFFEB00"/>
      </right>
      <top/>
      <bottom style="thin">
        <color rgb="FFFFEB00"/>
      </bottom>
      <diagonal/>
    </border>
    <border>
      <left/>
      <right/>
      <top/>
      <bottom style="thin">
        <color rgb="FFFFEB00"/>
      </bottom>
      <diagonal/>
    </border>
    <border>
      <left style="thin">
        <color rgb="FFFFEB00"/>
      </left>
      <right style="thin">
        <color rgb="FFFFEB00"/>
      </right>
      <top/>
      <bottom style="thin">
        <color rgb="FFFFEB00"/>
      </bottom>
      <diagonal/>
    </border>
    <border>
      <left style="thin">
        <color rgb="FFFFEB00"/>
      </left>
      <right style="thin">
        <color rgb="FFFFEB00"/>
      </right>
      <top style="thin">
        <color theme="0"/>
      </top>
      <bottom/>
      <diagonal/>
    </border>
    <border>
      <left style="thin">
        <color rgb="FFFFEB00"/>
      </left>
      <right style="thin">
        <color rgb="FFFFEB00"/>
      </right>
      <top style="thin">
        <color theme="0"/>
      </top>
      <bottom style="thin">
        <color theme="0"/>
      </bottom>
      <diagonal/>
    </border>
    <border>
      <left/>
      <right style="thin">
        <color rgb="FFFFEB00"/>
      </right>
      <top style="thin">
        <color theme="0"/>
      </top>
      <bottom/>
      <diagonal/>
    </border>
    <border>
      <left/>
      <right/>
      <top style="thin">
        <color rgb="FFFFEB00"/>
      </top>
      <bottom style="thin">
        <color rgb="FFFFEB00"/>
      </bottom>
      <diagonal/>
    </border>
  </borders>
  <cellStyleXfs count="2">
    <xf numFmtId="0" fontId="0" fillId="0" borderId="0"/>
    <xf numFmtId="165" fontId="15" fillId="0" borderId="0" applyFont="0" applyFill="0" applyBorder="0" applyAlignment="0" applyProtection="0"/>
  </cellStyleXfs>
  <cellXfs count="2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2" xfId="0" applyFont="1" applyBorder="1"/>
    <xf numFmtId="0" fontId="2" fillId="3" borderId="1" xfId="0" applyFont="1" applyFill="1" applyBorder="1" applyProtection="1">
      <protection locked="0"/>
    </xf>
    <xf numFmtId="0" fontId="1" fillId="0" borderId="0" xfId="0" applyFont="1" applyAlignment="1">
      <alignment horizontal="right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166" fontId="6" fillId="0" borderId="11" xfId="0" applyNumberFormat="1" applyFont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left" wrapText="1"/>
      <protection locked="0"/>
    </xf>
    <xf numFmtId="166" fontId="6" fillId="0" borderId="1" xfId="0" applyNumberFormat="1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right"/>
    </xf>
    <xf numFmtId="0" fontId="2" fillId="7" borderId="20" xfId="0" applyFont="1" applyFill="1" applyBorder="1" applyAlignment="1">
      <alignment vertical="center"/>
    </xf>
    <xf numFmtId="0" fontId="1" fillId="0" borderId="20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6" fontId="7" fillId="0" borderId="1" xfId="0" applyNumberFormat="1" applyFont="1" applyBorder="1" applyAlignment="1" applyProtection="1">
      <alignment horizontal="center"/>
      <protection locked="0"/>
    </xf>
    <xf numFmtId="0" fontId="7" fillId="0" borderId="10" xfId="0" applyFont="1" applyBorder="1" applyAlignment="1">
      <alignment horizontal="center"/>
    </xf>
    <xf numFmtId="166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/>
    </xf>
    <xf numFmtId="166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right" vertical="center"/>
    </xf>
    <xf numFmtId="166" fontId="6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166" fontId="7" fillId="0" borderId="0" xfId="0" applyNumberFormat="1" applyFont="1" applyAlignment="1" applyProtection="1">
      <alignment horizontal="center" vertical="center"/>
      <protection locked="0"/>
    </xf>
    <xf numFmtId="166" fontId="7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6" fontId="6" fillId="0" borderId="13" xfId="0" applyNumberFormat="1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>
      <alignment horizontal="center" vertical="center"/>
    </xf>
    <xf numFmtId="0" fontId="1" fillId="8" borderId="0" xfId="0" applyFont="1" applyFill="1"/>
    <xf numFmtId="0" fontId="1" fillId="0" borderId="21" xfId="0" applyFont="1" applyBorder="1"/>
    <xf numFmtId="0" fontId="12" fillId="0" borderId="0" xfId="0" applyFont="1" applyAlignment="1">
      <alignment horizontal="right"/>
    </xf>
    <xf numFmtId="0" fontId="3" fillId="0" borderId="21" xfId="0" applyFont="1" applyBorder="1" applyAlignment="1">
      <alignment horizontal="center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3" fillId="0" borderId="21" xfId="0" applyFont="1" applyBorder="1" applyAlignment="1">
      <alignment horizontal="center" vertical="center"/>
    </xf>
    <xf numFmtId="167" fontId="6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166" fontId="3" fillId="9" borderId="0" xfId="0" applyNumberFormat="1" applyFont="1" applyFill="1"/>
    <xf numFmtId="0" fontId="20" fillId="5" borderId="0" xfId="0" applyFont="1" applyFill="1" applyAlignment="1">
      <alignment vertical="center"/>
    </xf>
    <xf numFmtId="0" fontId="20" fillId="5" borderId="0" xfId="0" applyFont="1" applyFill="1"/>
    <xf numFmtId="0" fontId="18" fillId="5" borderId="0" xfId="0" applyFont="1" applyFill="1"/>
    <xf numFmtId="0" fontId="18" fillId="10" borderId="0" xfId="0" applyFont="1" applyFill="1"/>
    <xf numFmtId="0" fontId="18" fillId="10" borderId="0" xfId="0" applyFont="1" applyFill="1" applyAlignment="1">
      <alignment wrapText="1"/>
    </xf>
    <xf numFmtId="165" fontId="18" fillId="10" borderId="0" xfId="1" applyFont="1" applyFill="1"/>
    <xf numFmtId="0" fontId="18" fillId="0" borderId="0" xfId="0" applyFont="1"/>
    <xf numFmtId="0" fontId="23" fillId="5" borderId="0" xfId="0" applyFont="1" applyFill="1" applyAlignment="1">
      <alignment vertical="center"/>
    </xf>
    <xf numFmtId="165" fontId="18" fillId="5" borderId="0" xfId="1" applyFont="1" applyFill="1"/>
    <xf numFmtId="0" fontId="24" fillId="5" borderId="0" xfId="0" applyFont="1" applyFill="1" applyProtection="1">
      <protection locked="0"/>
    </xf>
    <xf numFmtId="0" fontId="18" fillId="5" borderId="0" xfId="0" applyFont="1" applyFill="1" applyProtection="1">
      <protection locked="0"/>
    </xf>
    <xf numFmtId="0" fontId="18" fillId="0" borderId="0" xfId="0" applyFont="1" applyAlignment="1">
      <alignment wrapText="1"/>
    </xf>
    <xf numFmtId="165" fontId="18" fillId="0" borderId="0" xfId="1" applyFont="1"/>
    <xf numFmtId="0" fontId="18" fillId="5" borderId="0" xfId="0" applyFont="1" applyFill="1" applyAlignment="1">
      <alignment vertical="center"/>
    </xf>
    <xf numFmtId="0" fontId="18" fillId="5" borderId="0" xfId="0" applyFont="1" applyFill="1" applyAlignment="1">
      <alignment horizontal="center"/>
    </xf>
    <xf numFmtId="0" fontId="18" fillId="5" borderId="0" xfId="0" applyFont="1" applyFill="1" applyAlignment="1">
      <alignment horizontal="left"/>
    </xf>
    <xf numFmtId="0" fontId="25" fillId="5" borderId="0" xfId="0" applyFont="1" applyFill="1" applyAlignment="1" applyProtection="1">
      <alignment horizontal="center" vertical="center"/>
      <protection locked="0"/>
    </xf>
    <xf numFmtId="0" fontId="18" fillId="5" borderId="0" xfId="0" applyFont="1" applyFill="1" applyAlignment="1">
      <alignment horizontal="left" wrapText="1"/>
    </xf>
    <xf numFmtId="0" fontId="25" fillId="5" borderId="0" xfId="0" applyFont="1" applyFill="1" applyAlignment="1" applyProtection="1">
      <alignment horizontal="center"/>
      <protection locked="0"/>
    </xf>
    <xf numFmtId="0" fontId="28" fillId="5" borderId="0" xfId="0" applyFont="1" applyFill="1" applyAlignment="1" applyProtection="1">
      <alignment horizontal="center" vertical="center"/>
      <protection locked="0"/>
    </xf>
    <xf numFmtId="0" fontId="21" fillId="5" borderId="23" xfId="0" applyFont="1" applyFill="1" applyBorder="1" applyAlignment="1" applyProtection="1">
      <alignment horizontal="left" vertical="center" wrapText="1"/>
      <protection locked="0"/>
    </xf>
    <xf numFmtId="0" fontId="25" fillId="5" borderId="24" xfId="0" applyFont="1" applyFill="1" applyBorder="1" applyAlignment="1" applyProtection="1">
      <alignment horizontal="center" vertical="center"/>
      <protection locked="0"/>
    </xf>
    <xf numFmtId="0" fontId="28" fillId="5" borderId="25" xfId="0" applyFont="1" applyFill="1" applyBorder="1" applyAlignment="1" applyProtection="1">
      <alignment horizontal="center" vertical="center"/>
      <protection locked="0"/>
    </xf>
    <xf numFmtId="0" fontId="19" fillId="5" borderId="25" xfId="0" applyFont="1" applyFill="1" applyBorder="1" applyAlignment="1" applyProtection="1">
      <alignment horizontal="center" vertical="center"/>
      <protection locked="0"/>
    </xf>
    <xf numFmtId="0" fontId="19" fillId="11" borderId="25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wrapText="1"/>
    </xf>
    <xf numFmtId="0" fontId="18" fillId="5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165" fontId="29" fillId="5" borderId="0" xfId="1" applyFont="1" applyFill="1" applyBorder="1" applyAlignment="1">
      <alignment horizontal="center" vertical="center"/>
    </xf>
    <xf numFmtId="165" fontId="29" fillId="5" borderId="0" xfId="1" applyFont="1" applyFill="1" applyBorder="1" applyAlignment="1" applyProtection="1">
      <alignment horizontal="center" vertical="center"/>
      <protection locked="0"/>
    </xf>
    <xf numFmtId="166" fontId="29" fillId="5" borderId="0" xfId="0" applyNumberFormat="1" applyFont="1" applyFill="1" applyAlignment="1" applyProtection="1">
      <alignment horizontal="center" vertical="center"/>
      <protection locked="0"/>
    </xf>
    <xf numFmtId="166" fontId="29" fillId="5" borderId="0" xfId="0" applyNumberFormat="1" applyFont="1" applyFill="1" applyAlignment="1">
      <alignment horizontal="center" vertical="center"/>
    </xf>
    <xf numFmtId="0" fontId="2" fillId="7" borderId="27" xfId="0" applyFont="1" applyFill="1" applyBorder="1"/>
    <xf numFmtId="0" fontId="1" fillId="12" borderId="27" xfId="0" applyFont="1" applyFill="1" applyBorder="1"/>
    <xf numFmtId="165" fontId="30" fillId="11" borderId="0" xfId="1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 vertical="center"/>
    </xf>
    <xf numFmtId="166" fontId="28" fillId="0" borderId="0" xfId="0" applyNumberFormat="1" applyFont="1" applyAlignment="1">
      <alignment horizontal="right" vertical="center"/>
    </xf>
    <xf numFmtId="0" fontId="19" fillId="0" borderId="0" xfId="0" applyFont="1" applyAlignment="1" applyProtection="1">
      <alignment horizontal="right"/>
      <protection locked="0"/>
    </xf>
    <xf numFmtId="0" fontId="19" fillId="0" borderId="0" xfId="0" applyFont="1" applyAlignment="1">
      <alignment horizontal="right"/>
    </xf>
    <xf numFmtId="166" fontId="19" fillId="0" borderId="0" xfId="0" applyNumberFormat="1" applyFont="1" applyAlignment="1">
      <alignment horizontal="right"/>
    </xf>
    <xf numFmtId="0" fontId="21" fillId="10" borderId="0" xfId="0" applyFont="1" applyFill="1" applyAlignment="1">
      <alignment horizontal="right"/>
    </xf>
    <xf numFmtId="166" fontId="21" fillId="10" borderId="0" xfId="0" applyNumberFormat="1" applyFont="1" applyFill="1"/>
    <xf numFmtId="0" fontId="19" fillId="10" borderId="0" xfId="0" applyFont="1" applyFill="1" applyAlignment="1">
      <alignment horizontal="right"/>
    </xf>
    <xf numFmtId="166" fontId="19" fillId="10" borderId="0" xfId="0" applyNumberFormat="1" applyFont="1" applyFill="1" applyAlignment="1">
      <alignment horizontal="right"/>
    </xf>
    <xf numFmtId="166" fontId="19" fillId="0" borderId="0" xfId="0" applyNumberFormat="1" applyFont="1" applyAlignment="1" applyProtection="1">
      <alignment horizontal="right"/>
      <protection locked="0"/>
    </xf>
    <xf numFmtId="166" fontId="19" fillId="0" borderId="0" xfId="0" applyNumberFormat="1" applyFont="1"/>
    <xf numFmtId="0" fontId="32" fillId="5" borderId="0" xfId="0" applyFont="1" applyFill="1" applyAlignment="1">
      <alignment horizontal="center"/>
    </xf>
    <xf numFmtId="0" fontId="32" fillId="10" borderId="0" xfId="0" applyFont="1" applyFill="1" applyAlignment="1">
      <alignment horizontal="center"/>
    </xf>
    <xf numFmtId="165" fontId="32" fillId="10" borderId="0" xfId="1" applyFont="1" applyFill="1" applyBorder="1" applyAlignment="1">
      <alignment horizontal="center"/>
    </xf>
    <xf numFmtId="0" fontId="30" fillId="10" borderId="0" xfId="0" applyFont="1" applyFill="1" applyAlignment="1">
      <alignment horizontal="right" vertical="center"/>
    </xf>
    <xf numFmtId="0" fontId="19" fillId="0" borderId="0" xfId="0" applyFont="1" applyAlignment="1">
      <alignment horizontal="center" vertical="center"/>
    </xf>
    <xf numFmtId="165" fontId="19" fillId="11" borderId="0" xfId="1" applyFont="1" applyFill="1" applyBorder="1" applyAlignment="1">
      <alignment horizontal="center" vertical="center"/>
    </xf>
    <xf numFmtId="164" fontId="19" fillId="11" borderId="0" xfId="1" applyNumberFormat="1" applyFont="1" applyFill="1" applyBorder="1" applyAlignment="1" applyProtection="1">
      <alignment horizontal="center" vertical="center"/>
      <protection locked="0"/>
    </xf>
    <xf numFmtId="164" fontId="19" fillId="11" borderId="0" xfId="1" applyNumberFormat="1" applyFont="1" applyFill="1" applyBorder="1" applyAlignment="1">
      <alignment horizontal="center" vertical="center"/>
    </xf>
    <xf numFmtId="165" fontId="19" fillId="0" borderId="0" xfId="1" applyFont="1" applyBorder="1" applyAlignment="1">
      <alignment horizontal="center" vertical="center"/>
    </xf>
    <xf numFmtId="0" fontId="19" fillId="11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center" vertical="center"/>
    </xf>
    <xf numFmtId="165" fontId="19" fillId="5" borderId="0" xfId="1" applyFont="1" applyFill="1" applyBorder="1" applyAlignment="1">
      <alignment horizontal="center" vertical="center"/>
    </xf>
    <xf numFmtId="166" fontId="19" fillId="5" borderId="0" xfId="0" applyNumberFormat="1" applyFont="1" applyFill="1" applyAlignment="1" applyProtection="1">
      <alignment horizontal="center" vertical="center"/>
      <protection locked="0"/>
    </xf>
    <xf numFmtId="166" fontId="19" fillId="5" borderId="0" xfId="0" applyNumberFormat="1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165" fontId="19" fillId="10" borderId="0" xfId="1" applyFont="1" applyFill="1" applyBorder="1" applyAlignment="1">
      <alignment horizontal="center" vertical="center"/>
    </xf>
    <xf numFmtId="165" fontId="19" fillId="10" borderId="0" xfId="1" applyFont="1" applyFill="1" applyBorder="1" applyAlignment="1" applyProtection="1">
      <alignment horizontal="center" vertical="center"/>
      <protection locked="0"/>
    </xf>
    <xf numFmtId="166" fontId="19" fillId="10" borderId="0" xfId="0" applyNumberFormat="1" applyFont="1" applyFill="1" applyAlignment="1" applyProtection="1">
      <alignment horizontal="center" vertical="center"/>
      <protection locked="0"/>
    </xf>
    <xf numFmtId="0" fontId="19" fillId="0" borderId="0" xfId="0" applyFont="1" applyAlignment="1">
      <alignment horizontal="left" vertical="center" wrapText="1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8" xfId="0" applyFont="1" applyFill="1" applyBorder="1" applyAlignment="1">
      <alignment horizontal="center" vertical="center" wrapText="1"/>
    </xf>
    <xf numFmtId="165" fontId="30" fillId="11" borderId="28" xfId="1" applyFont="1" applyFill="1" applyBorder="1" applyAlignment="1">
      <alignment horizontal="center" vertical="center" wrapText="1"/>
    </xf>
    <xf numFmtId="165" fontId="30" fillId="11" borderId="24" xfId="1" applyFont="1" applyFill="1" applyBorder="1" applyAlignment="1">
      <alignment horizontal="center" vertical="center" wrapText="1"/>
    </xf>
    <xf numFmtId="165" fontId="30" fillId="5" borderId="24" xfId="1" applyFont="1" applyFill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/>
    </xf>
    <xf numFmtId="0" fontId="19" fillId="5" borderId="24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5" borderId="28" xfId="0" applyFont="1" applyFill="1" applyBorder="1" applyAlignment="1">
      <alignment horizontal="center" vertical="center"/>
    </xf>
    <xf numFmtId="0" fontId="19" fillId="5" borderId="29" xfId="0" applyFont="1" applyFill="1" applyBorder="1" applyAlignment="1" applyProtection="1">
      <alignment horizontal="left" vertical="center" wrapText="1"/>
      <protection locked="0"/>
    </xf>
    <xf numFmtId="0" fontId="19" fillId="11" borderId="29" xfId="0" applyFont="1" applyFill="1" applyBorder="1" applyAlignment="1">
      <alignment horizontal="left" vertical="center" wrapText="1"/>
    </xf>
    <xf numFmtId="165" fontId="19" fillId="11" borderId="24" xfId="1" applyFont="1" applyFill="1" applyBorder="1" applyAlignment="1">
      <alignment horizontal="center" vertical="center"/>
    </xf>
    <xf numFmtId="165" fontId="19" fillId="11" borderId="28" xfId="1" applyFont="1" applyFill="1" applyBorder="1" applyAlignment="1">
      <alignment horizontal="center" vertical="center"/>
    </xf>
    <xf numFmtId="164" fontId="19" fillId="11" borderId="24" xfId="1" applyNumberFormat="1" applyFont="1" applyFill="1" applyBorder="1" applyAlignment="1" applyProtection="1">
      <alignment horizontal="center" vertical="center"/>
      <protection locked="0"/>
    </xf>
    <xf numFmtId="164" fontId="19" fillId="11" borderId="24" xfId="1" applyNumberFormat="1" applyFont="1" applyFill="1" applyBorder="1" applyAlignment="1">
      <alignment horizontal="center" vertical="center"/>
    </xf>
    <xf numFmtId="164" fontId="19" fillId="11" borderId="28" xfId="1" applyNumberFormat="1" applyFont="1" applyFill="1" applyBorder="1" applyAlignment="1">
      <alignment horizontal="center" vertical="center"/>
    </xf>
    <xf numFmtId="165" fontId="19" fillId="5" borderId="24" xfId="1" applyFont="1" applyFill="1" applyBorder="1" applyAlignment="1">
      <alignment horizontal="center" vertical="center"/>
    </xf>
    <xf numFmtId="164" fontId="19" fillId="11" borderId="28" xfId="1" applyNumberFormat="1" applyFont="1" applyFill="1" applyBorder="1" applyAlignment="1" applyProtection="1">
      <alignment horizontal="center" vertical="center"/>
      <protection locked="0"/>
    </xf>
    <xf numFmtId="165" fontId="19" fillId="0" borderId="24" xfId="1" applyFont="1" applyBorder="1" applyAlignment="1">
      <alignment horizontal="center" vertical="center"/>
    </xf>
    <xf numFmtId="165" fontId="19" fillId="0" borderId="28" xfId="1" applyFont="1" applyBorder="1" applyAlignment="1">
      <alignment horizontal="center" vertical="center"/>
    </xf>
    <xf numFmtId="166" fontId="19" fillId="0" borderId="28" xfId="0" applyNumberFormat="1" applyFont="1" applyBorder="1" applyAlignment="1" applyProtection="1">
      <alignment horizontal="center" vertical="center"/>
      <protection locked="0"/>
    </xf>
    <xf numFmtId="166" fontId="19" fillId="5" borderId="24" xfId="0" applyNumberFormat="1" applyFont="1" applyFill="1" applyBorder="1" applyAlignment="1">
      <alignment horizontal="center" vertical="center"/>
    </xf>
    <xf numFmtId="166" fontId="19" fillId="0" borderId="28" xfId="0" applyNumberFormat="1" applyFont="1" applyBorder="1" applyAlignment="1">
      <alignment horizontal="center" vertical="center"/>
    </xf>
    <xf numFmtId="166" fontId="19" fillId="5" borderId="28" xfId="0" applyNumberFormat="1" applyFont="1" applyFill="1" applyBorder="1" applyAlignment="1">
      <alignment horizontal="center" vertical="center"/>
    </xf>
    <xf numFmtId="0" fontId="18" fillId="5" borderId="24" xfId="0" applyFont="1" applyFill="1" applyBorder="1"/>
    <xf numFmtId="0" fontId="30" fillId="5" borderId="31" xfId="0" applyFont="1" applyFill="1" applyBorder="1" applyAlignment="1">
      <alignment horizontal="center" vertical="center" wrapText="1"/>
    </xf>
    <xf numFmtId="0" fontId="30" fillId="5" borderId="30" xfId="0" applyFont="1" applyFill="1" applyBorder="1" applyAlignment="1">
      <alignment horizontal="center" vertical="center" wrapText="1"/>
    </xf>
    <xf numFmtId="0" fontId="18" fillId="5" borderId="29" xfId="0" applyFont="1" applyFill="1" applyBorder="1"/>
    <xf numFmtId="0" fontId="32" fillId="5" borderId="33" xfId="0" applyFont="1" applyFill="1" applyBorder="1" applyAlignment="1">
      <alignment horizontal="center"/>
    </xf>
    <xf numFmtId="0" fontId="19" fillId="0" borderId="28" xfId="0" applyFont="1" applyBorder="1" applyAlignment="1" applyProtection="1">
      <alignment horizontal="left" vertical="center" wrapText="1"/>
      <protection locked="0"/>
    </xf>
    <xf numFmtId="0" fontId="18" fillId="0" borderId="29" xfId="0" applyFont="1" applyBorder="1"/>
    <xf numFmtId="0" fontId="30" fillId="10" borderId="24" xfId="0" applyFont="1" applyFill="1" applyBorder="1" applyAlignment="1">
      <alignment horizontal="left" vertical="center"/>
    </xf>
    <xf numFmtId="0" fontId="19" fillId="11" borderId="28" xfId="0" applyFont="1" applyFill="1" applyBorder="1" applyAlignment="1">
      <alignment horizontal="left" vertical="center" wrapText="1"/>
    </xf>
    <xf numFmtId="166" fontId="19" fillId="0" borderId="24" xfId="0" applyNumberFormat="1" applyFont="1" applyBorder="1" applyAlignment="1" applyProtection="1">
      <alignment horizontal="center" vertical="center"/>
      <protection locked="0"/>
    </xf>
    <xf numFmtId="166" fontId="19" fillId="0" borderId="35" xfId="0" applyNumberFormat="1" applyFont="1" applyBorder="1" applyAlignment="1">
      <alignment horizontal="center" vertical="center"/>
    </xf>
    <xf numFmtId="166" fontId="19" fillId="0" borderId="31" xfId="0" applyNumberFormat="1" applyFont="1" applyBorder="1" applyAlignment="1">
      <alignment horizontal="center" vertical="center"/>
    </xf>
    <xf numFmtId="165" fontId="19" fillId="5" borderId="28" xfId="1" applyFont="1" applyFill="1" applyBorder="1" applyAlignment="1">
      <alignment horizontal="center" vertical="center"/>
    </xf>
    <xf numFmtId="166" fontId="19" fillId="5" borderId="24" xfId="0" applyNumberFormat="1" applyFont="1" applyFill="1" applyBorder="1" applyAlignment="1" applyProtection="1">
      <alignment horizontal="center" vertical="center"/>
      <protection locked="0"/>
    </xf>
    <xf numFmtId="166" fontId="19" fillId="5" borderId="28" xfId="0" applyNumberFormat="1" applyFont="1" applyFill="1" applyBorder="1" applyAlignment="1" applyProtection="1">
      <alignment horizontal="center" vertical="center"/>
      <protection locked="0"/>
    </xf>
    <xf numFmtId="166" fontId="19" fillId="5" borderId="35" xfId="0" applyNumberFormat="1" applyFont="1" applyFill="1" applyBorder="1" applyAlignment="1">
      <alignment horizontal="center" vertical="center"/>
    </xf>
    <xf numFmtId="0" fontId="18" fillId="5" borderId="24" xfId="0" applyFont="1" applyFill="1" applyBorder="1" applyAlignment="1">
      <alignment horizontal="center" vertical="center"/>
    </xf>
    <xf numFmtId="0" fontId="19" fillId="11" borderId="24" xfId="0" applyFont="1" applyFill="1" applyBorder="1" applyAlignment="1">
      <alignment horizontal="left" vertical="center" wrapText="1"/>
    </xf>
    <xf numFmtId="0" fontId="19" fillId="5" borderId="24" xfId="0" applyFont="1" applyFill="1" applyBorder="1" applyAlignment="1" applyProtection="1">
      <alignment horizontal="center" vertical="center"/>
      <protection locked="0"/>
    </xf>
    <xf numFmtId="0" fontId="29" fillId="5" borderId="23" xfId="0" applyFont="1" applyFill="1" applyBorder="1" applyAlignment="1">
      <alignment horizontal="center" vertical="center"/>
    </xf>
    <xf numFmtId="0" fontId="19" fillId="5" borderId="35" xfId="0" applyFont="1" applyFill="1" applyBorder="1" applyAlignment="1">
      <alignment horizontal="center" vertical="center"/>
    </xf>
    <xf numFmtId="165" fontId="29" fillId="5" borderId="23" xfId="1" applyFont="1" applyFill="1" applyBorder="1" applyAlignment="1">
      <alignment horizontal="center" vertical="center"/>
    </xf>
    <xf numFmtId="165" fontId="19" fillId="11" borderId="35" xfId="1" applyFont="1" applyFill="1" applyBorder="1" applyAlignment="1">
      <alignment horizontal="center" vertical="center"/>
    </xf>
    <xf numFmtId="164" fontId="19" fillId="11" borderId="35" xfId="1" applyNumberFormat="1" applyFont="1" applyFill="1" applyBorder="1" applyAlignment="1" applyProtection="1">
      <alignment horizontal="center" vertical="center"/>
      <protection locked="0"/>
    </xf>
    <xf numFmtId="164" fontId="19" fillId="11" borderId="35" xfId="1" applyNumberFormat="1" applyFont="1" applyFill="1" applyBorder="1" applyAlignment="1">
      <alignment horizontal="center" vertical="center"/>
    </xf>
    <xf numFmtId="165" fontId="19" fillId="5" borderId="35" xfId="1" applyFont="1" applyFill="1" applyBorder="1" applyAlignment="1">
      <alignment horizontal="center" vertical="center"/>
    </xf>
    <xf numFmtId="166" fontId="19" fillId="5" borderId="35" xfId="0" applyNumberFormat="1" applyFont="1" applyFill="1" applyBorder="1" applyAlignment="1" applyProtection="1">
      <alignment horizontal="center" vertical="center"/>
      <protection locked="0"/>
    </xf>
    <xf numFmtId="0" fontId="29" fillId="5" borderId="23" xfId="0" applyFont="1" applyFill="1" applyBorder="1" applyAlignment="1">
      <alignment horizontal="left" vertical="center" wrapText="1"/>
    </xf>
    <xf numFmtId="166" fontId="19" fillId="5" borderId="36" xfId="0" applyNumberFormat="1" applyFont="1" applyFill="1" applyBorder="1" applyAlignment="1">
      <alignment horizontal="center" vertical="center"/>
    </xf>
    <xf numFmtId="0" fontId="19" fillId="0" borderId="37" xfId="0" applyFont="1" applyBorder="1" applyAlignment="1">
      <alignment horizontal="left" vertical="center" wrapText="1"/>
    </xf>
    <xf numFmtId="0" fontId="18" fillId="0" borderId="36" xfId="0" applyFont="1" applyBorder="1"/>
    <xf numFmtId="0" fontId="18" fillId="0" borderId="38" xfId="0" applyFont="1" applyBorder="1"/>
    <xf numFmtId="0" fontId="30" fillId="10" borderId="29" xfId="0" applyFont="1" applyFill="1" applyBorder="1" applyAlignment="1">
      <alignment horizontal="right" vertical="center"/>
    </xf>
    <xf numFmtId="0" fontId="18" fillId="0" borderId="39" xfId="0" applyFont="1" applyBorder="1"/>
    <xf numFmtId="0" fontId="32" fillId="5" borderId="34" xfId="0" applyFont="1" applyFill="1" applyBorder="1" applyAlignment="1">
      <alignment horizontal="center"/>
    </xf>
    <xf numFmtId="0" fontId="19" fillId="5" borderId="26" xfId="0" applyFont="1" applyFill="1" applyBorder="1" applyAlignment="1" applyProtection="1">
      <alignment horizontal="left" vertical="center" wrapText="1"/>
      <protection locked="0"/>
    </xf>
    <xf numFmtId="0" fontId="19" fillId="11" borderId="26" xfId="0" applyFont="1" applyFill="1" applyBorder="1" applyAlignment="1" applyProtection="1">
      <alignment horizontal="left" vertical="center" wrapText="1"/>
      <protection locked="0"/>
    </xf>
    <xf numFmtId="0" fontId="33" fillId="10" borderId="26" xfId="0" applyFont="1" applyFill="1" applyBorder="1" applyAlignment="1">
      <alignment horizontal="left" vertical="center"/>
    </xf>
    <xf numFmtId="0" fontId="33" fillId="10" borderId="25" xfId="0" applyFont="1" applyFill="1" applyBorder="1" applyAlignment="1">
      <alignment horizontal="left" vertical="center"/>
    </xf>
    <xf numFmtId="0" fontId="18" fillId="5" borderId="24" xfId="0" applyFont="1" applyFill="1" applyBorder="1" applyAlignment="1">
      <alignment horizontal="center" vertical="center"/>
    </xf>
    <xf numFmtId="0" fontId="27" fillId="10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0" fontId="33" fillId="10" borderId="32" xfId="0" applyFont="1" applyFill="1" applyBorder="1" applyAlignment="1">
      <alignment horizontal="left" vertical="center"/>
    </xf>
    <xf numFmtId="0" fontId="33" fillId="10" borderId="30" xfId="0" applyFont="1" applyFill="1" applyBorder="1" applyAlignment="1">
      <alignment horizontal="left" vertical="center"/>
    </xf>
    <xf numFmtId="0" fontId="30" fillId="11" borderId="32" xfId="0" applyFont="1" applyFill="1" applyBorder="1" applyAlignment="1">
      <alignment horizontal="center"/>
    </xf>
    <xf numFmtId="0" fontId="32" fillId="11" borderId="23" xfId="0" applyFont="1" applyFill="1" applyBorder="1" applyAlignment="1">
      <alignment horizontal="center"/>
    </xf>
    <xf numFmtId="0" fontId="32" fillId="11" borderId="30" xfId="0" applyFont="1" applyFill="1" applyBorder="1" applyAlignment="1">
      <alignment horizontal="center"/>
    </xf>
    <xf numFmtId="0" fontId="30" fillId="5" borderId="32" xfId="0" applyFont="1" applyFill="1" applyBorder="1" applyAlignment="1">
      <alignment horizontal="center"/>
    </xf>
    <xf numFmtId="0" fontId="30" fillId="5" borderId="23" xfId="0" applyFont="1" applyFill="1" applyBorder="1" applyAlignment="1">
      <alignment horizontal="center"/>
    </xf>
    <xf numFmtId="0" fontId="30" fillId="5" borderId="3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 applyProtection="1">
      <alignment horizontal="center" wrapText="1"/>
      <protection locked="0"/>
    </xf>
    <xf numFmtId="0" fontId="2" fillId="0" borderId="22" xfId="0" applyFont="1" applyBorder="1" applyAlignment="1" applyProtection="1">
      <alignment horizontal="center" wrapText="1"/>
      <protection locked="0"/>
    </xf>
    <xf numFmtId="0" fontId="14" fillId="0" borderId="0" xfId="0" applyFont="1" applyAlignment="1">
      <alignment horizontal="center"/>
    </xf>
    <xf numFmtId="0" fontId="1" fillId="8" borderId="0" xfId="0" applyFont="1" applyFill="1" applyAlignment="1">
      <alignment horizontal="left"/>
    </xf>
    <xf numFmtId="0" fontId="1" fillId="8" borderId="0" xfId="0" applyFont="1" applyFill="1" applyAlignment="1">
      <alignment horizontal="left" wrapText="1"/>
    </xf>
    <xf numFmtId="0" fontId="9" fillId="0" borderId="1" xfId="0" applyFont="1" applyBorder="1" applyAlignment="1" applyProtection="1">
      <alignment horizontal="center"/>
      <protection locked="0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3" fillId="0" borderId="0" xfId="0" applyFont="1" applyAlignment="1" applyProtection="1">
      <alignment horizontal="center"/>
      <protection locked="0"/>
    </xf>
    <xf numFmtId="0" fontId="1" fillId="6" borderId="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9" fillId="0" borderId="1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>
      <alignment horizontal="center"/>
    </xf>
    <xf numFmtId="0" fontId="3" fillId="9" borderId="0" xfId="0" applyFont="1" applyFill="1" applyAlignment="1">
      <alignment horizontal="right"/>
    </xf>
  </cellXfs>
  <cellStyles count="2">
    <cellStyle name="Обычный" xfId="0" builtinId="0"/>
    <cellStyle name="Финансовый" xfId="1" builtinId="3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04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04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charset val="204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</dxf>
  </dxfs>
  <tableStyles count="0" defaultTableStyle="TableStyleMedium2" defaultPivotStyle="PivotStyleLight16"/>
  <colors>
    <mruColors>
      <color rgb="FFFFE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9</xdr:row>
      <xdr:rowOff>88900</xdr:rowOff>
    </xdr:from>
    <xdr:to>
      <xdr:col>2</xdr:col>
      <xdr:colOff>3378200</xdr:colOff>
      <xdr:row>13</xdr:row>
      <xdr:rowOff>914400</xdr:rowOff>
    </xdr:to>
    <xdr:sp macro="" textlink="">
      <xdr:nvSpPr>
        <xdr:cNvPr id="9" name="Блок-схема: узел 8">
          <a:extLst>
            <a:ext uri="{FF2B5EF4-FFF2-40B4-BE49-F238E27FC236}">
              <a16:creationId xmlns:a16="http://schemas.microsoft.com/office/drawing/2014/main" id="{BBDF0B4B-C124-67F0-FFFF-D21CF44CBEFF}"/>
            </a:ext>
          </a:extLst>
        </xdr:cNvPr>
        <xdr:cNvSpPr/>
      </xdr:nvSpPr>
      <xdr:spPr>
        <a:xfrm>
          <a:off x="876300" y="1803400"/>
          <a:ext cx="4775200" cy="2514600"/>
        </a:xfrm>
        <a:prstGeom prst="flowChartConnector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</xdr:col>
      <xdr:colOff>1240367</xdr:colOff>
      <xdr:row>11</xdr:row>
      <xdr:rowOff>165100</xdr:rowOff>
    </xdr:from>
    <xdr:to>
      <xdr:col>2</xdr:col>
      <xdr:colOff>1003300</xdr:colOff>
      <xdr:row>12</xdr:row>
      <xdr:rowOff>241300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101839FE-4062-C849-4A5E-950D19A1C6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060" b="16031"/>
        <a:stretch/>
      </xdr:blipFill>
      <xdr:spPr>
        <a:xfrm>
          <a:off x="1849967" y="2400300"/>
          <a:ext cx="3318933" cy="863600"/>
        </a:xfrm>
        <a:prstGeom prst="rect">
          <a:avLst/>
        </a:prstGeom>
      </xdr:spPr>
    </xdr:pic>
    <xdr:clientData/>
  </xdr:twoCellAnchor>
  <xdr:twoCellAnchor editAs="oneCell">
    <xdr:from>
      <xdr:col>8</xdr:col>
      <xdr:colOff>411635</xdr:colOff>
      <xdr:row>0</xdr:row>
      <xdr:rowOff>0</xdr:rowOff>
    </xdr:from>
    <xdr:to>
      <xdr:col>12</xdr:col>
      <xdr:colOff>366185</xdr:colOff>
      <xdr:row>9</xdr:row>
      <xdr:rowOff>74082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6DC152E-EBBA-5EA8-529B-3FEA503E0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0135" y="0"/>
          <a:ext cx="3878850" cy="1788582"/>
        </a:xfrm>
        <a:prstGeom prst="rect">
          <a:avLst/>
        </a:prstGeom>
      </xdr:spPr>
    </xdr:pic>
    <xdr:clientData/>
  </xdr:twoCellAnchor>
  <xdr:twoCellAnchor editAs="oneCell">
    <xdr:from>
      <xdr:col>5</xdr:col>
      <xdr:colOff>763086</xdr:colOff>
      <xdr:row>15</xdr:row>
      <xdr:rowOff>50800</xdr:rowOff>
    </xdr:from>
    <xdr:to>
      <xdr:col>12</xdr:col>
      <xdr:colOff>395672</xdr:colOff>
      <xdr:row>21</xdr:row>
      <xdr:rowOff>91017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FE7384F-74FA-2963-B007-E9B5CB57C5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69" t="7908" r="8206" b="13482"/>
        <a:stretch/>
      </xdr:blipFill>
      <xdr:spPr>
        <a:xfrm>
          <a:off x="8090986" y="5308600"/>
          <a:ext cx="5817486" cy="30882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409979</xdr:colOff>
      <xdr:row>9</xdr:row>
      <xdr:rowOff>173113</xdr:rowOff>
    </xdr:from>
    <xdr:to>
      <xdr:col>0</xdr:col>
      <xdr:colOff>1882589</xdr:colOff>
      <xdr:row>15</xdr:row>
      <xdr:rowOff>136998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A756A80-1CED-76C5-A879-985BF19AA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979" y="2324642"/>
          <a:ext cx="1472610" cy="1476206"/>
        </a:xfrm>
        <a:prstGeom prst="rect">
          <a:avLst/>
        </a:prstGeom>
      </xdr:spPr>
    </xdr:pic>
    <xdr:clientData/>
  </xdr:twoCellAnchor>
  <xdr:twoCellAnchor editAs="oneCell">
    <xdr:from>
      <xdr:col>0</xdr:col>
      <xdr:colOff>515472</xdr:colOff>
      <xdr:row>3</xdr:row>
      <xdr:rowOff>89648</xdr:rowOff>
    </xdr:from>
    <xdr:to>
      <xdr:col>0</xdr:col>
      <xdr:colOff>1792942</xdr:colOff>
      <xdr:row>8</xdr:row>
      <xdr:rowOff>144002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25494BE-73F5-A76D-D072-4280BDB459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53" b="2818"/>
        <a:stretch/>
      </xdr:blipFill>
      <xdr:spPr>
        <a:xfrm>
          <a:off x="515472" y="907677"/>
          <a:ext cx="1277470" cy="1197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234462</xdr:colOff>
      <xdr:row>3</xdr:row>
      <xdr:rowOff>124558</xdr:rowOff>
    </xdr:from>
    <xdr:to>
      <xdr:col>0</xdr:col>
      <xdr:colOff>1729154</xdr:colOff>
      <xdr:row>7</xdr:row>
      <xdr:rowOff>271096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66FC30E-A3E4-BBD1-0999-3F5ED51D1A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26" t="31380" r="5813" b="17342"/>
        <a:stretch/>
      </xdr:blipFill>
      <xdr:spPr>
        <a:xfrm>
          <a:off x="234462" y="937846"/>
          <a:ext cx="1494692" cy="9085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17</xdr:row>
      <xdr:rowOff>63500</xdr:rowOff>
    </xdr:from>
    <xdr:to>
      <xdr:col>15</xdr:col>
      <xdr:colOff>545119</xdr:colOff>
      <xdr:row>33</xdr:row>
      <xdr:rowOff>67346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4649686-D565-BFFB-4345-516CC71AC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1" y="3930650"/>
          <a:ext cx="2786668" cy="29502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2:D5" totalsRowShown="0">
  <autoFilter ref="B2:D5" xr:uid="{00000000-0009-0000-0100-000001000000}"/>
  <tableColumns count="3">
    <tableColumn id="1" xr3:uid="{00000000-0010-0000-0000-000001000000}" name="Регион строительства" dataDxfId="23"/>
    <tableColumn id="2" xr3:uid="{00000000-0010-0000-0000-000002000000}" name="Рекомендованная толщина утепления, мм" dataDxfId="22"/>
    <tableColumn id="3" xr3:uid="{00000000-0010-0000-0000-000003000000}" name="Округление" dataDxfId="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G2:G5" totalsRowShown="0" headerRowDxfId="20" dataDxfId="19">
  <autoFilter ref="G2:G5" xr:uid="{00000000-0009-0000-0100-000002000000}"/>
  <tableColumns count="1">
    <tableColumn id="1" xr3:uid="{00000000-0010-0000-0100-000001000000}" name="Высота стропил, мм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24" displayName="Таблица24" ref="I2:J4" totalsRowShown="0" headerRowDxfId="17" dataDxfId="16">
  <autoFilter ref="I2:J4" xr:uid="{00000000-0009-0000-0100-000003000000}"/>
  <tableColumns count="2">
    <tableColumn id="1" xr3:uid="{00000000-0010-0000-0200-000001000000}" name="Отделка ГСП" dataDxfId="15"/>
    <tableColumn id="2" xr3:uid="{00000000-0010-0000-0200-000002000000}" name="Шпаклевка для стыков" dataDxfId="1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Таблица256" displayName="Таблица256" ref="G10:H12" totalsRowShown="0" headerRowDxfId="13" dataDxfId="12">
  <autoFilter ref="G10:H12" xr:uid="{00000000-0009-0000-0100-000005000000}"/>
  <tableColumns count="2">
    <tableColumn id="1" xr3:uid="{00000000-0010-0000-0400-000001000000}" name="ГСП" dataDxfId="11"/>
    <tableColumn id="2" xr3:uid="{00000000-0010-0000-0400-000002000000}" name="толщина" dataDxfId="1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Таблица6" displayName="Таблица6" ref="G14:H18" totalsRowShown="0" headerRowDxfId="9" dataDxfId="8">
  <autoFilter ref="G14:H18" xr:uid="{00000000-0009-0000-0100-000006000000}"/>
  <tableColumns count="2">
    <tableColumn id="1" xr3:uid="{00000000-0010-0000-0500-000001000000}" name="Доутепление" dataDxfId="7"/>
    <tableColumn id="2" xr3:uid="{00000000-0010-0000-0500-000002000000}" name="Подвес" dataDxfId="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Таблица132" displayName="Таблица132" ref="G20:G25" totalsRowShown="0" headerRowDxfId="5" dataDxfId="4">
  <autoFilter ref="G20:G25" xr:uid="{00000000-0009-0000-0100-000007000000}"/>
  <tableColumns count="1">
    <tableColumn id="1" xr3:uid="{00000000-0010-0000-0600-000001000000}" name="Система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45C59D-DFBA-4DEA-BD3B-DDCD0ABB4008}" name="Таблица4" displayName="Таблица4" ref="L15:L19" totalsRowShown="0" headerRowDxfId="2" dataDxfId="1">
  <autoFilter ref="L15:L19" xr:uid="{E945C59D-DFBA-4DEA-BD3B-DDCD0ABB4008}"/>
  <tableColumns count="1">
    <tableColumn id="1" xr3:uid="{3782DE7A-A55F-4F89-BD78-E52B3984398E}" name="Изоляци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showGridLines="0" tabSelected="1" zoomScale="50" zoomScaleNormal="50" zoomScaleSheetLayoutView="70" workbookViewId="0">
      <selection activeCell="Q46" sqref="Q46"/>
    </sheetView>
  </sheetViews>
  <sheetFormatPr defaultColWidth="8.7109375" defaultRowHeight="14.45" outlineLevelRow="1"/>
  <cols>
    <col min="1" max="1" width="8.7109375" style="76"/>
    <col min="2" max="2" width="50.85546875" style="76" customWidth="1"/>
    <col min="3" max="3" width="19.5703125" style="81" customWidth="1"/>
    <col min="4" max="4" width="10.28515625" style="76" customWidth="1"/>
    <col min="5" max="5" width="15.140625" style="76" customWidth="1"/>
    <col min="6" max="6" width="12.7109375" style="76" customWidth="1"/>
    <col min="7" max="7" width="9.7109375" style="82" customWidth="1"/>
    <col min="8" max="8" width="9.85546875" style="82" customWidth="1"/>
    <col min="9" max="9" width="18" style="82" customWidth="1"/>
    <col min="10" max="10" width="12.42578125" style="82" customWidth="1"/>
    <col min="11" max="11" width="14.85546875" style="82" customWidth="1"/>
    <col min="12" max="12" width="10.7109375" style="76" customWidth="1"/>
    <col min="13" max="13" width="16.140625" style="76" customWidth="1"/>
    <col min="14" max="14" width="31.42578125" style="76" customWidth="1"/>
    <col min="15" max="15" width="8.7109375" style="76" hidden="1" customWidth="1"/>
    <col min="16" max="16" width="8.140625" style="76" hidden="1" customWidth="1"/>
    <col min="17" max="16384" width="8.7109375" style="76"/>
  </cols>
  <sheetData>
    <row r="1" spans="1:29">
      <c r="A1" s="72"/>
      <c r="B1" s="73"/>
      <c r="C1" s="74"/>
      <c r="D1" s="73"/>
      <c r="E1" s="73"/>
      <c r="F1" s="73"/>
      <c r="G1" s="75"/>
      <c r="H1" s="75"/>
      <c r="I1" s="75"/>
      <c r="J1" s="75"/>
      <c r="K1" s="75"/>
      <c r="L1" s="73"/>
      <c r="M1" s="73"/>
      <c r="N1" s="72"/>
      <c r="O1" s="72"/>
      <c r="P1" s="72"/>
      <c r="Q1" s="72"/>
      <c r="R1" s="72"/>
      <c r="S1" s="72"/>
      <c r="T1" s="72"/>
      <c r="U1" s="72"/>
      <c r="V1" s="72"/>
    </row>
    <row r="2" spans="1:29">
      <c r="A2" s="72"/>
      <c r="B2" s="73"/>
      <c r="C2" s="74"/>
      <c r="D2" s="73"/>
      <c r="E2" s="73"/>
      <c r="F2" s="73"/>
      <c r="G2" s="75"/>
      <c r="H2" s="75"/>
      <c r="I2" s="75"/>
      <c r="J2" s="75"/>
      <c r="K2" s="75"/>
      <c r="L2" s="73"/>
      <c r="M2" s="73"/>
      <c r="N2" s="72"/>
      <c r="O2" s="72"/>
      <c r="P2" s="72"/>
      <c r="Q2" s="72"/>
      <c r="R2" s="72"/>
      <c r="S2" s="72"/>
      <c r="T2" s="72"/>
      <c r="U2" s="72"/>
      <c r="V2" s="72"/>
    </row>
    <row r="3" spans="1:29">
      <c r="A3" s="72"/>
      <c r="B3" s="73"/>
      <c r="C3" s="74"/>
      <c r="D3" s="73"/>
      <c r="E3" s="73"/>
      <c r="F3" s="73"/>
      <c r="G3" s="75"/>
      <c r="H3" s="75"/>
      <c r="I3" s="75"/>
      <c r="J3" s="75"/>
      <c r="K3" s="75"/>
      <c r="L3" s="73"/>
      <c r="M3" s="73"/>
      <c r="N3" s="72"/>
      <c r="O3" s="72"/>
      <c r="P3" s="72"/>
      <c r="Q3" s="72"/>
      <c r="R3" s="72"/>
      <c r="S3" s="72"/>
      <c r="T3" s="72"/>
      <c r="U3" s="72"/>
      <c r="V3" s="72"/>
    </row>
    <row r="4" spans="1:29">
      <c r="A4" s="72"/>
      <c r="B4" s="73"/>
      <c r="C4" s="74"/>
      <c r="D4" s="73"/>
      <c r="E4" s="73"/>
      <c r="F4" s="73"/>
      <c r="G4" s="75"/>
      <c r="H4" s="75"/>
      <c r="I4" s="75"/>
      <c r="J4" s="75"/>
      <c r="K4" s="75"/>
      <c r="L4" s="73"/>
      <c r="M4" s="73"/>
      <c r="N4" s="72"/>
      <c r="O4" s="72"/>
      <c r="P4" s="72"/>
      <c r="Q4" s="72"/>
      <c r="R4" s="72"/>
      <c r="S4" s="72"/>
      <c r="T4" s="72"/>
      <c r="U4" s="72"/>
      <c r="V4" s="72"/>
    </row>
    <row r="5" spans="1:29">
      <c r="A5" s="72"/>
      <c r="B5" s="73"/>
      <c r="C5" s="74"/>
      <c r="D5" s="73"/>
      <c r="E5" s="73"/>
      <c r="F5" s="73"/>
      <c r="G5" s="75"/>
      <c r="H5" s="75"/>
      <c r="I5" s="75"/>
      <c r="J5" s="75"/>
      <c r="K5" s="75"/>
      <c r="L5" s="73"/>
      <c r="M5" s="73"/>
      <c r="N5" s="72"/>
      <c r="O5" s="72"/>
      <c r="P5" s="72"/>
      <c r="Q5" s="72"/>
      <c r="R5" s="72"/>
      <c r="S5" s="72"/>
      <c r="T5" s="72"/>
      <c r="U5" s="72"/>
      <c r="V5" s="72"/>
    </row>
    <row r="6" spans="1:29">
      <c r="A6" s="72"/>
      <c r="B6" s="73"/>
      <c r="C6" s="74"/>
      <c r="D6" s="73"/>
      <c r="E6" s="73"/>
      <c r="F6" s="73"/>
      <c r="G6" s="75"/>
      <c r="H6" s="75"/>
      <c r="I6" s="75"/>
      <c r="J6" s="75"/>
      <c r="K6" s="75"/>
      <c r="L6" s="73"/>
      <c r="M6" s="73"/>
      <c r="N6" s="72"/>
      <c r="O6" s="72"/>
      <c r="P6" s="72"/>
      <c r="Q6" s="72"/>
      <c r="R6" s="72"/>
      <c r="S6" s="72"/>
      <c r="T6" s="72"/>
      <c r="U6" s="72"/>
      <c r="V6" s="72"/>
    </row>
    <row r="7" spans="1:29">
      <c r="A7" s="72"/>
      <c r="B7" s="73"/>
      <c r="C7" s="74"/>
      <c r="D7" s="73"/>
      <c r="E7" s="73"/>
      <c r="F7" s="73"/>
      <c r="G7" s="75"/>
      <c r="H7" s="75"/>
      <c r="I7" s="75"/>
      <c r="J7" s="75"/>
      <c r="K7" s="75"/>
      <c r="L7" s="73"/>
      <c r="M7" s="73"/>
      <c r="N7" s="72"/>
      <c r="O7" s="72"/>
      <c r="P7" s="72"/>
      <c r="Q7" s="72"/>
      <c r="R7" s="72"/>
      <c r="S7" s="72"/>
      <c r="T7" s="72"/>
      <c r="U7" s="72"/>
      <c r="V7" s="72"/>
    </row>
    <row r="8" spans="1:29">
      <c r="A8" s="72"/>
      <c r="B8" s="73"/>
      <c r="C8" s="74"/>
      <c r="D8" s="73"/>
      <c r="E8" s="73"/>
      <c r="F8" s="73"/>
      <c r="G8" s="75"/>
      <c r="H8" s="75"/>
      <c r="I8" s="75"/>
      <c r="J8" s="75"/>
      <c r="K8" s="75"/>
      <c r="L8" s="73"/>
      <c r="M8" s="73"/>
      <c r="N8" s="72"/>
      <c r="O8" s="72"/>
      <c r="P8" s="72"/>
      <c r="Q8" s="72"/>
      <c r="R8" s="72"/>
      <c r="S8" s="72"/>
      <c r="T8" s="72"/>
      <c r="U8" s="72"/>
      <c r="V8" s="72"/>
    </row>
    <row r="9" spans="1:29">
      <c r="B9" s="73"/>
      <c r="C9" s="74"/>
      <c r="D9" s="73"/>
      <c r="E9" s="73"/>
      <c r="F9" s="73"/>
      <c r="G9" s="75"/>
      <c r="H9" s="75"/>
      <c r="I9" s="75"/>
      <c r="J9" s="75"/>
      <c r="K9" s="75"/>
      <c r="L9" s="73"/>
      <c r="M9" s="73"/>
      <c r="N9" s="72"/>
      <c r="O9" s="72"/>
      <c r="P9" s="72"/>
      <c r="Q9" s="72"/>
      <c r="R9" s="72"/>
      <c r="S9" s="72"/>
      <c r="T9" s="72"/>
      <c r="U9" s="72"/>
      <c r="V9" s="72"/>
    </row>
    <row r="10" spans="1:29">
      <c r="A10" s="72"/>
      <c r="B10" s="73"/>
      <c r="C10" s="74"/>
      <c r="D10" s="73"/>
      <c r="E10" s="73"/>
      <c r="F10" s="73"/>
      <c r="G10" s="75"/>
      <c r="H10" s="75"/>
      <c r="I10" s="75"/>
      <c r="J10" s="75"/>
      <c r="K10" s="75"/>
      <c r="L10" s="73"/>
      <c r="M10" s="73"/>
      <c r="N10" s="72"/>
      <c r="O10" s="72"/>
      <c r="P10" s="72"/>
      <c r="Q10" s="72"/>
      <c r="R10" s="72"/>
      <c r="S10" s="72"/>
      <c r="T10" s="72"/>
      <c r="U10" s="72"/>
      <c r="V10" s="72"/>
    </row>
    <row r="11" spans="1:29" ht="25.5" customHeight="1">
      <c r="A11" s="72"/>
      <c r="B11" s="73"/>
      <c r="C11" s="74"/>
      <c r="D11" s="73"/>
      <c r="E11" s="73"/>
      <c r="F11" s="73"/>
      <c r="G11" s="75"/>
      <c r="H11" s="75"/>
      <c r="I11" s="75"/>
      <c r="J11" s="75"/>
      <c r="K11" s="75"/>
      <c r="L11" s="73"/>
      <c r="M11" s="73"/>
      <c r="N11" s="72"/>
      <c r="O11" s="72"/>
      <c r="P11" s="72"/>
      <c r="Q11" s="72"/>
      <c r="R11" s="72"/>
      <c r="S11" s="72"/>
      <c r="T11" s="72"/>
      <c r="U11" s="72"/>
      <c r="V11" s="72"/>
    </row>
    <row r="12" spans="1:29" ht="61.5" customHeight="1">
      <c r="A12" s="72"/>
      <c r="B12" s="73"/>
      <c r="C12" s="74"/>
      <c r="D12" s="73"/>
      <c r="E12" s="73"/>
      <c r="F12" s="73"/>
      <c r="G12" s="75"/>
      <c r="H12" s="75"/>
      <c r="I12" s="75"/>
      <c r="J12" s="75"/>
      <c r="K12" s="75"/>
      <c r="L12" s="73"/>
      <c r="M12" s="73"/>
      <c r="N12" s="72"/>
      <c r="O12" s="72"/>
      <c r="P12" s="72"/>
      <c r="Q12" s="72"/>
      <c r="R12" s="72"/>
      <c r="S12" s="72"/>
      <c r="T12" s="72"/>
      <c r="U12" s="72"/>
      <c r="V12" s="72"/>
    </row>
    <row r="13" spans="1:29" ht="30" customHeight="1">
      <c r="A13" s="72"/>
      <c r="B13" s="70"/>
      <c r="C13" s="70"/>
      <c r="D13" s="70"/>
      <c r="E13" s="70"/>
      <c r="F13" s="77" t="s">
        <v>0</v>
      </c>
      <c r="G13" s="199" t="s">
        <v>1</v>
      </c>
      <c r="H13" s="199"/>
      <c r="I13" s="199"/>
      <c r="J13" s="199"/>
      <c r="K13" s="199"/>
      <c r="L13" s="199"/>
      <c r="M13" s="199"/>
      <c r="N13" s="72"/>
      <c r="O13" s="72" t="s">
        <v>2</v>
      </c>
      <c r="P13" s="72">
        <v>4444</v>
      </c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</row>
    <row r="14" spans="1:29" ht="105.6" customHeight="1">
      <c r="A14" s="72"/>
      <c r="B14" s="71" t="s">
        <v>3</v>
      </c>
      <c r="C14" s="70"/>
      <c r="D14" s="70"/>
      <c r="E14" s="70"/>
      <c r="F14" s="70"/>
      <c r="G14" s="78"/>
      <c r="H14" s="78"/>
      <c r="I14" s="78"/>
      <c r="J14" s="78"/>
      <c r="K14" s="78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</row>
    <row r="15" spans="1:29" ht="39.950000000000003" customHeight="1">
      <c r="A15" s="72"/>
      <c r="B15" s="71"/>
      <c r="C15" s="70"/>
      <c r="D15" s="70"/>
      <c r="E15" s="70"/>
      <c r="F15" s="70"/>
      <c r="G15" s="78"/>
      <c r="H15" s="78"/>
      <c r="I15" s="78"/>
      <c r="J15" s="78"/>
      <c r="K15" s="78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</row>
    <row r="16" spans="1:29" ht="39.950000000000003" customHeight="1">
      <c r="A16" s="162"/>
      <c r="B16" s="201" t="s">
        <v>4</v>
      </c>
      <c r="C16" s="202"/>
      <c r="D16" s="79"/>
      <c r="E16" s="79"/>
      <c r="F16" s="79"/>
      <c r="G16" s="78"/>
      <c r="H16" s="78"/>
      <c r="I16" s="78"/>
      <c r="J16" s="78"/>
      <c r="K16" s="78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</row>
    <row r="17" spans="1:22" ht="39.950000000000003" customHeight="1">
      <c r="A17" s="72"/>
      <c r="C17" s="192"/>
      <c r="D17" s="72"/>
      <c r="E17" s="72"/>
      <c r="F17" s="72"/>
      <c r="G17" s="78"/>
      <c r="H17" s="78"/>
      <c r="I17" s="78"/>
      <c r="J17" s="78"/>
      <c r="K17" s="200"/>
      <c r="L17" s="200"/>
      <c r="M17" s="200"/>
      <c r="N17" s="72"/>
      <c r="O17" s="72"/>
      <c r="P17" s="72"/>
      <c r="Q17" s="72"/>
      <c r="R17" s="72"/>
      <c r="S17" s="72"/>
      <c r="T17" s="72"/>
      <c r="U17" s="72"/>
      <c r="V17" s="72"/>
    </row>
    <row r="18" spans="1:22" ht="39.950000000000003" customHeight="1">
      <c r="A18" s="72"/>
      <c r="B18" s="194" t="s">
        <v>5</v>
      </c>
      <c r="C18" s="93">
        <v>200</v>
      </c>
      <c r="D18" s="80"/>
      <c r="E18" s="80"/>
      <c r="F18" s="72"/>
      <c r="G18" s="78"/>
      <c r="H18" s="78"/>
      <c r="I18" s="78"/>
      <c r="J18" s="78"/>
      <c r="K18" s="85"/>
      <c r="L18" s="85"/>
      <c r="M18" s="85"/>
      <c r="N18" s="72"/>
      <c r="O18" s="72"/>
      <c r="P18" s="72"/>
      <c r="Q18" s="72"/>
      <c r="R18" s="72"/>
      <c r="S18" s="72"/>
      <c r="T18" s="72"/>
      <c r="U18" s="72"/>
      <c r="V18" s="72"/>
    </row>
    <row r="19" spans="1:22" ht="39.950000000000003" customHeight="1">
      <c r="A19" s="72"/>
      <c r="B19" s="194" t="s">
        <v>6</v>
      </c>
      <c r="C19" s="92">
        <v>200</v>
      </c>
      <c r="D19" s="91"/>
      <c r="E19" s="86"/>
      <c r="F19" s="72"/>
      <c r="G19" s="78"/>
      <c r="H19" s="78"/>
      <c r="I19" s="78"/>
      <c r="J19" s="78"/>
      <c r="K19" s="87"/>
      <c r="L19" s="87"/>
      <c r="M19" s="87"/>
      <c r="N19" s="72"/>
      <c r="O19" s="72"/>
      <c r="P19" s="72"/>
      <c r="Q19" s="72"/>
      <c r="R19" s="72"/>
      <c r="S19" s="72"/>
      <c r="T19" s="72"/>
      <c r="U19" s="72"/>
      <c r="V19" s="72"/>
    </row>
    <row r="20" spans="1:22" ht="39.950000000000003" customHeight="1">
      <c r="A20" s="72"/>
      <c r="B20" s="195" t="s">
        <v>7</v>
      </c>
      <c r="C20" s="94">
        <f>C18-C19</f>
        <v>0</v>
      </c>
      <c r="D20" s="84"/>
      <c r="E20" s="84"/>
      <c r="F20" s="72"/>
      <c r="G20" s="78"/>
      <c r="H20" s="78"/>
      <c r="I20" s="78"/>
      <c r="J20" s="78"/>
      <c r="K20" s="85"/>
      <c r="L20" s="85"/>
      <c r="M20" s="85"/>
      <c r="N20" s="72"/>
      <c r="O20" s="72"/>
      <c r="P20" s="72"/>
      <c r="Q20" s="72"/>
      <c r="R20" s="72"/>
      <c r="S20" s="72"/>
      <c r="T20" s="72"/>
      <c r="U20" s="72"/>
      <c r="V20" s="72"/>
    </row>
    <row r="21" spans="1:22" ht="39.950000000000003" customHeight="1">
      <c r="A21" s="72"/>
      <c r="B21" s="194" t="s">
        <v>8</v>
      </c>
      <c r="C21" s="92">
        <v>10</v>
      </c>
      <c r="D21" s="88"/>
      <c r="E21" s="88"/>
      <c r="F21" s="95"/>
      <c r="G21" s="95"/>
      <c r="H21" s="95"/>
      <c r="I21" s="95"/>
      <c r="J21" s="95"/>
      <c r="K21" s="95"/>
      <c r="L21" s="95"/>
      <c r="M21" s="95"/>
      <c r="N21" s="72"/>
      <c r="O21" s="72"/>
      <c r="P21" s="72"/>
      <c r="Q21" s="72"/>
      <c r="R21" s="72"/>
      <c r="S21" s="72"/>
      <c r="T21" s="72"/>
      <c r="U21" s="72"/>
      <c r="V21" s="72"/>
    </row>
    <row r="22" spans="1:22" ht="39.950000000000003" customHeight="1">
      <c r="A22" s="72"/>
      <c r="B22" s="90"/>
      <c r="C22" s="89"/>
      <c r="D22" s="88"/>
      <c r="E22" s="88"/>
      <c r="F22" s="95"/>
      <c r="G22" s="95"/>
      <c r="H22" s="95"/>
      <c r="I22" s="95"/>
      <c r="J22" s="95"/>
      <c r="K22" s="95"/>
      <c r="L22" s="95"/>
      <c r="M22" s="95"/>
      <c r="N22" s="72"/>
      <c r="O22" s="72"/>
      <c r="P22" s="72"/>
      <c r="Q22" s="72"/>
      <c r="R22" s="72"/>
      <c r="S22" s="72"/>
      <c r="T22" s="72"/>
      <c r="U22" s="72"/>
      <c r="V22" s="72"/>
    </row>
    <row r="23" spans="1:22" ht="39.950000000000003" customHeight="1">
      <c r="A23" s="72"/>
      <c r="B23" s="196" t="s">
        <v>9</v>
      </c>
      <c r="C23" s="197"/>
      <c r="D23" s="88"/>
      <c r="E23" s="88"/>
      <c r="F23" s="95"/>
      <c r="G23" s="95"/>
      <c r="H23" s="95"/>
      <c r="I23" s="95"/>
      <c r="J23" s="95"/>
      <c r="K23" s="95"/>
      <c r="L23" s="95"/>
      <c r="M23" s="95"/>
      <c r="N23" s="72"/>
      <c r="O23" s="72"/>
      <c r="P23" s="72"/>
      <c r="Q23" s="72"/>
      <c r="R23" s="72"/>
      <c r="S23" s="72"/>
      <c r="T23" s="72"/>
      <c r="U23" s="72"/>
      <c r="V23" s="72"/>
    </row>
    <row r="24" spans="1:22" s="72" customFormat="1" ht="39.950000000000003" customHeight="1">
      <c r="B24" s="116"/>
      <c r="C24" s="193"/>
      <c r="D24" s="116"/>
      <c r="E24" s="163"/>
      <c r="F24" s="203" t="s">
        <v>10</v>
      </c>
      <c r="G24" s="204"/>
      <c r="H24" s="204"/>
      <c r="I24" s="205"/>
      <c r="J24" s="206" t="s">
        <v>11</v>
      </c>
      <c r="K24" s="207"/>
      <c r="L24" s="207"/>
      <c r="M24" s="208"/>
    </row>
    <row r="25" spans="1:22" ht="39.950000000000003" customHeight="1">
      <c r="A25" s="162"/>
      <c r="B25" s="161" t="s">
        <v>12</v>
      </c>
      <c r="C25" s="160" t="s">
        <v>13</v>
      </c>
      <c r="D25" s="160" t="s">
        <v>14</v>
      </c>
      <c r="E25" s="160" t="s">
        <v>15</v>
      </c>
      <c r="F25" s="137" t="s">
        <v>16</v>
      </c>
      <c r="G25" s="104" t="s">
        <v>17</v>
      </c>
      <c r="H25" s="138" t="s">
        <v>18</v>
      </c>
      <c r="I25" s="138" t="s">
        <v>19</v>
      </c>
      <c r="J25" s="139" t="s">
        <v>16</v>
      </c>
      <c r="K25" s="135" t="s">
        <v>17</v>
      </c>
      <c r="L25" s="135" t="s">
        <v>18</v>
      </c>
      <c r="M25" s="136" t="s">
        <v>19</v>
      </c>
      <c r="N25" s="72"/>
      <c r="O25" s="72"/>
      <c r="P25" s="72"/>
      <c r="Q25" s="72"/>
      <c r="R25" s="72"/>
      <c r="S25" s="72"/>
      <c r="T25" s="72"/>
      <c r="U25" s="72"/>
      <c r="V25" s="72"/>
    </row>
    <row r="26" spans="1:22" ht="30" customHeight="1">
      <c r="B26" s="166" t="s">
        <v>20</v>
      </c>
      <c r="C26" s="117"/>
      <c r="D26" s="117"/>
      <c r="E26" s="117"/>
      <c r="F26" s="118"/>
      <c r="G26" s="118"/>
      <c r="H26" s="118"/>
      <c r="I26" s="118"/>
      <c r="J26" s="117"/>
      <c r="K26" s="117"/>
      <c r="L26" s="117"/>
      <c r="M26" s="119" t="s">
        <v>21</v>
      </c>
      <c r="N26" s="159"/>
      <c r="O26" s="72"/>
      <c r="P26" s="72"/>
      <c r="Q26" s="72"/>
      <c r="R26" s="72"/>
      <c r="S26" s="72"/>
      <c r="T26" s="72"/>
      <c r="U26" s="72"/>
      <c r="V26" s="72"/>
    </row>
    <row r="27" spans="1:22" ht="30" customHeight="1">
      <c r="B27" s="164" t="s">
        <v>22</v>
      </c>
      <c r="C27" s="142">
        <v>1.03</v>
      </c>
      <c r="D27" s="120" t="s">
        <v>23</v>
      </c>
      <c r="E27" s="142">
        <f>C19</f>
        <v>200</v>
      </c>
      <c r="F27" s="121">
        <f>C27*$C21</f>
        <v>10.3</v>
      </c>
      <c r="G27" s="146" t="s">
        <v>24</v>
      </c>
      <c r="H27" s="148">
        <v>0</v>
      </c>
      <c r="I27" s="150">
        <f t="shared" ref="I27:I32" si="0">H27*F27</f>
        <v>0</v>
      </c>
      <c r="J27" s="154">
        <f>ROUNDUP(F27*E27/1000,0)</f>
        <v>3</v>
      </c>
      <c r="K27" s="142" t="s">
        <v>25</v>
      </c>
      <c r="L27" s="155">
        <v>0</v>
      </c>
      <c r="M27" s="157">
        <f>L27*J27</f>
        <v>0</v>
      </c>
      <c r="N27" s="72"/>
      <c r="O27" s="72"/>
      <c r="P27" s="72"/>
      <c r="Q27" s="72"/>
      <c r="R27" s="72"/>
      <c r="S27" s="72"/>
      <c r="T27" s="72"/>
      <c r="U27" s="72"/>
      <c r="V27" s="72"/>
    </row>
    <row r="28" spans="1:22" ht="39.950000000000003" customHeight="1">
      <c r="A28" s="165"/>
      <c r="B28" s="125" t="str">
        <f>B27 &amp; " (доутепление)"</f>
        <v>Vetonit (Isover) Тёплая Крыша Стронг (доутепление)</v>
      </c>
      <c r="C28" s="141">
        <f>IF(C20&gt;0,1.03,0)</f>
        <v>0</v>
      </c>
      <c r="D28" s="143" t="str">
        <f>'База данных'!I35</f>
        <v>м2/м2</v>
      </c>
      <c r="E28" s="143">
        <f>'База данных'!J35</f>
        <v>0</v>
      </c>
      <c r="F28" s="121">
        <f>'База данных'!K35</f>
        <v>10.3</v>
      </c>
      <c r="G28" s="146" t="str">
        <f>'База данных'!L35</f>
        <v>м2</v>
      </c>
      <c r="H28" s="152">
        <v>0</v>
      </c>
      <c r="I28" s="150">
        <f>F28*H28</f>
        <v>0</v>
      </c>
      <c r="J28" s="127">
        <f>'База данных'!M35</f>
        <v>0</v>
      </c>
      <c r="K28" s="143" t="str">
        <f>'База данных'!N35</f>
        <v>м3</v>
      </c>
      <c r="L28" s="128">
        <v>0</v>
      </c>
      <c r="M28" s="158">
        <f>L28*J28</f>
        <v>0</v>
      </c>
      <c r="N28" s="198"/>
      <c r="O28" s="72"/>
      <c r="P28" s="72"/>
      <c r="Q28" s="72"/>
      <c r="R28" s="72"/>
      <c r="S28" s="72"/>
      <c r="T28" s="72"/>
      <c r="U28" s="72"/>
      <c r="V28" s="72"/>
    </row>
    <row r="29" spans="1:22" ht="30" customHeight="1">
      <c r="B29" s="166" t="s">
        <v>26</v>
      </c>
      <c r="C29" s="130"/>
      <c r="D29" s="130"/>
      <c r="E29" s="130"/>
      <c r="F29" s="131"/>
      <c r="G29" s="131"/>
      <c r="H29" s="132"/>
      <c r="I29" s="131"/>
      <c r="J29" s="131"/>
      <c r="K29" s="130"/>
      <c r="L29" s="133"/>
      <c r="M29" s="191" t="s">
        <v>21</v>
      </c>
      <c r="N29" s="198"/>
      <c r="O29" s="72"/>
      <c r="P29" s="72"/>
      <c r="Q29" s="72"/>
      <c r="R29" s="72"/>
      <c r="S29" s="72"/>
      <c r="T29" s="72"/>
      <c r="U29" s="72"/>
      <c r="V29" s="72"/>
    </row>
    <row r="30" spans="1:22" ht="39.950000000000003" customHeight="1">
      <c r="B30" s="167" t="s">
        <v>27</v>
      </c>
      <c r="C30" s="140">
        <v>1.1000000000000001</v>
      </c>
      <c r="D30" s="142" t="s">
        <v>23</v>
      </c>
      <c r="E30" s="142" t="s">
        <v>28</v>
      </c>
      <c r="F30" s="147">
        <f>C30*$C21</f>
        <v>11</v>
      </c>
      <c r="G30" s="121" t="s">
        <v>24</v>
      </c>
      <c r="H30" s="152">
        <v>0</v>
      </c>
      <c r="I30" s="150">
        <f>H30*F30</f>
        <v>0</v>
      </c>
      <c r="J30" s="154">
        <f>ROUNDUP(F30/70,0)</f>
        <v>1</v>
      </c>
      <c r="K30" s="120" t="s">
        <v>29</v>
      </c>
      <c r="L30" s="168">
        <v>0</v>
      </c>
      <c r="M30" s="169">
        <f>L30*J30</f>
        <v>0</v>
      </c>
      <c r="N30" s="96"/>
      <c r="O30" s="72"/>
      <c r="P30" s="72"/>
      <c r="Q30" s="72"/>
      <c r="R30" s="72"/>
      <c r="S30" s="72"/>
      <c r="T30" s="72"/>
      <c r="U30" s="72"/>
      <c r="V30" s="72"/>
    </row>
    <row r="31" spans="1:22" ht="39.950000000000003" customHeight="1">
      <c r="A31" s="189"/>
      <c r="B31" s="188" t="s">
        <v>30</v>
      </c>
      <c r="C31" s="140">
        <v>1.1000000000000001</v>
      </c>
      <c r="D31" s="142" t="s">
        <v>23</v>
      </c>
      <c r="E31" s="142" t="s">
        <v>28</v>
      </c>
      <c r="F31" s="121">
        <f>C31*$C21</f>
        <v>11</v>
      </c>
      <c r="G31" s="146" t="s">
        <v>24</v>
      </c>
      <c r="H31" s="152">
        <v>0</v>
      </c>
      <c r="I31" s="150">
        <f t="shared" si="0"/>
        <v>0</v>
      </c>
      <c r="J31" s="124">
        <f>ROUNDUP(F31/70,0)</f>
        <v>1</v>
      </c>
      <c r="K31" s="140" t="s">
        <v>29</v>
      </c>
      <c r="L31" s="168">
        <v>0</v>
      </c>
      <c r="M31" s="170">
        <f>L31*J31</f>
        <v>0</v>
      </c>
      <c r="N31" s="159"/>
      <c r="O31" s="72"/>
      <c r="P31" s="72"/>
      <c r="Q31" s="72"/>
      <c r="R31" s="72"/>
      <c r="S31" s="72"/>
      <c r="T31" s="72"/>
      <c r="U31" s="72"/>
      <c r="V31" s="72"/>
    </row>
    <row r="32" spans="1:22" ht="39.950000000000003" customHeight="1">
      <c r="A32" s="190"/>
      <c r="B32" s="134" t="s">
        <v>31</v>
      </c>
      <c r="C32" s="140">
        <v>2.8</v>
      </c>
      <c r="D32" s="140" t="s">
        <v>32</v>
      </c>
      <c r="E32" s="142" t="s">
        <v>28</v>
      </c>
      <c r="F32" s="147">
        <f>C32*$C21</f>
        <v>28</v>
      </c>
      <c r="G32" s="121" t="s">
        <v>33</v>
      </c>
      <c r="H32" s="148">
        <v>0</v>
      </c>
      <c r="I32" s="149">
        <f t="shared" si="0"/>
        <v>0</v>
      </c>
      <c r="J32" s="153">
        <f>ROUNDUP(F32/20,0)</f>
        <v>2</v>
      </c>
      <c r="K32" s="140" t="s">
        <v>34</v>
      </c>
      <c r="L32" s="168">
        <v>0</v>
      </c>
      <c r="M32" s="157">
        <f>L32*J32</f>
        <v>0</v>
      </c>
      <c r="N32" s="72"/>
      <c r="O32" s="72"/>
      <c r="P32" s="72"/>
      <c r="Q32" s="72"/>
      <c r="R32" s="72"/>
      <c r="S32" s="72"/>
      <c r="T32" s="72"/>
      <c r="U32" s="72"/>
      <c r="V32" s="72"/>
    </row>
    <row r="33" spans="1:22" ht="30" customHeight="1">
      <c r="B33" s="166" t="s">
        <v>35</v>
      </c>
      <c r="C33" s="130"/>
      <c r="D33" s="130"/>
      <c r="E33" s="130"/>
      <c r="F33" s="131"/>
      <c r="G33" s="131"/>
      <c r="H33" s="132"/>
      <c r="I33" s="131"/>
      <c r="J33" s="131"/>
      <c r="K33" s="130"/>
      <c r="L33" s="133"/>
      <c r="M33" s="119"/>
      <c r="N33" s="159"/>
      <c r="O33" s="72"/>
      <c r="P33" s="72"/>
      <c r="Q33" s="72"/>
      <c r="R33" s="72"/>
      <c r="S33" s="72"/>
      <c r="T33" s="72"/>
      <c r="U33" s="72"/>
      <c r="V33" s="72"/>
    </row>
    <row r="34" spans="1:22" ht="39.950000000000003" customHeight="1">
      <c r="A34" s="165"/>
      <c r="B34" s="144" t="s">
        <v>36</v>
      </c>
      <c r="C34" s="143">
        <v>1</v>
      </c>
      <c r="D34" s="126" t="s">
        <v>23</v>
      </c>
      <c r="E34" s="143">
        <f>VLOOKUP(B34,Таблица256[],2,0)</f>
        <v>12.5</v>
      </c>
      <c r="F34" s="121">
        <f>C34*C21</f>
        <v>10</v>
      </c>
      <c r="G34" s="147" t="s">
        <v>24</v>
      </c>
      <c r="H34" s="122">
        <v>0</v>
      </c>
      <c r="I34" s="150">
        <f>H34*F34</f>
        <v>0</v>
      </c>
      <c r="J34" s="171">
        <f>ROUNDUP(F34/3,0)</f>
        <v>4</v>
      </c>
      <c r="K34" s="143" t="s">
        <v>37</v>
      </c>
      <c r="L34" s="173">
        <v>0</v>
      </c>
      <c r="M34" s="158">
        <f>L34*J34</f>
        <v>0</v>
      </c>
      <c r="N34" s="72"/>
      <c r="O34" s="72"/>
      <c r="P34" s="72"/>
      <c r="Q34" s="72"/>
      <c r="R34" s="72"/>
      <c r="S34" s="72"/>
      <c r="T34" s="72"/>
      <c r="U34" s="72"/>
      <c r="V34" s="72"/>
    </row>
    <row r="35" spans="1:22" ht="30" customHeight="1">
      <c r="B35" s="167" t="s">
        <v>38</v>
      </c>
      <c r="C35" s="143">
        <f>IF(C20&gt;0,4,0)</f>
        <v>0</v>
      </c>
      <c r="D35" s="126" t="str">
        <f>IF(C20&gt;0,"шт./м2","-")</f>
        <v>-</v>
      </c>
      <c r="E35" s="143" t="s">
        <v>28</v>
      </c>
      <c r="F35" s="121" t="str">
        <f>IF(C20&gt;0,C35*$C21,"0")</f>
        <v>0</v>
      </c>
      <c r="G35" s="147" t="str">
        <f>IF(C20&gt;0,"шт.","-")</f>
        <v>-</v>
      </c>
      <c r="H35" s="122">
        <v>0</v>
      </c>
      <c r="I35" s="150" t="str">
        <f>IF(C20&gt;0,H35*F35,"-")</f>
        <v>-</v>
      </c>
      <c r="J35" s="127">
        <f>ROUNDUP(F35/50,0)</f>
        <v>0</v>
      </c>
      <c r="K35" s="143" t="s">
        <v>39</v>
      </c>
      <c r="L35" s="128">
        <v>0</v>
      </c>
      <c r="M35" s="158">
        <f>L35*J35</f>
        <v>0</v>
      </c>
      <c r="N35" s="72"/>
      <c r="O35" s="72"/>
      <c r="P35" s="72"/>
      <c r="Q35" s="72"/>
      <c r="R35" s="72"/>
      <c r="S35" s="72"/>
      <c r="T35" s="72"/>
      <c r="U35" s="72"/>
      <c r="V35" s="72"/>
    </row>
    <row r="36" spans="1:22" ht="39.950000000000003" customHeight="1" outlineLevel="1">
      <c r="A36" s="165"/>
      <c r="B36" s="125" t="s">
        <v>40</v>
      </c>
      <c r="C36" s="143">
        <v>2</v>
      </c>
      <c r="D36" s="126" t="s">
        <v>32</v>
      </c>
      <c r="E36" s="143" t="s">
        <v>28</v>
      </c>
      <c r="F36" s="121">
        <f>C36*C21</f>
        <v>20</v>
      </c>
      <c r="G36" s="147" t="s">
        <v>33</v>
      </c>
      <c r="H36" s="122">
        <v>0</v>
      </c>
      <c r="I36" s="149">
        <f t="shared" ref="I36:I40" si="1">H36*F36</f>
        <v>0</v>
      </c>
      <c r="J36" s="171">
        <f>ROUNDUP(F36/3,0)</f>
        <v>7</v>
      </c>
      <c r="K36" s="143" t="s">
        <v>41</v>
      </c>
      <c r="L36" s="128">
        <v>0</v>
      </c>
      <c r="M36" s="156">
        <f>L36*J36</f>
        <v>0</v>
      </c>
      <c r="N36" s="198"/>
      <c r="O36" s="72"/>
      <c r="P36" s="72"/>
      <c r="Q36" s="72"/>
      <c r="R36" s="72"/>
      <c r="S36" s="72"/>
      <c r="T36" s="72"/>
      <c r="U36" s="72"/>
      <c r="V36" s="72"/>
    </row>
    <row r="37" spans="1:22" ht="39.950000000000003" customHeight="1" outlineLevel="1">
      <c r="B37" s="167" t="s">
        <v>42</v>
      </c>
      <c r="C37" s="143">
        <f>'База данных'!O3</f>
        <v>1.1000000000000001</v>
      </c>
      <c r="D37" s="126" t="s">
        <v>32</v>
      </c>
      <c r="E37" s="143" t="s">
        <v>28</v>
      </c>
      <c r="F37" s="121">
        <f>C37*C21</f>
        <v>11</v>
      </c>
      <c r="G37" s="146" t="s">
        <v>33</v>
      </c>
      <c r="H37" s="148">
        <v>0</v>
      </c>
      <c r="I37" s="150">
        <f t="shared" si="1"/>
        <v>0</v>
      </c>
      <c r="J37" s="127">
        <f>ROUNDUP(F37/3,0)</f>
        <v>4</v>
      </c>
      <c r="K37" s="141" t="s">
        <v>41</v>
      </c>
      <c r="L37" s="172">
        <v>0</v>
      </c>
      <c r="M37" s="187">
        <f>L37*J37</f>
        <v>0</v>
      </c>
      <c r="N37" s="198"/>
      <c r="O37" s="72"/>
      <c r="P37" s="72"/>
      <c r="Q37" s="72"/>
      <c r="R37" s="72"/>
      <c r="S37" s="72"/>
      <c r="T37" s="72"/>
      <c r="U37" s="72"/>
      <c r="V37" s="72"/>
    </row>
    <row r="38" spans="1:22" ht="30" customHeight="1" outlineLevel="1">
      <c r="A38" s="165"/>
      <c r="B38" s="145" t="s">
        <v>43</v>
      </c>
      <c r="C38" s="126" t="s">
        <v>44</v>
      </c>
      <c r="D38" s="141" t="s">
        <v>45</v>
      </c>
      <c r="E38" s="143" t="s">
        <v>28</v>
      </c>
      <c r="F38" s="121"/>
      <c r="G38" s="146" t="s">
        <v>46</v>
      </c>
      <c r="H38" s="148">
        <v>0</v>
      </c>
      <c r="I38" s="123">
        <f t="shared" si="1"/>
        <v>0</v>
      </c>
      <c r="J38" s="143" t="s">
        <v>28</v>
      </c>
      <c r="K38" s="143"/>
      <c r="L38" s="126"/>
      <c r="M38" s="141"/>
      <c r="N38" s="198"/>
      <c r="O38" s="72"/>
      <c r="P38" s="72"/>
      <c r="Q38" s="72"/>
      <c r="R38" s="72"/>
      <c r="S38" s="72"/>
      <c r="T38" s="72"/>
      <c r="U38" s="72"/>
      <c r="V38" s="72"/>
    </row>
    <row r="39" spans="1:22" ht="30" customHeight="1" outlineLevel="1">
      <c r="A39" s="165"/>
      <c r="B39" s="125" t="s">
        <v>47</v>
      </c>
      <c r="C39" s="141" t="s">
        <v>44</v>
      </c>
      <c r="D39" s="141" t="s">
        <v>45</v>
      </c>
      <c r="E39" s="143" t="s">
        <v>28</v>
      </c>
      <c r="F39" s="147"/>
      <c r="G39" s="121" t="s">
        <v>46</v>
      </c>
      <c r="H39" s="148">
        <v>0</v>
      </c>
      <c r="I39" s="149">
        <f t="shared" si="1"/>
        <v>0</v>
      </c>
      <c r="J39" s="141" t="s">
        <v>28</v>
      </c>
      <c r="K39" s="143"/>
      <c r="L39" s="143"/>
      <c r="M39" s="126"/>
      <c r="N39" s="198"/>
      <c r="O39" s="72"/>
      <c r="P39" s="72"/>
      <c r="Q39" s="72"/>
      <c r="R39" s="72"/>
      <c r="S39" s="72"/>
      <c r="T39" s="72"/>
      <c r="U39" s="72"/>
      <c r="V39" s="72"/>
    </row>
    <row r="40" spans="1:22" ht="39.950000000000003" customHeight="1" outlineLevel="1">
      <c r="A40" s="165"/>
      <c r="B40" s="125" t="s">
        <v>48</v>
      </c>
      <c r="C40" s="143">
        <v>1.1000000000000001</v>
      </c>
      <c r="D40" s="143" t="s">
        <v>32</v>
      </c>
      <c r="E40" s="143" t="s">
        <v>28</v>
      </c>
      <c r="F40" s="121">
        <f>C40*C21</f>
        <v>11</v>
      </c>
      <c r="G40" s="146" t="s">
        <v>33</v>
      </c>
      <c r="H40" s="148">
        <v>0</v>
      </c>
      <c r="I40" s="149">
        <f t="shared" si="1"/>
        <v>0</v>
      </c>
      <c r="J40" s="151">
        <f>ROUNDUP(F40/30,0)</f>
        <v>1</v>
      </c>
      <c r="K40" s="141" t="s">
        <v>49</v>
      </c>
      <c r="L40" s="173">
        <v>0</v>
      </c>
      <c r="M40" s="129">
        <f>L40*J40</f>
        <v>0</v>
      </c>
      <c r="N40" s="198"/>
      <c r="O40" s="72"/>
      <c r="P40" s="72"/>
      <c r="Q40" s="72"/>
      <c r="R40" s="72"/>
      <c r="S40" s="72"/>
      <c r="T40" s="72"/>
      <c r="U40" s="72"/>
      <c r="V40" s="72"/>
    </row>
    <row r="41" spans="1:22" ht="30" customHeight="1" outlineLevel="1">
      <c r="B41" s="166" t="s">
        <v>50</v>
      </c>
      <c r="C41" s="130"/>
      <c r="D41" s="130"/>
      <c r="E41" s="130"/>
      <c r="F41" s="131"/>
      <c r="G41" s="131"/>
      <c r="H41" s="132"/>
      <c r="I41" s="131"/>
      <c r="J41" s="131"/>
      <c r="K41" s="130"/>
      <c r="L41" s="133"/>
      <c r="M41" s="119"/>
      <c r="N41" s="175"/>
      <c r="O41" s="72"/>
      <c r="P41" s="72"/>
      <c r="Q41" s="72"/>
      <c r="R41" s="72"/>
      <c r="S41" s="72"/>
      <c r="T41" s="72"/>
      <c r="U41" s="72"/>
      <c r="V41" s="72"/>
    </row>
    <row r="42" spans="1:22" ht="39.950000000000003" customHeight="1" outlineLevel="1">
      <c r="B42" s="176" t="s">
        <v>51</v>
      </c>
      <c r="C42" s="141">
        <v>0.2</v>
      </c>
      <c r="D42" s="143" t="s">
        <v>52</v>
      </c>
      <c r="E42" s="126" t="s">
        <v>28</v>
      </c>
      <c r="F42" s="147">
        <f>C42*$C$21</f>
        <v>2</v>
      </c>
      <c r="G42" s="121" t="s">
        <v>53</v>
      </c>
      <c r="H42" s="152">
        <v>0</v>
      </c>
      <c r="I42" s="123">
        <f>H42*F42</f>
        <v>0</v>
      </c>
      <c r="J42" s="151">
        <f>ROUNDUP(F42/10,0)</f>
        <v>1</v>
      </c>
      <c r="K42" s="141" t="s">
        <v>54</v>
      </c>
      <c r="L42" s="173">
        <v>0</v>
      </c>
      <c r="M42" s="129">
        <f t="shared" ref="M42:M45" si="2">L42*J42</f>
        <v>0</v>
      </c>
      <c r="N42" s="198"/>
      <c r="O42" s="72"/>
      <c r="P42" s="72"/>
      <c r="Q42" s="72"/>
      <c r="R42" s="72"/>
      <c r="S42" s="72"/>
      <c r="T42" s="72"/>
      <c r="U42" s="72"/>
      <c r="V42" s="72"/>
    </row>
    <row r="43" spans="1:22" ht="39.950000000000003" customHeight="1" outlineLevel="1">
      <c r="B43" s="176" t="s">
        <v>55</v>
      </c>
      <c r="C43" s="143">
        <v>0.3</v>
      </c>
      <c r="D43" s="143" t="s">
        <v>56</v>
      </c>
      <c r="E43" s="126" t="s">
        <v>28</v>
      </c>
      <c r="F43" s="146">
        <f>C43*$C$21</f>
        <v>3</v>
      </c>
      <c r="G43" s="147" t="s">
        <v>57</v>
      </c>
      <c r="H43" s="122">
        <v>0</v>
      </c>
      <c r="I43" s="150">
        <f t="shared" ref="I43:I45" si="3">H43*F43</f>
        <v>0</v>
      </c>
      <c r="J43" s="127">
        <f>ROUNDUP(F43/20,0)</f>
        <v>1</v>
      </c>
      <c r="K43" s="143" t="s">
        <v>58</v>
      </c>
      <c r="L43" s="173">
        <v>0</v>
      </c>
      <c r="M43" s="129">
        <f t="shared" si="2"/>
        <v>0</v>
      </c>
      <c r="N43" s="198"/>
      <c r="O43" s="72"/>
      <c r="P43" s="72"/>
      <c r="Q43" s="72"/>
      <c r="R43" s="72"/>
      <c r="S43" s="72"/>
      <c r="T43" s="72"/>
      <c r="U43" s="72"/>
      <c r="V43" s="72"/>
    </row>
    <row r="44" spans="1:22" ht="39.950000000000003" customHeight="1" outlineLevel="1">
      <c r="B44" s="176" t="s">
        <v>59</v>
      </c>
      <c r="C44" s="141">
        <v>0.9</v>
      </c>
      <c r="D44" s="143" t="s">
        <v>32</v>
      </c>
      <c r="E44" s="126" t="s">
        <v>28</v>
      </c>
      <c r="F44" s="146">
        <f>C44*$C$21</f>
        <v>9</v>
      </c>
      <c r="G44" s="147" t="s">
        <v>33</v>
      </c>
      <c r="H44" s="152">
        <v>0</v>
      </c>
      <c r="I44" s="150">
        <f t="shared" si="3"/>
        <v>0</v>
      </c>
      <c r="J44" s="127">
        <f>ROUNDUP(F44/50,0)</f>
        <v>1</v>
      </c>
      <c r="K44" s="143" t="s">
        <v>60</v>
      </c>
      <c r="L44" s="128">
        <v>0</v>
      </c>
      <c r="M44" s="156">
        <f t="shared" si="2"/>
        <v>0</v>
      </c>
      <c r="N44" s="198"/>
      <c r="O44" s="72"/>
      <c r="P44" s="72"/>
      <c r="Q44" s="72"/>
      <c r="R44" s="72"/>
      <c r="S44" s="72"/>
      <c r="T44" s="72"/>
      <c r="U44" s="72"/>
      <c r="V44" s="72"/>
    </row>
    <row r="45" spans="1:22" ht="39.950000000000003" customHeight="1" outlineLevel="1">
      <c r="B45" s="176" t="s">
        <v>61</v>
      </c>
      <c r="C45" s="141">
        <v>1</v>
      </c>
      <c r="D45" s="141" t="s">
        <v>62</v>
      </c>
      <c r="E45" s="177">
        <v>1</v>
      </c>
      <c r="F45" s="146">
        <f>C45*$C$21</f>
        <v>10</v>
      </c>
      <c r="G45" s="147" t="s">
        <v>57</v>
      </c>
      <c r="H45" s="152">
        <v>0</v>
      </c>
      <c r="I45" s="150">
        <f t="shared" si="3"/>
        <v>0</v>
      </c>
      <c r="J45" s="127">
        <f>ROUNDUP(F45/18,0)</f>
        <v>1</v>
      </c>
      <c r="K45" s="141" t="s">
        <v>63</v>
      </c>
      <c r="L45" s="173">
        <v>0</v>
      </c>
      <c r="M45" s="129">
        <f t="shared" si="2"/>
        <v>0</v>
      </c>
      <c r="N45" s="198"/>
      <c r="O45" s="72"/>
      <c r="P45" s="72"/>
      <c r="Q45" s="72"/>
      <c r="R45" s="72"/>
      <c r="S45" s="72"/>
      <c r="T45" s="72"/>
      <c r="U45" s="72"/>
      <c r="V45" s="72"/>
    </row>
    <row r="46" spans="1:22" ht="60" customHeight="1" outlineLevel="1">
      <c r="B46" s="167" t="s">
        <v>64</v>
      </c>
      <c r="C46" s="126">
        <f>0.42*0.2</f>
        <v>8.4000000000000005E-2</v>
      </c>
      <c r="D46" s="141" t="s">
        <v>52</v>
      </c>
      <c r="E46" s="179" t="s">
        <v>28</v>
      </c>
      <c r="F46" s="147">
        <f>C46*$C21</f>
        <v>0.84000000000000008</v>
      </c>
      <c r="G46" s="181" t="s">
        <v>53</v>
      </c>
      <c r="H46" s="182">
        <v>0</v>
      </c>
      <c r="I46" s="183">
        <f>H46*F46</f>
        <v>0</v>
      </c>
      <c r="J46" s="184">
        <f>ROUNDUP(F46/0.5,0)</f>
        <v>2</v>
      </c>
      <c r="K46" s="143" t="s">
        <v>65</v>
      </c>
      <c r="L46" s="185">
        <v>0</v>
      </c>
      <c r="M46" s="174">
        <f>L46*J46</f>
        <v>0</v>
      </c>
      <c r="N46" s="175"/>
      <c r="O46" s="72"/>
      <c r="P46" s="72"/>
      <c r="Q46" s="72"/>
      <c r="R46" s="72"/>
      <c r="S46" s="72"/>
      <c r="T46" s="72"/>
      <c r="U46" s="72"/>
      <c r="V46" s="72"/>
    </row>
    <row r="47" spans="1:22" ht="35.1" customHeight="1" outlineLevel="1">
      <c r="B47" s="186"/>
      <c r="C47" s="178"/>
      <c r="D47" s="178"/>
      <c r="E47" s="97"/>
      <c r="F47" s="180"/>
      <c r="G47" s="98"/>
      <c r="H47" s="99"/>
      <c r="I47" s="98"/>
      <c r="J47" s="98"/>
      <c r="K47" s="178"/>
      <c r="L47" s="100"/>
      <c r="M47" s="101"/>
      <c r="N47" s="96"/>
      <c r="O47" s="72"/>
      <c r="P47" s="72"/>
      <c r="Q47" s="72"/>
      <c r="R47" s="72"/>
      <c r="S47" s="72"/>
      <c r="T47" s="72"/>
      <c r="U47" s="72"/>
      <c r="V47" s="72"/>
    </row>
    <row r="48" spans="1:22" ht="18.600000000000001">
      <c r="B48" s="81"/>
      <c r="C48" s="76"/>
      <c r="F48" s="82"/>
      <c r="J48" s="105" t="s">
        <v>66</v>
      </c>
      <c r="K48" s="105"/>
      <c r="L48" s="105"/>
      <c r="M48" s="106">
        <f>M30+M27+M28+M31+M32+M34+M36+M37+M40+M42+M43+M44+M45+M46+M35</f>
        <v>0</v>
      </c>
      <c r="N48" s="83"/>
      <c r="O48" s="72"/>
      <c r="P48" s="72"/>
      <c r="Q48" s="72"/>
      <c r="R48" s="72"/>
      <c r="S48" s="72"/>
      <c r="T48" s="72"/>
      <c r="U48" s="72"/>
      <c r="V48" s="72"/>
    </row>
    <row r="49" spans="2:22" ht="18.600000000000001">
      <c r="B49" s="81"/>
      <c r="C49" s="76"/>
      <c r="F49" s="82"/>
      <c r="J49" s="107" t="s">
        <v>67</v>
      </c>
      <c r="K49" s="107"/>
      <c r="L49" s="107"/>
      <c r="M49" s="114">
        <v>50</v>
      </c>
      <c r="N49" s="83"/>
      <c r="O49" s="72"/>
      <c r="P49" s="72"/>
      <c r="Q49" s="72"/>
      <c r="R49" s="72"/>
      <c r="S49" s="72"/>
      <c r="T49" s="72"/>
      <c r="U49" s="72"/>
      <c r="V49" s="72"/>
    </row>
    <row r="50" spans="2:22" ht="18.600000000000001">
      <c r="B50" s="81"/>
      <c r="C50" s="76"/>
      <c r="F50" s="82"/>
      <c r="J50" s="108" t="s">
        <v>68</v>
      </c>
      <c r="K50" s="108"/>
      <c r="L50" s="108"/>
      <c r="M50" s="109">
        <f>M48*M49/100</f>
        <v>0</v>
      </c>
      <c r="N50" s="72"/>
      <c r="O50" s="72"/>
      <c r="P50" s="72"/>
      <c r="Q50" s="72"/>
      <c r="R50" s="72"/>
      <c r="S50" s="72"/>
      <c r="T50" s="72"/>
      <c r="U50" s="72"/>
      <c r="V50" s="72"/>
    </row>
    <row r="51" spans="2:22" ht="18.600000000000001">
      <c r="B51" s="81"/>
      <c r="C51" s="76"/>
      <c r="F51" s="82"/>
      <c r="I51" s="110"/>
      <c r="J51" s="112" t="s">
        <v>69</v>
      </c>
      <c r="K51" s="112"/>
      <c r="L51" s="112"/>
      <c r="M51" s="113">
        <f>M48-M50</f>
        <v>0</v>
      </c>
      <c r="N51" s="72"/>
      <c r="O51" s="72"/>
      <c r="P51" s="72"/>
      <c r="Q51" s="72"/>
      <c r="R51" s="72"/>
      <c r="S51" s="72"/>
      <c r="T51" s="72"/>
      <c r="U51" s="72"/>
      <c r="V51" s="72"/>
    </row>
    <row r="52" spans="2:22" ht="18.600000000000001">
      <c r="B52" s="81"/>
      <c r="C52" s="76"/>
      <c r="F52" s="82"/>
      <c r="J52" s="108" t="s">
        <v>70</v>
      </c>
      <c r="K52" s="108"/>
      <c r="L52" s="108"/>
      <c r="M52" s="115">
        <v>0</v>
      </c>
      <c r="N52" s="72"/>
      <c r="O52" s="72"/>
      <c r="P52" s="72"/>
      <c r="Q52" s="72"/>
      <c r="R52" s="72"/>
      <c r="S52" s="72"/>
      <c r="T52" s="72"/>
      <c r="U52" s="72"/>
      <c r="V52" s="72"/>
    </row>
    <row r="53" spans="2:22" ht="18.600000000000001">
      <c r="B53" s="81"/>
      <c r="C53" s="76"/>
      <c r="F53" s="82"/>
      <c r="I53" s="75"/>
      <c r="J53" s="110" t="s">
        <v>71</v>
      </c>
      <c r="K53" s="110"/>
      <c r="L53" s="110"/>
      <c r="M53" s="111">
        <f>SUM(M51+M52)</f>
        <v>0</v>
      </c>
      <c r="N53" s="72"/>
      <c r="O53" s="72"/>
      <c r="P53" s="72"/>
      <c r="Q53" s="72"/>
      <c r="R53" s="72"/>
      <c r="S53" s="72"/>
      <c r="T53" s="72"/>
      <c r="U53" s="72"/>
      <c r="V53" s="72"/>
    </row>
    <row r="54" spans="2:22">
      <c r="N54" s="72"/>
      <c r="O54" s="72"/>
      <c r="P54" s="72"/>
      <c r="Q54" s="72"/>
      <c r="R54" s="72"/>
      <c r="S54" s="72"/>
      <c r="T54" s="72"/>
      <c r="U54" s="72"/>
      <c r="V54" s="72"/>
    </row>
    <row r="55" spans="2:22">
      <c r="N55" s="72"/>
      <c r="O55" s="72"/>
      <c r="P55" s="72"/>
      <c r="Q55" s="72"/>
      <c r="R55" s="72"/>
      <c r="S55" s="72"/>
      <c r="T55" s="72"/>
      <c r="U55" s="72"/>
      <c r="V55" s="72"/>
    </row>
    <row r="56" spans="2:22">
      <c r="N56" s="72"/>
      <c r="O56" s="72"/>
      <c r="P56" s="72"/>
      <c r="Q56" s="72"/>
      <c r="R56" s="72"/>
      <c r="S56" s="72"/>
      <c r="T56" s="72"/>
      <c r="U56" s="72"/>
      <c r="V56" s="72"/>
    </row>
    <row r="57" spans="2:22">
      <c r="N57" s="72"/>
      <c r="O57" s="72"/>
      <c r="P57" s="72"/>
      <c r="Q57" s="72"/>
      <c r="R57" s="72"/>
      <c r="S57" s="72"/>
      <c r="T57" s="72"/>
      <c r="U57" s="72"/>
      <c r="V57" s="72"/>
    </row>
    <row r="58" spans="2:22">
      <c r="N58" s="72"/>
      <c r="O58" s="72"/>
      <c r="P58" s="72"/>
      <c r="Q58" s="72"/>
      <c r="R58" s="72"/>
      <c r="S58" s="72"/>
      <c r="T58" s="72"/>
      <c r="U58" s="72"/>
      <c r="V58" s="72"/>
    </row>
    <row r="59" spans="2:22">
      <c r="N59" s="72"/>
      <c r="O59" s="72"/>
      <c r="P59" s="72"/>
      <c r="Q59" s="72"/>
      <c r="R59" s="72"/>
      <c r="S59" s="72"/>
      <c r="T59" s="72"/>
      <c r="U59" s="72"/>
      <c r="V59" s="72"/>
    </row>
    <row r="60" spans="2:22">
      <c r="N60" s="72"/>
      <c r="O60" s="72"/>
      <c r="P60" s="72"/>
      <c r="Q60" s="72"/>
      <c r="R60" s="72"/>
      <c r="S60" s="72"/>
      <c r="T60" s="72"/>
      <c r="U60" s="72"/>
      <c r="V60" s="72"/>
    </row>
    <row r="61" spans="2:22">
      <c r="N61" s="72"/>
      <c r="O61" s="72"/>
      <c r="P61" s="72"/>
      <c r="Q61" s="72"/>
      <c r="R61" s="72"/>
      <c r="S61" s="72"/>
      <c r="T61" s="72"/>
      <c r="U61" s="72"/>
      <c r="V61" s="72"/>
    </row>
    <row r="62" spans="2:22">
      <c r="N62" s="72"/>
      <c r="O62" s="72"/>
      <c r="P62" s="72"/>
      <c r="Q62" s="72"/>
      <c r="R62" s="72"/>
      <c r="S62" s="72"/>
      <c r="T62" s="72"/>
      <c r="U62" s="72"/>
      <c r="V62" s="72"/>
    </row>
    <row r="63" spans="2:22">
      <c r="N63" s="72"/>
      <c r="O63" s="72"/>
      <c r="P63" s="72"/>
      <c r="Q63" s="72"/>
      <c r="R63" s="72"/>
      <c r="S63" s="72"/>
      <c r="T63" s="72"/>
      <c r="U63" s="72"/>
      <c r="V63" s="72"/>
    </row>
    <row r="64" spans="2:22">
      <c r="N64" s="72"/>
      <c r="O64" s="72"/>
      <c r="P64" s="72"/>
      <c r="Q64" s="72"/>
      <c r="R64" s="72"/>
      <c r="S64" s="72"/>
      <c r="T64" s="72"/>
      <c r="U64" s="72"/>
      <c r="V64" s="72"/>
    </row>
    <row r="65" spans="14:22">
      <c r="N65" s="72"/>
      <c r="O65" s="72"/>
      <c r="P65" s="72"/>
      <c r="Q65" s="72"/>
      <c r="R65" s="72"/>
      <c r="S65" s="72"/>
      <c r="T65" s="72"/>
      <c r="U65" s="72"/>
      <c r="V65" s="72"/>
    </row>
    <row r="66" spans="14:22">
      <c r="N66" s="72"/>
      <c r="O66" s="72"/>
      <c r="P66" s="72"/>
      <c r="Q66" s="72"/>
      <c r="R66" s="72"/>
      <c r="S66" s="72"/>
      <c r="T66" s="72"/>
      <c r="U66" s="72"/>
      <c r="V66" s="72"/>
    </row>
    <row r="67" spans="14:22">
      <c r="N67" s="72"/>
      <c r="O67" s="72"/>
      <c r="P67" s="72"/>
      <c r="Q67" s="72"/>
      <c r="R67" s="72"/>
      <c r="S67" s="72"/>
      <c r="T67" s="72"/>
      <c r="U67" s="72"/>
      <c r="V67" s="72"/>
    </row>
    <row r="68" spans="14:22">
      <c r="N68" s="72"/>
      <c r="O68" s="72"/>
      <c r="P68" s="72"/>
      <c r="Q68" s="72"/>
      <c r="R68" s="72"/>
      <c r="S68" s="72"/>
      <c r="T68" s="72"/>
      <c r="U68" s="72"/>
      <c r="V68" s="72"/>
    </row>
    <row r="69" spans="14:22">
      <c r="N69" s="72"/>
      <c r="O69" s="72"/>
      <c r="P69" s="72"/>
      <c r="Q69" s="72"/>
      <c r="R69" s="72"/>
      <c r="S69" s="72"/>
      <c r="T69" s="72"/>
      <c r="U69" s="72"/>
      <c r="V69" s="72"/>
    </row>
    <row r="70" spans="14:22">
      <c r="N70" s="72"/>
      <c r="O70" s="72"/>
      <c r="P70" s="72"/>
      <c r="Q70" s="72"/>
      <c r="R70" s="72"/>
      <c r="S70" s="72"/>
      <c r="T70" s="72"/>
      <c r="U70" s="72"/>
      <c r="V70" s="72"/>
    </row>
    <row r="71" spans="14:22">
      <c r="N71" s="72"/>
      <c r="O71" s="72"/>
      <c r="P71" s="72"/>
      <c r="Q71" s="72"/>
      <c r="R71" s="72"/>
      <c r="S71" s="72"/>
      <c r="T71" s="72"/>
      <c r="U71" s="72"/>
      <c r="V71" s="72"/>
    </row>
    <row r="72" spans="14:22">
      <c r="N72" s="72"/>
      <c r="O72" s="72"/>
      <c r="P72" s="72"/>
      <c r="Q72" s="72"/>
      <c r="R72" s="72"/>
      <c r="S72" s="72"/>
      <c r="T72" s="72"/>
      <c r="U72" s="72"/>
      <c r="V72" s="72"/>
    </row>
    <row r="73" spans="14:22">
      <c r="N73" s="72"/>
      <c r="O73" s="72"/>
      <c r="P73" s="72"/>
      <c r="Q73" s="72"/>
      <c r="R73" s="72"/>
      <c r="S73" s="72"/>
      <c r="T73" s="72"/>
      <c r="U73" s="72"/>
      <c r="V73" s="72"/>
    </row>
    <row r="74" spans="14:22">
      <c r="N74" s="72"/>
      <c r="O74" s="72"/>
      <c r="P74" s="72"/>
      <c r="Q74" s="72"/>
      <c r="R74" s="72"/>
      <c r="S74" s="72"/>
      <c r="T74" s="72"/>
      <c r="U74" s="72"/>
      <c r="V74" s="72"/>
    </row>
    <row r="75" spans="14:22">
      <c r="N75" s="72"/>
      <c r="O75" s="72"/>
      <c r="P75" s="72"/>
      <c r="Q75" s="72"/>
      <c r="R75" s="72"/>
      <c r="S75" s="72"/>
      <c r="T75" s="72"/>
      <c r="U75" s="72"/>
      <c r="V75" s="72"/>
    </row>
    <row r="76" spans="14:22">
      <c r="N76" s="72"/>
      <c r="O76" s="72"/>
      <c r="P76" s="72"/>
      <c r="Q76" s="72"/>
      <c r="R76" s="72"/>
      <c r="S76" s="72"/>
      <c r="T76" s="72"/>
      <c r="U76" s="72"/>
      <c r="V76" s="72"/>
    </row>
    <row r="77" spans="14:22">
      <c r="N77" s="72"/>
      <c r="O77" s="72"/>
      <c r="P77" s="72"/>
      <c r="Q77" s="72"/>
      <c r="R77" s="72"/>
      <c r="S77" s="72"/>
      <c r="T77" s="72"/>
      <c r="U77" s="72"/>
      <c r="V77" s="72"/>
    </row>
  </sheetData>
  <sheetProtection formatCells="0" formatColumns="0" formatRows="0" insertColumns="0" insertRows="0" deleteColumns="0" deleteRows="0"/>
  <mergeCells count="9">
    <mergeCell ref="B23:C23"/>
    <mergeCell ref="N28:N29"/>
    <mergeCell ref="N42:N45"/>
    <mergeCell ref="N36:N40"/>
    <mergeCell ref="G13:M13"/>
    <mergeCell ref="K17:M17"/>
    <mergeCell ref="B16:C16"/>
    <mergeCell ref="F24:I24"/>
    <mergeCell ref="J24:M24"/>
  </mergeCells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000-000000000000}">
          <x14:formula1>
            <xm:f>'База данных'!$J$17:$J$25</xm:f>
          </x14:formula1>
          <xm:sqref>B27</xm:sqref>
        </x14:dataValidation>
        <x14:dataValidation type="list" allowBlank="1" showInputMessage="1" showErrorMessage="1" xr:uid="{00000000-0002-0000-0000-000004000000}">
          <x14:formula1>
            <xm:f>'База данных'!$G$3:$G$5</xm:f>
          </x14:formula1>
          <xm:sqref>C19</xm:sqref>
        </x14:dataValidation>
        <x14:dataValidation type="list" allowBlank="1" showInputMessage="1" showErrorMessage="1" xr:uid="{9181C826-45DF-4228-8F0F-41F28A0907B5}">
          <x14:formula1>
            <xm:f>'База данных'!$L$18:$L$19</xm:f>
          </x14:formula1>
          <xm:sqref>B31</xm:sqref>
        </x14:dataValidation>
        <x14:dataValidation type="list" allowBlank="1" showInputMessage="1" showErrorMessage="1" xr:uid="{66A8A687-4556-4D7E-A7FD-1061B6EBD9D2}">
          <x14:formula1>
            <xm:f>'База данных'!$L$22:$L$23</xm:f>
          </x14:formula1>
          <xm:sqref>B32</xm:sqref>
        </x14:dataValidation>
        <x14:dataValidation type="list" allowBlank="1" showInputMessage="1" showErrorMessage="1" xr:uid="{00000000-0002-0000-0000-000001000000}">
          <x14:formula1>
            <xm:f>'База данных'!$G$11:$G$12</xm:f>
          </x14:formula1>
          <xm:sqref>B34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35"/>
  <sheetViews>
    <sheetView zoomScale="60" zoomScaleNormal="60" zoomScaleSheetLayoutView="70" workbookViewId="0">
      <selection activeCell="M13" sqref="M13"/>
    </sheetView>
  </sheetViews>
  <sheetFormatPr defaultColWidth="8.7109375" defaultRowHeight="14.45" outlineLevelRow="1" outlineLevelCol="1"/>
  <cols>
    <col min="1" max="1" width="35" style="1" customWidth="1"/>
    <col min="2" max="2" width="51.5703125" style="2" customWidth="1"/>
    <col min="3" max="3" width="20.5703125" style="1" customWidth="1"/>
    <col min="4" max="4" width="8" style="1" bestFit="1" customWidth="1"/>
    <col min="5" max="5" width="12.7109375" style="1" customWidth="1"/>
    <col min="6" max="6" width="8.85546875" style="1" customWidth="1" outlineLevel="1"/>
    <col min="7" max="7" width="8.42578125" style="1" customWidth="1" outlineLevel="1"/>
    <col min="8" max="8" width="5.85546875" style="1" bestFit="1" customWidth="1" outlineLevel="1"/>
    <col min="9" max="9" width="9.85546875" style="1" customWidth="1" outlineLevel="1"/>
    <col min="10" max="10" width="6.5703125" style="1" customWidth="1"/>
    <col min="11" max="11" width="7.85546875" style="1" customWidth="1"/>
    <col min="12" max="12" width="8.5703125" style="1" bestFit="1" customWidth="1"/>
    <col min="13" max="13" width="13.7109375" style="1" bestFit="1" customWidth="1"/>
    <col min="14" max="14" width="15" style="1" bestFit="1" customWidth="1"/>
    <col min="15" max="15" width="8.7109375" style="1" hidden="1" customWidth="1"/>
    <col min="16" max="16" width="8.140625" style="1" hidden="1" customWidth="1"/>
    <col min="17" max="16384" width="8.7109375" style="1"/>
  </cols>
  <sheetData>
    <row r="2" spans="1:16" ht="35.1" customHeight="1">
      <c r="A2" s="212" t="s">
        <v>72</v>
      </c>
      <c r="B2" s="212"/>
      <c r="C2" s="212"/>
      <c r="D2" s="212"/>
      <c r="E2" s="212"/>
    </row>
    <row r="3" spans="1:16">
      <c r="A3" s="64" t="s">
        <v>73</v>
      </c>
      <c r="B3" s="15" t="s">
        <v>74</v>
      </c>
      <c r="C3" s="223" t="s">
        <v>75</v>
      </c>
      <c r="D3" s="223"/>
      <c r="E3" s="223"/>
      <c r="O3" s="1" t="s">
        <v>2</v>
      </c>
      <c r="P3" s="1">
        <v>4444</v>
      </c>
    </row>
    <row r="4" spans="1:16">
      <c r="A4" s="62"/>
      <c r="B4" s="224" t="s">
        <v>76</v>
      </c>
      <c r="C4" s="224"/>
      <c r="D4" s="224"/>
      <c r="E4" s="224"/>
    </row>
    <row r="5" spans="1:16">
      <c r="A5" s="62"/>
      <c r="B5" s="25" t="s">
        <v>77</v>
      </c>
      <c r="C5" s="225">
        <v>250</v>
      </c>
      <c r="D5" s="225"/>
      <c r="E5" s="225"/>
      <c r="F5" s="61"/>
      <c r="G5" s="61"/>
      <c r="H5" s="61"/>
      <c r="I5" s="61"/>
      <c r="J5" s="213" t="s">
        <v>78</v>
      </c>
      <c r="K5" s="213"/>
      <c r="L5" s="213"/>
      <c r="M5" s="213"/>
    </row>
    <row r="6" spans="1:16" ht="29.1">
      <c r="A6" s="62"/>
      <c r="B6" s="25" t="s">
        <v>79</v>
      </c>
      <c r="C6" s="226">
        <v>200</v>
      </c>
      <c r="D6" s="227"/>
      <c r="E6" s="228"/>
      <c r="F6" s="61"/>
      <c r="G6" s="61"/>
      <c r="H6" s="61"/>
      <c r="I6" s="61"/>
      <c r="J6" s="213" t="s">
        <v>80</v>
      </c>
      <c r="K6" s="213"/>
      <c r="L6" s="213"/>
      <c r="M6" s="213"/>
    </row>
    <row r="7" spans="1:16">
      <c r="A7" s="62"/>
      <c r="B7" s="25" t="s">
        <v>7</v>
      </c>
      <c r="C7" s="234">
        <f>C5-C6</f>
        <v>50</v>
      </c>
      <c r="D7" s="234"/>
      <c r="E7" s="234"/>
      <c r="F7" s="61"/>
      <c r="G7" s="61"/>
      <c r="H7" s="61"/>
      <c r="I7" s="61"/>
      <c r="J7" s="214" t="s">
        <v>81</v>
      </c>
      <c r="K7" s="214"/>
      <c r="L7" s="214"/>
      <c r="M7" s="214"/>
    </row>
    <row r="8" spans="1:16">
      <c r="A8" s="62"/>
      <c r="B8" s="25" t="s">
        <v>82</v>
      </c>
      <c r="C8" s="215">
        <v>100</v>
      </c>
      <c r="D8" s="215"/>
      <c r="E8" s="215"/>
      <c r="F8" s="61"/>
      <c r="G8" s="61"/>
      <c r="H8" s="61"/>
      <c r="I8" s="61"/>
      <c r="J8" s="213" t="s">
        <v>83</v>
      </c>
      <c r="K8" s="213"/>
      <c r="L8" s="213"/>
      <c r="M8" s="213"/>
    </row>
    <row r="9" spans="1:16">
      <c r="A9" s="62"/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</row>
    <row r="10" spans="1:16">
      <c r="A10" s="64" t="s">
        <v>84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</row>
    <row r="11" spans="1:16" ht="15" thickBot="1">
      <c r="A11" s="209"/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</row>
    <row r="12" spans="1:16" ht="15" thickBot="1">
      <c r="A12" s="209"/>
      <c r="B12" s="216" t="s">
        <v>9</v>
      </c>
      <c r="C12" s="217"/>
      <c r="D12" s="217"/>
      <c r="E12" s="217"/>
      <c r="F12" s="217"/>
      <c r="G12" s="217"/>
      <c r="H12" s="217"/>
      <c r="I12" s="217"/>
      <c r="J12" s="217"/>
      <c r="K12" s="217"/>
      <c r="L12" s="217"/>
      <c r="M12" s="218"/>
    </row>
    <row r="13" spans="1:16" ht="31.5" customHeight="1">
      <c r="A13" s="209"/>
      <c r="B13" s="17" t="s">
        <v>12</v>
      </c>
      <c r="C13" s="18" t="s">
        <v>13</v>
      </c>
      <c r="D13" s="18" t="s">
        <v>14</v>
      </c>
      <c r="E13" s="22" t="s">
        <v>15</v>
      </c>
      <c r="F13" s="17" t="s">
        <v>16</v>
      </c>
      <c r="G13" s="18" t="s">
        <v>17</v>
      </c>
      <c r="H13" s="18" t="s">
        <v>85</v>
      </c>
      <c r="I13" s="19" t="s">
        <v>86</v>
      </c>
      <c r="J13" s="17" t="s">
        <v>16</v>
      </c>
      <c r="K13" s="18" t="s">
        <v>17</v>
      </c>
      <c r="L13" s="18" t="s">
        <v>85</v>
      </c>
      <c r="M13" s="19" t="s">
        <v>86</v>
      </c>
    </row>
    <row r="14" spans="1:16">
      <c r="A14" s="209"/>
      <c r="B14" s="219"/>
      <c r="C14" s="220"/>
      <c r="D14" s="220"/>
      <c r="E14" s="221"/>
      <c r="F14" s="219" t="s">
        <v>87</v>
      </c>
      <c r="G14" s="220"/>
      <c r="H14" s="220"/>
      <c r="I14" s="222"/>
      <c r="J14" s="219" t="s">
        <v>11</v>
      </c>
      <c r="K14" s="220"/>
      <c r="L14" s="220"/>
      <c r="M14" s="222"/>
    </row>
    <row r="15" spans="1:16">
      <c r="A15" s="209"/>
      <c r="B15" s="235" t="s">
        <v>88</v>
      </c>
      <c r="C15" s="236"/>
      <c r="D15" s="236"/>
      <c r="E15" s="237"/>
      <c r="F15" s="235"/>
      <c r="G15" s="236"/>
      <c r="H15" s="236"/>
      <c r="I15" s="241"/>
      <c r="J15" s="235"/>
      <c r="K15" s="236"/>
      <c r="L15" s="236"/>
      <c r="M15" s="241"/>
    </row>
    <row r="16" spans="1:16" ht="26.1">
      <c r="A16" s="209"/>
      <c r="B16" s="23" t="str">
        <f>IF(C3="Базовая","Гидро-ветрозащитная мембрана Vetonit (Isover) Ветранет АМ (рул.=70 м2)","Ветрозащитная плитная обшивка Vetonit (Gyproc) GTS-9 ветрозащитный (3 м2)")</f>
        <v>Ветрозащитная плитная обшивка Vetonit (Gyproc) GTS-9 ветрозащитный (3 м2)</v>
      </c>
      <c r="C16" s="11">
        <f>VLOOKUP(B16,'База данных'!L15:O17,2,0)</f>
        <v>1</v>
      </c>
      <c r="D16" s="11" t="str">
        <f>VLOOKUP(B16,'База данных'!L15:O17,3,0)</f>
        <v>м2/м2</v>
      </c>
      <c r="E16" s="40">
        <f>VLOOKUP(B16,'База данных'!L15:O17,4,0)</f>
        <v>9.5</v>
      </c>
      <c r="F16" s="20">
        <f>C16*$C8</f>
        <v>100</v>
      </c>
      <c r="G16" s="11" t="s">
        <v>24</v>
      </c>
      <c r="H16" s="26">
        <v>0</v>
      </c>
      <c r="I16" s="21">
        <f>H16*F16</f>
        <v>0</v>
      </c>
      <c r="J16" s="20">
        <f>ROUNDUP(F16/VLOOKUP(B16,'База данных'!$L$15:$Q$17,5,0),0)</f>
        <v>34</v>
      </c>
      <c r="K16" s="20" t="str">
        <f>VLOOKUP(B16,'База данных'!$L$15:$Q$17,6,0)</f>
        <v>шт.</v>
      </c>
      <c r="L16" s="26">
        <v>0</v>
      </c>
      <c r="M16" s="21">
        <f>L16*J16</f>
        <v>0</v>
      </c>
    </row>
    <row r="17" spans="1:14">
      <c r="A17" s="63" t="s">
        <v>89</v>
      </c>
      <c r="B17" s="23" t="str">
        <f>IF(C3="Базовая","Vetonit (Isover) Теплые стены Стронг","Vetonit (Isover) Каркас П34 565 мм")</f>
        <v>Vetonit (Isover) Каркас П34 565 мм</v>
      </c>
      <c r="C17" s="11">
        <v>1.05</v>
      </c>
      <c r="D17" s="11" t="s">
        <v>23</v>
      </c>
      <c r="E17" s="40">
        <f>C6</f>
        <v>200</v>
      </c>
      <c r="F17" s="20">
        <f>C17*$C8</f>
        <v>105</v>
      </c>
      <c r="G17" s="11" t="s">
        <v>24</v>
      </c>
      <c r="H17" s="26">
        <v>0</v>
      </c>
      <c r="I17" s="21">
        <f t="shared" ref="I17:I20" si="0">H17*F17</f>
        <v>0</v>
      </c>
      <c r="J17" s="20">
        <f>ROUNDUP(F17*E17/1000,0)</f>
        <v>21</v>
      </c>
      <c r="K17" s="11" t="s">
        <v>25</v>
      </c>
      <c r="L17" s="26">
        <v>0</v>
      </c>
      <c r="M17" s="21">
        <f>L17*J17</f>
        <v>0</v>
      </c>
    </row>
    <row r="18" spans="1:14">
      <c r="B18" s="23" t="str">
        <f>B17 &amp; "(доутепление)"</f>
        <v>Vetonit (Isover) Каркас П34 565 мм(доутепление)</v>
      </c>
      <c r="C18" s="11">
        <f>IF(C7=0,"0",1.05)</f>
        <v>1.05</v>
      </c>
      <c r="D18" s="11" t="str">
        <f>D17</f>
        <v>м2/м2</v>
      </c>
      <c r="E18" s="40">
        <f>C7</f>
        <v>50</v>
      </c>
      <c r="F18" s="20">
        <f>C18*C8</f>
        <v>105</v>
      </c>
      <c r="G18" s="11" t="str">
        <f>G17</f>
        <v>м2</v>
      </c>
      <c r="H18" s="26">
        <v>0</v>
      </c>
      <c r="I18" s="21">
        <f>H18*F18</f>
        <v>0</v>
      </c>
      <c r="J18" s="20">
        <f>ROUNDUP(F18*E18/1000,0)</f>
        <v>6</v>
      </c>
      <c r="K18" s="11" t="str">
        <f>K17</f>
        <v>м3</v>
      </c>
      <c r="L18" s="26">
        <v>0</v>
      </c>
      <c r="M18" s="21">
        <f>L18*J18</f>
        <v>0</v>
      </c>
      <c r="N18" s="27"/>
    </row>
    <row r="19" spans="1:14" ht="25.5" customHeight="1">
      <c r="B19" s="23" t="s">
        <v>90</v>
      </c>
      <c r="C19" s="11">
        <v>1.1000000000000001</v>
      </c>
      <c r="D19" s="11" t="s">
        <v>23</v>
      </c>
      <c r="E19" s="40" t="s">
        <v>28</v>
      </c>
      <c r="F19" s="20">
        <f>C19*$C8</f>
        <v>110.00000000000001</v>
      </c>
      <c r="G19" s="11" t="s">
        <v>24</v>
      </c>
      <c r="H19" s="26">
        <v>0</v>
      </c>
      <c r="I19" s="21">
        <f t="shared" si="0"/>
        <v>0</v>
      </c>
      <c r="J19" s="20">
        <f>ROUNDUP(F19/70,0)</f>
        <v>2</v>
      </c>
      <c r="K19" s="11" t="s">
        <v>91</v>
      </c>
      <c r="L19" s="26">
        <v>0</v>
      </c>
      <c r="M19" s="21">
        <f>L19*J19</f>
        <v>0</v>
      </c>
    </row>
    <row r="20" spans="1:14" ht="26.1">
      <c r="B20" s="23" t="s">
        <v>92</v>
      </c>
      <c r="C20" s="11">
        <f>VLOOKUP(B16,'База данных'!L15:R17,7,0)</f>
        <v>1.1000000000000001</v>
      </c>
      <c r="D20" s="11" t="s">
        <v>32</v>
      </c>
      <c r="E20" s="40" t="s">
        <v>28</v>
      </c>
      <c r="F20" s="20">
        <f>C20*$C8</f>
        <v>110.00000000000001</v>
      </c>
      <c r="G20" s="11" t="s">
        <v>33</v>
      </c>
      <c r="H20" s="26">
        <v>0</v>
      </c>
      <c r="I20" s="21">
        <f t="shared" si="0"/>
        <v>0</v>
      </c>
      <c r="J20" s="20">
        <f>ROUNDUP(F20/20,0)</f>
        <v>6</v>
      </c>
      <c r="K20" s="11" t="s">
        <v>91</v>
      </c>
      <c r="L20" s="26">
        <v>0</v>
      </c>
      <c r="M20" s="21">
        <f>L20*J20</f>
        <v>0</v>
      </c>
    </row>
    <row r="21" spans="1:14" ht="26.1">
      <c r="B21" s="23" t="s">
        <v>93</v>
      </c>
      <c r="C21" s="11">
        <v>0.1</v>
      </c>
      <c r="D21" s="11" t="s">
        <v>52</v>
      </c>
      <c r="E21" s="40" t="s">
        <v>28</v>
      </c>
      <c r="F21" s="20">
        <f>C21*$C8</f>
        <v>10</v>
      </c>
      <c r="G21" s="11" t="s">
        <v>53</v>
      </c>
      <c r="H21" s="26">
        <v>0</v>
      </c>
      <c r="I21" s="21">
        <f>H21*F21</f>
        <v>0</v>
      </c>
      <c r="J21" s="20">
        <f>ROUNDUP(F21/0.5,0)</f>
        <v>20</v>
      </c>
      <c r="K21" s="11" t="s">
        <v>94</v>
      </c>
      <c r="L21" s="67">
        <v>0</v>
      </c>
      <c r="M21" s="21">
        <f>J21*L21</f>
        <v>0</v>
      </c>
    </row>
    <row r="22" spans="1:14" outlineLevel="1">
      <c r="B22" s="235" t="str">
        <f>"Отделка ГСП Gyproc"&amp;IF(C3="Базовая","(Опционально)",)</f>
        <v>Отделка ГСП Gyproc</v>
      </c>
      <c r="C22" s="236"/>
      <c r="D22" s="236"/>
      <c r="E22" s="237"/>
      <c r="F22" s="238"/>
      <c r="G22" s="239"/>
      <c r="H22" s="239"/>
      <c r="I22" s="240"/>
      <c r="J22" s="238"/>
      <c r="K22" s="239"/>
      <c r="L22" s="239"/>
      <c r="M22" s="240"/>
    </row>
    <row r="23" spans="1:14" ht="26.1" outlineLevel="1">
      <c r="A23" s="63" t="s">
        <v>89</v>
      </c>
      <c r="B23" s="54" t="s">
        <v>95</v>
      </c>
      <c r="C23" s="31">
        <v>1</v>
      </c>
      <c r="D23" s="31" t="s">
        <v>23</v>
      </c>
      <c r="E23" s="41" t="e">
        <f>VLOOKUP(B23,Таблица256[],2,0)</f>
        <v>#N/A</v>
      </c>
      <c r="F23" s="34">
        <f>C23*C8</f>
        <v>100</v>
      </c>
      <c r="G23" s="32" t="s">
        <v>24</v>
      </c>
      <c r="H23" s="33">
        <v>0</v>
      </c>
      <c r="I23" s="43">
        <f>H23*F23</f>
        <v>0</v>
      </c>
      <c r="J23" s="34">
        <f>ROUNDUP(F23/3,0)</f>
        <v>34</v>
      </c>
      <c r="K23" s="32" t="s">
        <v>46</v>
      </c>
      <c r="L23" s="35">
        <v>0</v>
      </c>
      <c r="M23" s="21">
        <f>J23*L23</f>
        <v>0</v>
      </c>
      <c r="N23" s="27"/>
    </row>
    <row r="24" spans="1:14" outlineLevel="1">
      <c r="B24" s="235" t="str">
        <f>"Финишная отделка"&amp;IF(C3="Базовая","(Опционально)",)</f>
        <v>Финишная отделка</v>
      </c>
      <c r="C24" s="236"/>
      <c r="D24" s="236"/>
      <c r="E24" s="237"/>
      <c r="F24" s="238"/>
      <c r="G24" s="239"/>
      <c r="H24" s="239"/>
      <c r="I24" s="240"/>
      <c r="J24" s="238"/>
      <c r="K24" s="239"/>
      <c r="L24" s="239"/>
      <c r="M24" s="240"/>
    </row>
    <row r="25" spans="1:14" outlineLevel="1">
      <c r="B25" s="23" t="s">
        <v>96</v>
      </c>
      <c r="C25" s="31">
        <v>0.2</v>
      </c>
      <c r="D25" s="31" t="s">
        <v>52</v>
      </c>
      <c r="E25" s="42" t="s">
        <v>28</v>
      </c>
      <c r="F25" s="36">
        <f>C25*$C$8</f>
        <v>20</v>
      </c>
      <c r="G25" s="31" t="s">
        <v>53</v>
      </c>
      <c r="H25" s="35">
        <v>0</v>
      </c>
      <c r="I25" s="44">
        <f>H25*F25</f>
        <v>0</v>
      </c>
      <c r="J25" s="36">
        <f>ROUNDUP(F25/10,0)</f>
        <v>2</v>
      </c>
      <c r="K25" s="31" t="s">
        <v>97</v>
      </c>
      <c r="L25" s="35">
        <v>0</v>
      </c>
      <c r="M25" s="21" t="str">
        <f t="shared" ref="M25:M28" si="1">IF($C$3="стандартная",L25*J25,"0")</f>
        <v>0</v>
      </c>
      <c r="N25" s="229"/>
    </row>
    <row r="26" spans="1:14" outlineLevel="1">
      <c r="B26" s="23" t="s">
        <v>98</v>
      </c>
      <c r="C26" s="31">
        <v>0.3</v>
      </c>
      <c r="D26" s="31" t="s">
        <v>56</v>
      </c>
      <c r="E26" s="42" t="s">
        <v>28</v>
      </c>
      <c r="F26" s="36">
        <f t="shared" ref="F26:F27" si="2">C26*$C$8</f>
        <v>30</v>
      </c>
      <c r="G26" s="31" t="s">
        <v>57</v>
      </c>
      <c r="H26" s="35">
        <v>0</v>
      </c>
      <c r="I26" s="44">
        <f t="shared" ref="I26:I28" si="3">H26*F26</f>
        <v>0</v>
      </c>
      <c r="J26" s="36">
        <f>ROUNDUP(F26/20,0)</f>
        <v>2</v>
      </c>
      <c r="K26" s="31" t="s">
        <v>99</v>
      </c>
      <c r="L26" s="35">
        <v>0</v>
      </c>
      <c r="M26" s="21" t="str">
        <f t="shared" si="1"/>
        <v>0</v>
      </c>
      <c r="N26" s="229"/>
    </row>
    <row r="27" spans="1:14" outlineLevel="1">
      <c r="B27" s="23" t="s">
        <v>100</v>
      </c>
      <c r="C27" s="31">
        <v>1.2</v>
      </c>
      <c r="D27" s="31" t="s">
        <v>32</v>
      </c>
      <c r="E27" s="42" t="s">
        <v>28</v>
      </c>
      <c r="F27" s="36">
        <f t="shared" si="2"/>
        <v>120</v>
      </c>
      <c r="G27" s="31" t="s">
        <v>33</v>
      </c>
      <c r="H27" s="35">
        <v>0</v>
      </c>
      <c r="I27" s="44">
        <f t="shared" si="3"/>
        <v>0</v>
      </c>
      <c r="J27" s="36">
        <f>ROUNDUP(F27/50,0)</f>
        <v>3</v>
      </c>
      <c r="K27" s="31" t="s">
        <v>91</v>
      </c>
      <c r="L27" s="35">
        <v>0</v>
      </c>
      <c r="M27" s="21" t="str">
        <f t="shared" si="1"/>
        <v>0</v>
      </c>
      <c r="N27" s="229"/>
    </row>
    <row r="28" spans="1:14" ht="15" outlineLevel="1" thickBot="1">
      <c r="B28" s="37" t="s">
        <v>101</v>
      </c>
      <c r="C28" s="38">
        <v>1.2</v>
      </c>
      <c r="D28" s="38" t="s">
        <v>62</v>
      </c>
      <c r="E28" s="55">
        <v>3</v>
      </c>
      <c r="F28" s="45">
        <f>C28*$C$8*E28</f>
        <v>360</v>
      </c>
      <c r="G28" s="38" t="s">
        <v>57</v>
      </c>
      <c r="H28" s="39">
        <v>0</v>
      </c>
      <c r="I28" s="46">
        <f t="shared" si="3"/>
        <v>0</v>
      </c>
      <c r="J28" s="45">
        <f>ROUNDUP(F28/18,0)</f>
        <v>20</v>
      </c>
      <c r="K28" s="38" t="s">
        <v>102</v>
      </c>
      <c r="L28" s="39">
        <v>0</v>
      </c>
      <c r="M28" s="48" t="str">
        <f t="shared" si="1"/>
        <v>0</v>
      </c>
      <c r="N28" s="229"/>
    </row>
    <row r="29" spans="1:14" outlineLevel="1">
      <c r="B29" s="49"/>
      <c r="C29" s="50"/>
      <c r="D29" s="50"/>
      <c r="E29" s="50"/>
      <c r="F29" s="50"/>
      <c r="G29" s="50"/>
      <c r="H29" s="51"/>
      <c r="I29" s="52"/>
      <c r="J29" s="50"/>
      <c r="K29" s="50"/>
      <c r="L29" s="51"/>
      <c r="M29" s="53"/>
      <c r="N29" s="4"/>
    </row>
    <row r="30" spans="1:14" outlineLevel="1">
      <c r="B30" s="49"/>
      <c r="C30" s="50"/>
      <c r="D30" s="50"/>
      <c r="E30" s="50"/>
      <c r="F30" s="50"/>
      <c r="G30" s="50"/>
      <c r="H30" s="51"/>
      <c r="I30" s="52"/>
      <c r="J30" s="50"/>
      <c r="K30" s="50"/>
      <c r="L30" s="51"/>
      <c r="M30" s="53" t="s">
        <v>103</v>
      </c>
      <c r="N30" s="4" t="s">
        <v>104</v>
      </c>
    </row>
    <row r="31" spans="1:14">
      <c r="J31" s="230" t="s">
        <v>105</v>
      </c>
      <c r="K31" s="230"/>
      <c r="L31" s="230"/>
      <c r="M31" s="47">
        <f>M16+M17+M18+M19+M20+M21</f>
        <v>0</v>
      </c>
      <c r="N31" s="47">
        <f>M31+M23+M25+M26+M27+M28</f>
        <v>0</v>
      </c>
    </row>
    <row r="32" spans="1:14">
      <c r="J32" s="231" t="s">
        <v>67</v>
      </c>
      <c r="K32" s="231"/>
      <c r="L32" s="231"/>
      <c r="M32" s="233">
        <v>25</v>
      </c>
      <c r="N32" s="233"/>
    </row>
    <row r="33" spans="9:14">
      <c r="J33" s="232" t="s">
        <v>68</v>
      </c>
      <c r="K33" s="232"/>
      <c r="L33" s="232"/>
      <c r="M33" s="28">
        <f>M31*$M$32/100</f>
        <v>0</v>
      </c>
      <c r="N33" s="28">
        <f>N31*$M$32/100</f>
        <v>0</v>
      </c>
    </row>
    <row r="34" spans="9:14">
      <c r="I34" s="232" t="s">
        <v>69</v>
      </c>
      <c r="J34" s="232"/>
      <c r="K34" s="232"/>
      <c r="L34" s="232"/>
      <c r="M34" s="28">
        <f>M31-M33</f>
        <v>0</v>
      </c>
      <c r="N34" s="28">
        <f>N31-N33</f>
        <v>0</v>
      </c>
    </row>
    <row r="35" spans="9:14">
      <c r="J35" s="232"/>
      <c r="K35" s="232"/>
      <c r="L35" s="232"/>
      <c r="M35" s="68"/>
      <c r="N35" s="68"/>
    </row>
  </sheetData>
  <sheetProtection formatCells="0" formatColumns="0" formatRows="0" insertColumns="0" insertRows="0" deleteColumns="0" deleteRows="0"/>
  <mergeCells count="33">
    <mergeCell ref="I34:L34"/>
    <mergeCell ref="J35:L35"/>
    <mergeCell ref="C7:E7"/>
    <mergeCell ref="B24:E24"/>
    <mergeCell ref="F24:I24"/>
    <mergeCell ref="J24:M24"/>
    <mergeCell ref="B15:E15"/>
    <mergeCell ref="F15:I15"/>
    <mergeCell ref="J15:M15"/>
    <mergeCell ref="B22:E22"/>
    <mergeCell ref="F22:I22"/>
    <mergeCell ref="J22:M22"/>
    <mergeCell ref="N25:N28"/>
    <mergeCell ref="J31:L31"/>
    <mergeCell ref="J32:L32"/>
    <mergeCell ref="J33:L33"/>
    <mergeCell ref="M32:N32"/>
    <mergeCell ref="A11:A16"/>
    <mergeCell ref="B9:M11"/>
    <mergeCell ref="A2:E2"/>
    <mergeCell ref="J5:M5"/>
    <mergeCell ref="J6:M6"/>
    <mergeCell ref="J7:M7"/>
    <mergeCell ref="J8:M8"/>
    <mergeCell ref="C8:E8"/>
    <mergeCell ref="B12:M12"/>
    <mergeCell ref="B14:E14"/>
    <mergeCell ref="F14:I14"/>
    <mergeCell ref="J14:M14"/>
    <mergeCell ref="C3:E3"/>
    <mergeCell ref="B4:E4"/>
    <mergeCell ref="C5:E5"/>
    <mergeCell ref="C6:E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'База данных'!$G$3:$G$5</xm:f>
          </x14:formula1>
          <xm:sqref>C6</xm:sqref>
        </x14:dataValidation>
        <x14:dataValidation type="list" allowBlank="1" showInputMessage="1" showErrorMessage="1" xr:uid="{00000000-0002-0000-0100-000001000000}">
          <x14:formula1>
            <xm:f>'База данных'!$G$21:$G$22</xm:f>
          </x14:formula1>
          <xm:sqref>C3:E3</xm:sqref>
        </x14:dataValidation>
        <x14:dataValidation type="list" allowBlank="1" showInputMessage="1" showErrorMessage="1" xr:uid="{00000000-0002-0000-0100-000002000000}">
          <x14:formula1>
            <xm:f>'База данных'!$J$3:$J$4</xm:f>
          </x14:formula1>
          <xm:sqref>B26</xm:sqref>
        </x14:dataValidation>
        <x14:dataValidation type="list" allowBlank="1" showInputMessage="1" showErrorMessage="1" xr:uid="{00000000-0002-0000-0100-000003000000}">
          <x14:formula1>
            <xm:f>'База данных'!$G$12:$G$12</xm:f>
          </x14:formula1>
          <xm:sqref>B23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27"/>
  <sheetViews>
    <sheetView zoomScale="60" zoomScaleNormal="60" zoomScaleSheetLayoutView="70" workbookViewId="0">
      <selection activeCell="B9" sqref="B9:M10"/>
    </sheetView>
  </sheetViews>
  <sheetFormatPr defaultColWidth="8.7109375" defaultRowHeight="14.45" outlineLevelCol="1"/>
  <cols>
    <col min="1" max="1" width="30.42578125" style="1" bestFit="1" customWidth="1"/>
    <col min="2" max="2" width="51.5703125" style="2" customWidth="1"/>
    <col min="3" max="3" width="20.5703125" style="1" customWidth="1"/>
    <col min="4" max="4" width="8" style="1" bestFit="1" customWidth="1"/>
    <col min="5" max="5" width="12.7109375" style="1" customWidth="1"/>
    <col min="6" max="6" width="8.85546875" style="1" customWidth="1" outlineLevel="1"/>
    <col min="7" max="7" width="8.42578125" style="1" customWidth="1" outlineLevel="1"/>
    <col min="8" max="8" width="5.28515625" style="1" customWidth="1" outlineLevel="1"/>
    <col min="9" max="9" width="9.85546875" style="1" customWidth="1" outlineLevel="1"/>
    <col min="10" max="10" width="6.5703125" style="1" customWidth="1"/>
    <col min="11" max="11" width="7.85546875" style="1" customWidth="1"/>
    <col min="12" max="12" width="7.5703125" style="1" bestFit="1" customWidth="1"/>
    <col min="13" max="13" width="13.85546875" style="1" customWidth="1"/>
    <col min="14" max="14" width="12.28515625" style="1" hidden="1" customWidth="1"/>
    <col min="15" max="15" width="8.7109375" style="1" hidden="1" customWidth="1"/>
    <col min="16" max="16" width="8.140625" style="1" customWidth="1"/>
    <col min="17" max="16384" width="8.7109375" style="1"/>
  </cols>
  <sheetData>
    <row r="2" spans="1:15" ht="33.6">
      <c r="A2" s="242" t="s">
        <v>106</v>
      </c>
      <c r="B2" s="242"/>
      <c r="C2" s="242"/>
      <c r="D2" s="242"/>
      <c r="E2" s="242"/>
      <c r="F2" s="242"/>
      <c r="G2" s="242"/>
      <c r="H2" s="242"/>
    </row>
    <row r="3" spans="1:15">
      <c r="A3" s="66" t="s">
        <v>107</v>
      </c>
      <c r="B3" s="15" t="s">
        <v>108</v>
      </c>
      <c r="C3" s="223" t="s">
        <v>75</v>
      </c>
      <c r="D3" s="223"/>
      <c r="E3" s="223"/>
      <c r="N3" s="1" t="s">
        <v>2</v>
      </c>
      <c r="O3" s="1">
        <v>4444</v>
      </c>
    </row>
    <row r="4" spans="1:15">
      <c r="A4" s="246"/>
      <c r="B4" s="224" t="s">
        <v>76</v>
      </c>
      <c r="C4" s="224"/>
      <c r="D4" s="224"/>
      <c r="E4" s="224"/>
    </row>
    <row r="5" spans="1:15">
      <c r="A5" s="246"/>
      <c r="B5" s="25" t="s">
        <v>77</v>
      </c>
      <c r="C5" s="225">
        <v>200</v>
      </c>
      <c r="D5" s="225"/>
      <c r="E5" s="225"/>
      <c r="F5" s="61"/>
      <c r="G5" s="61"/>
      <c r="H5" s="61"/>
      <c r="I5" s="61"/>
      <c r="J5" s="213" t="s">
        <v>78</v>
      </c>
      <c r="K5" s="213"/>
      <c r="L5" s="213"/>
      <c r="M5" s="213"/>
    </row>
    <row r="6" spans="1:15">
      <c r="A6" s="246"/>
      <c r="B6" s="25" t="s">
        <v>109</v>
      </c>
      <c r="C6" s="226">
        <v>150</v>
      </c>
      <c r="D6" s="227"/>
      <c r="E6" s="228"/>
      <c r="F6" s="61"/>
      <c r="G6" s="61"/>
      <c r="H6" s="61"/>
      <c r="I6" s="61"/>
      <c r="J6" s="213" t="s">
        <v>110</v>
      </c>
      <c r="K6" s="213"/>
      <c r="L6" s="213"/>
      <c r="M6" s="213"/>
    </row>
    <row r="7" spans="1:15">
      <c r="A7" s="246"/>
      <c r="B7" s="25" t="s">
        <v>7</v>
      </c>
      <c r="C7" s="234">
        <f>C5-C6</f>
        <v>50</v>
      </c>
      <c r="D7" s="234"/>
      <c r="E7" s="234"/>
      <c r="F7" s="61"/>
      <c r="G7" s="61"/>
      <c r="H7" s="61"/>
      <c r="I7" s="61"/>
      <c r="J7" s="214" t="s">
        <v>81</v>
      </c>
      <c r="K7" s="214"/>
      <c r="L7" s="214"/>
      <c r="M7" s="214"/>
    </row>
    <row r="8" spans="1:15" ht="30.95" customHeight="1">
      <c r="A8" s="246"/>
      <c r="B8" s="65" t="s">
        <v>111</v>
      </c>
      <c r="C8" s="245">
        <v>100</v>
      </c>
      <c r="D8" s="245"/>
      <c r="E8" s="245"/>
      <c r="F8" s="61"/>
      <c r="G8" s="61"/>
      <c r="H8" s="61"/>
      <c r="I8" s="61"/>
      <c r="J8" s="214" t="s">
        <v>112</v>
      </c>
      <c r="K8" s="214"/>
      <c r="L8" s="214"/>
      <c r="M8" s="214"/>
    </row>
    <row r="9" spans="1:15" ht="18.600000000000001" customHeight="1">
      <c r="A9" s="66"/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</row>
    <row r="10" spans="1:15" ht="15.6" customHeight="1" thickBot="1">
      <c r="A10" s="209"/>
      <c r="B10" s="244"/>
      <c r="C10" s="244"/>
      <c r="D10" s="244"/>
      <c r="E10" s="244"/>
      <c r="F10" s="244"/>
      <c r="G10" s="244"/>
      <c r="H10" s="244"/>
      <c r="I10" s="244"/>
      <c r="J10" s="244"/>
      <c r="K10" s="244"/>
      <c r="L10" s="244"/>
      <c r="M10" s="244"/>
    </row>
    <row r="11" spans="1:15" ht="15" thickBot="1">
      <c r="A11" s="209"/>
      <c r="B11" s="216" t="s">
        <v>9</v>
      </c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8"/>
    </row>
    <row r="12" spans="1:15">
      <c r="A12" s="209"/>
      <c r="B12" s="17" t="s">
        <v>12</v>
      </c>
      <c r="C12" s="18" t="s">
        <v>13</v>
      </c>
      <c r="D12" s="18" t="s">
        <v>14</v>
      </c>
      <c r="E12" s="19" t="s">
        <v>15</v>
      </c>
      <c r="F12" s="17" t="s">
        <v>16</v>
      </c>
      <c r="G12" s="18" t="s">
        <v>17</v>
      </c>
      <c r="H12" s="18" t="s">
        <v>85</v>
      </c>
      <c r="I12" s="19" t="s">
        <v>86</v>
      </c>
      <c r="J12" s="17" t="s">
        <v>16</v>
      </c>
      <c r="K12" s="18" t="s">
        <v>17</v>
      </c>
      <c r="L12" s="18" t="s">
        <v>85</v>
      </c>
      <c r="M12" s="19" t="s">
        <v>86</v>
      </c>
    </row>
    <row r="13" spans="1:15">
      <c r="A13" s="209"/>
      <c r="B13" s="219"/>
      <c r="C13" s="220"/>
      <c r="D13" s="220"/>
      <c r="E13" s="222"/>
      <c r="F13" s="219" t="s">
        <v>87</v>
      </c>
      <c r="G13" s="220"/>
      <c r="H13" s="220"/>
      <c r="I13" s="222"/>
      <c r="J13" s="219" t="s">
        <v>11</v>
      </c>
      <c r="K13" s="220"/>
      <c r="L13" s="220"/>
      <c r="M13" s="222"/>
    </row>
    <row r="14" spans="1:15">
      <c r="A14" s="209"/>
      <c r="B14" s="235" t="s">
        <v>113</v>
      </c>
      <c r="C14" s="236"/>
      <c r="D14" s="236"/>
      <c r="E14" s="241"/>
      <c r="F14" s="235"/>
      <c r="G14" s="236"/>
      <c r="H14" s="236"/>
      <c r="I14" s="241"/>
      <c r="J14" s="235"/>
      <c r="K14" s="236"/>
      <c r="L14" s="236"/>
      <c r="M14" s="241"/>
    </row>
    <row r="15" spans="1:15" ht="26.1">
      <c r="A15" s="209"/>
      <c r="B15" s="23" t="s">
        <v>114</v>
      </c>
      <c r="C15" s="11" t="e">
        <f>VLOOKUP(B15,'База данных'!L15:O17,2,0)</f>
        <v>#N/A</v>
      </c>
      <c r="D15" s="11" t="e">
        <f>VLOOKUP(B15,'База данных'!L15:O17,3,0)</f>
        <v>#N/A</v>
      </c>
      <c r="E15" s="24" t="e">
        <f>VLOOKUP(B15,'База данных'!L15:O17,4,0)</f>
        <v>#N/A</v>
      </c>
      <c r="F15" s="20" t="e">
        <f>C15*$C8</f>
        <v>#N/A</v>
      </c>
      <c r="G15" s="11" t="s">
        <v>24</v>
      </c>
      <c r="H15" s="26">
        <v>0</v>
      </c>
      <c r="I15" s="21" t="e">
        <f>H15*F15</f>
        <v>#N/A</v>
      </c>
      <c r="J15" s="20" t="e">
        <f>ROUNDUP(F15/VLOOKUP(B15,'База данных'!$L$15:$Q$17,5,0),0)</f>
        <v>#N/A</v>
      </c>
      <c r="K15" s="11" t="e">
        <f>VLOOKUP(B15,'База данных'!$L$15:$Q$17,6,0)</f>
        <v>#N/A</v>
      </c>
      <c r="L15" s="26">
        <v>0</v>
      </c>
      <c r="M15" s="21" t="e">
        <f>L15*J15</f>
        <v>#N/A</v>
      </c>
    </row>
    <row r="16" spans="1:15">
      <c r="A16" s="63" t="s">
        <v>89</v>
      </c>
      <c r="B16" s="54" t="s">
        <v>115</v>
      </c>
      <c r="C16" s="11">
        <v>1.03</v>
      </c>
      <c r="D16" s="11" t="s">
        <v>23</v>
      </c>
      <c r="E16" s="24">
        <f>C6</f>
        <v>150</v>
      </c>
      <c r="F16" s="20">
        <f>C16*$C8</f>
        <v>103</v>
      </c>
      <c r="G16" s="11" t="s">
        <v>24</v>
      </c>
      <c r="H16" s="26">
        <v>0</v>
      </c>
      <c r="I16" s="21">
        <f t="shared" ref="I16:I20" si="0">H16*F16</f>
        <v>0</v>
      </c>
      <c r="J16" s="20">
        <f>ROUNDUP(F16*E16/1000,0)</f>
        <v>16</v>
      </c>
      <c r="K16" s="11" t="s">
        <v>25</v>
      </c>
      <c r="L16" s="26">
        <v>0</v>
      </c>
      <c r="M16" s="21">
        <f>L16*J16</f>
        <v>0</v>
      </c>
    </row>
    <row r="17" spans="2:14">
      <c r="B17" s="23" t="str">
        <f>B16 &amp; "(доутепление)"</f>
        <v>Vetonit (Isover) ПРОФИ(доутепление)</v>
      </c>
      <c r="C17" s="11">
        <f>IF(C7=0,"0",1.03)</f>
        <v>1.03</v>
      </c>
      <c r="D17" s="11" t="s">
        <v>23</v>
      </c>
      <c r="E17" s="24">
        <f>C7</f>
        <v>50</v>
      </c>
      <c r="F17" s="20">
        <f>C17*C8</f>
        <v>103</v>
      </c>
      <c r="G17" s="11" t="str">
        <f>G16</f>
        <v>м2</v>
      </c>
      <c r="H17" s="26">
        <v>0</v>
      </c>
      <c r="I17" s="21">
        <f>H17*F17</f>
        <v>0</v>
      </c>
      <c r="J17" s="20">
        <f>ROUNDUP(F17*E17/1000,0)</f>
        <v>6</v>
      </c>
      <c r="K17" s="11" t="s">
        <v>25</v>
      </c>
      <c r="L17" s="26">
        <v>0</v>
      </c>
      <c r="M17" s="21">
        <f>L17*J17</f>
        <v>0</v>
      </c>
      <c r="N17" s="4"/>
    </row>
    <row r="18" spans="2:14" ht="26.1">
      <c r="B18" s="23" t="str">
        <f>IF(C3="Оптимальная","Пароизоляционная мембрана Vetonit (Isover) Паранет В (рул.=70 м2)","Пароизоляционная мембрана ISOVER Гидранет Д (рул.=70 м2)")</f>
        <v>Пароизоляционная мембрана Vetonit (Isover) Паранет В (рул.=70 м2)</v>
      </c>
      <c r="C18" s="11">
        <v>1.1000000000000001</v>
      </c>
      <c r="D18" s="11" t="s">
        <v>23</v>
      </c>
      <c r="E18" s="24" t="s">
        <v>28</v>
      </c>
      <c r="F18" s="20">
        <f>C18*$C8</f>
        <v>110.00000000000001</v>
      </c>
      <c r="G18" s="11" t="s">
        <v>24</v>
      </c>
      <c r="H18" s="26">
        <v>0</v>
      </c>
      <c r="I18" s="21">
        <f t="shared" si="0"/>
        <v>0</v>
      </c>
      <c r="J18" s="20">
        <f>ROUNDUP(F18/70,0)</f>
        <v>2</v>
      </c>
      <c r="K18" s="11" t="s">
        <v>91</v>
      </c>
      <c r="L18" s="26">
        <v>0</v>
      </c>
      <c r="M18" s="21">
        <f>L18*J18</f>
        <v>0</v>
      </c>
    </row>
    <row r="19" spans="2:14" ht="26.1">
      <c r="B19" s="23" t="s">
        <v>92</v>
      </c>
      <c r="C19" s="11">
        <v>2.2000000000000002</v>
      </c>
      <c r="D19" s="11" t="s">
        <v>32</v>
      </c>
      <c r="E19" s="24" t="s">
        <v>28</v>
      </c>
      <c r="F19" s="20">
        <f>C19*$C8</f>
        <v>220.00000000000003</v>
      </c>
      <c r="G19" s="11" t="s">
        <v>33</v>
      </c>
      <c r="H19" s="26">
        <v>0</v>
      </c>
      <c r="I19" s="21">
        <f t="shared" si="0"/>
        <v>0</v>
      </c>
      <c r="J19" s="20">
        <f>ROUNDUP(F19/20,0)</f>
        <v>11</v>
      </c>
      <c r="K19" s="11" t="s">
        <v>91</v>
      </c>
      <c r="L19" s="26">
        <v>0</v>
      </c>
      <c r="M19" s="21">
        <f>L19*J19</f>
        <v>0</v>
      </c>
    </row>
    <row r="20" spans="2:14" ht="26.45" thickBot="1">
      <c r="B20" s="23" t="s">
        <v>116</v>
      </c>
      <c r="C20" s="11">
        <f>0.42*0.2</f>
        <v>8.4000000000000005E-2</v>
      </c>
      <c r="D20" s="58" t="s">
        <v>52</v>
      </c>
      <c r="E20" s="60" t="s">
        <v>28</v>
      </c>
      <c r="F20" s="57">
        <f>C20*$C8</f>
        <v>8.4</v>
      </c>
      <c r="G20" s="58" t="s">
        <v>53</v>
      </c>
      <c r="H20" s="59">
        <v>0</v>
      </c>
      <c r="I20" s="48">
        <f t="shared" si="0"/>
        <v>0</v>
      </c>
      <c r="J20" s="57">
        <f>F20</f>
        <v>8.4</v>
      </c>
      <c r="K20" s="11" t="s">
        <v>94</v>
      </c>
      <c r="L20" s="59">
        <v>0</v>
      </c>
      <c r="M20" s="48">
        <f>J20*L20</f>
        <v>0</v>
      </c>
    </row>
    <row r="21" spans="2:14">
      <c r="B21" s="49"/>
      <c r="C21" s="50"/>
      <c r="D21" s="50"/>
      <c r="E21" s="50"/>
      <c r="F21" s="50"/>
      <c r="G21" s="50"/>
      <c r="H21" s="51"/>
      <c r="I21" s="52"/>
      <c r="J21" s="50"/>
      <c r="K21" s="50"/>
      <c r="L21" s="51"/>
      <c r="M21" s="53"/>
      <c r="N21" s="4"/>
    </row>
    <row r="22" spans="2:14">
      <c r="J22" s="230" t="s">
        <v>117</v>
      </c>
      <c r="K22" s="230"/>
      <c r="L22" s="230"/>
      <c r="M22" s="47" t="e">
        <f>M15+M16+M17+M18+M19+M20</f>
        <v>#N/A</v>
      </c>
      <c r="N22" s="47"/>
    </row>
    <row r="23" spans="2:14">
      <c r="J23" s="231" t="s">
        <v>67</v>
      </c>
      <c r="K23" s="231"/>
      <c r="L23" s="231"/>
      <c r="M23" s="56">
        <v>0</v>
      </c>
      <c r="N23" s="56"/>
    </row>
    <row r="24" spans="2:14">
      <c r="J24" s="232" t="s">
        <v>68</v>
      </c>
      <c r="K24" s="232"/>
      <c r="L24" s="232"/>
      <c r="M24" s="28" t="e">
        <f>M22*$M$23/100</f>
        <v>#N/A</v>
      </c>
      <c r="N24" s="28"/>
    </row>
    <row r="25" spans="2:14">
      <c r="I25" s="232" t="s">
        <v>69</v>
      </c>
      <c r="J25" s="232"/>
      <c r="K25" s="232"/>
      <c r="L25" s="232"/>
      <c r="M25" s="28" t="e">
        <f>M22-M24</f>
        <v>#N/A</v>
      </c>
      <c r="N25" s="28"/>
    </row>
    <row r="26" spans="2:14">
      <c r="J26" s="232" t="s">
        <v>70</v>
      </c>
      <c r="K26" s="232"/>
      <c r="L26" s="232"/>
      <c r="M26" s="68">
        <v>0</v>
      </c>
      <c r="N26" s="68">
        <v>0</v>
      </c>
    </row>
    <row r="27" spans="2:14">
      <c r="J27" s="247" t="s">
        <v>71</v>
      </c>
      <c r="K27" s="247"/>
      <c r="L27" s="247"/>
      <c r="M27" s="69" t="e">
        <f>SUM(M25+M26)</f>
        <v>#N/A</v>
      </c>
      <c r="N27" s="69">
        <f>SUM(N25+N26)</f>
        <v>0</v>
      </c>
    </row>
  </sheetData>
  <sheetProtection formatCells="0" formatColumns="0" formatRows="0" insertColumns="0" insertRows="0" deleteColumns="0" deleteRows="0"/>
  <mergeCells count="27">
    <mergeCell ref="J26:L26"/>
    <mergeCell ref="J27:L27"/>
    <mergeCell ref="J22:L22"/>
    <mergeCell ref="J23:L23"/>
    <mergeCell ref="J24:L24"/>
    <mergeCell ref="I25:L25"/>
    <mergeCell ref="F13:I13"/>
    <mergeCell ref="J13:M13"/>
    <mergeCell ref="B14:E14"/>
    <mergeCell ref="F14:I14"/>
    <mergeCell ref="J14:M14"/>
    <mergeCell ref="A2:H2"/>
    <mergeCell ref="A10:A15"/>
    <mergeCell ref="B9:M10"/>
    <mergeCell ref="C3:E3"/>
    <mergeCell ref="B4:E4"/>
    <mergeCell ref="C5:E5"/>
    <mergeCell ref="C6:E6"/>
    <mergeCell ref="C7:E7"/>
    <mergeCell ref="C8:E8"/>
    <mergeCell ref="J5:M5"/>
    <mergeCell ref="J6:M6"/>
    <mergeCell ref="J7:M7"/>
    <mergeCell ref="J8:M8"/>
    <mergeCell ref="A4:A8"/>
    <mergeCell ref="B11:M11"/>
    <mergeCell ref="B13:E1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'База данных'!$G$3:$G$5</xm:f>
          </x14:formula1>
          <xm:sqref>C6</xm:sqref>
        </x14:dataValidation>
        <x14:dataValidation type="list" allowBlank="1" showInputMessage="1" showErrorMessage="1" xr:uid="{00000000-0002-0000-0200-000000000000}">
          <x14:formula1>
            <xm:f>'База данных'!$J$22:$J$27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5"/>
  <sheetViews>
    <sheetView topLeftCell="G1" workbookViewId="0">
      <selection activeCell="P2" sqref="P2"/>
    </sheetView>
  </sheetViews>
  <sheetFormatPr defaultColWidth="8.7109375" defaultRowHeight="14.45"/>
  <cols>
    <col min="1" max="1" width="8.7109375" style="1"/>
    <col min="2" max="2" width="21.140625" style="1" customWidth="1"/>
    <col min="3" max="3" width="38.5703125" style="6" customWidth="1"/>
    <col min="4" max="4" width="12.85546875" style="6" customWidth="1"/>
    <col min="5" max="6" width="8.7109375" style="1"/>
    <col min="7" max="7" width="19.42578125" style="1" customWidth="1"/>
    <col min="8" max="8" width="24.85546875" style="1" customWidth="1"/>
    <col min="9" max="9" width="8.7109375" style="1" customWidth="1"/>
    <col min="10" max="10" width="25.28515625" style="1" customWidth="1"/>
    <col min="11" max="11" width="8.7109375" style="1"/>
    <col min="12" max="12" width="18.5703125" style="1" customWidth="1"/>
    <col min="13" max="13" width="11.5703125" style="1" customWidth="1"/>
    <col min="14" max="14" width="11.85546875" style="1" customWidth="1"/>
    <col min="15" max="16384" width="8.7109375" style="1"/>
  </cols>
  <sheetData>
    <row r="1" spans="2:20">
      <c r="L1" s="7">
        <v>1</v>
      </c>
      <c r="M1" s="9">
        <v>2</v>
      </c>
      <c r="N1" s="9">
        <v>3</v>
      </c>
      <c r="O1" s="9">
        <v>4</v>
      </c>
      <c r="P1" s="9">
        <v>5</v>
      </c>
      <c r="Q1" s="9">
        <v>6</v>
      </c>
      <c r="R1" s="9">
        <v>7</v>
      </c>
      <c r="S1" s="6"/>
      <c r="T1" s="6"/>
    </row>
    <row r="2" spans="2:20">
      <c r="B2" s="4" t="s">
        <v>118</v>
      </c>
      <c r="C2" s="5" t="s">
        <v>119</v>
      </c>
      <c r="D2" s="4" t="s">
        <v>120</v>
      </c>
      <c r="G2" s="3" t="s">
        <v>121</v>
      </c>
      <c r="I2" s="3" t="s">
        <v>122</v>
      </c>
      <c r="J2" s="3" t="s">
        <v>123</v>
      </c>
      <c r="K2" s="3"/>
      <c r="L2" s="7" t="s">
        <v>124</v>
      </c>
      <c r="M2" s="7" t="s">
        <v>125</v>
      </c>
      <c r="N2" s="7" t="s">
        <v>126</v>
      </c>
      <c r="O2" s="7" t="s">
        <v>127</v>
      </c>
      <c r="P2" s="7" t="s">
        <v>128</v>
      </c>
      <c r="Q2" s="7" t="s">
        <v>43</v>
      </c>
      <c r="R2" s="7" t="s">
        <v>47</v>
      </c>
      <c r="S2" s="1" t="s">
        <v>124</v>
      </c>
    </row>
    <row r="3" spans="2:20">
      <c r="B3" s="1" t="s">
        <v>129</v>
      </c>
      <c r="C3" s="6">
        <v>170</v>
      </c>
      <c r="D3" s="6">
        <v>200</v>
      </c>
      <c r="G3" s="16" t="s">
        <v>28</v>
      </c>
      <c r="I3" s="1" t="s">
        <v>130</v>
      </c>
      <c r="J3" s="1" t="s">
        <v>131</v>
      </c>
      <c r="K3" s="1" t="s">
        <v>124</v>
      </c>
      <c r="L3" s="8" t="s">
        <v>130</v>
      </c>
      <c r="M3" s="10">
        <v>1</v>
      </c>
      <c r="N3" s="9">
        <v>2</v>
      </c>
      <c r="O3" s="9">
        <v>1.1000000000000001</v>
      </c>
      <c r="P3" s="9">
        <v>1.1000000000000001</v>
      </c>
      <c r="Q3" s="9" t="s">
        <v>44</v>
      </c>
      <c r="R3" s="9" t="s">
        <v>44</v>
      </c>
      <c r="S3" s="6"/>
      <c r="T3" s="6"/>
    </row>
    <row r="4" spans="2:20">
      <c r="B4" s="1" t="s">
        <v>132</v>
      </c>
      <c r="C4" s="6">
        <v>220</v>
      </c>
      <c r="D4" s="6">
        <v>250</v>
      </c>
      <c r="G4" s="1">
        <v>150</v>
      </c>
      <c r="I4" s="1" t="s">
        <v>133</v>
      </c>
      <c r="J4" s="1" t="s">
        <v>98</v>
      </c>
      <c r="K4" s="1" t="s">
        <v>124</v>
      </c>
      <c r="L4" s="8" t="s">
        <v>133</v>
      </c>
      <c r="M4" s="10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6"/>
      <c r="T4" s="6"/>
    </row>
    <row r="5" spans="2:20">
      <c r="B5" s="1" t="s">
        <v>134</v>
      </c>
      <c r="C5" s="6">
        <v>180</v>
      </c>
      <c r="D5" s="6">
        <v>200</v>
      </c>
      <c r="G5" s="1">
        <v>200</v>
      </c>
      <c r="M5" s="4"/>
    </row>
    <row r="6" spans="2:20">
      <c r="G6" s="3"/>
      <c r="M6" s="4"/>
    </row>
    <row r="7" spans="2:20">
      <c r="H7" s="1" t="s">
        <v>124</v>
      </c>
      <c r="L7" s="7">
        <v>1</v>
      </c>
      <c r="M7" s="7">
        <v>2</v>
      </c>
      <c r="N7" s="10">
        <v>3</v>
      </c>
      <c r="O7" s="7">
        <v>4</v>
      </c>
      <c r="P7" s="7">
        <v>5</v>
      </c>
    </row>
    <row r="8" spans="2:20">
      <c r="H8" s="1" t="s">
        <v>124</v>
      </c>
      <c r="L8" s="7"/>
      <c r="M8" s="7" t="s">
        <v>96</v>
      </c>
      <c r="N8" s="10" t="s">
        <v>131</v>
      </c>
      <c r="O8" s="7" t="s">
        <v>100</v>
      </c>
      <c r="P8" s="7" t="s">
        <v>135</v>
      </c>
      <c r="Q8" s="1" t="s">
        <v>124</v>
      </c>
    </row>
    <row r="9" spans="2:20">
      <c r="L9" s="8" t="s">
        <v>130</v>
      </c>
      <c r="M9" s="7">
        <v>0.2</v>
      </c>
      <c r="N9" s="7">
        <v>0.3</v>
      </c>
      <c r="O9" s="7">
        <v>0.9</v>
      </c>
      <c r="P9" s="7">
        <v>1</v>
      </c>
    </row>
    <row r="10" spans="2:20">
      <c r="G10" s="3" t="s">
        <v>136</v>
      </c>
      <c r="H10" s="3" t="s">
        <v>137</v>
      </c>
      <c r="L10" s="8" t="s">
        <v>133</v>
      </c>
      <c r="M10" s="7">
        <v>0</v>
      </c>
      <c r="N10" s="7">
        <v>0</v>
      </c>
      <c r="O10" s="7">
        <v>0</v>
      </c>
      <c r="P10" s="7">
        <v>0</v>
      </c>
    </row>
    <row r="11" spans="2:20">
      <c r="G11" s="1" t="s">
        <v>36</v>
      </c>
      <c r="H11" s="1">
        <v>12.5</v>
      </c>
    </row>
    <row r="12" spans="2:20">
      <c r="G12" s="1" t="s">
        <v>138</v>
      </c>
      <c r="H12" s="1">
        <v>12.5</v>
      </c>
    </row>
    <row r="14" spans="2:20">
      <c r="G14" s="1" t="s">
        <v>139</v>
      </c>
      <c r="H14" s="1" t="s">
        <v>140</v>
      </c>
    </row>
    <row r="15" spans="2:20">
      <c r="G15" s="1">
        <v>0</v>
      </c>
      <c r="H15" s="1" t="s">
        <v>28</v>
      </c>
      <c r="J15" s="29" t="s">
        <v>141</v>
      </c>
      <c r="L15" s="1" t="s">
        <v>142</v>
      </c>
      <c r="M15" s="1" t="s">
        <v>143</v>
      </c>
      <c r="N15" s="1" t="s">
        <v>144</v>
      </c>
      <c r="O15" s="1" t="s">
        <v>145</v>
      </c>
      <c r="P15" s="1" t="s">
        <v>146</v>
      </c>
      <c r="Q15" s="1" t="s">
        <v>147</v>
      </c>
      <c r="R15" s="1" t="s">
        <v>148</v>
      </c>
    </row>
    <row r="16" spans="2:20">
      <c r="G16" s="1">
        <v>50</v>
      </c>
      <c r="H16" s="1" t="s">
        <v>149</v>
      </c>
      <c r="I16" s="1" t="s">
        <v>124</v>
      </c>
      <c r="J16" s="68" t="s">
        <v>150</v>
      </c>
      <c r="L16" s="1" t="s">
        <v>151</v>
      </c>
      <c r="M16" s="1">
        <v>1.1000000000000001</v>
      </c>
      <c r="N16" s="1" t="s">
        <v>23</v>
      </c>
      <c r="O16" s="1" t="s">
        <v>28</v>
      </c>
      <c r="P16" s="1">
        <v>70</v>
      </c>
      <c r="Q16" s="1" t="s">
        <v>91</v>
      </c>
      <c r="R16" s="1">
        <v>2.2000000000000002</v>
      </c>
    </row>
    <row r="17" spans="7:18">
      <c r="G17" s="1">
        <v>100</v>
      </c>
      <c r="H17" s="1" t="s">
        <v>149</v>
      </c>
      <c r="I17" s="1" t="s">
        <v>124</v>
      </c>
      <c r="J17" s="30" t="s">
        <v>152</v>
      </c>
      <c r="L17" s="1" t="s">
        <v>153</v>
      </c>
      <c r="M17" s="1">
        <v>1</v>
      </c>
      <c r="N17" s="1" t="s">
        <v>23</v>
      </c>
      <c r="O17" s="1">
        <v>9.5</v>
      </c>
      <c r="P17" s="1">
        <v>3</v>
      </c>
      <c r="Q17" s="1" t="s">
        <v>46</v>
      </c>
      <c r="R17" s="1">
        <v>1.1000000000000001</v>
      </c>
    </row>
    <row r="18" spans="7:18">
      <c r="G18" s="1">
        <v>150</v>
      </c>
      <c r="H18" s="1" t="s">
        <v>149</v>
      </c>
      <c r="I18" s="1" t="s">
        <v>124</v>
      </c>
      <c r="J18" s="30" t="s">
        <v>154</v>
      </c>
      <c r="L18" s="1" t="s">
        <v>30</v>
      </c>
    </row>
    <row r="19" spans="7:18">
      <c r="J19" s="30" t="s">
        <v>155</v>
      </c>
      <c r="L19" s="1" t="s">
        <v>156</v>
      </c>
    </row>
    <row r="20" spans="7:18">
      <c r="G20" s="1" t="s">
        <v>108</v>
      </c>
      <c r="H20"/>
      <c r="J20" s="30" t="s">
        <v>157</v>
      </c>
    </row>
    <row r="21" spans="7:18">
      <c r="G21" s="12" t="s">
        <v>158</v>
      </c>
      <c r="H21" s="13"/>
      <c r="J21" s="30" t="s">
        <v>159</v>
      </c>
      <c r="L21" s="102" t="s">
        <v>160</v>
      </c>
    </row>
    <row r="22" spans="7:18">
      <c r="G22" s="1" t="s">
        <v>75</v>
      </c>
      <c r="H22" s="14"/>
      <c r="J22" s="30" t="s">
        <v>161</v>
      </c>
      <c r="L22" s="103" t="s">
        <v>31</v>
      </c>
    </row>
    <row r="23" spans="7:18">
      <c r="J23" s="30" t="s">
        <v>162</v>
      </c>
      <c r="L23" s="103" t="s">
        <v>163</v>
      </c>
    </row>
    <row r="24" spans="7:18">
      <c r="J24" s="30" t="s">
        <v>164</v>
      </c>
    </row>
    <row r="25" spans="7:18">
      <c r="J25" s="30" t="s">
        <v>165</v>
      </c>
    </row>
    <row r="26" spans="7:18">
      <c r="J26" s="68" t="s">
        <v>88</v>
      </c>
    </row>
    <row r="27" spans="7:18">
      <c r="J27" s="30" t="str">
        <f>IF('Пол и потолок'!C3="Оптимальная","-","Vetonit (Isover) Тепло и Тихо Полы и Перекрытия")</f>
        <v>-</v>
      </c>
    </row>
    <row r="28" spans="7:18">
      <c r="J28" s="30" t="s">
        <v>22</v>
      </c>
    </row>
    <row r="29" spans="7:18">
      <c r="J29" s="30" t="s">
        <v>166</v>
      </c>
    </row>
    <row r="30" spans="7:18">
      <c r="J30" s="30"/>
    </row>
    <row r="31" spans="7:18">
      <c r="J31" s="30" t="str">
        <f>IF('Каркасная стена'!$C$3="Базовая","-","Vetonit (Isover) Каркас П34 565 мм")</f>
        <v>Vetonit (Isover) Каркас П34 565 мм</v>
      </c>
    </row>
    <row r="34" spans="7:14">
      <c r="H34" s="6">
        <v>2</v>
      </c>
      <c r="I34" s="6">
        <v>3</v>
      </c>
      <c r="J34" s="6">
        <v>4</v>
      </c>
      <c r="K34" s="6">
        <v>5</v>
      </c>
      <c r="L34" s="6">
        <v>6</v>
      </c>
      <c r="M34" s="6">
        <v>7</v>
      </c>
      <c r="N34" s="6">
        <v>8</v>
      </c>
    </row>
    <row r="35" spans="7:14">
      <c r="G35" s="1" t="s">
        <v>167</v>
      </c>
      <c r="H35" s="11">
        <v>1.03</v>
      </c>
      <c r="I35" s="11" t="s">
        <v>23</v>
      </c>
      <c r="J35" s="11">
        <f>'Тёплая мансарда'!C20</f>
        <v>0</v>
      </c>
      <c r="K35" s="11">
        <f>'Тёплая мансарда'!C21*'База данных'!H35</f>
        <v>10.3</v>
      </c>
      <c r="L35" s="11" t="s">
        <v>24</v>
      </c>
      <c r="M35" s="11">
        <f>ROUNDUP(K35*J35/1000,0)</f>
        <v>0</v>
      </c>
      <c r="N35" s="11" t="s">
        <v>25</v>
      </c>
    </row>
  </sheetData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2025-06-27T09:51:17Z</dcterms:modified>
  <cp:category/>
  <cp:contentStatus/>
</cp:coreProperties>
</file>